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14400" windowHeight="11475" tabRatio="834"/>
    <workbookView xWindow="14385" yWindow="-15" windowWidth="14430" windowHeight="11475" activeTab="12"/>
  </bookViews>
  <sheets>
    <sheet name="총괄(출력x)" sheetId="145" r:id="rId1"/>
    <sheet name="1.소요사업비" sheetId="61" r:id="rId2"/>
    <sheet name="1.2 음성처리구역" sheetId="24" r:id="rId3"/>
    <sheet name="1.2.2 공공하수처리시설 신증설" sheetId="2" state="hidden" r:id="rId4"/>
    <sheet name="1.2.3 공공하수처리시설 기능정상화" sheetId="1" state="hidden" r:id="rId5"/>
    <sheet name="1.2.4 오수간선및차집관로 교체및보수" sheetId="4" state="hidden" r:id="rId6"/>
    <sheet name="가.굴착교체(음성-간선)" sheetId="5" state="hidden" r:id="rId7"/>
    <sheet name="나.전체보수(음성-간선)" sheetId="7" state="hidden" r:id="rId8"/>
    <sheet name="다.부분보수(음성-간선)" sheetId="8" state="hidden" r:id="rId9"/>
    <sheet name="라.맨홀보수(음성-간선)" sheetId="9" state="hidden" r:id="rId10"/>
    <sheet name="마.우수토실개량(음성-간선)" sheetId="10" state="hidden" r:id="rId11"/>
    <sheet name="1.2.5 오수관로신설" sheetId="11" r:id="rId12"/>
    <sheet name="가.관로신설(음성-오수지선)" sheetId="12" r:id="rId13"/>
    <sheet name="나.배수설비(음성)" sheetId="13" r:id="rId14"/>
    <sheet name="다.맨홀펌프장(음성)" sheetId="14" state="hidden" r:id="rId15"/>
    <sheet name="1.2.6 오수관로 교체및보수" sheetId="16" r:id="rId16"/>
    <sheet name="가.굴착교체(음성-오수지선)" sheetId="17" r:id="rId17"/>
    <sheet name="나.전체보수(음성-오수지선)" sheetId="18" r:id="rId18"/>
    <sheet name="다.부분보수(음성-오수지선)" sheetId="20" r:id="rId19"/>
    <sheet name="1.2.7 우수관로신설" sheetId="142" r:id="rId20"/>
    <sheet name="가.관로신설(음성-우수지선)" sheetId="143" r:id="rId21"/>
    <sheet name="1.2.8 우수관로 교체 및 보수" sheetId="21" r:id="rId22"/>
    <sheet name="가.굴착교체(음성-우수)" sheetId="22" r:id="rId23"/>
    <sheet name="1.2.9 하수저류시설" sheetId="23" state="hidden" r:id="rId24"/>
    <sheet name="1.3 금왕처리구역" sheetId="82" r:id="rId25"/>
    <sheet name="1.3.2 공공하수처리시설 신증설" sheetId="83" r:id="rId26"/>
    <sheet name="1.3.3 공공하수처리시설 기능정상화" sheetId="84" state="hidden" r:id="rId27"/>
    <sheet name="1.3.4 오수간선및차집관로 교체및보수" sheetId="85" state="hidden" r:id="rId28"/>
    <sheet name="가.굴착교체(금왕-간선)" sheetId="86" state="hidden" r:id="rId29"/>
    <sheet name="나.전체보수(금왕-간선)" sheetId="87" state="hidden" r:id="rId30"/>
    <sheet name="다.부분보수(금왕-간선)" sheetId="88" state="hidden" r:id="rId31"/>
    <sheet name="라.맨홀보수(금왕-간선)" sheetId="89" state="hidden" r:id="rId32"/>
    <sheet name="마.우수토실개량(금왕-간선)" sheetId="90" state="hidden" r:id="rId33"/>
    <sheet name="1.3.5 오수관로신설" sheetId="91" r:id="rId34"/>
    <sheet name="가.관로신설(금왕-오수지선)" sheetId="92" r:id="rId35"/>
    <sheet name="나.배수설비(금왕)" sheetId="93" r:id="rId36"/>
    <sheet name="다.맨홀펌프장(금왕)" sheetId="94" r:id="rId37"/>
    <sheet name="1.3.6 오수관로 교체및보수" sheetId="95" state="hidden" r:id="rId38"/>
    <sheet name="가.굴착교체(금왕-오수지선)" sheetId="96" state="hidden" r:id="rId39"/>
    <sheet name="1.3.7 우수관로 교체 및 보수" sheetId="99" r:id="rId40"/>
    <sheet name="가.굴착교체(금왕-우수)" sheetId="100" r:id="rId41"/>
    <sheet name="1.3.8 하수저류시설" sheetId="101" state="hidden" r:id="rId42"/>
    <sheet name="1.3.9 하수찌꺼지 처리시설" sheetId="177" r:id="rId43"/>
    <sheet name="1.4 대소처리구역" sheetId="62" r:id="rId44"/>
    <sheet name="1.4.2 공공하수처리시설 신증설" sheetId="63" r:id="rId45"/>
    <sheet name="1.4.3 공공하수처리시설 기능정상화" sheetId="64" state="hidden" r:id="rId46"/>
    <sheet name="1.4.4 오수간선및차집관로 교체및보수" sheetId="65" state="hidden" r:id="rId47"/>
    <sheet name="가.굴착교체(대소-간선)" sheetId="66" state="hidden" r:id="rId48"/>
    <sheet name="나.전체보수(대소-간선)" sheetId="67" state="hidden" r:id="rId49"/>
    <sheet name="다.부분보수(대소-간선)" sheetId="68" state="hidden" r:id="rId50"/>
    <sheet name="라.맨홀보수(대소-간선)" sheetId="69" state="hidden" r:id="rId51"/>
    <sheet name="마.우수토실개량(대소-간선)" sheetId="70" state="hidden" r:id="rId52"/>
    <sheet name="1.4.5 오수관로신설" sheetId="71" r:id="rId53"/>
    <sheet name="가.관로신설(대소-오수지선)" sheetId="72" r:id="rId54"/>
    <sheet name="나.배수설비(대소)" sheetId="73" r:id="rId55"/>
    <sheet name="다.맨홀펌프장(대소)" sheetId="74" r:id="rId56"/>
    <sheet name="1.4.6 오수관로 교체및보수" sheetId="75" state="hidden" r:id="rId57"/>
    <sheet name="가.굴착교체(대소-오수지선)" sheetId="76" state="hidden" r:id="rId58"/>
    <sheet name="나.전체보수(대소-오수지선)" sheetId="77" state="hidden" r:id="rId59"/>
    <sheet name="다.부분보수(대소-오수지선)" sheetId="78" state="hidden" r:id="rId60"/>
    <sheet name="1.4.7 우수관로 교체 및 보수" sheetId="79" r:id="rId61"/>
    <sheet name="가.굴착교체(대소-우수)" sheetId="80" r:id="rId62"/>
    <sheet name="1.4.8 하수저류시설" sheetId="81" state="hidden" r:id="rId63"/>
    <sheet name="1.5 생극처리구역" sheetId="102" r:id="rId64"/>
    <sheet name="1.5.2 공공하수처리시설 신증설" sheetId="103" r:id="rId65"/>
    <sheet name="1.5.3 공공하수처리시설 기능정상화" sheetId="104" state="hidden" r:id="rId66"/>
    <sheet name="1.5.4 오수간선및차집관로 교체및보수" sheetId="105" state="hidden" r:id="rId67"/>
    <sheet name="가.굴착교체(생극-간선)" sheetId="106" state="hidden" r:id="rId68"/>
    <sheet name="나.전체보수(생극-간선)" sheetId="107" state="hidden" r:id="rId69"/>
    <sheet name="다.부분보수(생극-간선)" sheetId="108" state="hidden" r:id="rId70"/>
    <sheet name="라.맨홀보수(생극-간선)" sheetId="109" state="hidden" r:id="rId71"/>
    <sheet name="마.우수토실개량(생극-간선)" sheetId="110" state="hidden" r:id="rId72"/>
    <sheet name="1.5.5 오수관로신설" sheetId="111" r:id="rId73"/>
    <sheet name="가.관로신설(생극-오수지선)" sheetId="112" r:id="rId74"/>
    <sheet name="나.배수설비(생극)" sheetId="113" r:id="rId75"/>
    <sheet name="다.맨홀펌프장(생극)" sheetId="114" r:id="rId76"/>
    <sheet name="1.5.6 오수관로 교체및보수" sheetId="115" state="hidden" r:id="rId77"/>
    <sheet name="가.굴착교체(생극-오수지선)" sheetId="116" state="hidden" r:id="rId78"/>
    <sheet name="나.전체보수(생극-오수지선)" sheetId="117" state="hidden" r:id="rId79"/>
    <sheet name="다.부분보수(생극-오수지선)" sheetId="118" state="hidden" r:id="rId80"/>
    <sheet name="1.5.7 우수관로 교체 및 보수" sheetId="119" r:id="rId81"/>
    <sheet name="가.굴착교체(생극-우수)" sheetId="120" r:id="rId82"/>
    <sheet name="1.5.8 하수저류시설" sheetId="121" state="hidden" r:id="rId83"/>
    <sheet name="1.6 감곡처리구역" sheetId="122" r:id="rId84"/>
    <sheet name="1.6.2 공공하수처리시설 신증설" sheetId="123" state="hidden" r:id="rId85"/>
    <sheet name="1.6.3 공공하수처리시설 기능정상화" sheetId="124" state="hidden" r:id="rId86"/>
    <sheet name="1.6.4 오수간선및차집관로 교체및보수" sheetId="125" state="hidden" r:id="rId87"/>
    <sheet name="가.굴착교체(감곡-간선)" sheetId="126" state="hidden" r:id="rId88"/>
    <sheet name="나.전체보수(감곡-간선)" sheetId="127" state="hidden" r:id="rId89"/>
    <sheet name="다.부분보수(감곡-간선)" sheetId="128" state="hidden" r:id="rId90"/>
    <sheet name="라.맨홀보수(감곡-간선)" sheetId="129" state="hidden" r:id="rId91"/>
    <sheet name="마.우수토실개량(감곡-간선)" sheetId="130" state="hidden" r:id="rId92"/>
    <sheet name="1.6.5 오수관로신설" sheetId="131" r:id="rId93"/>
    <sheet name="가.관로신설(감곡-오수지선)" sheetId="132" r:id="rId94"/>
    <sheet name="나.배수설비(감곡)" sheetId="133" r:id="rId95"/>
    <sheet name="다.맨홀펌프장(감곡)" sheetId="134" r:id="rId96"/>
    <sheet name="1.6.6 오수관로 교체및보수" sheetId="135" state="hidden" r:id="rId97"/>
    <sheet name="가.굴착교체(감곡-오수지선)" sheetId="136" state="hidden" r:id="rId98"/>
    <sheet name="나.전체보수(감곡-오수지선)" sheetId="137" state="hidden" r:id="rId99"/>
    <sheet name="다.부분보수(감곡-오수지선)" sheetId="138" state="hidden" r:id="rId100"/>
    <sheet name="1.6.7 우수관로 교체 및 보수" sheetId="139" r:id="rId101"/>
    <sheet name="가.굴착교체(감곡-우수)" sheetId="140" r:id="rId102"/>
    <sheet name="1.6.8 하수저류시설" sheetId="141" state="hidden" r:id="rId103"/>
    <sheet name="1.7 맹동처리구역" sheetId="235" r:id="rId104"/>
    <sheet name="1.7.2 공공하수처리시설 신증설" sheetId="237" r:id="rId105"/>
    <sheet name="1.7.3 오수관로신설" sheetId="238" r:id="rId106"/>
    <sheet name="가.관로신설(맹동-오수지선)" sheetId="239" r:id="rId107"/>
    <sheet name="나.배수설비(맹동)" sheetId="240" r:id="rId108"/>
    <sheet name="소규모(출력x)" sheetId="144" r:id="rId109"/>
    <sheet name="1.9 소규모처리구역" sheetId="31" r:id="rId110"/>
    <sheet name="1.9.1 한벌" sheetId="203" r:id="rId111"/>
    <sheet name="가.공사비산출(한벌)" sheetId="204" r:id="rId112"/>
    <sheet name="1.9.2 사창" sheetId="205" r:id="rId113"/>
    <sheet name="가.공사비산출(사창)" sheetId="206" r:id="rId114"/>
    <sheet name="1.9.3 소이" sheetId="207" r:id="rId115"/>
    <sheet name="1.9.4 원남" sheetId="208" r:id="rId116"/>
    <sheet name="1.9.5 주천" sheetId="209" r:id="rId117"/>
    <sheet name="가.공사비산출(주천)" sheetId="210" r:id="rId118"/>
    <sheet name="1.9.7 본대" sheetId="213" r:id="rId119"/>
    <sheet name="가.공사비산출(본대)" sheetId="214" r:id="rId120"/>
  </sheets>
  <definedNames>
    <definedName name="_xlnm.Print_Area" localSheetId="2">'1.2 음성처리구역'!$A$1:$H$19</definedName>
    <definedName name="_xlnm.Print_Area" localSheetId="3">'1.2.2 공공하수처리시설 신증설'!$A$1:$F$56</definedName>
    <definedName name="_xlnm.Print_Area" localSheetId="4">'1.2.3 공공하수처리시설 기능정상화'!$A$1:$F$56</definedName>
    <definedName name="_xlnm.Print_Area" localSheetId="5">'1.2.4 오수간선및차집관로 교체및보수'!$A$1:$F$57</definedName>
    <definedName name="_xlnm.Print_Area" localSheetId="11">'1.2.5 오수관로신설'!$A$1:$F$55</definedName>
    <definedName name="_xlnm.Print_Area" localSheetId="15">'1.2.6 오수관로 교체및보수'!$A$1:$F$58</definedName>
    <definedName name="_xlnm.Print_Area" localSheetId="19">'1.2.7 우수관로신설'!$A$1:$F$56</definedName>
    <definedName name="_xlnm.Print_Area" localSheetId="21">'1.2.8 우수관로 교체 및 보수'!$A$1:$F$48</definedName>
    <definedName name="_xlnm.Print_Area" localSheetId="23">'1.2.9 하수저류시설'!$A$1:$F$55</definedName>
    <definedName name="_xlnm.Print_Area" localSheetId="24">'1.3 금왕처리구역'!$A$1:$H$20</definedName>
    <definedName name="_xlnm.Print_Area" localSheetId="25">'1.3.2 공공하수처리시설 신증설'!$A$1:$F$56</definedName>
    <definedName name="_xlnm.Print_Area" localSheetId="26">'1.3.3 공공하수처리시설 기능정상화'!$A$1:$F$56</definedName>
    <definedName name="_xlnm.Print_Area" localSheetId="27">'1.3.4 오수간선및차집관로 교체및보수'!$A$1:$F$57</definedName>
    <definedName name="_xlnm.Print_Area" localSheetId="33">'1.3.5 오수관로신설'!$A$1:$F$55</definedName>
    <definedName name="_xlnm.Print_Area" localSheetId="37">'1.3.6 오수관로 교체및보수'!$A$1:$F$57</definedName>
    <definedName name="_xlnm.Print_Area" localSheetId="39">'1.3.7 우수관로 교체 및 보수'!$A$1:$F$48</definedName>
    <definedName name="_xlnm.Print_Area" localSheetId="41">'1.3.8 하수저류시설'!$A$1:$F$55</definedName>
    <definedName name="_xlnm.Print_Area" localSheetId="42">'1.3.9 하수찌꺼지 처리시설'!$A$1:$F$55</definedName>
    <definedName name="_xlnm.Print_Area" localSheetId="43">'1.4 대소처리구역'!$A$1:$H$19</definedName>
    <definedName name="_xlnm.Print_Area" localSheetId="44">'1.4.2 공공하수처리시설 신증설'!$A$1:$F$56</definedName>
    <definedName name="_xlnm.Print_Area" localSheetId="45">'1.4.3 공공하수처리시설 기능정상화'!$A$1:$F$56</definedName>
    <definedName name="_xlnm.Print_Area" localSheetId="46">'1.4.4 오수간선및차집관로 교체및보수'!$A$1:$F$57</definedName>
    <definedName name="_xlnm.Print_Area" localSheetId="52">'1.4.5 오수관로신설'!$A$1:$F$55</definedName>
    <definedName name="_xlnm.Print_Area" localSheetId="56">'1.4.6 오수관로 교체및보수'!$A$1:$F$58</definedName>
    <definedName name="_xlnm.Print_Area" localSheetId="60">'1.4.7 우수관로 교체 및 보수'!$A$1:$F$48</definedName>
    <definedName name="_xlnm.Print_Area" localSheetId="62">'1.4.8 하수저류시설'!$A$1:$F$55</definedName>
    <definedName name="_xlnm.Print_Area" localSheetId="63">'1.5 생극처리구역'!$A$1:$H$19</definedName>
    <definedName name="_xlnm.Print_Area" localSheetId="64">'1.5.2 공공하수처리시설 신증설'!$A$1:$F$56</definedName>
    <definedName name="_xlnm.Print_Area" localSheetId="65">'1.5.3 공공하수처리시설 기능정상화'!$A$1:$F$56</definedName>
    <definedName name="_xlnm.Print_Area" localSheetId="66">'1.5.4 오수간선및차집관로 교체및보수'!$A$1:$F$57</definedName>
    <definedName name="_xlnm.Print_Area" localSheetId="72">'1.5.5 오수관로신설'!$A$1:$F$55</definedName>
    <definedName name="_xlnm.Print_Area" localSheetId="76">'1.5.6 오수관로 교체및보수'!$A$1:$F$58</definedName>
    <definedName name="_xlnm.Print_Area" localSheetId="80">'1.5.7 우수관로 교체 및 보수'!$A$1:$F$48</definedName>
    <definedName name="_xlnm.Print_Area" localSheetId="82">'1.5.8 하수저류시설'!$A$1:$F$55</definedName>
    <definedName name="_xlnm.Print_Area" localSheetId="83">'1.6 감곡처리구역'!$A$1:$H$19</definedName>
    <definedName name="_xlnm.Print_Area" localSheetId="84">'1.6.2 공공하수처리시설 신증설'!$A$1:$F$56</definedName>
    <definedName name="_xlnm.Print_Area" localSheetId="85">'1.6.3 공공하수처리시설 기능정상화'!$A$1:$F$56</definedName>
    <definedName name="_xlnm.Print_Area" localSheetId="86">'1.6.4 오수간선및차집관로 교체및보수'!$A$1:$F$57</definedName>
    <definedName name="_xlnm.Print_Area" localSheetId="92">'1.6.5 오수관로신설'!$A$1:$F$55</definedName>
    <definedName name="_xlnm.Print_Area" localSheetId="96">'1.6.6 오수관로 교체및보수'!$A$1:$F$58</definedName>
    <definedName name="_xlnm.Print_Area" localSheetId="100">'1.6.7 우수관로 교체 및 보수'!$A$1:$F$48</definedName>
    <definedName name="_xlnm.Print_Area" localSheetId="102">'1.6.8 하수저류시설'!$A$1:$F$55</definedName>
    <definedName name="_xlnm.Print_Area" localSheetId="103">'1.7 맹동처리구역'!$A$1:$H$19</definedName>
    <definedName name="_xlnm.Print_Area" localSheetId="104">'1.7.2 공공하수처리시설 신증설'!$A$1:$F$56</definedName>
    <definedName name="_xlnm.Print_Area" localSheetId="105">'1.7.3 오수관로신설'!$A$1:$F$55</definedName>
    <definedName name="_xlnm.Print_Area" localSheetId="109">'1.9 소규모처리구역'!$A$1:$H$26</definedName>
    <definedName name="_xlnm.Print_Area" localSheetId="110">'1.9.1 한벌'!$A$1:$F$64</definedName>
    <definedName name="_xlnm.Print_Area" localSheetId="112">'1.9.2 사창'!$A$1:$F$64</definedName>
    <definedName name="_xlnm.Print_Area" localSheetId="114">'1.9.3 소이'!$A$1:$F$63</definedName>
    <definedName name="_xlnm.Print_Area" localSheetId="115">'1.9.4 원남'!$A$1:$F$63</definedName>
    <definedName name="_xlnm.Print_Area" localSheetId="116">'1.9.5 주천'!$A$1:$F$64</definedName>
    <definedName name="_xlnm.Print_Area" localSheetId="118">'1.9.7 본대'!$A$1:$F$64</definedName>
    <definedName name="_xlnm.Print_Area" localSheetId="1">'1.소요사업비'!$A$1:$I$32</definedName>
    <definedName name="_xlnm.Print_Area" localSheetId="119">'가.공사비산출(본대)'!$A$1:$K$33</definedName>
    <definedName name="_xlnm.Print_Area" localSheetId="113">'가.공사비산출(사창)'!$A$1:$K$33</definedName>
    <definedName name="_xlnm.Print_Area" localSheetId="117">'가.공사비산출(주천)'!$A$1:$K$33</definedName>
    <definedName name="_xlnm.Print_Area" localSheetId="111">'가.공사비산출(한벌)'!$A$1:$K$33</definedName>
    <definedName name="_xlnm.Print_Area" localSheetId="93">'가.관로신설(감곡-오수지선)'!$A$1:$K$20</definedName>
    <definedName name="_xlnm.Print_Area" localSheetId="34">'가.관로신설(금왕-오수지선)'!$A$1:$K$26</definedName>
    <definedName name="_xlnm.Print_Area" localSheetId="53">'가.관로신설(대소-오수지선)'!$A$1:$K$26</definedName>
    <definedName name="_xlnm.Print_Area" localSheetId="106">'가.관로신설(맹동-오수지선)'!$A$1:$K$20</definedName>
    <definedName name="_xlnm.Print_Area" localSheetId="73">'가.관로신설(생극-오수지선)'!$A$1:$K$16</definedName>
    <definedName name="_xlnm.Print_Area" localSheetId="12">'가.관로신설(음성-오수지선)'!$A$1:$K$24</definedName>
    <definedName name="_xlnm.Print_Area" localSheetId="20">'가.관로신설(음성-우수지선)'!$A$1:$K$32</definedName>
    <definedName name="_xlnm.Print_Area" localSheetId="87">'가.굴착교체(감곡-간선)'!$A$1:$K$21</definedName>
    <definedName name="_xlnm.Print_Area" localSheetId="97">'가.굴착교체(감곡-오수지선)'!$A$1:$O$17</definedName>
    <definedName name="_xlnm.Print_Area" localSheetId="101">'가.굴착교체(감곡-우수)'!$A$1:$K$28</definedName>
    <definedName name="_xlnm.Print_Area" localSheetId="28">'가.굴착교체(금왕-간선)'!$A$1:$K$21</definedName>
    <definedName name="_xlnm.Print_Area" localSheetId="38">'가.굴착교체(금왕-오수지선)'!$A$1:$O$18</definedName>
    <definedName name="_xlnm.Print_Area" localSheetId="40">'가.굴착교체(금왕-우수)'!$A$1:$K$30</definedName>
    <definedName name="_xlnm.Print_Area" localSheetId="47">'가.굴착교체(대소-간선)'!$A$1:$K$21</definedName>
    <definedName name="_xlnm.Print_Area" localSheetId="57">'가.굴착교체(대소-오수지선)'!$A$1:$O$23</definedName>
    <definedName name="_xlnm.Print_Area" localSheetId="61">'가.굴착교체(대소-우수)'!$A$1:$K$28</definedName>
    <definedName name="_xlnm.Print_Area" localSheetId="67">'가.굴착교체(생극-간선)'!$A$1:$K$21</definedName>
    <definedName name="_xlnm.Print_Area" localSheetId="77">'가.굴착교체(생극-오수지선)'!$A$1:$O$16</definedName>
    <definedName name="_xlnm.Print_Area" localSheetId="81">'가.굴착교체(생극-우수)'!$A$1:$K$28</definedName>
    <definedName name="_xlnm.Print_Area" localSheetId="6">'가.굴착교체(음성-간선)'!$A$1:$K$22</definedName>
    <definedName name="_xlnm.Print_Area" localSheetId="16">'가.굴착교체(음성-오수지선)'!$A$1:$O$23</definedName>
    <definedName name="_xlnm.Print_Area" localSheetId="22">'가.굴착교체(음성-우수)'!$A$1:$K$28</definedName>
    <definedName name="_xlnm.Print_Area" localSheetId="94">'나.배수설비(감곡)'!$A$1:$K$23</definedName>
    <definedName name="_xlnm.Print_Area" localSheetId="35">'나.배수설비(금왕)'!$A$1:$K$23</definedName>
    <definedName name="_xlnm.Print_Area" localSheetId="54">'나.배수설비(대소)'!$A$1:$K$23</definedName>
    <definedName name="_xlnm.Print_Area" localSheetId="107">'나.배수설비(맹동)'!$A$1:$K$23</definedName>
    <definedName name="_xlnm.Print_Area" localSheetId="74">'나.배수설비(생극)'!$A$1:$K$23</definedName>
    <definedName name="_xlnm.Print_Area" localSheetId="13">'나.배수설비(음성)'!$A$1:$K$23</definedName>
    <definedName name="_xlnm.Print_Area" localSheetId="88">'나.전체보수(감곡-간선)'!$A$1:$K$19</definedName>
    <definedName name="_xlnm.Print_Area" localSheetId="98">'나.전체보수(감곡-오수지선)'!$A$1:$K$14</definedName>
    <definedName name="_xlnm.Print_Area" localSheetId="29">'나.전체보수(금왕-간선)'!$A$1:$K$19</definedName>
    <definedName name="_xlnm.Print_Area" localSheetId="48">'나.전체보수(대소-간선)'!$A$1:$K$19</definedName>
    <definedName name="_xlnm.Print_Area" localSheetId="58">'나.전체보수(대소-오수지선)'!$A$1:$K$17</definedName>
    <definedName name="_xlnm.Print_Area" localSheetId="68">'나.전체보수(생극-간선)'!$A$1:$K$19</definedName>
    <definedName name="_xlnm.Print_Area" localSheetId="78">'나.전체보수(생극-오수지선)'!$A$1:$K$13</definedName>
    <definedName name="_xlnm.Print_Area" localSheetId="7">'나.전체보수(음성-간선)'!$A$1:$K$22</definedName>
    <definedName name="_xlnm.Print_Area" localSheetId="17">'나.전체보수(음성-오수지선)'!$A$1:$K$17</definedName>
    <definedName name="_xlnm.Print_Area" localSheetId="95">'다.맨홀펌프장(감곡)'!$A$1:$J$15</definedName>
    <definedName name="_xlnm.Print_Area" localSheetId="36">'다.맨홀펌프장(금왕)'!$A$1:$J$21</definedName>
    <definedName name="_xlnm.Print_Area" localSheetId="55">'다.맨홀펌프장(대소)'!$A$1:$J$23</definedName>
    <definedName name="_xlnm.Print_Area" localSheetId="75">'다.맨홀펌프장(생극)'!$A$1:$J$15</definedName>
    <definedName name="_xlnm.Print_Area" localSheetId="14">'다.맨홀펌프장(음성)'!$A$1:$J$15</definedName>
    <definedName name="_xlnm.Print_Area" localSheetId="89">'다.부분보수(감곡-간선)'!$A$1:$K$17</definedName>
    <definedName name="_xlnm.Print_Area" localSheetId="99">'다.부분보수(감곡-오수지선)'!$A$1:$K$14</definedName>
    <definedName name="_xlnm.Print_Area" localSheetId="30">'다.부분보수(금왕-간선)'!$A$1:$K$17</definedName>
    <definedName name="_xlnm.Print_Area" localSheetId="49">'다.부분보수(대소-간선)'!$A$1:$K$17</definedName>
    <definedName name="_xlnm.Print_Area" localSheetId="59">'다.부분보수(대소-오수지선)'!$A$1:$K$17</definedName>
    <definedName name="_xlnm.Print_Area" localSheetId="69">'다.부분보수(생극-간선)'!$A$1:$K$17</definedName>
    <definedName name="_xlnm.Print_Area" localSheetId="79">'다.부분보수(생극-오수지선)'!$A$1:$K$13</definedName>
    <definedName name="_xlnm.Print_Area" localSheetId="8">'다.부분보수(음성-간선)'!$A$1:$K$20</definedName>
    <definedName name="_xlnm.Print_Area" localSheetId="18">'다.부분보수(음성-오수지선)'!$A$1:$K$17</definedName>
    <definedName name="_xlnm.Print_Area" localSheetId="90">'라.맨홀보수(감곡-간선)'!$A$1:$J$12</definedName>
    <definedName name="_xlnm.Print_Area" localSheetId="31">'라.맨홀보수(금왕-간선)'!$A$1:$J$12</definedName>
    <definedName name="_xlnm.Print_Area" localSheetId="50">'라.맨홀보수(대소-간선)'!$A$1:$J$12</definedName>
    <definedName name="_xlnm.Print_Area" localSheetId="70">'라.맨홀보수(생극-간선)'!$A$1:$J$12</definedName>
    <definedName name="_xlnm.Print_Area" localSheetId="9">'라.맨홀보수(음성-간선)'!$A$1:$J$12</definedName>
    <definedName name="_xlnm.Print_Area" localSheetId="91">'마.우수토실개량(감곡-간선)'!$A$1:$J$11</definedName>
    <definedName name="_xlnm.Print_Area" localSheetId="32">'마.우수토실개량(금왕-간선)'!$A$1:$J$11</definedName>
    <definedName name="_xlnm.Print_Area" localSheetId="51">'마.우수토실개량(대소-간선)'!$A$1:$J$11</definedName>
    <definedName name="_xlnm.Print_Area" localSheetId="71">'마.우수토실개량(생극-간선)'!$A$1:$J$11</definedName>
    <definedName name="_xlnm.Print_Area" localSheetId="10">'마.우수토실개량(음성-간선)'!$A$1:$J$11</definedName>
    <definedName name="_xlnm.Print_Area" localSheetId="108">'소규모(출력x)'!$A$1:$H$19</definedName>
    <definedName name="_xlnm.Print_Area" localSheetId="0">'총괄(출력x)'!$A$1:$J$283</definedName>
    <definedName name="_xlnm.Print_Titles" localSheetId="109">'1.9 소규모처리구역'!$4:$4</definedName>
    <definedName name="_xlnm.Print_Titles" localSheetId="93">'가.관로신설(감곡-오수지선)'!$7:$8</definedName>
    <definedName name="_xlnm.Print_Titles" localSheetId="34">'가.관로신설(금왕-오수지선)'!$7:$8</definedName>
    <definedName name="_xlnm.Print_Titles" localSheetId="53">'가.관로신설(대소-오수지선)'!$7:$8</definedName>
    <definedName name="_xlnm.Print_Titles" localSheetId="106">'가.관로신설(맹동-오수지선)'!$7:$8</definedName>
    <definedName name="_xlnm.Print_Titles" localSheetId="73">'가.관로신설(생극-오수지선)'!$7:$8</definedName>
    <definedName name="_xlnm.Print_Titles" localSheetId="12">'가.관로신설(음성-오수지선)'!$7:$8</definedName>
    <definedName name="_xlnm.Print_Titles" localSheetId="20">'가.관로신설(음성-우수지선)'!$7:$8</definedName>
    <definedName name="_xlnm.Print_Titles" localSheetId="97">'가.굴착교체(감곡-오수지선)'!$9:$10</definedName>
    <definedName name="_xlnm.Print_Titles" localSheetId="38">'가.굴착교체(금왕-오수지선)'!$9:$10</definedName>
    <definedName name="_xlnm.Print_Titles" localSheetId="57">'가.굴착교체(대소-오수지선)'!$9:$10</definedName>
    <definedName name="_xlnm.Print_Titles" localSheetId="77">'가.굴착교체(생극-오수지선)'!$9:$10</definedName>
    <definedName name="_xlnm.Print_Titles" localSheetId="16">'가.굴착교체(음성-오수지선)'!$9:$10</definedName>
    <definedName name="_xlnm.Print_Titles" localSheetId="95">'다.맨홀펌프장(감곡)'!$7:$8</definedName>
    <definedName name="_xlnm.Print_Titles" localSheetId="36">'다.맨홀펌프장(금왕)'!$7:$8</definedName>
    <definedName name="_xlnm.Print_Titles" localSheetId="55">'다.맨홀펌프장(대소)'!$7:$8</definedName>
    <definedName name="_xlnm.Print_Titles" localSheetId="75">'다.맨홀펌프장(생극)'!$7:$8</definedName>
    <definedName name="_xlnm.Print_Titles" localSheetId="14">'다.맨홀펌프장(음성)'!$7:$8</definedName>
  </definedNames>
  <calcPr calcId="145621"/>
</workbook>
</file>

<file path=xl/calcChain.xml><?xml version="1.0" encoding="utf-8"?>
<calcChain xmlns="http://schemas.openxmlformats.org/spreadsheetml/2006/main">
  <c r="D20" i="239" l="1"/>
  <c r="D19" i="239"/>
  <c r="D18" i="239"/>
  <c r="D17" i="239"/>
  <c r="D12" i="239"/>
  <c r="D16" i="239"/>
  <c r="E20" i="239"/>
  <c r="C13" i="239"/>
  <c r="C14" i="239"/>
  <c r="K14" i="239" s="1"/>
  <c r="C15" i="239"/>
  <c r="J16" i="239"/>
  <c r="H16" i="239"/>
  <c r="F16" i="239"/>
  <c r="I15" i="239"/>
  <c r="E14" i="239"/>
  <c r="G13" i="239"/>
  <c r="E13" i="239"/>
  <c r="K13" i="239"/>
  <c r="G16" i="239" l="1"/>
  <c r="I13" i="239"/>
  <c r="G14" i="239"/>
  <c r="E15" i="239"/>
  <c r="E16" i="239" s="1"/>
  <c r="K15" i="239"/>
  <c r="K16" i="239" s="1"/>
  <c r="I14" i="239"/>
  <c r="G15" i="239"/>
  <c r="I16" i="239" l="1"/>
  <c r="F20" i="74" l="1"/>
  <c r="F23" i="74" s="1"/>
  <c r="F11" i="73"/>
  <c r="K21" i="72" l="1"/>
  <c r="J21" i="72"/>
  <c r="I21" i="72"/>
  <c r="H21" i="72"/>
  <c r="G21" i="72"/>
  <c r="F21" i="72"/>
  <c r="E21" i="72"/>
  <c r="K24" i="72"/>
  <c r="J24" i="72"/>
  <c r="I24" i="72"/>
  <c r="H24" i="72"/>
  <c r="G24" i="72"/>
  <c r="F24" i="72"/>
  <c r="E24" i="72"/>
  <c r="D24" i="72"/>
  <c r="D21" i="72"/>
  <c r="E18" i="72"/>
  <c r="E20" i="72" s="1"/>
  <c r="E19" i="72"/>
  <c r="G19" i="72"/>
  <c r="G18" i="72"/>
  <c r="G16" i="72"/>
  <c r="C19" i="72"/>
  <c r="C18" i="72"/>
  <c r="K20" i="72"/>
  <c r="J20" i="72"/>
  <c r="I20" i="72"/>
  <c r="H20" i="72"/>
  <c r="F20" i="72"/>
  <c r="D20" i="72"/>
  <c r="F19" i="72"/>
  <c r="K17" i="72"/>
  <c r="J17" i="72"/>
  <c r="I17" i="72"/>
  <c r="H17" i="72"/>
  <c r="F17" i="72"/>
  <c r="E17" i="72"/>
  <c r="D17" i="72"/>
  <c r="G17" i="72" l="1"/>
  <c r="G20" i="72" l="1"/>
  <c r="D23" i="12" l="1"/>
  <c r="G25" i="92"/>
  <c r="E56" i="237"/>
  <c r="E47" i="237"/>
  <c r="E41" i="237"/>
  <c r="E35" i="237"/>
  <c r="E36" i="237" s="1"/>
  <c r="E31" i="237"/>
  <c r="E32" i="237"/>
  <c r="E33" i="237"/>
  <c r="E34" i="237"/>
  <c r="E30" i="237"/>
  <c r="E25" i="237"/>
  <c r="E19" i="237"/>
  <c r="E14" i="237"/>
  <c r="E12" i="237"/>
  <c r="E13" i="237"/>
  <c r="E56" i="103"/>
  <c r="E47" i="103"/>
  <c r="E41" i="103"/>
  <c r="E35" i="103"/>
  <c r="E36" i="103" s="1"/>
  <c r="E31" i="103"/>
  <c r="E32" i="103"/>
  <c r="E33" i="103"/>
  <c r="E34" i="103"/>
  <c r="E30" i="103"/>
  <c r="E25" i="103"/>
  <c r="E19" i="103"/>
  <c r="E20" i="103"/>
  <c r="E21" i="103"/>
  <c r="E14" i="103"/>
  <c r="E13" i="103"/>
  <c r="E12" i="103"/>
  <c r="G22" i="100"/>
  <c r="K22" i="100"/>
  <c r="I22" i="100"/>
  <c r="K13" i="100"/>
  <c r="I13" i="100"/>
  <c r="G13" i="100"/>
  <c r="E14" i="12" l="1"/>
  <c r="D14" i="12"/>
  <c r="J279" i="145" l="1"/>
  <c r="I279" i="145"/>
  <c r="H279" i="145"/>
  <c r="G279" i="145"/>
  <c r="J283" i="145"/>
  <c r="I283" i="145"/>
  <c r="H283" i="145"/>
  <c r="J282" i="145"/>
  <c r="I282" i="145"/>
  <c r="H282" i="145"/>
  <c r="J281" i="145"/>
  <c r="I281" i="145"/>
  <c r="H281" i="145"/>
  <c r="J277" i="145"/>
  <c r="I277" i="145"/>
  <c r="H277" i="145"/>
  <c r="J276" i="145"/>
  <c r="I276" i="145"/>
  <c r="H276" i="145"/>
  <c r="G276" i="145"/>
  <c r="J275" i="145"/>
  <c r="I275" i="145"/>
  <c r="H275" i="145"/>
  <c r="J271" i="145"/>
  <c r="I271" i="145"/>
  <c r="H271" i="145"/>
  <c r="H26" i="31"/>
  <c r="G26" i="31"/>
  <c r="F26" i="31"/>
  <c r="H25" i="31"/>
  <c r="G25" i="31"/>
  <c r="F25" i="31"/>
  <c r="H24" i="31"/>
  <c r="G24" i="31"/>
  <c r="F24" i="31"/>
  <c r="E24" i="31"/>
  <c r="H23" i="31"/>
  <c r="G23" i="31"/>
  <c r="F23" i="31"/>
  <c r="L16" i="63"/>
  <c r="E12" i="63" s="1"/>
  <c r="E14" i="63" s="1"/>
  <c r="E13" i="63" l="1"/>
  <c r="K26" i="92" l="1"/>
  <c r="J26" i="92"/>
  <c r="I26" i="92"/>
  <c r="H26" i="92"/>
  <c r="E25" i="92"/>
  <c r="J13" i="92"/>
  <c r="H13" i="92"/>
  <c r="F13" i="92"/>
  <c r="D13" i="92"/>
  <c r="C13" i="237"/>
  <c r="C14" i="237" s="1"/>
  <c r="C33" i="237"/>
  <c r="C34" i="237"/>
  <c r="C35" i="237"/>
  <c r="C32" i="237"/>
  <c r="C31" i="237"/>
  <c r="D23" i="74" l="1"/>
  <c r="E11" i="22"/>
  <c r="E19" i="143"/>
  <c r="C13" i="140"/>
  <c r="C14" i="140"/>
  <c r="C15" i="140"/>
  <c r="C16" i="140"/>
  <c r="C17" i="140"/>
  <c r="C18" i="140"/>
  <c r="C19" i="140"/>
  <c r="C20" i="140"/>
  <c r="C11" i="120" l="1"/>
  <c r="C12" i="100"/>
  <c r="C11" i="100"/>
  <c r="G29" i="100"/>
  <c r="I29" i="100"/>
  <c r="K29" i="100"/>
  <c r="C13" i="100"/>
  <c r="C14" i="100"/>
  <c r="C15" i="100"/>
  <c r="C16" i="100"/>
  <c r="C17" i="100"/>
  <c r="C18" i="100"/>
  <c r="C19" i="100"/>
  <c r="C20" i="100"/>
  <c r="C19" i="80" l="1"/>
  <c r="C18" i="80"/>
  <c r="C17" i="80"/>
  <c r="C16" i="80"/>
  <c r="C11" i="80"/>
  <c r="C14" i="80"/>
  <c r="C15" i="80"/>
  <c r="C13" i="80"/>
  <c r="C12" i="80"/>
  <c r="C13" i="22" l="1"/>
  <c r="C14" i="22"/>
  <c r="C15" i="22"/>
  <c r="C16" i="22"/>
  <c r="C17" i="22"/>
  <c r="C18" i="22"/>
  <c r="C19" i="22"/>
  <c r="C27" i="214" l="1"/>
  <c r="C27" i="210"/>
  <c r="C27" i="206"/>
  <c r="B5" i="238"/>
  <c r="C11" i="239"/>
  <c r="C10" i="239"/>
  <c r="J23" i="240"/>
  <c r="H23" i="240"/>
  <c r="F23" i="240"/>
  <c r="D23" i="240"/>
  <c r="O16" i="240"/>
  <c r="N16" i="240"/>
  <c r="M16" i="240"/>
  <c r="P15" i="240"/>
  <c r="R15" i="240" s="1"/>
  <c r="Q14" i="240"/>
  <c r="Q16" i="240" s="1"/>
  <c r="P14" i="240"/>
  <c r="R14" i="240" s="1"/>
  <c r="R13" i="240"/>
  <c r="P13" i="240"/>
  <c r="P12" i="240"/>
  <c r="R12" i="240" s="1"/>
  <c r="R11" i="240"/>
  <c r="P11" i="240"/>
  <c r="P10" i="240"/>
  <c r="R10" i="240" s="1"/>
  <c r="R9" i="240"/>
  <c r="P9" i="240"/>
  <c r="P8" i="240"/>
  <c r="R8" i="240" s="1"/>
  <c r="P7" i="240"/>
  <c r="R7" i="240" s="1"/>
  <c r="P6" i="240"/>
  <c r="R6" i="240" s="1"/>
  <c r="P5" i="240"/>
  <c r="P16" i="240" s="1"/>
  <c r="E56" i="83"/>
  <c r="E47" i="83"/>
  <c r="E41" i="83"/>
  <c r="E34" i="83"/>
  <c r="E35" i="83" s="1"/>
  <c r="E33" i="83"/>
  <c r="E32" i="83"/>
  <c r="E31" i="83"/>
  <c r="E30" i="83"/>
  <c r="E25" i="83"/>
  <c r="E19" i="83"/>
  <c r="E14" i="83"/>
  <c r="E13" i="83"/>
  <c r="E12" i="83"/>
  <c r="E19" i="5"/>
  <c r="E18" i="5"/>
  <c r="E17" i="5"/>
  <c r="E16" i="5"/>
  <c r="E15" i="5"/>
  <c r="K23" i="12"/>
  <c r="J23" i="12"/>
  <c r="I23" i="12"/>
  <c r="H23" i="12"/>
  <c r="G23" i="12"/>
  <c r="K22" i="12"/>
  <c r="J22" i="12"/>
  <c r="I22" i="12"/>
  <c r="I24" i="12" s="1"/>
  <c r="H22" i="12"/>
  <c r="G22" i="12"/>
  <c r="G24" i="12"/>
  <c r="F23" i="12"/>
  <c r="F22" i="12"/>
  <c r="F24" i="12"/>
  <c r="E23" i="12"/>
  <c r="E22" i="12"/>
  <c r="D22" i="12"/>
  <c r="K24" i="12"/>
  <c r="J24" i="12"/>
  <c r="H24" i="12"/>
  <c r="K18" i="12"/>
  <c r="J18" i="12"/>
  <c r="I18" i="12"/>
  <c r="H18" i="12"/>
  <c r="G18" i="12"/>
  <c r="F18" i="12"/>
  <c r="I17" i="12"/>
  <c r="K17" i="12"/>
  <c r="K16" i="12"/>
  <c r="I16" i="12"/>
  <c r="G17" i="12"/>
  <c r="G16" i="12"/>
  <c r="E17" i="12"/>
  <c r="E16" i="12"/>
  <c r="D18" i="12"/>
  <c r="C23" i="12"/>
  <c r="C22" i="12"/>
  <c r="C17" i="12"/>
  <c r="C16" i="12"/>
  <c r="R16" i="240" l="1"/>
  <c r="K10" i="240"/>
  <c r="I10" i="240"/>
  <c r="G10" i="240"/>
  <c r="E10" i="240"/>
  <c r="K9" i="240"/>
  <c r="R5" i="240"/>
  <c r="G9" i="240"/>
  <c r="I9" i="240"/>
  <c r="E36" i="83"/>
  <c r="E11" i="240" l="1"/>
  <c r="K11" i="240"/>
  <c r="I11" i="240"/>
  <c r="G11" i="240"/>
  <c r="G12" i="240" l="1"/>
  <c r="E12" i="240"/>
  <c r="K12" i="240"/>
  <c r="I12" i="240"/>
  <c r="I13" i="240" l="1"/>
  <c r="G13" i="240"/>
  <c r="E13" i="240"/>
  <c r="K13" i="240"/>
  <c r="K14" i="240" l="1"/>
  <c r="I14" i="240"/>
  <c r="G14" i="240"/>
  <c r="E14" i="240"/>
  <c r="K15" i="240" l="1"/>
  <c r="I15" i="240"/>
  <c r="G15" i="240"/>
  <c r="E15" i="240"/>
  <c r="E16" i="240" l="1"/>
  <c r="K16" i="240"/>
  <c r="I16" i="240"/>
  <c r="G16" i="240"/>
  <c r="G17" i="240" l="1"/>
  <c r="E17" i="240"/>
  <c r="K17" i="240"/>
  <c r="I17" i="240"/>
  <c r="E18" i="240" l="1"/>
  <c r="K18" i="240"/>
  <c r="I18" i="240"/>
  <c r="G18" i="240"/>
  <c r="K19" i="240" l="1"/>
  <c r="I19" i="240"/>
  <c r="G19" i="240"/>
  <c r="E19" i="240"/>
  <c r="C23" i="240" l="1"/>
  <c r="I20" i="240"/>
  <c r="I23" i="240" s="1"/>
  <c r="G20" i="240"/>
  <c r="G23" i="240" s="1"/>
  <c r="E20" i="240"/>
  <c r="K20" i="240"/>
  <c r="K23" i="240" s="1"/>
  <c r="G21" i="240" l="1"/>
  <c r="E21" i="240"/>
  <c r="K21" i="240"/>
  <c r="I21" i="240"/>
  <c r="E22" i="240" l="1"/>
  <c r="E23" i="240" s="1"/>
  <c r="K22" i="240"/>
  <c r="I22" i="240"/>
  <c r="G22" i="240"/>
  <c r="B34" i="63" l="1"/>
  <c r="B33" i="63"/>
  <c r="B32" i="63"/>
  <c r="B31" i="63"/>
  <c r="B12" i="63"/>
  <c r="E31" i="63"/>
  <c r="E32" i="63"/>
  <c r="E33" i="63"/>
  <c r="E34" i="63"/>
  <c r="E35" i="63"/>
  <c r="E19" i="63"/>
  <c r="E41" i="63" s="1"/>
  <c r="B14" i="63"/>
  <c r="E30" i="63" l="1"/>
  <c r="E36" i="63" s="1"/>
  <c r="W12" i="237"/>
  <c r="V12" i="237"/>
  <c r="W3" i="237"/>
  <c r="V3" i="237"/>
  <c r="W13" i="237"/>
  <c r="W15" i="237"/>
  <c r="W14" i="237"/>
  <c r="W11" i="237"/>
  <c r="W10" i="237"/>
  <c r="W9" i="237"/>
  <c r="W8" i="237"/>
  <c r="W7" i="237"/>
  <c r="W6" i="237"/>
  <c r="W5" i="237"/>
  <c r="W4" i="237"/>
  <c r="V15" i="237"/>
  <c r="V14" i="237"/>
  <c r="V13" i="237"/>
  <c r="V11" i="237"/>
  <c r="V10" i="237"/>
  <c r="V9" i="237"/>
  <c r="V8" i="237"/>
  <c r="V7" i="237"/>
  <c r="V6" i="237"/>
  <c r="V5" i="237"/>
  <c r="V4" i="237"/>
  <c r="U5" i="237" l="1"/>
  <c r="U9" i="237"/>
  <c r="U4" i="237"/>
  <c r="U8" i="237"/>
  <c r="U12" i="237"/>
  <c r="U10" i="237"/>
  <c r="U15" i="237"/>
  <c r="U7" i="237"/>
  <c r="U11" i="237"/>
  <c r="U13" i="237"/>
  <c r="U6" i="237"/>
  <c r="U14" i="237"/>
  <c r="J39" i="145"/>
  <c r="I39" i="145"/>
  <c r="H39" i="145"/>
  <c r="G39" i="145"/>
  <c r="F39" i="145"/>
  <c r="J38" i="145"/>
  <c r="I38" i="145"/>
  <c r="J34" i="145"/>
  <c r="I34" i="145"/>
  <c r="H34" i="145"/>
  <c r="G34" i="145"/>
  <c r="F34" i="145"/>
  <c r="J33" i="145"/>
  <c r="I33" i="145"/>
  <c r="J29" i="145"/>
  <c r="I29" i="145"/>
  <c r="H29" i="145"/>
  <c r="G29" i="145"/>
  <c r="F29" i="145"/>
  <c r="J28" i="145"/>
  <c r="I28" i="145"/>
  <c r="J23" i="145"/>
  <c r="I23" i="145"/>
  <c r="H23" i="145"/>
  <c r="G23" i="145"/>
  <c r="F23" i="145"/>
  <c r="J22" i="145"/>
  <c r="I22" i="145"/>
  <c r="H22" i="145"/>
  <c r="G22" i="145"/>
  <c r="F22" i="145"/>
  <c r="J21" i="145"/>
  <c r="I21" i="145"/>
  <c r="H21" i="145"/>
  <c r="J20" i="145"/>
  <c r="I20" i="145"/>
  <c r="J18" i="145"/>
  <c r="I18" i="145"/>
  <c r="J16" i="145"/>
  <c r="I16" i="145"/>
  <c r="H16" i="145"/>
  <c r="J14" i="145"/>
  <c r="J11" i="145"/>
  <c r="I11" i="145"/>
  <c r="J10" i="145"/>
  <c r="I10" i="145"/>
  <c r="H10" i="145"/>
  <c r="G10" i="145"/>
  <c r="F10" i="145"/>
  <c r="J9" i="145"/>
  <c r="I9" i="145"/>
  <c r="J7" i="145"/>
  <c r="I7" i="145"/>
  <c r="H7" i="145"/>
  <c r="G7" i="145"/>
  <c r="F7" i="145"/>
  <c r="J5" i="145"/>
  <c r="I5" i="145"/>
  <c r="H5" i="145"/>
  <c r="H165" i="145"/>
  <c r="J265" i="145" l="1"/>
  <c r="H265" i="145"/>
  <c r="J260" i="145"/>
  <c r="H260" i="145"/>
  <c r="J255" i="145"/>
  <c r="H255" i="145"/>
  <c r="H241" i="145"/>
  <c r="G264" i="145"/>
  <c r="G259" i="145"/>
  <c r="G254" i="145"/>
  <c r="G233" i="145"/>
  <c r="G5" i="145" s="1"/>
  <c r="E14" i="5" l="1"/>
  <c r="M13" i="96" l="1"/>
  <c r="M18" i="96" s="1"/>
  <c r="L18" i="96"/>
  <c r="G13" i="96"/>
  <c r="G12" i="96"/>
  <c r="G11" i="96"/>
  <c r="E13" i="96"/>
  <c r="E12" i="96"/>
  <c r="E11" i="96"/>
  <c r="C44" i="141" l="1"/>
  <c r="C43" i="141"/>
  <c r="C18" i="141"/>
  <c r="C17" i="141"/>
  <c r="C20" i="141"/>
  <c r="C19" i="141"/>
  <c r="G20" i="61" l="1"/>
  <c r="H20" i="61"/>
  <c r="I20" i="61"/>
  <c r="H19" i="61"/>
  <c r="I19" i="61"/>
  <c r="G15" i="61"/>
  <c r="H15" i="61"/>
  <c r="I15" i="61"/>
  <c r="G17" i="61"/>
  <c r="H17" i="61"/>
  <c r="I17" i="61"/>
  <c r="F17" i="61"/>
  <c r="H12" i="61"/>
  <c r="I12" i="61"/>
  <c r="H8" i="61"/>
  <c r="I8" i="61"/>
  <c r="H9" i="61"/>
  <c r="I9" i="61"/>
  <c r="F7" i="61"/>
  <c r="G7" i="61"/>
  <c r="H7" i="61"/>
  <c r="I7" i="61"/>
  <c r="H16" i="235" l="1"/>
  <c r="E16" i="235"/>
  <c r="F8" i="235"/>
  <c r="B45" i="237"/>
  <c r="D29" i="238"/>
  <c r="D28" i="238"/>
  <c r="D27" i="238"/>
  <c r="D26" i="238"/>
  <c r="D25" i="238"/>
  <c r="B29" i="238"/>
  <c r="B28" i="238"/>
  <c r="B26" i="238"/>
  <c r="B8" i="238"/>
  <c r="C9" i="239"/>
  <c r="E9" i="239"/>
  <c r="G9" i="239"/>
  <c r="G17" i="239" s="1"/>
  <c r="I9" i="239"/>
  <c r="I17" i="239" s="1"/>
  <c r="K9" i="239"/>
  <c r="K17" i="239" s="1"/>
  <c r="I10" i="239"/>
  <c r="I18" i="239" s="1"/>
  <c r="E18" i="239"/>
  <c r="G10" i="239"/>
  <c r="G18" i="239" s="1"/>
  <c r="K10" i="239"/>
  <c r="C17" i="239"/>
  <c r="E17" i="239"/>
  <c r="F17" i="239"/>
  <c r="H17" i="239"/>
  <c r="J17" i="239"/>
  <c r="C18" i="239"/>
  <c r="F18" i="239"/>
  <c r="H18" i="239"/>
  <c r="J18" i="239"/>
  <c r="K18" i="239"/>
  <c r="J19" i="239"/>
  <c r="J20" i="239" s="1"/>
  <c r="H19" i="239"/>
  <c r="H20" i="239" s="1"/>
  <c r="F19" i="239"/>
  <c r="J12" i="239"/>
  <c r="H12" i="239"/>
  <c r="F12" i="239"/>
  <c r="C19" i="239"/>
  <c r="E54" i="238"/>
  <c r="E53" i="238"/>
  <c r="E52" i="238"/>
  <c r="B27" i="238"/>
  <c r="B25" i="238"/>
  <c r="E17" i="238"/>
  <c r="E16" i="238"/>
  <c r="E18" i="238" s="1"/>
  <c r="E15" i="238"/>
  <c r="E14" i="238"/>
  <c r="L7" i="238"/>
  <c r="K7" i="238"/>
  <c r="E7" i="238"/>
  <c r="D7" i="238"/>
  <c r="C7" i="238"/>
  <c r="J7" i="238" s="1"/>
  <c r="L6" i="238"/>
  <c r="K6" i="238"/>
  <c r="E6" i="238"/>
  <c r="D6" i="238"/>
  <c r="J6" i="238"/>
  <c r="E55" i="237"/>
  <c r="J264" i="145" s="1"/>
  <c r="E54" i="237"/>
  <c r="J259" i="145" s="1"/>
  <c r="E53" i="237"/>
  <c r="J254" i="145" s="1"/>
  <c r="E52" i="237"/>
  <c r="J234" i="145" s="1"/>
  <c r="C52" i="237"/>
  <c r="E45" i="237"/>
  <c r="C45" i="237"/>
  <c r="E44" i="237"/>
  <c r="C44" i="237"/>
  <c r="E43" i="237"/>
  <c r="C43" i="237"/>
  <c r="E42" i="237"/>
  <c r="C42" i="237"/>
  <c r="D34" i="237"/>
  <c r="D35" i="237" s="1"/>
  <c r="B34" i="237"/>
  <c r="B35" i="237" s="1"/>
  <c r="D33" i="237"/>
  <c r="B33" i="237"/>
  <c r="D32" i="237"/>
  <c r="B32" i="237"/>
  <c r="D31" i="237"/>
  <c r="B31" i="237"/>
  <c r="E23" i="237"/>
  <c r="E22" i="237"/>
  <c r="E24" i="237" s="1"/>
  <c r="E21" i="237"/>
  <c r="E20" i="237"/>
  <c r="C19" i="237"/>
  <c r="Q16" i="237"/>
  <c r="P16" i="237"/>
  <c r="M16" i="237"/>
  <c r="K16" i="237"/>
  <c r="J16" i="237"/>
  <c r="I16" i="237"/>
  <c r="E46" i="237" l="1"/>
  <c r="C23" i="237"/>
  <c r="C41" i="237"/>
  <c r="C30" i="237"/>
  <c r="C36" i="237" s="1"/>
  <c r="C54" i="237" s="1"/>
  <c r="H259" i="145" s="1"/>
  <c r="H31" i="145" s="1"/>
  <c r="C20" i="237"/>
  <c r="C22" i="237"/>
  <c r="C46" i="237"/>
  <c r="C47" i="237" s="1"/>
  <c r="C55" i="237" s="1"/>
  <c r="H264" i="145" s="1"/>
  <c r="H36" i="145" s="1"/>
  <c r="H234" i="145"/>
  <c r="H6" i="145" s="1"/>
  <c r="C21" i="237"/>
  <c r="B43" i="237"/>
  <c r="B44" i="237"/>
  <c r="F20" i="239"/>
  <c r="I11" i="239"/>
  <c r="I19" i="239" s="1"/>
  <c r="K11" i="239"/>
  <c r="K19" i="239" s="1"/>
  <c r="G11" i="239"/>
  <c r="G19" i="239" s="1"/>
  <c r="K20" i="239"/>
  <c r="E19" i="239"/>
  <c r="B51" i="238"/>
  <c r="G241" i="145" s="1"/>
  <c r="B43" i="238"/>
  <c r="B41" i="238"/>
  <c r="B13" i="238"/>
  <c r="I6" i="238"/>
  <c r="B44" i="238"/>
  <c r="B42" i="238"/>
  <c r="B42" i="237"/>
  <c r="B52" i="237"/>
  <c r="C8" i="238"/>
  <c r="B19" i="237"/>
  <c r="K12" i="239" l="1"/>
  <c r="C24" i="237"/>
  <c r="C25" i="237" s="1"/>
  <c r="C53" i="237" s="1"/>
  <c r="I12" i="239"/>
  <c r="I20" i="239"/>
  <c r="D5" i="238" s="1"/>
  <c r="D8" i="238" s="1"/>
  <c r="G20" i="239"/>
  <c r="G12" i="239"/>
  <c r="C43" i="238"/>
  <c r="C41" i="238"/>
  <c r="C13" i="238"/>
  <c r="C44" i="238"/>
  <c r="C51" i="238"/>
  <c r="C42" i="238"/>
  <c r="B15" i="238"/>
  <c r="B14" i="238"/>
  <c r="B24" i="238"/>
  <c r="B16" i="238"/>
  <c r="B40" i="238"/>
  <c r="B45" i="238" s="1"/>
  <c r="B17" i="238"/>
  <c r="D44" i="237"/>
  <c r="D42" i="237"/>
  <c r="D52" i="237"/>
  <c r="I234" i="145" s="1"/>
  <c r="D19" i="237"/>
  <c r="D45" i="237"/>
  <c r="D43" i="237"/>
  <c r="B22" i="237"/>
  <c r="B30" i="237"/>
  <c r="B36" i="237" s="1"/>
  <c r="B54" i="237" s="1"/>
  <c r="B21" i="237"/>
  <c r="B20" i="237"/>
  <c r="B23" i="237"/>
  <c r="B41" i="237"/>
  <c r="H254" i="145" l="1"/>
  <c r="H26" i="145" s="1"/>
  <c r="C56" i="237"/>
  <c r="F16" i="235" s="1"/>
  <c r="B18" i="238"/>
  <c r="B19" i="238" s="1"/>
  <c r="B52" i="238" s="1"/>
  <c r="G255" i="145" s="1"/>
  <c r="D13" i="238"/>
  <c r="D44" i="238"/>
  <c r="D43" i="238"/>
  <c r="D51" i="238"/>
  <c r="I241" i="145" s="1"/>
  <c r="D42" i="238"/>
  <c r="D41" i="238"/>
  <c r="B46" i="238"/>
  <c r="B54" i="238" s="1"/>
  <c r="G265" i="145" s="1"/>
  <c r="D41" i="237"/>
  <c r="D46" i="237" s="1"/>
  <c r="D22" i="237"/>
  <c r="D20" i="237"/>
  <c r="D30" i="237"/>
  <c r="D36" i="237" s="1"/>
  <c r="D54" i="237" s="1"/>
  <c r="I259" i="145" s="1"/>
  <c r="D23" i="237"/>
  <c r="D21" i="237"/>
  <c r="B30" i="238"/>
  <c r="B53" i="238" s="1"/>
  <c r="C30" i="238"/>
  <c r="C53" i="238" s="1"/>
  <c r="C40" i="238"/>
  <c r="C45" i="238" s="1"/>
  <c r="C17" i="238"/>
  <c r="C15" i="238"/>
  <c r="C16" i="238"/>
  <c r="C14" i="238"/>
  <c r="B24" i="237"/>
  <c r="B25" i="237" s="1"/>
  <c r="B53" i="237" s="1"/>
  <c r="B46" i="237"/>
  <c r="B47" i="237" s="1"/>
  <c r="B55" i="237" s="1"/>
  <c r="G6" i="61" l="1"/>
  <c r="B55" i="238"/>
  <c r="G260" i="145"/>
  <c r="D16" i="238"/>
  <c r="D15" i="238"/>
  <c r="D14" i="238"/>
  <c r="D17" i="238"/>
  <c r="D24" i="238"/>
  <c r="D24" i="237"/>
  <c r="D25" i="237" s="1"/>
  <c r="D53" i="237" s="1"/>
  <c r="I254" i="145" s="1"/>
  <c r="C46" i="238"/>
  <c r="C54" i="238" s="1"/>
  <c r="B56" i="237"/>
  <c r="C18" i="238"/>
  <c r="C19" i="238" s="1"/>
  <c r="C52" i="238" s="1"/>
  <c r="C55" i="238" s="1"/>
  <c r="D47" i="237"/>
  <c r="D55" i="237" s="1"/>
  <c r="D56" i="237" l="1"/>
  <c r="G16" i="235" s="1"/>
  <c r="I264" i="145"/>
  <c r="I7" i="238"/>
  <c r="E8" i="235"/>
  <c r="D18" i="238"/>
  <c r="D19" i="238" s="1"/>
  <c r="D52" i="238" s="1"/>
  <c r="I255" i="145" s="1"/>
  <c r="I253" i="145" s="1"/>
  <c r="D40" i="238"/>
  <c r="D30" i="238"/>
  <c r="D53" i="238" s="1"/>
  <c r="I260" i="145" s="1"/>
  <c r="I258" i="145" s="1"/>
  <c r="D18" i="235"/>
  <c r="H17" i="235"/>
  <c r="G17" i="235"/>
  <c r="F17" i="235"/>
  <c r="E17" i="235"/>
  <c r="D17" i="235" s="1"/>
  <c r="D16" i="235"/>
  <c r="H15" i="235"/>
  <c r="D14" i="235"/>
  <c r="G15" i="235"/>
  <c r="F15" i="235"/>
  <c r="D13" i="235"/>
  <c r="D12" i="235"/>
  <c r="E11" i="235"/>
  <c r="D10" i="235"/>
  <c r="H11" i="235"/>
  <c r="G11" i="235"/>
  <c r="F11" i="235"/>
  <c r="D11" i="235" s="1"/>
  <c r="D9" i="235"/>
  <c r="H7" i="235"/>
  <c r="H6" i="235"/>
  <c r="G6" i="235"/>
  <c r="G7" i="235" s="1"/>
  <c r="F6" i="235"/>
  <c r="F7" i="235" s="1"/>
  <c r="E6" i="235"/>
  <c r="D6" i="235" s="1"/>
  <c r="H5" i="235"/>
  <c r="G5" i="235"/>
  <c r="F5" i="235"/>
  <c r="E5" i="235"/>
  <c r="E7" i="235" s="1"/>
  <c r="D5" i="235"/>
  <c r="F233" i="145"/>
  <c r="F5" i="145" s="1"/>
  <c r="G232" i="145"/>
  <c r="F267" i="145"/>
  <c r="F266" i="145"/>
  <c r="J263" i="145"/>
  <c r="G263" i="145"/>
  <c r="F262" i="145"/>
  <c r="F261" i="145"/>
  <c r="F260" i="145"/>
  <c r="J258" i="145"/>
  <c r="H258" i="145"/>
  <c r="G258" i="145"/>
  <c r="F257" i="145"/>
  <c r="F256" i="145"/>
  <c r="F251" i="145"/>
  <c r="F250" i="145"/>
  <c r="F249" i="145"/>
  <c r="F248" i="145"/>
  <c r="H243" i="145"/>
  <c r="G243" i="145"/>
  <c r="F244" i="145"/>
  <c r="J243" i="145"/>
  <c r="I243" i="145"/>
  <c r="F242" i="145"/>
  <c r="G240" i="145"/>
  <c r="J237" i="145"/>
  <c r="I237" i="145"/>
  <c r="H237" i="145"/>
  <c r="F238" i="145"/>
  <c r="F235" i="145"/>
  <c r="J232" i="145"/>
  <c r="F234" i="145"/>
  <c r="F23" i="61"/>
  <c r="G23" i="61"/>
  <c r="H23" i="61"/>
  <c r="I23" i="61"/>
  <c r="I22" i="61"/>
  <c r="D45" i="238" l="1"/>
  <c r="D46" i="238" s="1"/>
  <c r="D54" i="238" s="1"/>
  <c r="D7" i="235"/>
  <c r="E19" i="235"/>
  <c r="F19" i="235"/>
  <c r="E15" i="235"/>
  <c r="D15" i="235" s="1"/>
  <c r="I232" i="145"/>
  <c r="F232" i="145"/>
  <c r="F255" i="145"/>
  <c r="F258" i="145"/>
  <c r="I240" i="145"/>
  <c r="H253" i="145"/>
  <c r="F239" i="145"/>
  <c r="F237" i="145" s="1"/>
  <c r="F245" i="145"/>
  <c r="F264" i="145"/>
  <c r="F246" i="145"/>
  <c r="F243" i="145"/>
  <c r="I236" i="145"/>
  <c r="I231" i="145" s="1"/>
  <c r="F247" i="145"/>
  <c r="J253" i="145"/>
  <c r="H232" i="145"/>
  <c r="H4" i="145" s="1"/>
  <c r="G237" i="145"/>
  <c r="G236" i="145" s="1"/>
  <c r="G231" i="145" s="1"/>
  <c r="F254" i="145"/>
  <c r="F259" i="145"/>
  <c r="H263" i="145"/>
  <c r="G253" i="145"/>
  <c r="H240" i="145"/>
  <c r="H236" i="145" s="1"/>
  <c r="K26" i="140"/>
  <c r="I26" i="140"/>
  <c r="G26" i="140"/>
  <c r="E26" i="140"/>
  <c r="C13" i="138"/>
  <c r="C12" i="138"/>
  <c r="C11" i="138"/>
  <c r="C10" i="138"/>
  <c r="C9" i="138"/>
  <c r="C8" i="138"/>
  <c r="F14" i="137"/>
  <c r="K10" i="137"/>
  <c r="I10" i="137"/>
  <c r="G10" i="137"/>
  <c r="E10" i="137"/>
  <c r="K9" i="137"/>
  <c r="I9" i="137"/>
  <c r="G9" i="137"/>
  <c r="E9" i="137"/>
  <c r="K8" i="137"/>
  <c r="I8" i="137"/>
  <c r="G8" i="137"/>
  <c r="E8" i="137"/>
  <c r="C12" i="137"/>
  <c r="C8" i="137"/>
  <c r="C9" i="137"/>
  <c r="C10" i="137"/>
  <c r="C13" i="137"/>
  <c r="C11" i="137"/>
  <c r="E13" i="136"/>
  <c r="E12" i="136"/>
  <c r="E11" i="136"/>
  <c r="J17" i="136"/>
  <c r="K13" i="136"/>
  <c r="K12" i="136"/>
  <c r="K11" i="136"/>
  <c r="O13" i="136"/>
  <c r="M13" i="136"/>
  <c r="O12" i="136"/>
  <c r="M12" i="136"/>
  <c r="O11" i="136"/>
  <c r="M11" i="136"/>
  <c r="I13" i="136"/>
  <c r="I12" i="136"/>
  <c r="I11" i="136"/>
  <c r="G16" i="136"/>
  <c r="G15" i="136"/>
  <c r="G14" i="136"/>
  <c r="G13" i="136"/>
  <c r="G12" i="136"/>
  <c r="G11" i="136"/>
  <c r="D17" i="136"/>
  <c r="C44" i="121"/>
  <c r="C43" i="121"/>
  <c r="C20" i="121"/>
  <c r="C19" i="121"/>
  <c r="C18" i="121"/>
  <c r="C17" i="121"/>
  <c r="K26" i="120"/>
  <c r="K25" i="120"/>
  <c r="K24" i="120"/>
  <c r="K23" i="120"/>
  <c r="K22" i="120"/>
  <c r="K21" i="120"/>
  <c r="K20" i="120"/>
  <c r="K19" i="120"/>
  <c r="K18" i="120"/>
  <c r="K17" i="120"/>
  <c r="K16" i="120"/>
  <c r="K15" i="120"/>
  <c r="K14" i="120"/>
  <c r="K13" i="120"/>
  <c r="K12" i="120"/>
  <c r="K11" i="120"/>
  <c r="C21" i="120"/>
  <c r="D58" i="115"/>
  <c r="C12" i="118"/>
  <c r="C11" i="118"/>
  <c r="C10" i="118"/>
  <c r="C9" i="118"/>
  <c r="C8" i="118"/>
  <c r="C10" i="117"/>
  <c r="C12" i="117"/>
  <c r="C11" i="117"/>
  <c r="C9" i="117"/>
  <c r="K9" i="117" s="1"/>
  <c r="C8" i="117"/>
  <c r="K8" i="117" s="1"/>
  <c r="F13" i="117"/>
  <c r="J16" i="116"/>
  <c r="G11" i="116"/>
  <c r="I11" i="116" s="1"/>
  <c r="G15" i="116"/>
  <c r="M15" i="116" s="1"/>
  <c r="G14" i="116"/>
  <c r="O14" i="116" s="1"/>
  <c r="I14" i="116"/>
  <c r="G13" i="116"/>
  <c r="I13" i="116" s="1"/>
  <c r="G12" i="116"/>
  <c r="O12" i="116" s="1"/>
  <c r="M12" i="116"/>
  <c r="M11" i="116"/>
  <c r="O13" i="116"/>
  <c r="M14" i="116"/>
  <c r="K12" i="116"/>
  <c r="D16" i="116"/>
  <c r="B44" i="101"/>
  <c r="B43" i="101"/>
  <c r="B32" i="101"/>
  <c r="B31" i="101"/>
  <c r="B29" i="101"/>
  <c r="B28" i="101"/>
  <c r="B20" i="101"/>
  <c r="B19" i="101"/>
  <c r="B18" i="101"/>
  <c r="B17" i="101"/>
  <c r="E22" i="100"/>
  <c r="C22" i="100"/>
  <c r="E13" i="100"/>
  <c r="D55" i="238" l="1"/>
  <c r="G8" i="235" s="1"/>
  <c r="I265" i="145"/>
  <c r="H252" i="145"/>
  <c r="J252" i="145"/>
  <c r="G19" i="235"/>
  <c r="F253" i="145"/>
  <c r="G252" i="145"/>
  <c r="H231" i="145"/>
  <c r="G9" i="117"/>
  <c r="E9" i="117"/>
  <c r="I9" i="117"/>
  <c r="G8" i="117"/>
  <c r="E8" i="117"/>
  <c r="I8" i="117"/>
  <c r="O11" i="116"/>
  <c r="K11" i="116"/>
  <c r="I15" i="116"/>
  <c r="O15" i="116"/>
  <c r="M13" i="116"/>
  <c r="I12" i="116"/>
  <c r="I263" i="145" l="1"/>
  <c r="F265" i="145"/>
  <c r="G230" i="145"/>
  <c r="H230" i="145"/>
  <c r="J18" i="96"/>
  <c r="K16" i="96"/>
  <c r="K14" i="96"/>
  <c r="K13" i="96"/>
  <c r="K12" i="96"/>
  <c r="K11" i="96"/>
  <c r="G15" i="96"/>
  <c r="G17" i="96"/>
  <c r="G16" i="96"/>
  <c r="G14" i="96"/>
  <c r="D18" i="96"/>
  <c r="I252" i="145" l="1"/>
  <c r="I230" i="145" s="1"/>
  <c r="F263" i="145"/>
  <c r="F252" i="145" s="1"/>
  <c r="F20" i="31"/>
  <c r="G20" i="31"/>
  <c r="H20" i="31"/>
  <c r="F17" i="31"/>
  <c r="G17" i="31"/>
  <c r="H17" i="31"/>
  <c r="F14" i="31"/>
  <c r="G14" i="31"/>
  <c r="H14" i="31"/>
  <c r="F11" i="31"/>
  <c r="G11" i="31"/>
  <c r="H11" i="31"/>
  <c r="E14" i="31"/>
  <c r="E11" i="31"/>
  <c r="F8" i="31"/>
  <c r="G8" i="31"/>
  <c r="H8" i="31"/>
  <c r="F5" i="31"/>
  <c r="G5" i="31"/>
  <c r="H5" i="31"/>
  <c r="R66" i="214"/>
  <c r="O66" i="214"/>
  <c r="N66" i="214"/>
  <c r="M66" i="214"/>
  <c r="P65" i="214"/>
  <c r="R65" i="214" s="1"/>
  <c r="Q64" i="214"/>
  <c r="Q66" i="214" s="1"/>
  <c r="P64" i="214"/>
  <c r="R63" i="214"/>
  <c r="P63" i="214"/>
  <c r="R62" i="214"/>
  <c r="P62" i="214"/>
  <c r="R61" i="214"/>
  <c r="P61" i="214"/>
  <c r="R60" i="214"/>
  <c r="P60" i="214"/>
  <c r="R59" i="214"/>
  <c r="P59" i="214"/>
  <c r="R58" i="214"/>
  <c r="P58" i="214"/>
  <c r="R57" i="214"/>
  <c r="P57" i="214"/>
  <c r="R56" i="214"/>
  <c r="P56" i="214"/>
  <c r="P66" i="214" s="1"/>
  <c r="R55" i="214"/>
  <c r="P55" i="214"/>
  <c r="K33" i="214"/>
  <c r="I33" i="214"/>
  <c r="G33" i="214"/>
  <c r="E33" i="214"/>
  <c r="E27" i="214"/>
  <c r="B7" i="213" s="1"/>
  <c r="J21" i="214"/>
  <c r="H21" i="214"/>
  <c r="F21" i="214"/>
  <c r="D21" i="214"/>
  <c r="C20" i="214"/>
  <c r="C19" i="214"/>
  <c r="K19" i="214" s="1"/>
  <c r="J13" i="214"/>
  <c r="H13" i="214"/>
  <c r="F13" i="214"/>
  <c r="D13" i="214"/>
  <c r="B5" i="213" s="1"/>
  <c r="B63" i="213"/>
  <c r="E62" i="213"/>
  <c r="D62" i="213"/>
  <c r="C62" i="213"/>
  <c r="E61" i="213"/>
  <c r="D61" i="213"/>
  <c r="C61" i="213"/>
  <c r="E60" i="213"/>
  <c r="D60" i="213"/>
  <c r="C60" i="213"/>
  <c r="D59" i="213"/>
  <c r="C59" i="213"/>
  <c r="B53" i="213"/>
  <c r="B54" i="213" s="1"/>
  <c r="C42" i="213"/>
  <c r="B40" i="213"/>
  <c r="B39" i="213"/>
  <c r="B38" i="213"/>
  <c r="C31" i="213"/>
  <c r="B30" i="213"/>
  <c r="B29" i="213"/>
  <c r="B28" i="213"/>
  <c r="B27" i="213"/>
  <c r="B26" i="213"/>
  <c r="C20" i="213"/>
  <c r="B18" i="213"/>
  <c r="B17" i="213"/>
  <c r="B16" i="213"/>
  <c r="B15" i="213"/>
  <c r="B37" i="213" s="1"/>
  <c r="E9" i="213"/>
  <c r="E59" i="213" s="1"/>
  <c r="D9" i="213"/>
  <c r="C9" i="213"/>
  <c r="B8" i="213"/>
  <c r="O66" i="210"/>
  <c r="N66" i="210"/>
  <c r="M66" i="210"/>
  <c r="P65" i="210"/>
  <c r="R65" i="210" s="1"/>
  <c r="Q64" i="210"/>
  <c r="Q66" i="210" s="1"/>
  <c r="P64" i="210"/>
  <c r="R64" i="210" s="1"/>
  <c r="P63" i="210"/>
  <c r="R63" i="210" s="1"/>
  <c r="R62" i="210"/>
  <c r="P62" i="210"/>
  <c r="R61" i="210"/>
  <c r="P61" i="210"/>
  <c r="P60" i="210"/>
  <c r="R60" i="210" s="1"/>
  <c r="P59" i="210"/>
  <c r="R59" i="210" s="1"/>
  <c r="R58" i="210"/>
  <c r="P58" i="210"/>
  <c r="R57" i="210"/>
  <c r="P57" i="210"/>
  <c r="P56" i="210"/>
  <c r="R56" i="210" s="1"/>
  <c r="P55" i="210"/>
  <c r="R55" i="210" s="1"/>
  <c r="K33" i="210"/>
  <c r="I33" i="210"/>
  <c r="G33" i="210"/>
  <c r="E33" i="210"/>
  <c r="B8" i="209" s="1"/>
  <c r="E27" i="210"/>
  <c r="B7" i="209" s="1"/>
  <c r="G277" i="145" s="1"/>
  <c r="J21" i="210"/>
  <c r="H21" i="210"/>
  <c r="F21" i="210"/>
  <c r="D21" i="210"/>
  <c r="C20" i="210"/>
  <c r="G20" i="210" s="1"/>
  <c r="C19" i="210"/>
  <c r="J13" i="210"/>
  <c r="H13" i="210"/>
  <c r="F13" i="210"/>
  <c r="D13" i="210"/>
  <c r="B5" i="209" s="1"/>
  <c r="G271" i="145" s="1"/>
  <c r="E62" i="209"/>
  <c r="D62" i="209"/>
  <c r="C62" i="209"/>
  <c r="E61" i="209"/>
  <c r="D61" i="209"/>
  <c r="C61" i="209"/>
  <c r="E60" i="209"/>
  <c r="D60" i="209"/>
  <c r="C60" i="209"/>
  <c r="E59" i="209"/>
  <c r="E64" i="209" s="1"/>
  <c r="D59" i="209"/>
  <c r="D64" i="209" s="1"/>
  <c r="C59" i="209"/>
  <c r="C64" i="209" s="1"/>
  <c r="B53" i="209"/>
  <c r="B54" i="209" s="1"/>
  <c r="B63" i="209" s="1"/>
  <c r="C42" i="209"/>
  <c r="B40" i="209"/>
  <c r="B39" i="209"/>
  <c r="B38" i="209"/>
  <c r="B37" i="209"/>
  <c r="C31" i="209"/>
  <c r="B30" i="209"/>
  <c r="B29" i="209"/>
  <c r="B28" i="209"/>
  <c r="B27" i="209"/>
  <c r="B26" i="209"/>
  <c r="C20" i="209"/>
  <c r="B18" i="209"/>
  <c r="B17" i="209"/>
  <c r="B16" i="209"/>
  <c r="B15" i="209"/>
  <c r="E9" i="209"/>
  <c r="D9" i="209"/>
  <c r="C9" i="209"/>
  <c r="E61" i="208"/>
  <c r="D61" i="208"/>
  <c r="C61" i="208"/>
  <c r="E60" i="208"/>
  <c r="D60" i="208"/>
  <c r="E59" i="208"/>
  <c r="D59" i="208"/>
  <c r="E58" i="208"/>
  <c r="D58" i="208"/>
  <c r="C58" i="208"/>
  <c r="B52" i="208"/>
  <c r="B50" i="208"/>
  <c r="B53" i="208" s="1"/>
  <c r="B62" i="208" s="1"/>
  <c r="C41" i="208"/>
  <c r="B39" i="208"/>
  <c r="B38" i="208"/>
  <c r="B37" i="208"/>
  <c r="B36" i="208"/>
  <c r="C30" i="208"/>
  <c r="C60" i="208" s="1"/>
  <c r="B29" i="208"/>
  <c r="B28" i="208"/>
  <c r="B27" i="208"/>
  <c r="B26" i="208"/>
  <c r="B25" i="208"/>
  <c r="C19" i="208"/>
  <c r="C59" i="208" s="1"/>
  <c r="C63" i="208" s="1"/>
  <c r="B19" i="208"/>
  <c r="B59" i="208" s="1"/>
  <c r="B8" i="208"/>
  <c r="B58" i="208" s="1"/>
  <c r="B62" i="207"/>
  <c r="E61" i="207"/>
  <c r="D61" i="207"/>
  <c r="E60" i="207"/>
  <c r="D60" i="207"/>
  <c r="C60" i="207"/>
  <c r="E59" i="207"/>
  <c r="D59" i="207"/>
  <c r="E58" i="207"/>
  <c r="D58" i="207"/>
  <c r="C58" i="207"/>
  <c r="C63" i="207" s="1"/>
  <c r="B58" i="207"/>
  <c r="B52" i="207"/>
  <c r="B50" i="207"/>
  <c r="B53" i="207" s="1"/>
  <c r="C41" i="207"/>
  <c r="C61" i="207" s="1"/>
  <c r="B39" i="207"/>
  <c r="B38" i="207"/>
  <c r="B40" i="207" s="1"/>
  <c r="B41" i="207" s="1"/>
  <c r="B61" i="207" s="1"/>
  <c r="B37" i="207"/>
  <c r="B36" i="207"/>
  <c r="C30" i="207"/>
  <c r="B29" i="207"/>
  <c r="B28" i="207"/>
  <c r="B27" i="207"/>
  <c r="B26" i="207"/>
  <c r="B25" i="207"/>
  <c r="C19" i="207"/>
  <c r="C59" i="207" s="1"/>
  <c r="B19" i="207"/>
  <c r="B59" i="207" s="1"/>
  <c r="B8" i="207"/>
  <c r="B24" i="207" s="1"/>
  <c r="B35" i="207" s="1"/>
  <c r="Q66" i="206"/>
  <c r="O66" i="206"/>
  <c r="N66" i="206"/>
  <c r="M66" i="206"/>
  <c r="P65" i="206"/>
  <c r="R65" i="206" s="1"/>
  <c r="Q64" i="206"/>
  <c r="P64" i="206"/>
  <c r="R64" i="206" s="1"/>
  <c r="P63" i="206"/>
  <c r="R63" i="206" s="1"/>
  <c r="R62" i="206"/>
  <c r="P62" i="206"/>
  <c r="P61" i="206"/>
  <c r="R61" i="206" s="1"/>
  <c r="P60" i="206"/>
  <c r="R60" i="206" s="1"/>
  <c r="P59" i="206"/>
  <c r="R59" i="206" s="1"/>
  <c r="R58" i="206"/>
  <c r="P58" i="206"/>
  <c r="P57" i="206"/>
  <c r="R57" i="206" s="1"/>
  <c r="P56" i="206"/>
  <c r="R56" i="206" s="1"/>
  <c r="P55" i="206"/>
  <c r="R55" i="206" s="1"/>
  <c r="K33" i="206"/>
  <c r="I33" i="206"/>
  <c r="G33" i="206"/>
  <c r="E33" i="206"/>
  <c r="B8" i="205" s="1"/>
  <c r="E27" i="206"/>
  <c r="B7" i="205" s="1"/>
  <c r="J21" i="206"/>
  <c r="H21" i="206"/>
  <c r="F21" i="206"/>
  <c r="D21" i="206"/>
  <c r="C20" i="206"/>
  <c r="E19" i="206"/>
  <c r="C19" i="206"/>
  <c r="G19" i="206" s="1"/>
  <c r="J13" i="206"/>
  <c r="H13" i="206"/>
  <c r="F13" i="206"/>
  <c r="D13" i="206"/>
  <c r="B5" i="205" s="1"/>
  <c r="E64" i="205"/>
  <c r="E62" i="205"/>
  <c r="D62" i="205"/>
  <c r="E61" i="205"/>
  <c r="D61" i="205"/>
  <c r="E60" i="205"/>
  <c r="D60" i="205"/>
  <c r="B53" i="205"/>
  <c r="B54" i="205" s="1"/>
  <c r="B63" i="205" s="1"/>
  <c r="C42" i="205"/>
  <c r="C62" i="205" s="1"/>
  <c r="B40" i="205"/>
  <c r="B39" i="205"/>
  <c r="B38" i="205"/>
  <c r="B37" i="205"/>
  <c r="C31" i="205"/>
  <c r="C61" i="205" s="1"/>
  <c r="B30" i="205"/>
  <c r="B29" i="205"/>
  <c r="B28" i="205"/>
  <c r="B27" i="205"/>
  <c r="B26" i="205"/>
  <c r="C20" i="205"/>
  <c r="C60" i="205" s="1"/>
  <c r="B18" i="205"/>
  <c r="B17" i="205"/>
  <c r="B16" i="205"/>
  <c r="B15" i="205"/>
  <c r="E9" i="205"/>
  <c r="E59" i="205" s="1"/>
  <c r="D9" i="205"/>
  <c r="D59" i="205" s="1"/>
  <c r="D64" i="205" s="1"/>
  <c r="C9" i="205"/>
  <c r="C59" i="205" s="1"/>
  <c r="Q66" i="204"/>
  <c r="O66" i="204"/>
  <c r="N66" i="204"/>
  <c r="M66" i="204"/>
  <c r="P65" i="204"/>
  <c r="R65" i="204" s="1"/>
  <c r="Q64" i="204"/>
  <c r="P64" i="204"/>
  <c r="R64" i="204" s="1"/>
  <c r="R63" i="204"/>
  <c r="P63" i="204"/>
  <c r="P62" i="204"/>
  <c r="R62" i="204" s="1"/>
  <c r="P61" i="204"/>
  <c r="R61" i="204" s="1"/>
  <c r="P60" i="204"/>
  <c r="R60" i="204" s="1"/>
  <c r="R59" i="204"/>
  <c r="P59" i="204"/>
  <c r="P58" i="204"/>
  <c r="R58" i="204" s="1"/>
  <c r="P57" i="204"/>
  <c r="R57" i="204" s="1"/>
  <c r="P56" i="204"/>
  <c r="P66" i="204" s="1"/>
  <c r="R66" i="204" s="1"/>
  <c r="R55" i="204"/>
  <c r="P55" i="204"/>
  <c r="K33" i="204"/>
  <c r="I33" i="204"/>
  <c r="G33" i="204"/>
  <c r="E33" i="204"/>
  <c r="B8" i="203" s="1"/>
  <c r="E27" i="204"/>
  <c r="B7" i="203" s="1"/>
  <c r="J21" i="204"/>
  <c r="H21" i="204"/>
  <c r="F21" i="204"/>
  <c r="D21" i="204"/>
  <c r="C20" i="204"/>
  <c r="K20" i="204" s="1"/>
  <c r="C19" i="204"/>
  <c r="K19" i="204" s="1"/>
  <c r="J13" i="204"/>
  <c r="H13" i="204"/>
  <c r="F13" i="204"/>
  <c r="D13" i="204"/>
  <c r="B5" i="203" s="1"/>
  <c r="E62" i="203"/>
  <c r="D62" i="203"/>
  <c r="C62" i="203"/>
  <c r="E61" i="203"/>
  <c r="D61" i="203"/>
  <c r="C61" i="203"/>
  <c r="E60" i="203"/>
  <c r="D60" i="203"/>
  <c r="C60" i="203"/>
  <c r="D59" i="203"/>
  <c r="D64" i="203" s="1"/>
  <c r="C59" i="203"/>
  <c r="B54" i="203"/>
  <c r="B63" i="203" s="1"/>
  <c r="B53" i="203"/>
  <c r="C42" i="203"/>
  <c r="B40" i="203"/>
  <c r="B39" i="203"/>
  <c r="B38" i="203"/>
  <c r="B37" i="203"/>
  <c r="C31" i="203"/>
  <c r="B30" i="203"/>
  <c r="B29" i="203"/>
  <c r="B28" i="203"/>
  <c r="B27" i="203"/>
  <c r="B26" i="203"/>
  <c r="C20" i="203"/>
  <c r="B18" i="203"/>
  <c r="B17" i="203"/>
  <c r="B16" i="203"/>
  <c r="B15" i="203"/>
  <c r="E9" i="203"/>
  <c r="E59" i="203" s="1"/>
  <c r="E64" i="203" s="1"/>
  <c r="D9" i="203"/>
  <c r="C9" i="203"/>
  <c r="K20" i="210" l="1"/>
  <c r="I19" i="206"/>
  <c r="K19" i="206"/>
  <c r="I20" i="204"/>
  <c r="K21" i="204"/>
  <c r="G20" i="204"/>
  <c r="I27" i="204"/>
  <c r="G27" i="214"/>
  <c r="G27" i="204"/>
  <c r="I27" i="214"/>
  <c r="K27" i="214"/>
  <c r="K27" i="204"/>
  <c r="P66" i="206"/>
  <c r="R66" i="206" s="1"/>
  <c r="K20" i="206"/>
  <c r="I20" i="206"/>
  <c r="G20" i="206"/>
  <c r="G21" i="206" s="1"/>
  <c r="K20" i="214"/>
  <c r="K21" i="214" s="1"/>
  <c r="I20" i="214"/>
  <c r="G20" i="214"/>
  <c r="E20" i="206"/>
  <c r="E21" i="206" s="1"/>
  <c r="B6" i="205" s="1"/>
  <c r="G27" i="206"/>
  <c r="I27" i="206"/>
  <c r="B30" i="207"/>
  <c r="B60" i="207" s="1"/>
  <c r="B63" i="207" s="1"/>
  <c r="G58" i="207" s="1"/>
  <c r="C64" i="205"/>
  <c r="C64" i="203"/>
  <c r="I19" i="210"/>
  <c r="G19" i="210"/>
  <c r="G21" i="210" s="1"/>
  <c r="E19" i="210"/>
  <c r="E20" i="214"/>
  <c r="B24" i="208"/>
  <c r="K19" i="210"/>
  <c r="K21" i="210" s="1"/>
  <c r="P66" i="210"/>
  <c r="R66" i="210" s="1"/>
  <c r="E64" i="213"/>
  <c r="K27" i="206"/>
  <c r="E20" i="210"/>
  <c r="K27" i="210"/>
  <c r="I27" i="210"/>
  <c r="G27" i="210"/>
  <c r="R64" i="214"/>
  <c r="I21" i="206"/>
  <c r="I19" i="214"/>
  <c r="I21" i="214" s="1"/>
  <c r="G19" i="214"/>
  <c r="G21" i="214" s="1"/>
  <c r="E19" i="214"/>
  <c r="K21" i="206"/>
  <c r="R56" i="204"/>
  <c r="I19" i="204"/>
  <c r="I21" i="204" s="1"/>
  <c r="G19" i="204"/>
  <c r="E19" i="204"/>
  <c r="E20" i="204"/>
  <c r="I20" i="210"/>
  <c r="D64" i="213"/>
  <c r="C64" i="213"/>
  <c r="C15" i="18"/>
  <c r="C14" i="18"/>
  <c r="C13" i="18"/>
  <c r="C11" i="18"/>
  <c r="C12" i="18"/>
  <c r="C10" i="18"/>
  <c r="C9" i="18"/>
  <c r="G11" i="17"/>
  <c r="C11" i="77"/>
  <c r="G11" i="77" s="1"/>
  <c r="C10" i="77"/>
  <c r="I10" i="77" s="1"/>
  <c r="C9" i="77"/>
  <c r="C15" i="77"/>
  <c r="I15" i="77" s="1"/>
  <c r="C14" i="77"/>
  <c r="C13" i="77"/>
  <c r="K13" i="77" s="1"/>
  <c r="C12" i="77"/>
  <c r="E12" i="77" s="1"/>
  <c r="G15" i="76"/>
  <c r="G21" i="76"/>
  <c r="G20" i="76"/>
  <c r="G19" i="76"/>
  <c r="G18" i="76"/>
  <c r="G17" i="76"/>
  <c r="G16" i="76"/>
  <c r="G14" i="76"/>
  <c r="G13" i="76"/>
  <c r="G12" i="76"/>
  <c r="G11" i="76"/>
  <c r="E16" i="72"/>
  <c r="E15" i="72"/>
  <c r="E14" i="72"/>
  <c r="E13" i="72"/>
  <c r="C16" i="72"/>
  <c r="C15" i="72"/>
  <c r="C14" i="72"/>
  <c r="C13" i="72"/>
  <c r="C15" i="78"/>
  <c r="C14" i="78"/>
  <c r="C13" i="78"/>
  <c r="C12" i="78"/>
  <c r="C11" i="78"/>
  <c r="C10" i="78"/>
  <c r="C9" i="78"/>
  <c r="K16" i="77"/>
  <c r="K14" i="77"/>
  <c r="I16" i="77"/>
  <c r="I14" i="77"/>
  <c r="G16" i="77"/>
  <c r="G15" i="77"/>
  <c r="G14" i="77"/>
  <c r="E16" i="77"/>
  <c r="E15" i="77"/>
  <c r="E14" i="77"/>
  <c r="J17" i="77"/>
  <c r="H17" i="77"/>
  <c r="F17" i="77"/>
  <c r="D17" i="77"/>
  <c r="E21" i="210" l="1"/>
  <c r="B6" i="209" s="1"/>
  <c r="G275" i="145" s="1"/>
  <c r="G21" i="204"/>
  <c r="E21" i="204"/>
  <c r="B6" i="203" s="1"/>
  <c r="F5" i="207"/>
  <c r="G5" i="207" s="1"/>
  <c r="F6" i="207"/>
  <c r="G6" i="207" s="1"/>
  <c r="B9" i="205"/>
  <c r="E21" i="214"/>
  <c r="B6" i="213" s="1"/>
  <c r="B30" i="208"/>
  <c r="B60" i="208" s="1"/>
  <c r="B35" i="208"/>
  <c r="I21" i="210"/>
  <c r="K15" i="77"/>
  <c r="E13" i="77"/>
  <c r="I13" i="77"/>
  <c r="G13" i="77"/>
  <c r="I12" i="77"/>
  <c r="G12" i="77"/>
  <c r="K12" i="77"/>
  <c r="E11" i="77"/>
  <c r="I11" i="77"/>
  <c r="K11" i="77"/>
  <c r="E10" i="77"/>
  <c r="K10" i="77"/>
  <c r="G10" i="77"/>
  <c r="B9" i="209" l="1"/>
  <c r="B59" i="209" s="1"/>
  <c r="B9" i="203"/>
  <c r="B41" i="208"/>
  <c r="B61" i="208" s="1"/>
  <c r="B63" i="208" s="1"/>
  <c r="G58" i="208" s="1"/>
  <c r="B40" i="208"/>
  <c r="B14" i="203"/>
  <c r="B59" i="203"/>
  <c r="B59" i="205"/>
  <c r="B14" i="205"/>
  <c r="B9" i="213"/>
  <c r="K14" i="20"/>
  <c r="I14" i="20"/>
  <c r="G14" i="20"/>
  <c r="E14" i="20"/>
  <c r="C9" i="20"/>
  <c r="C10" i="20"/>
  <c r="C15" i="20"/>
  <c r="C14" i="20"/>
  <c r="C13" i="20"/>
  <c r="C12" i="20"/>
  <c r="C11" i="20"/>
  <c r="K16" i="18"/>
  <c r="G16" i="18"/>
  <c r="E16" i="18"/>
  <c r="K15" i="18"/>
  <c r="K14" i="18"/>
  <c r="I13" i="18"/>
  <c r="G12" i="18"/>
  <c r="K11" i="18"/>
  <c r="K10" i="18"/>
  <c r="N23" i="17"/>
  <c r="L23" i="17"/>
  <c r="G19" i="17"/>
  <c r="G18" i="17"/>
  <c r="G17" i="17"/>
  <c r="G16" i="17"/>
  <c r="G15" i="17"/>
  <c r="G14" i="17"/>
  <c r="G13" i="17"/>
  <c r="G12" i="17"/>
  <c r="B14" i="209" l="1"/>
  <c r="B25" i="209" s="1"/>
  <c r="B31" i="209" s="1"/>
  <c r="B61" i="209" s="1"/>
  <c r="G282" i="145" s="1"/>
  <c r="F6" i="208"/>
  <c r="G6" i="208" s="1"/>
  <c r="F5" i="208"/>
  <c r="G5" i="208" s="1"/>
  <c r="B25" i="203"/>
  <c r="B31" i="203" s="1"/>
  <c r="B61" i="203" s="1"/>
  <c r="B36" i="203"/>
  <c r="B19" i="203"/>
  <c r="B20" i="203" s="1"/>
  <c r="B60" i="203" s="1"/>
  <c r="B36" i="209"/>
  <c r="B59" i="213"/>
  <c r="B14" i="213"/>
  <c r="B36" i="205"/>
  <c r="B25" i="205"/>
  <c r="B31" i="205" s="1"/>
  <c r="B61" i="205" s="1"/>
  <c r="B19" i="205"/>
  <c r="B20" i="205" s="1"/>
  <c r="B60" i="205" s="1"/>
  <c r="E12" i="18"/>
  <c r="G13" i="18"/>
  <c r="I10" i="18"/>
  <c r="I14" i="18"/>
  <c r="K12" i="18"/>
  <c r="E13" i="18"/>
  <c r="G10" i="18"/>
  <c r="G14" i="18"/>
  <c r="I11" i="18"/>
  <c r="I15" i="18"/>
  <c r="K13" i="18"/>
  <c r="E10" i="18"/>
  <c r="E14" i="18"/>
  <c r="G11" i="18"/>
  <c r="G15" i="18"/>
  <c r="I12" i="18"/>
  <c r="E11" i="18"/>
  <c r="E15" i="18"/>
  <c r="C8" i="8"/>
  <c r="I8" i="8" s="1"/>
  <c r="I20" i="8" s="1"/>
  <c r="C9" i="8"/>
  <c r="G9" i="8" s="1"/>
  <c r="C10" i="8"/>
  <c r="G10" i="8" s="1"/>
  <c r="J20" i="8"/>
  <c r="H20" i="8"/>
  <c r="F20" i="8"/>
  <c r="D20" i="8"/>
  <c r="I9" i="8"/>
  <c r="I10" i="8"/>
  <c r="E10" i="8"/>
  <c r="J22" i="5"/>
  <c r="H22" i="5"/>
  <c r="D22" i="5"/>
  <c r="F22" i="5"/>
  <c r="K22" i="7"/>
  <c r="J22" i="7"/>
  <c r="I22" i="7"/>
  <c r="H22" i="7"/>
  <c r="E22" i="7"/>
  <c r="D22" i="7"/>
  <c r="F22" i="7"/>
  <c r="K8" i="7"/>
  <c r="K9" i="7"/>
  <c r="K10" i="7"/>
  <c r="I8" i="7"/>
  <c r="I9" i="7"/>
  <c r="I10" i="7"/>
  <c r="G8" i="7"/>
  <c r="G9" i="7"/>
  <c r="G10" i="7"/>
  <c r="E8" i="7"/>
  <c r="E9" i="7"/>
  <c r="E10" i="7"/>
  <c r="C8" i="7"/>
  <c r="C9" i="7"/>
  <c r="C10" i="7"/>
  <c r="C9" i="5"/>
  <c r="K9" i="5" s="1"/>
  <c r="B19" i="209" l="1"/>
  <c r="B20" i="209" s="1"/>
  <c r="B60" i="209" s="1"/>
  <c r="G281" i="145" s="1"/>
  <c r="B25" i="213"/>
  <c r="B31" i="213" s="1"/>
  <c r="B61" i="213" s="1"/>
  <c r="B36" i="213"/>
  <c r="B19" i="213"/>
  <c r="B20" i="213" s="1"/>
  <c r="B60" i="213" s="1"/>
  <c r="B41" i="203"/>
  <c r="B42" i="203" s="1"/>
  <c r="B62" i="203" s="1"/>
  <c r="B41" i="209"/>
  <c r="B42" i="209" s="1"/>
  <c r="B62" i="209" s="1"/>
  <c r="B41" i="205"/>
  <c r="B42" i="205" s="1"/>
  <c r="B62" i="205" s="1"/>
  <c r="K9" i="8"/>
  <c r="E9" i="8"/>
  <c r="K10" i="8"/>
  <c r="K8" i="8"/>
  <c r="K20" i="8" s="1"/>
  <c r="E8" i="8"/>
  <c r="E20" i="8" s="1"/>
  <c r="G8" i="8"/>
  <c r="G20" i="8" s="1"/>
  <c r="E9" i="5"/>
  <c r="G9" i="5"/>
  <c r="I9" i="5"/>
  <c r="B64" i="209" l="1"/>
  <c r="G283" i="145"/>
  <c r="B64" i="205"/>
  <c r="B64" i="203"/>
  <c r="G59" i="209"/>
  <c r="F5" i="209" s="1"/>
  <c r="E17" i="31"/>
  <c r="G59" i="205"/>
  <c r="F6" i="205" s="1"/>
  <c r="E8" i="31"/>
  <c r="B41" i="213"/>
  <c r="B42" i="213" s="1"/>
  <c r="B62" i="213" s="1"/>
  <c r="B64" i="213" s="1"/>
  <c r="J114" i="145"/>
  <c r="I114" i="145"/>
  <c r="H114" i="145"/>
  <c r="J109" i="145"/>
  <c r="I109" i="145"/>
  <c r="H109" i="145"/>
  <c r="J104" i="145"/>
  <c r="I104" i="145"/>
  <c r="H104" i="145"/>
  <c r="E23" i="31" l="1"/>
  <c r="F8" i="209"/>
  <c r="G5" i="209" s="1"/>
  <c r="F7" i="209"/>
  <c r="F8" i="205"/>
  <c r="F5" i="205"/>
  <c r="G59" i="203"/>
  <c r="E5" i="31"/>
  <c r="F6" i="209"/>
  <c r="F7" i="205"/>
  <c r="G6" i="205" s="1"/>
  <c r="G59" i="213"/>
  <c r="F5" i="213" s="1"/>
  <c r="E20" i="31"/>
  <c r="J21" i="12"/>
  <c r="H21" i="12"/>
  <c r="F21" i="12"/>
  <c r="D21" i="12"/>
  <c r="J20" i="12"/>
  <c r="H20" i="12"/>
  <c r="F20" i="12"/>
  <c r="J19" i="12"/>
  <c r="H19" i="12"/>
  <c r="F19" i="12"/>
  <c r="D19" i="12"/>
  <c r="F6" i="213" l="1"/>
  <c r="F8" i="213"/>
  <c r="G5" i="213" s="1"/>
  <c r="F7" i="213"/>
  <c r="G6" i="213" s="1"/>
  <c r="G6" i="209"/>
  <c r="F6" i="203"/>
  <c r="F5" i="203"/>
  <c r="F7" i="203"/>
  <c r="F8" i="203"/>
  <c r="G5" i="205"/>
  <c r="C26" i="80"/>
  <c r="C25" i="80"/>
  <c r="C24" i="80"/>
  <c r="C23" i="80"/>
  <c r="C22" i="80"/>
  <c r="C21" i="80"/>
  <c r="C20" i="80"/>
  <c r="C26" i="22"/>
  <c r="C25" i="22"/>
  <c r="I25" i="22" s="1"/>
  <c r="C24" i="22"/>
  <c r="C23" i="22"/>
  <c r="C22" i="22"/>
  <c r="C21" i="22"/>
  <c r="C20" i="22"/>
  <c r="C12" i="22"/>
  <c r="C11" i="22"/>
  <c r="G6" i="203" l="1"/>
  <c r="G5" i="203"/>
  <c r="H58" i="145" l="1"/>
  <c r="G58" i="145"/>
  <c r="C42" i="141"/>
  <c r="C41" i="141"/>
  <c r="C32" i="141"/>
  <c r="C31" i="141"/>
  <c r="C30" i="141"/>
  <c r="C29" i="141"/>
  <c r="C28" i="141"/>
  <c r="C27" i="141"/>
  <c r="C33" i="141" s="1"/>
  <c r="C16" i="141"/>
  <c r="E27" i="140"/>
  <c r="C26" i="140"/>
  <c r="C25" i="140"/>
  <c r="C24" i="140"/>
  <c r="C23" i="140"/>
  <c r="C22" i="140"/>
  <c r="C21" i="140"/>
  <c r="C12" i="140"/>
  <c r="C11" i="140"/>
  <c r="E16" i="136"/>
  <c r="E15" i="136"/>
  <c r="E14" i="136"/>
  <c r="E17" i="136" s="1"/>
  <c r="B7" i="131"/>
  <c r="J20" i="132"/>
  <c r="H20" i="132"/>
  <c r="F20" i="132"/>
  <c r="D20" i="132"/>
  <c r="J19" i="132"/>
  <c r="H19" i="132"/>
  <c r="F19" i="132"/>
  <c r="D19" i="132"/>
  <c r="J18" i="132"/>
  <c r="H18" i="132"/>
  <c r="F18" i="132"/>
  <c r="D18" i="132"/>
  <c r="J17" i="132"/>
  <c r="H17" i="132"/>
  <c r="F17" i="132"/>
  <c r="D17" i="132"/>
  <c r="C51" i="121"/>
  <c r="C42" i="121"/>
  <c r="C41" i="121"/>
  <c r="C32" i="121"/>
  <c r="C31" i="121"/>
  <c r="C30" i="121"/>
  <c r="C29" i="121"/>
  <c r="C28" i="121"/>
  <c r="C27" i="121"/>
  <c r="C33" i="121" s="1"/>
  <c r="C53" i="121" s="1"/>
  <c r="H185" i="145" s="1"/>
  <c r="C16" i="121"/>
  <c r="J28" i="120"/>
  <c r="H28" i="120"/>
  <c r="F28" i="120"/>
  <c r="D28" i="120"/>
  <c r="C26" i="120"/>
  <c r="I26" i="120" s="1"/>
  <c r="C25" i="120"/>
  <c r="G25" i="120" s="1"/>
  <c r="C24" i="120"/>
  <c r="C23" i="120"/>
  <c r="C22" i="120"/>
  <c r="I22" i="120" s="1"/>
  <c r="G21" i="120"/>
  <c r="C20" i="120"/>
  <c r="C19" i="120"/>
  <c r="C18" i="120"/>
  <c r="I18" i="120" s="1"/>
  <c r="C17" i="120"/>
  <c r="G17" i="120" s="1"/>
  <c r="C16" i="120"/>
  <c r="C15" i="120"/>
  <c r="C14" i="120"/>
  <c r="I14" i="120" s="1"/>
  <c r="C13" i="120"/>
  <c r="G13" i="120" s="1"/>
  <c r="C12" i="120"/>
  <c r="N16" i="116"/>
  <c r="L16" i="116"/>
  <c r="H16" i="116"/>
  <c r="K15" i="116"/>
  <c r="K14" i="116"/>
  <c r="K13" i="116"/>
  <c r="D7" i="111"/>
  <c r="B7" i="111"/>
  <c r="H14" i="114"/>
  <c r="H15" i="114" s="1"/>
  <c r="H11" i="114"/>
  <c r="D10" i="114"/>
  <c r="D9" i="114"/>
  <c r="J15" i="112"/>
  <c r="H15" i="112"/>
  <c r="F15" i="112"/>
  <c r="D15" i="112"/>
  <c r="J14" i="112"/>
  <c r="H14" i="112"/>
  <c r="F14" i="112"/>
  <c r="D14" i="112"/>
  <c r="J13" i="112"/>
  <c r="J16" i="112" s="1"/>
  <c r="H13" i="112"/>
  <c r="H16" i="112" s="1"/>
  <c r="F13" i="112"/>
  <c r="F16" i="112" s="1"/>
  <c r="D13" i="112"/>
  <c r="D16" i="112" s="1"/>
  <c r="J12" i="112"/>
  <c r="H12" i="112"/>
  <c r="F12" i="112"/>
  <c r="D12" i="112"/>
  <c r="C11" i="112"/>
  <c r="G11" i="112" s="1"/>
  <c r="G15" i="112" s="1"/>
  <c r="C10" i="112"/>
  <c r="I10" i="112" s="1"/>
  <c r="I14" i="112" s="1"/>
  <c r="C9" i="112"/>
  <c r="I9" i="112" s="1"/>
  <c r="I13" i="112" s="1"/>
  <c r="B42" i="101"/>
  <c r="B41" i="101"/>
  <c r="B30" i="101"/>
  <c r="B16" i="101"/>
  <c r="B27" i="101" s="1"/>
  <c r="C28" i="100"/>
  <c r="E28" i="100" s="1"/>
  <c r="C27" i="100"/>
  <c r="C26" i="100"/>
  <c r="C25" i="100"/>
  <c r="C24" i="100"/>
  <c r="C23" i="100"/>
  <c r="C21" i="100"/>
  <c r="E18" i="96"/>
  <c r="D19" i="94"/>
  <c r="D18" i="94"/>
  <c r="D16" i="94"/>
  <c r="D15" i="94"/>
  <c r="D17" i="94" s="1"/>
  <c r="D13" i="94"/>
  <c r="D12" i="94"/>
  <c r="D11" i="94"/>
  <c r="D10" i="94"/>
  <c r="D14" i="94" s="1"/>
  <c r="D9" i="94"/>
  <c r="J24" i="92"/>
  <c r="J23" i="92"/>
  <c r="J22" i="92"/>
  <c r="K21" i="92"/>
  <c r="J21" i="92"/>
  <c r="J20" i="92"/>
  <c r="H24" i="92"/>
  <c r="H23" i="92"/>
  <c r="H22" i="92"/>
  <c r="I21" i="92"/>
  <c r="H21" i="92"/>
  <c r="H20" i="92"/>
  <c r="F24" i="92"/>
  <c r="F23" i="92"/>
  <c r="F22" i="92"/>
  <c r="F21" i="92"/>
  <c r="F20" i="92"/>
  <c r="D24" i="92"/>
  <c r="D23" i="92"/>
  <c r="D22" i="92"/>
  <c r="D21" i="92"/>
  <c r="D20" i="92"/>
  <c r="C16" i="92"/>
  <c r="E16" i="92" s="1"/>
  <c r="C15" i="92"/>
  <c r="E15" i="92" s="1"/>
  <c r="E21" i="92" s="1"/>
  <c r="C14" i="92"/>
  <c r="C20" i="92" s="1"/>
  <c r="C9" i="92"/>
  <c r="C22" i="92" s="1"/>
  <c r="D26" i="92" l="1"/>
  <c r="F26" i="92"/>
  <c r="C40" i="141"/>
  <c r="K16" i="116"/>
  <c r="B40" i="101"/>
  <c r="B21" i="101"/>
  <c r="C21" i="141"/>
  <c r="C22" i="141" s="1"/>
  <c r="C45" i="141"/>
  <c r="C46" i="141" s="1"/>
  <c r="C45" i="121"/>
  <c r="C46" i="121" s="1"/>
  <c r="C54" i="121" s="1"/>
  <c r="H190" i="145" s="1"/>
  <c r="C21" i="121"/>
  <c r="C22" i="121" s="1"/>
  <c r="C52" i="121" s="1"/>
  <c r="H180" i="145" s="1"/>
  <c r="C40" i="121"/>
  <c r="E16" i="116"/>
  <c r="B33" i="101"/>
  <c r="B22" i="101"/>
  <c r="B45" i="101"/>
  <c r="B46" i="101" s="1"/>
  <c r="E11" i="120"/>
  <c r="E15" i="120"/>
  <c r="E19" i="120"/>
  <c r="E23" i="120"/>
  <c r="G12" i="120"/>
  <c r="I13" i="120"/>
  <c r="G16" i="120"/>
  <c r="I17" i="120"/>
  <c r="G20" i="120"/>
  <c r="I21" i="120"/>
  <c r="G24" i="120"/>
  <c r="I25" i="120"/>
  <c r="E12" i="120"/>
  <c r="E16" i="120"/>
  <c r="E20" i="120"/>
  <c r="E24" i="120"/>
  <c r="G11" i="120"/>
  <c r="I12" i="120"/>
  <c r="G15" i="120"/>
  <c r="I16" i="120"/>
  <c r="G19" i="120"/>
  <c r="I20" i="120"/>
  <c r="G23" i="120"/>
  <c r="I24" i="120"/>
  <c r="E13" i="120"/>
  <c r="E17" i="120"/>
  <c r="E21" i="120"/>
  <c r="E25" i="120"/>
  <c r="I11" i="120"/>
  <c r="G14" i="120"/>
  <c r="I15" i="120"/>
  <c r="G18" i="120"/>
  <c r="I19" i="120"/>
  <c r="G22" i="120"/>
  <c r="I23" i="120"/>
  <c r="G26" i="120"/>
  <c r="E14" i="120"/>
  <c r="E18" i="120"/>
  <c r="E22" i="120"/>
  <c r="E26" i="120"/>
  <c r="C14" i="112"/>
  <c r="K9" i="112"/>
  <c r="K13" i="112" s="1"/>
  <c r="K10" i="112"/>
  <c r="K14" i="112" s="1"/>
  <c r="K16" i="112" s="1"/>
  <c r="E9" i="112"/>
  <c r="E13" i="112" s="1"/>
  <c r="E16" i="112" s="1"/>
  <c r="B5" i="111" s="1"/>
  <c r="E10" i="112"/>
  <c r="E14" i="112" s="1"/>
  <c r="G9" i="112"/>
  <c r="G13" i="112" s="1"/>
  <c r="G10" i="112"/>
  <c r="G14" i="112" s="1"/>
  <c r="G16" i="112" s="1"/>
  <c r="C5" i="111" s="1"/>
  <c r="C13" i="112"/>
  <c r="I11" i="112"/>
  <c r="I15" i="112" s="1"/>
  <c r="C15" i="112"/>
  <c r="K12" i="112"/>
  <c r="K11" i="112"/>
  <c r="K15" i="112" s="1"/>
  <c r="E12" i="112"/>
  <c r="E11" i="112"/>
  <c r="E15" i="112" s="1"/>
  <c r="I16" i="112"/>
  <c r="D5" i="111" s="1"/>
  <c r="C21" i="92"/>
  <c r="G15" i="92"/>
  <c r="G21" i="92" s="1"/>
  <c r="G16" i="92"/>
  <c r="D20" i="94"/>
  <c r="C55" i="121" l="1"/>
  <c r="K28" i="120"/>
  <c r="O16" i="116"/>
  <c r="I28" i="120"/>
  <c r="G28" i="120"/>
  <c r="E28" i="120"/>
  <c r="I16" i="116"/>
  <c r="M16" i="116"/>
  <c r="G12" i="112"/>
  <c r="I12" i="112"/>
  <c r="D19" i="74" l="1"/>
  <c r="D18" i="74"/>
  <c r="D17" i="74"/>
  <c r="D16" i="74"/>
  <c r="D15" i="74"/>
  <c r="D14" i="74"/>
  <c r="D13" i="74"/>
  <c r="D12" i="74"/>
  <c r="D11" i="74"/>
  <c r="D10" i="74"/>
  <c r="D9" i="74"/>
  <c r="E17" i="131" l="1"/>
  <c r="E16" i="131"/>
  <c r="E18" i="131" s="1"/>
  <c r="E15" i="131"/>
  <c r="E14" i="131"/>
  <c r="E44" i="125"/>
  <c r="E43" i="125"/>
  <c r="E45" i="125" s="1"/>
  <c r="E42" i="125"/>
  <c r="E41" i="125"/>
  <c r="D44" i="125"/>
  <c r="D43" i="125"/>
  <c r="D45" i="125" s="1"/>
  <c r="D42" i="125"/>
  <c r="D41" i="125"/>
  <c r="E19" i="125"/>
  <c r="E18" i="125"/>
  <c r="E20" i="125" s="1"/>
  <c r="E17" i="125"/>
  <c r="E16" i="125"/>
  <c r="D19" i="125"/>
  <c r="D18" i="125"/>
  <c r="D20" i="125" s="1"/>
  <c r="D17" i="125"/>
  <c r="D16" i="125"/>
  <c r="E45" i="123"/>
  <c r="E44" i="123"/>
  <c r="E46" i="123" s="1"/>
  <c r="E43" i="123"/>
  <c r="E42" i="123"/>
  <c r="D45" i="123"/>
  <c r="D44" i="123"/>
  <c r="D46" i="123" s="1"/>
  <c r="D43" i="123"/>
  <c r="D42" i="123"/>
  <c r="C45" i="123"/>
  <c r="C44" i="123"/>
  <c r="C46" i="123" s="1"/>
  <c r="C43" i="123"/>
  <c r="C42" i="123"/>
  <c r="B45" i="123"/>
  <c r="B44" i="123"/>
  <c r="B46" i="123" s="1"/>
  <c r="B43" i="123"/>
  <c r="B42" i="123"/>
  <c r="E23" i="123"/>
  <c r="E22" i="123"/>
  <c r="E24" i="123" s="1"/>
  <c r="E21" i="123"/>
  <c r="E20" i="123"/>
  <c r="D23" i="123"/>
  <c r="D22" i="123"/>
  <c r="D24" i="123" s="1"/>
  <c r="D21" i="123"/>
  <c r="D20" i="123"/>
  <c r="C24" i="123"/>
  <c r="C23" i="123"/>
  <c r="C22" i="123"/>
  <c r="C21" i="123"/>
  <c r="C20" i="123"/>
  <c r="B23" i="123"/>
  <c r="B22" i="123"/>
  <c r="B21" i="123"/>
  <c r="B20" i="123"/>
  <c r="B24" i="123" s="1"/>
  <c r="E17" i="111"/>
  <c r="E16" i="111"/>
  <c r="E18" i="111" s="1"/>
  <c r="E15" i="111"/>
  <c r="E14" i="111"/>
  <c r="E44" i="105"/>
  <c r="E43" i="105"/>
  <c r="E45" i="105" s="1"/>
  <c r="E42" i="105"/>
  <c r="E41" i="105"/>
  <c r="D44" i="105"/>
  <c r="D43" i="105"/>
  <c r="D45" i="105" s="1"/>
  <c r="D42" i="105"/>
  <c r="D41" i="105"/>
  <c r="E19" i="105"/>
  <c r="E18" i="105"/>
  <c r="E20" i="105" s="1"/>
  <c r="E17" i="105"/>
  <c r="E16" i="105"/>
  <c r="D19" i="105"/>
  <c r="D18" i="105"/>
  <c r="D20" i="105" s="1"/>
  <c r="D17" i="105"/>
  <c r="D16" i="105"/>
  <c r="E45" i="103"/>
  <c r="E44" i="103"/>
  <c r="E46" i="103" s="1"/>
  <c r="E43" i="103"/>
  <c r="E42" i="103"/>
  <c r="C45" i="103"/>
  <c r="C44" i="103"/>
  <c r="C46" i="103" s="1"/>
  <c r="C43" i="103"/>
  <c r="C42" i="103"/>
  <c r="E23" i="103"/>
  <c r="E22" i="103"/>
  <c r="E24" i="103" s="1"/>
  <c r="C24" i="103"/>
  <c r="C23" i="103"/>
  <c r="C22" i="103"/>
  <c r="C21" i="103"/>
  <c r="C20" i="103"/>
  <c r="B31" i="103"/>
  <c r="B32" i="103"/>
  <c r="B33" i="103"/>
  <c r="B34" i="103"/>
  <c r="B35" i="103"/>
  <c r="E17" i="71"/>
  <c r="E16" i="71"/>
  <c r="E18" i="71" s="1"/>
  <c r="E15" i="71"/>
  <c r="E14" i="71"/>
  <c r="D17" i="71"/>
  <c r="D16" i="71"/>
  <c r="D18" i="71" s="1"/>
  <c r="D15" i="71"/>
  <c r="D14" i="71"/>
  <c r="E19" i="65"/>
  <c r="E18" i="65"/>
  <c r="E20" i="65" s="1"/>
  <c r="E17" i="65"/>
  <c r="E16" i="65"/>
  <c r="D19" i="65"/>
  <c r="D18" i="65"/>
  <c r="D20" i="65" s="1"/>
  <c r="D17" i="65"/>
  <c r="D16" i="65"/>
  <c r="E45" i="63"/>
  <c r="E44" i="63"/>
  <c r="E43" i="63"/>
  <c r="E42" i="63"/>
  <c r="C45" i="63"/>
  <c r="C44" i="63"/>
  <c r="C46" i="63" s="1"/>
  <c r="C43" i="63"/>
  <c r="C42" i="63"/>
  <c r="E23" i="63"/>
  <c r="E22" i="63"/>
  <c r="E21" i="63"/>
  <c r="E20" i="63"/>
  <c r="C23" i="63"/>
  <c r="C22" i="63"/>
  <c r="C24" i="63" s="1"/>
  <c r="C21" i="63"/>
  <c r="C20" i="63"/>
  <c r="E17" i="91"/>
  <c r="E16" i="91"/>
  <c r="E18" i="91" s="1"/>
  <c r="E15" i="91"/>
  <c r="E14" i="91"/>
  <c r="D17" i="91"/>
  <c r="D16" i="91"/>
  <c r="D18" i="91" s="1"/>
  <c r="D15" i="91"/>
  <c r="D14" i="91"/>
  <c r="E44" i="85"/>
  <c r="E43" i="85"/>
  <c r="E45" i="85" s="1"/>
  <c r="E42" i="85"/>
  <c r="E41" i="85"/>
  <c r="D44" i="85"/>
  <c r="D43" i="85"/>
  <c r="D45" i="85" s="1"/>
  <c r="D42" i="85"/>
  <c r="D41" i="85"/>
  <c r="E19" i="85"/>
  <c r="E18" i="85"/>
  <c r="E20" i="85" s="1"/>
  <c r="E17" i="85"/>
  <c r="E16" i="85"/>
  <c r="D19" i="85"/>
  <c r="D18" i="85"/>
  <c r="D20" i="85" s="1"/>
  <c r="D17" i="85"/>
  <c r="D16" i="85"/>
  <c r="E45" i="83"/>
  <c r="E44" i="83"/>
  <c r="E43" i="83"/>
  <c r="E42" i="83"/>
  <c r="C45" i="83"/>
  <c r="C44" i="83"/>
  <c r="C43" i="83"/>
  <c r="C42" i="83"/>
  <c r="E23" i="83"/>
  <c r="E22" i="83"/>
  <c r="E21" i="83"/>
  <c r="E20" i="83"/>
  <c r="E45" i="142"/>
  <c r="E44" i="142"/>
  <c r="E46" i="142" s="1"/>
  <c r="E43" i="142"/>
  <c r="E42" i="142"/>
  <c r="D45" i="142"/>
  <c r="D44" i="142"/>
  <c r="D46" i="142" s="1"/>
  <c r="D43" i="142"/>
  <c r="D42" i="142"/>
  <c r="C45" i="142"/>
  <c r="C44" i="142"/>
  <c r="C46" i="142" s="1"/>
  <c r="C43" i="142"/>
  <c r="C42" i="142"/>
  <c r="E15" i="142"/>
  <c r="E14" i="142"/>
  <c r="E16" i="142" s="1"/>
  <c r="E13" i="142"/>
  <c r="E12" i="142"/>
  <c r="D15" i="142"/>
  <c r="D14" i="142"/>
  <c r="D16" i="142" s="1"/>
  <c r="D13" i="142"/>
  <c r="D12" i="142"/>
  <c r="C15" i="142"/>
  <c r="C14" i="142"/>
  <c r="C16" i="142" s="1"/>
  <c r="C13" i="142"/>
  <c r="C12" i="142"/>
  <c r="E17" i="11"/>
  <c r="E16" i="11"/>
  <c r="E18" i="11" s="1"/>
  <c r="E15" i="11"/>
  <c r="E14" i="11"/>
  <c r="D17" i="11"/>
  <c r="D16" i="11"/>
  <c r="D18" i="11" s="1"/>
  <c r="D15" i="11"/>
  <c r="D14" i="11"/>
  <c r="E21" i="4"/>
  <c r="D21" i="4"/>
  <c r="E19" i="4"/>
  <c r="E18" i="4"/>
  <c r="E20" i="4" s="1"/>
  <c r="E17" i="4"/>
  <c r="E16" i="4"/>
  <c r="D19" i="4"/>
  <c r="D18" i="4"/>
  <c r="D20" i="4" s="1"/>
  <c r="D17" i="4"/>
  <c r="D16" i="4"/>
  <c r="E47" i="2"/>
  <c r="E45" i="2"/>
  <c r="E44" i="2"/>
  <c r="E46" i="2" s="1"/>
  <c r="E43" i="2"/>
  <c r="E42" i="2"/>
  <c r="D45" i="2"/>
  <c r="D44" i="2"/>
  <c r="D46" i="2" s="1"/>
  <c r="D43" i="2"/>
  <c r="D42" i="2"/>
  <c r="C45" i="2"/>
  <c r="C44" i="2"/>
  <c r="C46" i="2" s="1"/>
  <c r="C43" i="2"/>
  <c r="C42" i="2"/>
  <c r="B46" i="2"/>
  <c r="B45" i="2"/>
  <c r="B44" i="2"/>
  <c r="B43" i="2"/>
  <c r="B42" i="2"/>
  <c r="B35" i="2"/>
  <c r="E35" i="2"/>
  <c r="D35" i="2"/>
  <c r="C35" i="2"/>
  <c r="E19" i="2"/>
  <c r="E20" i="2" s="1"/>
  <c r="D22" i="2"/>
  <c r="D21" i="2"/>
  <c r="D19" i="2"/>
  <c r="D20" i="2" s="1"/>
  <c r="C23" i="2"/>
  <c r="C22" i="2"/>
  <c r="C24" i="2" s="1"/>
  <c r="C21" i="2"/>
  <c r="C20" i="2"/>
  <c r="B24" i="2"/>
  <c r="B23" i="2"/>
  <c r="B22" i="2"/>
  <c r="B21" i="2"/>
  <c r="B20" i="2"/>
  <c r="B19" i="2"/>
  <c r="E26" i="95"/>
  <c r="E27" i="95"/>
  <c r="E28" i="95"/>
  <c r="E29" i="95"/>
  <c r="E30" i="95"/>
  <c r="D26" i="95"/>
  <c r="D27" i="95"/>
  <c r="D28" i="95"/>
  <c r="D29" i="95"/>
  <c r="D30" i="95"/>
  <c r="E24" i="63" l="1"/>
  <c r="E25" i="63" s="1"/>
  <c r="E24" i="83"/>
  <c r="E46" i="83"/>
  <c r="E46" i="63"/>
  <c r="E47" i="63" s="1"/>
  <c r="C46" i="83"/>
  <c r="E21" i="2"/>
  <c r="E22" i="2"/>
  <c r="E23" i="2"/>
  <c r="D23" i="2"/>
  <c r="D24" i="2" s="1"/>
  <c r="H24" i="61"/>
  <c r="E24" i="2" l="1"/>
  <c r="G115" i="145"/>
  <c r="G110" i="145"/>
  <c r="G105" i="145"/>
  <c r="E54" i="177" l="1"/>
  <c r="D54" i="177"/>
  <c r="B54" i="177"/>
  <c r="E53" i="177"/>
  <c r="D53" i="177"/>
  <c r="B53" i="177"/>
  <c r="E52" i="177"/>
  <c r="D52" i="177"/>
  <c r="B52" i="177"/>
  <c r="E51" i="177"/>
  <c r="D51" i="177"/>
  <c r="C51" i="177"/>
  <c r="C46" i="177"/>
  <c r="C54" i="177" s="1"/>
  <c r="B40" i="177"/>
  <c r="C33" i="177"/>
  <c r="C53" i="177" s="1"/>
  <c r="B27" i="177"/>
  <c r="C22" i="177"/>
  <c r="C52" i="177" s="1"/>
  <c r="C16" i="177"/>
  <c r="L11" i="177"/>
  <c r="L10" i="177"/>
  <c r="L9" i="177"/>
  <c r="L8" i="177"/>
  <c r="L7" i="177"/>
  <c r="B51" i="177" s="1"/>
  <c r="L6" i="177"/>
  <c r="I24" i="144"/>
  <c r="G26" i="144"/>
  <c r="H26" i="144"/>
  <c r="I26" i="144"/>
  <c r="J26" i="144"/>
  <c r="I28" i="144"/>
  <c r="G31" i="144"/>
  <c r="H31" i="144"/>
  <c r="I31" i="144"/>
  <c r="J31" i="144"/>
  <c r="J36" i="144"/>
  <c r="I36" i="144"/>
  <c r="I35" i="144"/>
  <c r="I280" i="145"/>
  <c r="I33" i="144" s="1"/>
  <c r="J280" i="145"/>
  <c r="J33" i="144" s="1"/>
  <c r="G29" i="144"/>
  <c r="H29" i="144"/>
  <c r="I29" i="144"/>
  <c r="J29" i="144"/>
  <c r="G30" i="144"/>
  <c r="H30" i="144"/>
  <c r="I30" i="144"/>
  <c r="J30" i="144"/>
  <c r="J274" i="145"/>
  <c r="J27" i="144" s="1"/>
  <c r="I274" i="145"/>
  <c r="I27" i="144" s="1"/>
  <c r="G221" i="145"/>
  <c r="G196" i="145"/>
  <c r="G165" i="145"/>
  <c r="J24" i="144"/>
  <c r="H24" i="144"/>
  <c r="B55" i="177" l="1"/>
  <c r="E19" i="82" s="1"/>
  <c r="G97" i="145"/>
  <c r="G21" i="145" s="1"/>
  <c r="J34" i="144"/>
  <c r="I34" i="144"/>
  <c r="J28" i="144"/>
  <c r="J32" i="144"/>
  <c r="J35" i="144"/>
  <c r="I32" i="144"/>
  <c r="H274" i="145"/>
  <c r="H27" i="144" s="1"/>
  <c r="H28" i="144"/>
  <c r="C55" i="177"/>
  <c r="F20" i="61" l="1"/>
  <c r="E20" i="61" s="1"/>
  <c r="D19" i="82"/>
  <c r="H35" i="144"/>
  <c r="H32" i="144"/>
  <c r="H34" i="144" l="1"/>
  <c r="H36" i="144"/>
  <c r="H280" i="145" l="1"/>
  <c r="H33" i="144" s="1"/>
  <c r="F278" i="145"/>
  <c r="F31" i="144" s="1"/>
  <c r="F273" i="145"/>
  <c r="F26" i="144" s="1"/>
  <c r="J272" i="145"/>
  <c r="I272" i="145"/>
  <c r="I25" i="144" s="1"/>
  <c r="H272" i="145"/>
  <c r="G272" i="145"/>
  <c r="G25" i="144" s="1"/>
  <c r="J226" i="145"/>
  <c r="J221" i="145"/>
  <c r="I221" i="145"/>
  <c r="H221" i="145"/>
  <c r="J216" i="145"/>
  <c r="J210" i="145"/>
  <c r="I210" i="145"/>
  <c r="H210" i="145"/>
  <c r="G210" i="145"/>
  <c r="J208" i="145"/>
  <c r="I208" i="145"/>
  <c r="H208" i="145"/>
  <c r="J201" i="145"/>
  <c r="J199" i="145" s="1"/>
  <c r="I201" i="145"/>
  <c r="J196" i="145"/>
  <c r="J194" i="145" s="1"/>
  <c r="I196" i="145"/>
  <c r="I194" i="145" s="1"/>
  <c r="H196" i="145"/>
  <c r="H194" i="145" s="1"/>
  <c r="G194" i="145"/>
  <c r="F229" i="145"/>
  <c r="F224" i="145"/>
  <c r="F219" i="145"/>
  <c r="F213" i="145"/>
  <c r="F212" i="145"/>
  <c r="F211" i="145"/>
  <c r="F206" i="145"/>
  <c r="F200" i="145"/>
  <c r="F197" i="145"/>
  <c r="F195" i="145"/>
  <c r="H188" i="145"/>
  <c r="J172" i="145"/>
  <c r="I172" i="145"/>
  <c r="H172" i="145"/>
  <c r="H20" i="145" s="1"/>
  <c r="G172" i="145"/>
  <c r="J170" i="145"/>
  <c r="H170" i="145"/>
  <c r="I165" i="145"/>
  <c r="J163" i="145"/>
  <c r="J161" i="145" s="1"/>
  <c r="I163" i="145"/>
  <c r="I161" i="145" s="1"/>
  <c r="H158" i="145"/>
  <c r="F191" i="145"/>
  <c r="F190" i="145"/>
  <c r="F186" i="145"/>
  <c r="F185" i="145"/>
  <c r="F181" i="145"/>
  <c r="F180" i="145"/>
  <c r="F175" i="145"/>
  <c r="F174" i="145"/>
  <c r="F173" i="145"/>
  <c r="F168" i="145"/>
  <c r="F162" i="145"/>
  <c r="F159" i="145"/>
  <c r="F157" i="145"/>
  <c r="H145" i="145"/>
  <c r="J134" i="145"/>
  <c r="I134" i="145"/>
  <c r="H134" i="145"/>
  <c r="G134" i="145"/>
  <c r="J132" i="145"/>
  <c r="I132" i="145"/>
  <c r="H120" i="145"/>
  <c r="H118" i="145" s="1"/>
  <c r="F153" i="145"/>
  <c r="F152" i="145"/>
  <c r="F148" i="145"/>
  <c r="F147" i="145"/>
  <c r="F143" i="145"/>
  <c r="F142" i="145"/>
  <c r="F137" i="145"/>
  <c r="F136" i="145"/>
  <c r="F135" i="145"/>
  <c r="F130" i="145"/>
  <c r="F124" i="145"/>
  <c r="F121" i="145"/>
  <c r="F119" i="145"/>
  <c r="H107" i="145"/>
  <c r="J96" i="145"/>
  <c r="I96" i="145"/>
  <c r="H96" i="145"/>
  <c r="G96" i="145"/>
  <c r="J87" i="145"/>
  <c r="J85" i="145" s="1"/>
  <c r="I87" i="145"/>
  <c r="I85" i="145" s="1"/>
  <c r="F115" i="145"/>
  <c r="F110" i="145"/>
  <c r="F105" i="145"/>
  <c r="F99" i="145"/>
  <c r="F98" i="145"/>
  <c r="F97" i="145"/>
  <c r="F21" i="145" s="1"/>
  <c r="F86" i="145"/>
  <c r="F83" i="145"/>
  <c r="F81" i="145"/>
  <c r="J58" i="145"/>
  <c r="I58" i="145"/>
  <c r="J56" i="145"/>
  <c r="I56" i="145"/>
  <c r="H56" i="145"/>
  <c r="G56" i="145"/>
  <c r="J69" i="145"/>
  <c r="J64" i="145"/>
  <c r="F76" i="145"/>
  <c r="F72" i="145"/>
  <c r="F71" i="145"/>
  <c r="F67" i="145"/>
  <c r="F66" i="145"/>
  <c r="J44" i="145"/>
  <c r="J42" i="145" s="1"/>
  <c r="I44" i="145"/>
  <c r="H44" i="145"/>
  <c r="F77" i="145"/>
  <c r="F61" i="145"/>
  <c r="F60" i="145"/>
  <c r="F59" i="145"/>
  <c r="F48" i="145"/>
  <c r="F45" i="145"/>
  <c r="F43" i="145"/>
  <c r="G20" i="145" l="1"/>
  <c r="I270" i="145"/>
  <c r="I23" i="144" s="1"/>
  <c r="H270" i="145"/>
  <c r="H23" i="144" s="1"/>
  <c r="H25" i="144"/>
  <c r="J270" i="145"/>
  <c r="J23" i="144" s="1"/>
  <c r="J25" i="144"/>
  <c r="F277" i="145"/>
  <c r="F30" i="144" s="1"/>
  <c r="I42" i="145"/>
  <c r="F272" i="145"/>
  <c r="F25" i="144" s="1"/>
  <c r="H42" i="145"/>
  <c r="F96" i="145"/>
  <c r="F276" i="145"/>
  <c r="F29" i="144" s="1"/>
  <c r="F210" i="145"/>
  <c r="F221" i="145"/>
  <c r="F172" i="145"/>
  <c r="F134" i="145"/>
  <c r="I199" i="145"/>
  <c r="F196" i="145"/>
  <c r="F194" i="145" s="1"/>
  <c r="H156" i="145"/>
  <c r="F92" i="145"/>
  <c r="F58" i="145"/>
  <c r="F56" i="145"/>
  <c r="E31" i="61"/>
  <c r="E30" i="61"/>
  <c r="E29" i="61"/>
  <c r="K9" i="144"/>
  <c r="K11" i="144" s="1"/>
  <c r="M9" i="144"/>
  <c r="M11" i="144" s="1"/>
  <c r="L9" i="144"/>
  <c r="L11" i="144" s="1"/>
  <c r="B51" i="23"/>
  <c r="D15" i="14"/>
  <c r="J15" i="14"/>
  <c r="H15" i="14"/>
  <c r="F15" i="14"/>
  <c r="F20" i="145" l="1"/>
  <c r="I269" i="145"/>
  <c r="I22" i="144" s="1"/>
  <c r="O22" i="144" s="1"/>
  <c r="O23" i="144" s="1"/>
  <c r="H269" i="145"/>
  <c r="H22" i="144" s="1"/>
  <c r="N22" i="144" s="1"/>
  <c r="J269" i="145"/>
  <c r="J22" i="144" s="1"/>
  <c r="P22" i="144" s="1"/>
  <c r="P23" i="144" s="1"/>
  <c r="L10" i="144"/>
  <c r="K10" i="144"/>
  <c r="M10" i="144"/>
  <c r="I268" i="145" l="1"/>
  <c r="I21" i="144" s="1"/>
  <c r="H22" i="61"/>
  <c r="N23" i="144"/>
  <c r="F8" i="144" s="1"/>
  <c r="H268" i="145"/>
  <c r="H21" i="144" s="1"/>
  <c r="J268" i="145"/>
  <c r="J21" i="144" s="1"/>
  <c r="E8" i="75"/>
  <c r="D8" i="75"/>
  <c r="E8" i="115"/>
  <c r="C8" i="115"/>
  <c r="E8" i="135"/>
  <c r="D8" i="135"/>
  <c r="C8" i="135"/>
  <c r="H18" i="144"/>
  <c r="G18" i="144"/>
  <c r="H17" i="144"/>
  <c r="G17" i="144"/>
  <c r="F17" i="144"/>
  <c r="E17" i="144"/>
  <c r="D17" i="144"/>
  <c r="F15" i="144"/>
  <c r="E15" i="144"/>
  <c r="D14" i="144"/>
  <c r="H15" i="144"/>
  <c r="G15" i="144"/>
  <c r="F11" i="144"/>
  <c r="E11" i="144"/>
  <c r="D9" i="144"/>
  <c r="H6" i="144"/>
  <c r="G6" i="144"/>
  <c r="H5" i="144"/>
  <c r="H7" i="144" s="1"/>
  <c r="G5" i="144"/>
  <c r="G7" i="144" s="1"/>
  <c r="D5" i="144"/>
  <c r="L11" i="141"/>
  <c r="L10" i="141"/>
  <c r="L9" i="141"/>
  <c r="L8" i="141"/>
  <c r="L7" i="141"/>
  <c r="L6" i="141"/>
  <c r="E23" i="139"/>
  <c r="E24" i="139"/>
  <c r="E25" i="139"/>
  <c r="E26" i="139"/>
  <c r="E27" i="139"/>
  <c r="D23" i="139"/>
  <c r="D24" i="139"/>
  <c r="D25" i="139"/>
  <c r="D26" i="139"/>
  <c r="D27" i="139"/>
  <c r="C23" i="139"/>
  <c r="C24" i="139"/>
  <c r="C25" i="139"/>
  <c r="C26" i="139"/>
  <c r="C27" i="139"/>
  <c r="B27" i="139"/>
  <c r="B26" i="139"/>
  <c r="B25" i="139"/>
  <c r="B24" i="139"/>
  <c r="B23" i="139"/>
  <c r="F36" i="140"/>
  <c r="G36" i="140" s="1"/>
  <c r="F41" i="140"/>
  <c r="G41" i="140" s="1"/>
  <c r="F40" i="140"/>
  <c r="G40" i="140" s="1"/>
  <c r="F39" i="140"/>
  <c r="G39" i="140" s="1"/>
  <c r="F38" i="140"/>
  <c r="G38" i="140" s="1"/>
  <c r="F37" i="140"/>
  <c r="G37" i="140" s="1"/>
  <c r="F35" i="140"/>
  <c r="G35" i="140" s="1"/>
  <c r="F34" i="140"/>
  <c r="G34" i="140" s="1"/>
  <c r="F33" i="140"/>
  <c r="G33" i="140" s="1"/>
  <c r="F32" i="140"/>
  <c r="G32" i="140" s="1"/>
  <c r="F31" i="140"/>
  <c r="G31" i="140" s="1"/>
  <c r="E26" i="135"/>
  <c r="E27" i="135"/>
  <c r="E28" i="135"/>
  <c r="E29" i="135"/>
  <c r="E30" i="135"/>
  <c r="D26" i="135"/>
  <c r="D27" i="135"/>
  <c r="D28" i="135"/>
  <c r="D29" i="135"/>
  <c r="D30" i="135"/>
  <c r="C26" i="135"/>
  <c r="C27" i="135"/>
  <c r="C28" i="135"/>
  <c r="C29" i="135"/>
  <c r="C30" i="135"/>
  <c r="N17" i="136"/>
  <c r="H29" i="136"/>
  <c r="H28" i="136"/>
  <c r="H27" i="136"/>
  <c r="H26" i="136"/>
  <c r="H25" i="136"/>
  <c r="H24" i="136"/>
  <c r="H23" i="136"/>
  <c r="H22" i="136"/>
  <c r="H21" i="136"/>
  <c r="H20" i="136"/>
  <c r="H19" i="136"/>
  <c r="M16" i="136"/>
  <c r="K15" i="136"/>
  <c r="K14" i="136"/>
  <c r="D25" i="131"/>
  <c r="D26" i="131"/>
  <c r="D27" i="131"/>
  <c r="D28" i="131"/>
  <c r="D29" i="131"/>
  <c r="C25" i="131"/>
  <c r="C26" i="131"/>
  <c r="C27" i="131"/>
  <c r="C28" i="131"/>
  <c r="C29" i="131"/>
  <c r="B29" i="131"/>
  <c r="B28" i="131"/>
  <c r="B27" i="131"/>
  <c r="B26" i="131"/>
  <c r="B25" i="131"/>
  <c r="J15" i="134"/>
  <c r="I15" i="134"/>
  <c r="H15" i="134"/>
  <c r="G15" i="134"/>
  <c r="F15" i="134"/>
  <c r="E15" i="134"/>
  <c r="C27" i="125"/>
  <c r="C28" i="125"/>
  <c r="C29" i="125"/>
  <c r="C30" i="125"/>
  <c r="C31" i="125"/>
  <c r="B31" i="125"/>
  <c r="B30" i="125"/>
  <c r="B29" i="125"/>
  <c r="B28" i="125"/>
  <c r="B27" i="125"/>
  <c r="F26" i="126"/>
  <c r="F25" i="126"/>
  <c r="C20" i="5"/>
  <c r="C19" i="5"/>
  <c r="C18" i="5"/>
  <c r="C17" i="5"/>
  <c r="C16" i="5"/>
  <c r="C15" i="5"/>
  <c r="C14" i="5"/>
  <c r="C12" i="5"/>
  <c r="C11" i="5"/>
  <c r="C10" i="5"/>
  <c r="C19" i="86"/>
  <c r="C18" i="86"/>
  <c r="C17" i="86"/>
  <c r="C16" i="86"/>
  <c r="C15" i="86"/>
  <c r="C14" i="86"/>
  <c r="C13" i="86"/>
  <c r="C11" i="86"/>
  <c r="C12" i="86" s="1"/>
  <c r="C10" i="86"/>
  <c r="C9" i="86"/>
  <c r="C19" i="66"/>
  <c r="C18" i="66"/>
  <c r="C17" i="66"/>
  <c r="C16" i="66"/>
  <c r="C15" i="66"/>
  <c r="C14" i="66"/>
  <c r="C13" i="66"/>
  <c r="C11" i="66"/>
  <c r="C12" i="66" s="1"/>
  <c r="C10" i="66"/>
  <c r="C9" i="66"/>
  <c r="C19" i="106"/>
  <c r="C18" i="106"/>
  <c r="C17" i="106"/>
  <c r="C16" i="106"/>
  <c r="C15" i="106"/>
  <c r="C14" i="106"/>
  <c r="C13" i="106"/>
  <c r="C12" i="106"/>
  <c r="C11" i="106"/>
  <c r="C10" i="106"/>
  <c r="C9" i="106"/>
  <c r="C19" i="126"/>
  <c r="C18" i="126"/>
  <c r="C17" i="126"/>
  <c r="C16" i="126"/>
  <c r="C15" i="126"/>
  <c r="C14" i="126"/>
  <c r="C13" i="126"/>
  <c r="C12" i="126" s="1"/>
  <c r="C11" i="126"/>
  <c r="C10" i="126"/>
  <c r="C9" i="126"/>
  <c r="H35" i="126"/>
  <c r="F35" i="126"/>
  <c r="G35" i="126" s="1"/>
  <c r="I35" i="126" s="1"/>
  <c r="H34" i="126"/>
  <c r="F34" i="126"/>
  <c r="G34" i="126" s="1"/>
  <c r="I34" i="126" s="1"/>
  <c r="H33" i="126"/>
  <c r="F33" i="126"/>
  <c r="G33" i="126" s="1"/>
  <c r="I33" i="126" s="1"/>
  <c r="H32" i="126"/>
  <c r="F32" i="126"/>
  <c r="G32" i="126" s="1"/>
  <c r="I32" i="126" s="1"/>
  <c r="H31" i="126"/>
  <c r="F31" i="126"/>
  <c r="G31" i="126" s="1"/>
  <c r="F30" i="126"/>
  <c r="G30" i="126" s="1"/>
  <c r="H29" i="126"/>
  <c r="F29" i="126"/>
  <c r="G29" i="126" s="1"/>
  <c r="F28" i="126"/>
  <c r="G28" i="126" s="1"/>
  <c r="F27" i="126"/>
  <c r="G27" i="126" s="1"/>
  <c r="G26" i="126"/>
  <c r="G25" i="126"/>
  <c r="L11" i="121"/>
  <c r="L10" i="121"/>
  <c r="L9" i="121"/>
  <c r="L8" i="121"/>
  <c r="L7" i="121"/>
  <c r="L6" i="121"/>
  <c r="E23" i="119"/>
  <c r="E24" i="119"/>
  <c r="E25" i="119"/>
  <c r="E26" i="119"/>
  <c r="E27" i="119"/>
  <c r="D23" i="119"/>
  <c r="D24" i="119"/>
  <c r="D25" i="119"/>
  <c r="D26" i="119"/>
  <c r="D27" i="119"/>
  <c r="C23" i="119"/>
  <c r="C24" i="119"/>
  <c r="C25" i="119"/>
  <c r="C26" i="119"/>
  <c r="C27" i="119"/>
  <c r="B27" i="119"/>
  <c r="B26" i="119"/>
  <c r="B25" i="119"/>
  <c r="B24" i="119"/>
  <c r="B23" i="119"/>
  <c r="F41" i="120"/>
  <c r="H41" i="120" s="1"/>
  <c r="F40" i="120"/>
  <c r="H40" i="120" s="1"/>
  <c r="F39" i="120"/>
  <c r="H39" i="120" s="1"/>
  <c r="F38" i="120"/>
  <c r="H38" i="120" s="1"/>
  <c r="F37" i="120"/>
  <c r="H37" i="120" s="1"/>
  <c r="F36" i="120"/>
  <c r="H36" i="120" s="1"/>
  <c r="F35" i="120"/>
  <c r="H35" i="120" s="1"/>
  <c r="F34" i="120"/>
  <c r="H34" i="120" s="1"/>
  <c r="F33" i="120"/>
  <c r="H33" i="120" s="1"/>
  <c r="F32" i="120"/>
  <c r="H32" i="120" s="1"/>
  <c r="F31" i="120"/>
  <c r="H31" i="120" s="1"/>
  <c r="E26" i="115"/>
  <c r="E27" i="115"/>
  <c r="D26" i="115"/>
  <c r="D27" i="115"/>
  <c r="E28" i="115"/>
  <c r="E29" i="115"/>
  <c r="E30" i="115"/>
  <c r="D28" i="115"/>
  <c r="D29" i="115"/>
  <c r="D30" i="115"/>
  <c r="H19" i="116"/>
  <c r="H28" i="116"/>
  <c r="H27" i="116"/>
  <c r="H26" i="116"/>
  <c r="H25" i="116"/>
  <c r="H24" i="116"/>
  <c r="H23" i="116"/>
  <c r="H22" i="116"/>
  <c r="H21" i="116"/>
  <c r="H20" i="116"/>
  <c r="H18" i="116"/>
  <c r="D25" i="111"/>
  <c r="D26" i="111"/>
  <c r="D27" i="111"/>
  <c r="D28" i="111"/>
  <c r="D29" i="111"/>
  <c r="C25" i="111"/>
  <c r="C26" i="111"/>
  <c r="C27" i="111"/>
  <c r="C28" i="111"/>
  <c r="C29" i="111"/>
  <c r="B29" i="111"/>
  <c r="B28" i="111"/>
  <c r="B27" i="111"/>
  <c r="B26" i="111"/>
  <c r="B25" i="111"/>
  <c r="C27" i="105"/>
  <c r="C28" i="105"/>
  <c r="C29" i="105"/>
  <c r="C30" i="105"/>
  <c r="C31" i="105"/>
  <c r="B31" i="105"/>
  <c r="B30" i="105"/>
  <c r="B29" i="105"/>
  <c r="B28" i="105"/>
  <c r="B27" i="105"/>
  <c r="F11" i="109"/>
  <c r="F10" i="109"/>
  <c r="F9" i="109"/>
  <c r="F8" i="109"/>
  <c r="F25" i="106"/>
  <c r="F35" i="106"/>
  <c r="F34" i="106"/>
  <c r="F33" i="106"/>
  <c r="F32" i="106"/>
  <c r="F31" i="106"/>
  <c r="F30" i="106"/>
  <c r="F29" i="106"/>
  <c r="F28" i="106"/>
  <c r="F27" i="106"/>
  <c r="F26" i="106"/>
  <c r="B11" i="103"/>
  <c r="B10" i="103"/>
  <c r="L11" i="81"/>
  <c r="L10" i="81"/>
  <c r="L9" i="81"/>
  <c r="L8" i="81"/>
  <c r="L7" i="81"/>
  <c r="L6" i="81"/>
  <c r="E23" i="79"/>
  <c r="E24" i="79"/>
  <c r="E25" i="79"/>
  <c r="E26" i="79"/>
  <c r="E27" i="79"/>
  <c r="D23" i="79"/>
  <c r="D24" i="79"/>
  <c r="D25" i="79"/>
  <c r="D26" i="79"/>
  <c r="D27" i="79"/>
  <c r="C23" i="79"/>
  <c r="C24" i="79"/>
  <c r="C25" i="79"/>
  <c r="C26" i="79"/>
  <c r="C27" i="79"/>
  <c r="B27" i="79"/>
  <c r="B26" i="79"/>
  <c r="B25" i="79"/>
  <c r="B24" i="79"/>
  <c r="B23" i="79"/>
  <c r="F36" i="80"/>
  <c r="H36" i="80" s="1"/>
  <c r="F41" i="80"/>
  <c r="H41" i="80" s="1"/>
  <c r="F40" i="80"/>
  <c r="H40" i="80" s="1"/>
  <c r="F39" i="80"/>
  <c r="H39" i="80" s="1"/>
  <c r="F38" i="80"/>
  <c r="H38" i="80" s="1"/>
  <c r="F37" i="80"/>
  <c r="H37" i="80" s="1"/>
  <c r="F35" i="80"/>
  <c r="H35" i="80" s="1"/>
  <c r="F34" i="80"/>
  <c r="H34" i="80" s="1"/>
  <c r="F33" i="80"/>
  <c r="H33" i="80" s="1"/>
  <c r="F32" i="80"/>
  <c r="H32" i="80" s="1"/>
  <c r="F31" i="80"/>
  <c r="H31" i="80" s="1"/>
  <c r="E28" i="75"/>
  <c r="E29" i="75"/>
  <c r="E30" i="75"/>
  <c r="D28" i="75"/>
  <c r="D29" i="75"/>
  <c r="D30" i="75"/>
  <c r="C28" i="75"/>
  <c r="C29" i="75"/>
  <c r="C30" i="75"/>
  <c r="E26" i="75"/>
  <c r="E27" i="75"/>
  <c r="N23" i="76"/>
  <c r="H26" i="76"/>
  <c r="O16" i="76"/>
  <c r="O15" i="76"/>
  <c r="M14" i="76"/>
  <c r="M13" i="76"/>
  <c r="O12" i="76"/>
  <c r="O11" i="76"/>
  <c r="H35" i="76"/>
  <c r="J35" i="76" s="1"/>
  <c r="H34" i="76"/>
  <c r="J34" i="76" s="1"/>
  <c r="H33" i="76"/>
  <c r="J33" i="76" s="1"/>
  <c r="H32" i="76"/>
  <c r="J32" i="76" s="1"/>
  <c r="H31" i="76"/>
  <c r="J31" i="76" s="1"/>
  <c r="H30" i="76"/>
  <c r="J30" i="76" s="1"/>
  <c r="H29" i="76"/>
  <c r="J29" i="76" s="1"/>
  <c r="H28" i="76"/>
  <c r="J28" i="76" s="1"/>
  <c r="H27" i="76"/>
  <c r="J27" i="76" s="1"/>
  <c r="H25" i="76"/>
  <c r="F12" i="144" l="1"/>
  <c r="G28" i="61" s="1"/>
  <c r="G22" i="61"/>
  <c r="G24" i="61"/>
  <c r="C13" i="5"/>
  <c r="K13" i="76"/>
  <c r="M11" i="76"/>
  <c r="M15" i="76"/>
  <c r="O13" i="76"/>
  <c r="K14" i="76"/>
  <c r="M12" i="76"/>
  <c r="M16" i="76"/>
  <c r="O14" i="76"/>
  <c r="K11" i="76"/>
  <c r="K15" i="76"/>
  <c r="K12" i="76"/>
  <c r="K16" i="76"/>
  <c r="K16" i="136"/>
  <c r="K17" i="136" s="1"/>
  <c r="O14" i="136"/>
  <c r="M14" i="136"/>
  <c r="O15" i="136"/>
  <c r="M15" i="136"/>
  <c r="O16" i="136"/>
  <c r="D15" i="144"/>
  <c r="D13" i="144"/>
  <c r="H32" i="140"/>
  <c r="I32" i="140" s="1"/>
  <c r="H34" i="140"/>
  <c r="I34" i="140" s="1"/>
  <c r="H36" i="140"/>
  <c r="I36" i="140" s="1"/>
  <c r="H38" i="140"/>
  <c r="I38" i="140" s="1"/>
  <c r="H40" i="140"/>
  <c r="I40" i="140" s="1"/>
  <c r="H31" i="140"/>
  <c r="I31" i="140" s="1"/>
  <c r="H33" i="140"/>
  <c r="I33" i="140" s="1"/>
  <c r="H35" i="140"/>
  <c r="I35" i="140" s="1"/>
  <c r="H37" i="140"/>
  <c r="I37" i="140" s="1"/>
  <c r="H39" i="140"/>
  <c r="I39" i="140" s="1"/>
  <c r="H41" i="140"/>
  <c r="I41" i="140" s="1"/>
  <c r="I19" i="136"/>
  <c r="I20" i="136"/>
  <c r="I21" i="136"/>
  <c r="I22" i="136"/>
  <c r="I23" i="136"/>
  <c r="I24" i="136"/>
  <c r="I25" i="136"/>
  <c r="I26" i="136"/>
  <c r="I27" i="136"/>
  <c r="I28" i="136"/>
  <c r="I29" i="136"/>
  <c r="J19" i="136"/>
  <c r="J20" i="136"/>
  <c r="J21" i="136"/>
  <c r="J22" i="136"/>
  <c r="J23" i="136"/>
  <c r="J24" i="136"/>
  <c r="J25" i="136"/>
  <c r="J26" i="136"/>
  <c r="J27" i="136"/>
  <c r="J28" i="136"/>
  <c r="J29" i="136"/>
  <c r="H28" i="126"/>
  <c r="I28" i="126"/>
  <c r="I27" i="126"/>
  <c r="H27" i="126"/>
  <c r="H30" i="126"/>
  <c r="I30" i="126" s="1"/>
  <c r="I29" i="126"/>
  <c r="I31" i="126"/>
  <c r="H26" i="126"/>
  <c r="I26" i="126" s="1"/>
  <c r="H25" i="126"/>
  <c r="I25" i="126" s="1"/>
  <c r="I31" i="120"/>
  <c r="G31" i="120"/>
  <c r="G32" i="120"/>
  <c r="I32" i="120" s="1"/>
  <c r="G33" i="120"/>
  <c r="I33" i="120" s="1"/>
  <c r="G34" i="120"/>
  <c r="I34" i="120" s="1"/>
  <c r="G35" i="120"/>
  <c r="I35" i="120" s="1"/>
  <c r="G36" i="120"/>
  <c r="I36" i="120" s="1"/>
  <c r="G37" i="120"/>
  <c r="I37" i="120" s="1"/>
  <c r="G38" i="120"/>
  <c r="I38" i="120" s="1"/>
  <c r="G39" i="120"/>
  <c r="I39" i="120" s="1"/>
  <c r="G40" i="120"/>
  <c r="I40" i="120" s="1"/>
  <c r="G41" i="120"/>
  <c r="I41" i="120" s="1"/>
  <c r="I18" i="116"/>
  <c r="I19" i="116"/>
  <c r="I20" i="116"/>
  <c r="I21" i="116"/>
  <c r="I22" i="116"/>
  <c r="I23" i="116"/>
  <c r="I24" i="116"/>
  <c r="I25" i="116"/>
  <c r="I26" i="116"/>
  <c r="I27" i="116"/>
  <c r="I28" i="116"/>
  <c r="J18" i="116"/>
  <c r="J19" i="116"/>
  <c r="J20" i="116"/>
  <c r="J21" i="116"/>
  <c r="J22" i="116"/>
  <c r="J23" i="116"/>
  <c r="J24" i="116"/>
  <c r="J25" i="116"/>
  <c r="J26" i="116"/>
  <c r="J27" i="116"/>
  <c r="J28" i="116"/>
  <c r="G25" i="106"/>
  <c r="G26" i="106"/>
  <c r="G27" i="106"/>
  <c r="G28" i="106"/>
  <c r="G29" i="106"/>
  <c r="G30" i="106"/>
  <c r="G31" i="106"/>
  <c r="G32" i="106"/>
  <c r="G33" i="106"/>
  <c r="G34" i="106"/>
  <c r="G35" i="106"/>
  <c r="H25" i="106"/>
  <c r="H26" i="106"/>
  <c r="H27" i="106"/>
  <c r="I27" i="106" s="1"/>
  <c r="H28" i="106"/>
  <c r="H29" i="106"/>
  <c r="H30" i="106"/>
  <c r="H31" i="106"/>
  <c r="H32" i="106"/>
  <c r="H33" i="106"/>
  <c r="H34" i="106"/>
  <c r="H35" i="106"/>
  <c r="G31" i="80"/>
  <c r="I31" i="80" s="1"/>
  <c r="G32" i="80"/>
  <c r="I32" i="80" s="1"/>
  <c r="G33" i="80"/>
  <c r="I33" i="80" s="1"/>
  <c r="G34" i="80"/>
  <c r="I34" i="80" s="1"/>
  <c r="G35" i="80"/>
  <c r="I35" i="80" s="1"/>
  <c r="G36" i="80"/>
  <c r="I36" i="80" s="1"/>
  <c r="G37" i="80"/>
  <c r="I37" i="80" s="1"/>
  <c r="G38" i="80"/>
  <c r="I38" i="80" s="1"/>
  <c r="G39" i="80"/>
  <c r="I39" i="80" s="1"/>
  <c r="G40" i="80"/>
  <c r="I40" i="80" s="1"/>
  <c r="G41" i="80"/>
  <c r="I41" i="80" s="1"/>
  <c r="I25" i="76"/>
  <c r="I26" i="76"/>
  <c r="I27" i="76"/>
  <c r="K27" i="76" s="1"/>
  <c r="I28" i="76"/>
  <c r="K28" i="76" s="1"/>
  <c r="I29" i="76"/>
  <c r="K29" i="76" s="1"/>
  <c r="I30" i="76"/>
  <c r="K30" i="76" s="1"/>
  <c r="I31" i="76"/>
  <c r="K31" i="76" s="1"/>
  <c r="I32" i="76"/>
  <c r="K32" i="76" s="1"/>
  <c r="I33" i="76"/>
  <c r="K33" i="76" s="1"/>
  <c r="I34" i="76"/>
  <c r="K34" i="76" s="1"/>
  <c r="I35" i="76"/>
  <c r="K35" i="76" s="1"/>
  <c r="J25" i="76"/>
  <c r="J26" i="76"/>
  <c r="K28" i="136" l="1"/>
  <c r="O17" i="136"/>
  <c r="K26" i="116"/>
  <c r="K26" i="136"/>
  <c r="K29" i="136"/>
  <c r="K25" i="136"/>
  <c r="K21" i="136"/>
  <c r="K24" i="136"/>
  <c r="K20" i="136"/>
  <c r="K27" i="136"/>
  <c r="K19" i="136"/>
  <c r="K22" i="136"/>
  <c r="K23" i="136"/>
  <c r="K25" i="116"/>
  <c r="K21" i="116"/>
  <c r="K28" i="116"/>
  <c r="K24" i="116"/>
  <c r="K20" i="116"/>
  <c r="K27" i="116"/>
  <c r="K23" i="116"/>
  <c r="K19" i="116"/>
  <c r="K22" i="116"/>
  <c r="K18" i="116"/>
  <c r="I32" i="106"/>
  <c r="I28" i="106"/>
  <c r="I35" i="106"/>
  <c r="I31" i="106"/>
  <c r="I34" i="106"/>
  <c r="I26" i="106"/>
  <c r="I33" i="106"/>
  <c r="I25" i="106"/>
  <c r="I30" i="106"/>
  <c r="I29" i="106"/>
  <c r="K25" i="76"/>
  <c r="K26" i="76"/>
  <c r="C29" i="71" l="1"/>
  <c r="C28" i="71"/>
  <c r="C27" i="71"/>
  <c r="C26" i="71"/>
  <c r="C25" i="71"/>
  <c r="B28" i="71"/>
  <c r="B27" i="71"/>
  <c r="B26" i="71"/>
  <c r="B25" i="71"/>
  <c r="K42" i="72"/>
  <c r="K41" i="72"/>
  <c r="K40" i="72"/>
  <c r="K39" i="72"/>
  <c r="K38" i="72"/>
  <c r="I41" i="72"/>
  <c r="I40" i="72"/>
  <c r="I39" i="72"/>
  <c r="I38" i="72"/>
  <c r="I42" i="72"/>
  <c r="K36" i="72"/>
  <c r="K35" i="72"/>
  <c r="K34" i="72"/>
  <c r="K33" i="72"/>
  <c r="K32" i="72"/>
  <c r="J25" i="72"/>
  <c r="H25" i="72"/>
  <c r="F25" i="72"/>
  <c r="D25" i="72"/>
  <c r="J23" i="72"/>
  <c r="H23" i="72"/>
  <c r="F23" i="72"/>
  <c r="D23" i="72"/>
  <c r="J22" i="72"/>
  <c r="H22" i="72"/>
  <c r="F22" i="72"/>
  <c r="D22" i="72"/>
  <c r="C28" i="65"/>
  <c r="C31" i="65"/>
  <c r="C30" i="65"/>
  <c r="C29" i="65"/>
  <c r="C27" i="65"/>
  <c r="B31" i="65"/>
  <c r="B30" i="65"/>
  <c r="B29" i="65"/>
  <c r="B28" i="65"/>
  <c r="B27" i="65"/>
  <c r="F11" i="69"/>
  <c r="F10" i="69"/>
  <c r="F9" i="69"/>
  <c r="F8" i="69"/>
  <c r="H30" i="66"/>
  <c r="G30" i="66"/>
  <c r="I30" i="66" s="1"/>
  <c r="I29" i="66"/>
  <c r="H29" i="66"/>
  <c r="G29" i="66"/>
  <c r="H28" i="66"/>
  <c r="I28" i="66" s="1"/>
  <c r="G28" i="66"/>
  <c r="H27" i="66"/>
  <c r="G27" i="66"/>
  <c r="I27" i="66" s="1"/>
  <c r="I25" i="66"/>
  <c r="H25" i="66"/>
  <c r="G25" i="66"/>
  <c r="H26" i="66"/>
  <c r="I26" i="66" s="1"/>
  <c r="G26" i="66"/>
  <c r="G35" i="66"/>
  <c r="G34" i="66"/>
  <c r="G33" i="66"/>
  <c r="I33" i="66" s="1"/>
  <c r="G32" i="66"/>
  <c r="G31" i="66"/>
  <c r="H35" i="66"/>
  <c r="H34" i="66"/>
  <c r="I34" i="66"/>
  <c r="H33" i="66"/>
  <c r="I32" i="66"/>
  <c r="H32" i="66"/>
  <c r="H31" i="66"/>
  <c r="I31" i="66" s="1"/>
  <c r="F26" i="66"/>
  <c r="F35" i="66"/>
  <c r="F34" i="66"/>
  <c r="F33" i="66"/>
  <c r="F32" i="66"/>
  <c r="F31" i="66"/>
  <c r="F30" i="66"/>
  <c r="F29" i="66"/>
  <c r="F28" i="66"/>
  <c r="F27" i="66"/>
  <c r="F25" i="66"/>
  <c r="E27" i="21"/>
  <c r="D27" i="21"/>
  <c r="C27" i="21"/>
  <c r="E23" i="21"/>
  <c r="E24" i="21"/>
  <c r="E25" i="21"/>
  <c r="E26" i="21"/>
  <c r="D23" i="21"/>
  <c r="D24" i="21"/>
  <c r="D25" i="21"/>
  <c r="D26" i="21"/>
  <c r="C23" i="21"/>
  <c r="C24" i="21"/>
  <c r="C25" i="21"/>
  <c r="C26" i="21"/>
  <c r="E19" i="22"/>
  <c r="E15" i="22"/>
  <c r="F41" i="22"/>
  <c r="H41" i="22" s="1"/>
  <c r="F40" i="22"/>
  <c r="H40" i="22" s="1"/>
  <c r="F39" i="22"/>
  <c r="H39" i="22" s="1"/>
  <c r="F38" i="22"/>
  <c r="H38" i="22" s="1"/>
  <c r="F37" i="22"/>
  <c r="H37" i="22" s="1"/>
  <c r="F36" i="22"/>
  <c r="H36" i="22" s="1"/>
  <c r="F35" i="22"/>
  <c r="H35" i="22" s="1"/>
  <c r="F34" i="22"/>
  <c r="H34" i="22" s="1"/>
  <c r="F33" i="22"/>
  <c r="H33" i="22" s="1"/>
  <c r="F32" i="22"/>
  <c r="H32" i="22" s="1"/>
  <c r="F31" i="22"/>
  <c r="H31" i="22" s="1"/>
  <c r="E21" i="22"/>
  <c r="E20" i="22"/>
  <c r="E18" i="22"/>
  <c r="E17" i="22"/>
  <c r="E16" i="22"/>
  <c r="E14" i="22"/>
  <c r="E12" i="22"/>
  <c r="K32" i="143"/>
  <c r="J32" i="143"/>
  <c r="I32" i="143"/>
  <c r="H32" i="143"/>
  <c r="G32" i="143"/>
  <c r="F32" i="143"/>
  <c r="D32" i="143"/>
  <c r="K31" i="143"/>
  <c r="J31" i="143"/>
  <c r="I31" i="143"/>
  <c r="H31" i="143"/>
  <c r="G31" i="143"/>
  <c r="F31" i="143"/>
  <c r="E31" i="143"/>
  <c r="E32" i="143" s="1"/>
  <c r="D31" i="143"/>
  <c r="K30" i="143"/>
  <c r="J30" i="143"/>
  <c r="I30" i="143"/>
  <c r="H30" i="143"/>
  <c r="G30" i="143"/>
  <c r="F30" i="143"/>
  <c r="E30" i="143"/>
  <c r="D30" i="143"/>
  <c r="K29" i="143"/>
  <c r="J29" i="143"/>
  <c r="I29" i="143"/>
  <c r="H29" i="143"/>
  <c r="G29" i="143"/>
  <c r="F29" i="143"/>
  <c r="E29" i="143"/>
  <c r="D29" i="143"/>
  <c r="K28" i="143"/>
  <c r="J28" i="143"/>
  <c r="I28" i="143"/>
  <c r="H28" i="143"/>
  <c r="G28" i="143"/>
  <c r="F28" i="143"/>
  <c r="E28" i="143"/>
  <c r="D28" i="143"/>
  <c r="K27" i="143"/>
  <c r="J27" i="143"/>
  <c r="I27" i="143"/>
  <c r="H27" i="143"/>
  <c r="G27" i="143"/>
  <c r="F27" i="143"/>
  <c r="E27" i="143"/>
  <c r="D27" i="143"/>
  <c r="K26" i="143"/>
  <c r="J26" i="143"/>
  <c r="I26" i="143"/>
  <c r="H26" i="143"/>
  <c r="G26" i="143"/>
  <c r="F26" i="143"/>
  <c r="E26" i="143"/>
  <c r="D26" i="143"/>
  <c r="K25" i="143"/>
  <c r="J25" i="143"/>
  <c r="I25" i="143"/>
  <c r="H25" i="143"/>
  <c r="G25" i="143"/>
  <c r="F25" i="143"/>
  <c r="E25" i="143"/>
  <c r="D25" i="143"/>
  <c r="K24" i="143"/>
  <c r="J24" i="143"/>
  <c r="I24" i="143"/>
  <c r="H24" i="143"/>
  <c r="G24" i="143"/>
  <c r="F24" i="143"/>
  <c r="E24" i="143"/>
  <c r="D24" i="143"/>
  <c r="K23" i="143"/>
  <c r="J23" i="143"/>
  <c r="I23" i="143"/>
  <c r="H23" i="143"/>
  <c r="G23" i="143"/>
  <c r="F23" i="143"/>
  <c r="E23" i="143"/>
  <c r="D23" i="143"/>
  <c r="K22" i="143"/>
  <c r="J22" i="143"/>
  <c r="I22" i="143"/>
  <c r="H22" i="143"/>
  <c r="G22" i="143"/>
  <c r="F22" i="143"/>
  <c r="E22" i="143"/>
  <c r="D22" i="143"/>
  <c r="K21" i="143"/>
  <c r="J21" i="143"/>
  <c r="I21" i="143"/>
  <c r="H21" i="143"/>
  <c r="G21" i="143"/>
  <c r="F21" i="143"/>
  <c r="E21" i="143"/>
  <c r="D21" i="143"/>
  <c r="K20" i="143"/>
  <c r="J20" i="143"/>
  <c r="I20" i="143"/>
  <c r="H20" i="143"/>
  <c r="G20" i="143"/>
  <c r="F20" i="143"/>
  <c r="E20" i="143"/>
  <c r="D20" i="143"/>
  <c r="G40" i="143"/>
  <c r="F40" i="143"/>
  <c r="G45" i="143"/>
  <c r="F45" i="143"/>
  <c r="G44" i="143"/>
  <c r="F44" i="143"/>
  <c r="G43" i="143"/>
  <c r="F43" i="143"/>
  <c r="G42" i="143"/>
  <c r="F42" i="143"/>
  <c r="G41" i="143"/>
  <c r="F41" i="143"/>
  <c r="G39" i="143"/>
  <c r="F39" i="143"/>
  <c r="G38" i="143"/>
  <c r="F38" i="143"/>
  <c r="G37" i="143"/>
  <c r="F37" i="143"/>
  <c r="G36" i="143"/>
  <c r="F36" i="143"/>
  <c r="E55" i="142"/>
  <c r="D55" i="142"/>
  <c r="E54" i="142"/>
  <c r="D54" i="142"/>
  <c r="E53" i="142"/>
  <c r="D53" i="142"/>
  <c r="C27" i="142"/>
  <c r="B27" i="142"/>
  <c r="C26" i="142"/>
  <c r="B26" i="142"/>
  <c r="C25" i="142"/>
  <c r="B25" i="142"/>
  <c r="C24" i="142"/>
  <c r="B24" i="142"/>
  <c r="C23" i="142"/>
  <c r="B23" i="142"/>
  <c r="L7" i="142"/>
  <c r="K7" i="142"/>
  <c r="J7" i="142"/>
  <c r="L6" i="142"/>
  <c r="K6" i="142"/>
  <c r="J6" i="142"/>
  <c r="L11" i="23"/>
  <c r="L10" i="23"/>
  <c r="L9" i="23"/>
  <c r="L8" i="23"/>
  <c r="L7" i="23"/>
  <c r="L6" i="23"/>
  <c r="L11" i="101"/>
  <c r="L10" i="101"/>
  <c r="L9" i="101"/>
  <c r="L8" i="101"/>
  <c r="L7" i="101"/>
  <c r="L6" i="101"/>
  <c r="E23" i="99"/>
  <c r="E24" i="99"/>
  <c r="E25" i="99"/>
  <c r="E26" i="99"/>
  <c r="E27" i="99"/>
  <c r="D23" i="99"/>
  <c r="D24" i="99"/>
  <c r="D25" i="99"/>
  <c r="D26" i="99"/>
  <c r="D27" i="99"/>
  <c r="C23" i="99"/>
  <c r="C24" i="99"/>
  <c r="C25" i="99"/>
  <c r="C26" i="99"/>
  <c r="C27" i="99"/>
  <c r="B27" i="99"/>
  <c r="B26" i="99"/>
  <c r="B25" i="99"/>
  <c r="B24" i="99"/>
  <c r="B23" i="99"/>
  <c r="F38" i="100"/>
  <c r="F43" i="100"/>
  <c r="G43" i="100" s="1"/>
  <c r="F42" i="100"/>
  <c r="F41" i="100"/>
  <c r="F40" i="100"/>
  <c r="F39" i="100"/>
  <c r="F37" i="100"/>
  <c r="F36" i="100"/>
  <c r="F35" i="100"/>
  <c r="F34" i="100"/>
  <c r="F33" i="100"/>
  <c r="H21" i="96"/>
  <c r="H30" i="96"/>
  <c r="H29" i="96"/>
  <c r="H28" i="96"/>
  <c r="H27" i="96"/>
  <c r="H26" i="96"/>
  <c r="H25" i="96"/>
  <c r="H24" i="96"/>
  <c r="H23" i="96"/>
  <c r="H22" i="96"/>
  <c r="H20" i="96"/>
  <c r="C29" i="91"/>
  <c r="C28" i="91"/>
  <c r="C27" i="91"/>
  <c r="C26" i="91"/>
  <c r="C25" i="91"/>
  <c r="B28" i="91"/>
  <c r="B27" i="91"/>
  <c r="B26" i="91"/>
  <c r="B25" i="91"/>
  <c r="E13" i="22" l="1"/>
  <c r="K17" i="96"/>
  <c r="K15" i="96"/>
  <c r="K18" i="96" s="1"/>
  <c r="I35" i="66"/>
  <c r="G31" i="22"/>
  <c r="I31" i="22" s="1"/>
  <c r="G32" i="22"/>
  <c r="I32" i="22" s="1"/>
  <c r="G33" i="22"/>
  <c r="I33" i="22" s="1"/>
  <c r="G34" i="22"/>
  <c r="I34" i="22" s="1"/>
  <c r="G35" i="22"/>
  <c r="I35" i="22" s="1"/>
  <c r="G36" i="22"/>
  <c r="I36" i="22" s="1"/>
  <c r="G37" i="22"/>
  <c r="I37" i="22" s="1"/>
  <c r="G38" i="22"/>
  <c r="I38" i="22" s="1"/>
  <c r="G39" i="22"/>
  <c r="I39" i="22" s="1"/>
  <c r="G40" i="22"/>
  <c r="I40" i="22" s="1"/>
  <c r="G41" i="22"/>
  <c r="I41" i="22" s="1"/>
  <c r="H33" i="100"/>
  <c r="H34" i="100"/>
  <c r="H35" i="100"/>
  <c r="H36" i="100"/>
  <c r="H37" i="100"/>
  <c r="H38" i="100"/>
  <c r="H39" i="100"/>
  <c r="H40" i="100"/>
  <c r="H41" i="100"/>
  <c r="H42" i="100"/>
  <c r="H43" i="100"/>
  <c r="I43" i="100" s="1"/>
  <c r="G33" i="100"/>
  <c r="G34" i="100"/>
  <c r="G35" i="100"/>
  <c r="G36" i="100"/>
  <c r="I36" i="100" s="1"/>
  <c r="G37" i="100"/>
  <c r="G38" i="100"/>
  <c r="G39" i="100"/>
  <c r="G40" i="100"/>
  <c r="G41" i="100"/>
  <c r="G42" i="100"/>
  <c r="I23" i="96"/>
  <c r="I20" i="96"/>
  <c r="I21" i="96"/>
  <c r="I22" i="96"/>
  <c r="I24" i="96"/>
  <c r="I25" i="96"/>
  <c r="I26" i="96"/>
  <c r="I27" i="96"/>
  <c r="I28" i="96"/>
  <c r="I29" i="96"/>
  <c r="I30" i="96"/>
  <c r="J20" i="96"/>
  <c r="J21" i="96"/>
  <c r="J22" i="96"/>
  <c r="J23" i="96"/>
  <c r="J24" i="96"/>
  <c r="J25" i="96"/>
  <c r="J26" i="96"/>
  <c r="J27" i="96"/>
  <c r="J28" i="96"/>
  <c r="J29" i="96"/>
  <c r="J30" i="96"/>
  <c r="C27" i="85"/>
  <c r="C28" i="85"/>
  <c r="C29" i="85"/>
  <c r="C30" i="85"/>
  <c r="C31" i="85"/>
  <c r="B31" i="85"/>
  <c r="B30" i="85"/>
  <c r="B29" i="85"/>
  <c r="B28" i="85"/>
  <c r="B27" i="85"/>
  <c r="C29" i="4"/>
  <c r="C30" i="4"/>
  <c r="C31" i="4"/>
  <c r="C27" i="4"/>
  <c r="C28" i="4"/>
  <c r="F11" i="89"/>
  <c r="F10" i="89"/>
  <c r="F9" i="89"/>
  <c r="F8" i="89"/>
  <c r="G25" i="86"/>
  <c r="G23" i="86"/>
  <c r="B27" i="21"/>
  <c r="B26" i="21"/>
  <c r="B25" i="21"/>
  <c r="B24" i="21"/>
  <c r="B23" i="21"/>
  <c r="E26" i="16"/>
  <c r="E27" i="16"/>
  <c r="E28" i="16"/>
  <c r="E29" i="16"/>
  <c r="E30" i="16"/>
  <c r="D30" i="16"/>
  <c r="D28" i="16"/>
  <c r="D29" i="16"/>
  <c r="D26" i="16"/>
  <c r="D27" i="16"/>
  <c r="C29" i="11"/>
  <c r="C28" i="11"/>
  <c r="C27" i="11"/>
  <c r="C26" i="11"/>
  <c r="C25" i="11"/>
  <c r="B29" i="11"/>
  <c r="B28" i="11"/>
  <c r="B27" i="11"/>
  <c r="B26" i="11"/>
  <c r="B25" i="11"/>
  <c r="B31" i="4"/>
  <c r="B30" i="4"/>
  <c r="B29" i="4"/>
  <c r="B28" i="4"/>
  <c r="B27" i="4"/>
  <c r="F11" i="9"/>
  <c r="F10" i="9"/>
  <c r="F9" i="9"/>
  <c r="F8" i="9"/>
  <c r="E23" i="17"/>
  <c r="G21" i="17"/>
  <c r="O21" i="17" s="1"/>
  <c r="G20" i="17"/>
  <c r="O20" i="17" s="1"/>
  <c r="M19" i="17"/>
  <c r="M18" i="17"/>
  <c r="O17" i="17"/>
  <c r="O16" i="17"/>
  <c r="M15" i="17"/>
  <c r="M14" i="17"/>
  <c r="O13" i="17"/>
  <c r="O12" i="17"/>
  <c r="H26" i="17"/>
  <c r="J26" i="17" s="1"/>
  <c r="H35" i="17"/>
  <c r="J35" i="17" s="1"/>
  <c r="H34" i="17"/>
  <c r="J34" i="17" s="1"/>
  <c r="H33" i="17"/>
  <c r="J33" i="17" s="1"/>
  <c r="H32" i="17"/>
  <c r="J32" i="17" s="1"/>
  <c r="H31" i="17"/>
  <c r="J31" i="17" s="1"/>
  <c r="H30" i="17"/>
  <c r="J30" i="17" s="1"/>
  <c r="H29" i="17"/>
  <c r="J29" i="17" s="1"/>
  <c r="H28" i="17"/>
  <c r="J28" i="17" s="1"/>
  <c r="H27" i="17"/>
  <c r="J27" i="17" s="1"/>
  <c r="H25" i="17"/>
  <c r="J25" i="17" s="1"/>
  <c r="J23" i="13"/>
  <c r="H23" i="13"/>
  <c r="F23" i="13"/>
  <c r="E10" i="13"/>
  <c r="D20" i="12"/>
  <c r="D24" i="12" s="1"/>
  <c r="E14" i="9"/>
  <c r="D14" i="9"/>
  <c r="G29" i="86"/>
  <c r="G28" i="86"/>
  <c r="G27" i="86"/>
  <c r="G26" i="86"/>
  <c r="G24" i="86"/>
  <c r="I40" i="100" l="1"/>
  <c r="K14" i="17"/>
  <c r="K18" i="17"/>
  <c r="M12" i="17"/>
  <c r="M16" i="17"/>
  <c r="M20" i="17"/>
  <c r="O14" i="17"/>
  <c r="O18" i="17"/>
  <c r="K15" i="17"/>
  <c r="K19" i="17"/>
  <c r="M13" i="17"/>
  <c r="M17" i="17"/>
  <c r="M21" i="17"/>
  <c r="O15" i="17"/>
  <c r="O19" i="17"/>
  <c r="K12" i="17"/>
  <c r="K16" i="17"/>
  <c r="K20" i="17"/>
  <c r="K13" i="17"/>
  <c r="K17" i="17"/>
  <c r="K21" i="17"/>
  <c r="I42" i="100"/>
  <c r="I41" i="100"/>
  <c r="I37" i="100"/>
  <c r="I33" i="100"/>
  <c r="I39" i="100"/>
  <c r="I38" i="100"/>
  <c r="I34" i="100"/>
  <c r="I35" i="100"/>
  <c r="K30" i="96"/>
  <c r="N18" i="96"/>
  <c r="K23" i="96"/>
  <c r="K26" i="96"/>
  <c r="K21" i="96"/>
  <c r="K29" i="96"/>
  <c r="K25" i="96"/>
  <c r="K20" i="96"/>
  <c r="K28" i="96"/>
  <c r="K24" i="96"/>
  <c r="K27" i="96"/>
  <c r="K22" i="96"/>
  <c r="I35" i="17"/>
  <c r="K35" i="17" s="1"/>
  <c r="I34" i="17"/>
  <c r="K34" i="17" s="1"/>
  <c r="I33" i="17"/>
  <c r="K33" i="17" s="1"/>
  <c r="I32" i="17"/>
  <c r="K32" i="17" s="1"/>
  <c r="I31" i="17"/>
  <c r="K31" i="17" s="1"/>
  <c r="I30" i="17"/>
  <c r="K30" i="17" s="1"/>
  <c r="I29" i="17"/>
  <c r="K29" i="17" s="1"/>
  <c r="I28" i="17"/>
  <c r="K28" i="17" s="1"/>
  <c r="I27" i="17"/>
  <c r="K27" i="17" s="1"/>
  <c r="I26" i="17"/>
  <c r="K26" i="17" s="1"/>
  <c r="I25" i="17"/>
  <c r="K25" i="17" s="1"/>
  <c r="K19" i="143" l="1"/>
  <c r="I19" i="143"/>
  <c r="G19" i="143"/>
  <c r="C5" i="142" l="1"/>
  <c r="C6" i="142" s="1"/>
  <c r="E5" i="142"/>
  <c r="E6" i="142" s="1"/>
  <c r="E52" i="142" s="1"/>
  <c r="D5" i="142"/>
  <c r="D6" i="142" s="1"/>
  <c r="D52" i="142" s="1"/>
  <c r="D56" i="142" l="1"/>
  <c r="I54" i="145"/>
  <c r="E56" i="142"/>
  <c r="J54" i="145"/>
  <c r="B5" i="142"/>
  <c r="B6" i="142" s="1"/>
  <c r="C52" i="142"/>
  <c r="H54" i="145" s="1"/>
  <c r="C11" i="142"/>
  <c r="B44" i="142" l="1"/>
  <c r="B43" i="142"/>
  <c r="B42" i="142"/>
  <c r="B45" i="142"/>
  <c r="C22" i="142"/>
  <c r="C28" i="142" s="1"/>
  <c r="C54" i="142" s="1"/>
  <c r="C41" i="142"/>
  <c r="C17" i="142"/>
  <c r="C53" i="142" s="1"/>
  <c r="B52" i="142"/>
  <c r="G54" i="145" s="1"/>
  <c r="G16" i="145" s="1"/>
  <c r="B11" i="142"/>
  <c r="B14" i="142" l="1"/>
  <c r="B13" i="142"/>
  <c r="B12" i="142"/>
  <c r="B15" i="142"/>
  <c r="F54" i="145"/>
  <c r="F16" i="145" s="1"/>
  <c r="B22" i="142"/>
  <c r="B28" i="142" s="1"/>
  <c r="B54" i="142" s="1"/>
  <c r="B41" i="142"/>
  <c r="B46" i="142" s="1"/>
  <c r="C47" i="142"/>
  <c r="C55" i="142" s="1"/>
  <c r="C56" i="142" s="1"/>
  <c r="B16" i="142" l="1"/>
  <c r="B17" i="142" s="1"/>
  <c r="B53" i="142" s="1"/>
  <c r="B47" i="142"/>
  <c r="B55" i="142" s="1"/>
  <c r="B56" i="142" s="1"/>
  <c r="D14" i="2"/>
  <c r="E12" i="24" l="1"/>
  <c r="E54" i="141"/>
  <c r="D54" i="141"/>
  <c r="B54" i="141"/>
  <c r="E53" i="141"/>
  <c r="D53" i="141"/>
  <c r="B53" i="141"/>
  <c r="E52" i="141"/>
  <c r="D52" i="141"/>
  <c r="E51" i="141"/>
  <c r="D51" i="141"/>
  <c r="C51" i="141"/>
  <c r="C54" i="141"/>
  <c r="H228" i="145" s="1"/>
  <c r="C53" i="141"/>
  <c r="H223" i="145" s="1"/>
  <c r="B52" i="141"/>
  <c r="C52" i="141"/>
  <c r="H218" i="145" s="1"/>
  <c r="B51" i="141"/>
  <c r="J28" i="140"/>
  <c r="J29" i="140" s="1"/>
  <c r="H28" i="140"/>
  <c r="H29" i="140" s="1"/>
  <c r="F28" i="140"/>
  <c r="F29" i="140" s="1"/>
  <c r="D28" i="140"/>
  <c r="D29" i="140" s="1"/>
  <c r="I27" i="140"/>
  <c r="E25" i="140"/>
  <c r="K25" i="140"/>
  <c r="G24" i="140"/>
  <c r="E24" i="140"/>
  <c r="K24" i="140"/>
  <c r="I23" i="140"/>
  <c r="G23" i="140"/>
  <c r="E23" i="140"/>
  <c r="K23" i="140"/>
  <c r="I22" i="140"/>
  <c r="K21" i="140"/>
  <c r="G20" i="140"/>
  <c r="E20" i="140"/>
  <c r="K20" i="140"/>
  <c r="I19" i="140"/>
  <c r="G19" i="140"/>
  <c r="E19" i="140"/>
  <c r="K19" i="140"/>
  <c r="I18" i="140"/>
  <c r="E17" i="140"/>
  <c r="K17" i="140"/>
  <c r="G16" i="140"/>
  <c r="E16" i="140"/>
  <c r="K16" i="140"/>
  <c r="I15" i="140"/>
  <c r="G15" i="140"/>
  <c r="E15" i="140"/>
  <c r="K15" i="140"/>
  <c r="I14" i="140"/>
  <c r="E13" i="140"/>
  <c r="K13" i="140"/>
  <c r="G12" i="140"/>
  <c r="E12" i="140"/>
  <c r="K12" i="140"/>
  <c r="I11" i="140"/>
  <c r="G11" i="140"/>
  <c r="E11" i="140"/>
  <c r="K11" i="140"/>
  <c r="V16" i="138"/>
  <c r="V15" i="138"/>
  <c r="J14" i="138"/>
  <c r="H14" i="138"/>
  <c r="F14" i="138"/>
  <c r="V14" i="138"/>
  <c r="V13" i="138"/>
  <c r="G13" i="138"/>
  <c r="V12" i="138"/>
  <c r="D14" i="138"/>
  <c r="K12" i="138"/>
  <c r="V11" i="138"/>
  <c r="I11" i="138"/>
  <c r="V10" i="138"/>
  <c r="E10" i="138"/>
  <c r="V9" i="138"/>
  <c r="G9" i="138"/>
  <c r="I9" i="138"/>
  <c r="V8" i="138"/>
  <c r="V7" i="138"/>
  <c r="V6" i="138"/>
  <c r="V5" i="138"/>
  <c r="J14" i="137"/>
  <c r="H14" i="137"/>
  <c r="D14" i="137"/>
  <c r="I13" i="137"/>
  <c r="E13" i="137"/>
  <c r="G12" i="137"/>
  <c r="I11" i="137"/>
  <c r="I16" i="136"/>
  <c r="I15" i="136"/>
  <c r="I14" i="136"/>
  <c r="B30" i="135"/>
  <c r="B29" i="135"/>
  <c r="B28" i="135"/>
  <c r="B27" i="135"/>
  <c r="B26" i="135"/>
  <c r="D9" i="134"/>
  <c r="J23" i="133"/>
  <c r="H23" i="133"/>
  <c r="F23" i="133"/>
  <c r="D23" i="133"/>
  <c r="Q16" i="133"/>
  <c r="O16" i="133"/>
  <c r="N16" i="133"/>
  <c r="M16" i="133"/>
  <c r="P15" i="133"/>
  <c r="R15" i="133" s="1"/>
  <c r="Q14" i="133"/>
  <c r="P14" i="133"/>
  <c r="R14" i="133" s="1"/>
  <c r="P13" i="133"/>
  <c r="R13" i="133" s="1"/>
  <c r="R12" i="133"/>
  <c r="P12" i="133"/>
  <c r="P11" i="133"/>
  <c r="R11" i="133" s="1"/>
  <c r="P10" i="133"/>
  <c r="R10" i="133" s="1"/>
  <c r="P9" i="133"/>
  <c r="R9" i="133" s="1"/>
  <c r="I9" i="133"/>
  <c r="E9" i="133"/>
  <c r="R8" i="133"/>
  <c r="P8" i="133"/>
  <c r="P7" i="133"/>
  <c r="R7" i="133" s="1"/>
  <c r="R6" i="133"/>
  <c r="P6" i="133"/>
  <c r="P5" i="133"/>
  <c r="R5" i="133" s="1"/>
  <c r="J16" i="132"/>
  <c r="H16" i="132"/>
  <c r="F16" i="132"/>
  <c r="D16" i="132"/>
  <c r="J12" i="132"/>
  <c r="H12" i="132"/>
  <c r="F12" i="132"/>
  <c r="D12" i="132"/>
  <c r="C11" i="132"/>
  <c r="C10" i="132"/>
  <c r="C9" i="132"/>
  <c r="E54" i="131"/>
  <c r="E53" i="131"/>
  <c r="E52" i="131"/>
  <c r="E7" i="131"/>
  <c r="L7" i="131" s="1"/>
  <c r="D7" i="131"/>
  <c r="K7" i="131" s="1"/>
  <c r="C7" i="131"/>
  <c r="J7" i="131" s="1"/>
  <c r="L21" i="130"/>
  <c r="L22" i="130" s="1"/>
  <c r="L19" i="130"/>
  <c r="O18" i="130"/>
  <c r="O17" i="130"/>
  <c r="O16" i="130"/>
  <c r="O19" i="130" s="1"/>
  <c r="I11" i="130"/>
  <c r="G11" i="130"/>
  <c r="E11" i="130"/>
  <c r="C11" i="130"/>
  <c r="J10" i="130"/>
  <c r="H10" i="130"/>
  <c r="F10" i="130"/>
  <c r="D10" i="130"/>
  <c r="R9" i="130"/>
  <c r="P9" i="130"/>
  <c r="J9" i="130"/>
  <c r="B9" i="130"/>
  <c r="Q8" i="130"/>
  <c r="R8" i="130" s="1"/>
  <c r="J8" i="130"/>
  <c r="H8" i="130"/>
  <c r="F8" i="130"/>
  <c r="D8" i="130"/>
  <c r="R7" i="130"/>
  <c r="R6" i="130"/>
  <c r="P6" i="130"/>
  <c r="P5" i="130"/>
  <c r="R5" i="130" s="1"/>
  <c r="L19" i="129"/>
  <c r="L21" i="129" s="1"/>
  <c r="L22" i="129" s="1"/>
  <c r="O18" i="129"/>
  <c r="O17" i="129"/>
  <c r="O16" i="129"/>
  <c r="O19" i="129" s="1"/>
  <c r="J12" i="129"/>
  <c r="I12" i="129"/>
  <c r="H12" i="129"/>
  <c r="G12" i="129"/>
  <c r="F12" i="129"/>
  <c r="E12" i="129"/>
  <c r="D11" i="129"/>
  <c r="D10" i="129"/>
  <c r="R9" i="129"/>
  <c r="P9" i="129"/>
  <c r="D9" i="129"/>
  <c r="Q8" i="129"/>
  <c r="R8" i="129" s="1"/>
  <c r="D8" i="129"/>
  <c r="R7" i="129"/>
  <c r="P6" i="129"/>
  <c r="R6" i="129" s="1"/>
  <c r="R5" i="129"/>
  <c r="P5" i="129"/>
  <c r="Q17" i="128"/>
  <c r="J17" i="128"/>
  <c r="H17" i="128"/>
  <c r="F17" i="128"/>
  <c r="D17" i="128"/>
  <c r="Q16" i="128"/>
  <c r="K16" i="128"/>
  <c r="I16" i="128"/>
  <c r="G16" i="128"/>
  <c r="E16" i="128"/>
  <c r="Q15" i="128"/>
  <c r="I15" i="128"/>
  <c r="G15" i="128"/>
  <c r="E15" i="128"/>
  <c r="C15" i="128"/>
  <c r="K15" i="128" s="1"/>
  <c r="Q14" i="128"/>
  <c r="E14" i="128"/>
  <c r="C14" i="128"/>
  <c r="I14" i="128" s="1"/>
  <c r="Q13" i="128"/>
  <c r="C13" i="128"/>
  <c r="E13" i="128" s="1"/>
  <c r="Q12" i="128"/>
  <c r="G12" i="128"/>
  <c r="E12" i="128"/>
  <c r="C12" i="128"/>
  <c r="K12" i="128" s="1"/>
  <c r="Q11" i="128"/>
  <c r="K11" i="128"/>
  <c r="C11" i="128"/>
  <c r="Q10" i="128"/>
  <c r="G10" i="128"/>
  <c r="E10" i="128"/>
  <c r="C10" i="128"/>
  <c r="K10" i="128" s="1"/>
  <c r="Q9" i="128"/>
  <c r="C9" i="128"/>
  <c r="Q8" i="128"/>
  <c r="G8" i="128"/>
  <c r="E8" i="128"/>
  <c r="C8" i="128"/>
  <c r="K8" i="128" s="1"/>
  <c r="Q7" i="128"/>
  <c r="Q6" i="128"/>
  <c r="Q5" i="128"/>
  <c r="J19" i="127"/>
  <c r="H19" i="127"/>
  <c r="F19" i="127"/>
  <c r="D19" i="127"/>
  <c r="Q18" i="127"/>
  <c r="K18" i="127"/>
  <c r="I18" i="127"/>
  <c r="G18" i="127"/>
  <c r="E18" i="127"/>
  <c r="Q17" i="127"/>
  <c r="K17" i="127"/>
  <c r="C17" i="127"/>
  <c r="Q16" i="127"/>
  <c r="G16" i="127"/>
  <c r="E16" i="127"/>
  <c r="C16" i="127"/>
  <c r="K16" i="127" s="1"/>
  <c r="Q15" i="127"/>
  <c r="C15" i="127"/>
  <c r="Q14" i="127"/>
  <c r="G14" i="127"/>
  <c r="E14" i="127"/>
  <c r="C14" i="127"/>
  <c r="K14" i="127" s="1"/>
  <c r="Q13" i="127"/>
  <c r="K13" i="127"/>
  <c r="C13" i="127"/>
  <c r="Q12" i="127"/>
  <c r="I12" i="127"/>
  <c r="G12" i="127"/>
  <c r="E12" i="127"/>
  <c r="C12" i="127"/>
  <c r="K12" i="127" s="1"/>
  <c r="Q11" i="127"/>
  <c r="K11" i="127"/>
  <c r="C11" i="127"/>
  <c r="Q10" i="127"/>
  <c r="I10" i="127"/>
  <c r="G10" i="127"/>
  <c r="E10" i="127"/>
  <c r="C10" i="127"/>
  <c r="K10" i="127" s="1"/>
  <c r="Q9" i="127"/>
  <c r="K9" i="127"/>
  <c r="C9" i="127"/>
  <c r="Q8" i="127"/>
  <c r="I8" i="127"/>
  <c r="G8" i="127"/>
  <c r="E8" i="127"/>
  <c r="C8" i="127"/>
  <c r="K8" i="127" s="1"/>
  <c r="Q7" i="127"/>
  <c r="Q6" i="127"/>
  <c r="Q5" i="127"/>
  <c r="AB23" i="126"/>
  <c r="Z23" i="126"/>
  <c r="X23" i="126"/>
  <c r="V23" i="126"/>
  <c r="AD22" i="126"/>
  <c r="AC22" i="126"/>
  <c r="U22" i="126"/>
  <c r="AD21" i="126"/>
  <c r="AC21" i="126"/>
  <c r="U21" i="126"/>
  <c r="J21" i="126"/>
  <c r="H21" i="126"/>
  <c r="AD20" i="126"/>
  <c r="Y20" i="126"/>
  <c r="I20" i="126"/>
  <c r="Y22" i="126"/>
  <c r="AD19" i="126"/>
  <c r="G19" i="126"/>
  <c r="E19" i="126"/>
  <c r="Y21" i="126"/>
  <c r="AD18" i="126"/>
  <c r="AC18" i="126"/>
  <c r="U18" i="126"/>
  <c r="E18" i="126"/>
  <c r="AC20" i="126"/>
  <c r="AD17" i="126"/>
  <c r="AA17" i="126"/>
  <c r="AD16" i="126"/>
  <c r="Y16" i="126"/>
  <c r="I16" i="126"/>
  <c r="G16" i="126"/>
  <c r="Y18" i="126"/>
  <c r="AD15" i="126"/>
  <c r="G15" i="126"/>
  <c r="E15" i="126"/>
  <c r="W17" i="126"/>
  <c r="AD14" i="126"/>
  <c r="AC14" i="126"/>
  <c r="U14" i="126"/>
  <c r="E14" i="126"/>
  <c r="AC16" i="126"/>
  <c r="AD13" i="126"/>
  <c r="K13" i="126"/>
  <c r="AD12" i="126"/>
  <c r="Y12" i="126"/>
  <c r="W12" i="126"/>
  <c r="I12" i="126"/>
  <c r="G12" i="126"/>
  <c r="Y14" i="126"/>
  <c r="AD11" i="126"/>
  <c r="AC11" i="126"/>
  <c r="W11" i="126"/>
  <c r="I10" i="126"/>
  <c r="G10" i="126"/>
  <c r="AC12" i="126"/>
  <c r="K9" i="126"/>
  <c r="I9" i="126"/>
  <c r="E54" i="125"/>
  <c r="D54" i="125"/>
  <c r="B54" i="125"/>
  <c r="E53" i="125"/>
  <c r="D53" i="125"/>
  <c r="E52" i="125"/>
  <c r="D52" i="125"/>
  <c r="L11" i="125"/>
  <c r="K11" i="125"/>
  <c r="E8" i="125"/>
  <c r="D8" i="125"/>
  <c r="C8" i="125"/>
  <c r="E55" i="124"/>
  <c r="D55" i="124"/>
  <c r="B55" i="124"/>
  <c r="E54" i="124"/>
  <c r="D54" i="124"/>
  <c r="B54" i="124"/>
  <c r="E53" i="124"/>
  <c r="D53" i="124"/>
  <c r="C53" i="124"/>
  <c r="B53" i="124"/>
  <c r="E52" i="124"/>
  <c r="D52" i="124"/>
  <c r="C52" i="124"/>
  <c r="B52" i="124"/>
  <c r="C42" i="124"/>
  <c r="C41" i="124"/>
  <c r="C47" i="124" s="1"/>
  <c r="C55" i="124" s="1"/>
  <c r="C30" i="124"/>
  <c r="C36" i="124" s="1"/>
  <c r="C54" i="124" s="1"/>
  <c r="C25" i="124"/>
  <c r="B19" i="124"/>
  <c r="B41" i="124" s="1"/>
  <c r="Q16" i="124"/>
  <c r="P16" i="124"/>
  <c r="E55" i="123"/>
  <c r="E54" i="123"/>
  <c r="E53" i="123"/>
  <c r="E52" i="123"/>
  <c r="D35" i="123"/>
  <c r="B35" i="123"/>
  <c r="D34" i="123"/>
  <c r="C34" i="123"/>
  <c r="B34" i="123"/>
  <c r="D33" i="123"/>
  <c r="C33" i="123"/>
  <c r="B33" i="123"/>
  <c r="D32" i="123"/>
  <c r="C32" i="123"/>
  <c r="B32" i="123"/>
  <c r="D31" i="123"/>
  <c r="C31" i="123"/>
  <c r="B31" i="123"/>
  <c r="Q16" i="123"/>
  <c r="P16" i="123"/>
  <c r="M16" i="123"/>
  <c r="K16" i="123"/>
  <c r="J16" i="123"/>
  <c r="I16" i="123"/>
  <c r="C52" i="123"/>
  <c r="B19" i="123"/>
  <c r="H18" i="122"/>
  <c r="G18" i="122"/>
  <c r="H17" i="122"/>
  <c r="G17" i="122"/>
  <c r="H16" i="122"/>
  <c r="D14" i="122"/>
  <c r="D12" i="122"/>
  <c r="H5" i="122"/>
  <c r="G5" i="122"/>
  <c r="F15" i="61" l="1"/>
  <c r="H28" i="145"/>
  <c r="F218" i="145"/>
  <c r="H33" i="145"/>
  <c r="F223" i="145"/>
  <c r="H38" i="145"/>
  <c r="F228" i="145"/>
  <c r="E8" i="138"/>
  <c r="I8" i="138"/>
  <c r="I10" i="138"/>
  <c r="E11" i="138"/>
  <c r="E9" i="138"/>
  <c r="G11" i="138"/>
  <c r="E11" i="137"/>
  <c r="G11" i="137"/>
  <c r="E9" i="132"/>
  <c r="C17" i="132"/>
  <c r="K10" i="132"/>
  <c r="C18" i="132"/>
  <c r="C15" i="132"/>
  <c r="C19" i="132"/>
  <c r="G15" i="132"/>
  <c r="I9" i="132"/>
  <c r="I17" i="132" s="1"/>
  <c r="I10" i="132"/>
  <c r="C13" i="132"/>
  <c r="G13" i="132" s="1"/>
  <c r="E10" i="132"/>
  <c r="E11" i="132"/>
  <c r="C14" i="132"/>
  <c r="G10" i="132"/>
  <c r="G11" i="132"/>
  <c r="G19" i="132" s="1"/>
  <c r="B55" i="141"/>
  <c r="E18" i="122" s="1"/>
  <c r="D14" i="134"/>
  <c r="D15" i="134" s="1"/>
  <c r="D12" i="129"/>
  <c r="B8" i="125" s="1"/>
  <c r="B56" i="124"/>
  <c r="E17" i="122" s="1"/>
  <c r="B30" i="124"/>
  <c r="D52" i="123"/>
  <c r="D19" i="123"/>
  <c r="B41" i="123"/>
  <c r="B30" i="123"/>
  <c r="B36" i="123" s="1"/>
  <c r="B54" i="123" s="1"/>
  <c r="C56" i="124"/>
  <c r="F17" i="122" s="1"/>
  <c r="B25" i="123"/>
  <c r="B53" i="123" s="1"/>
  <c r="G216" i="145" s="1"/>
  <c r="D17" i="122"/>
  <c r="C19" i="123"/>
  <c r="AA11" i="126"/>
  <c r="G9" i="126"/>
  <c r="Y11" i="126"/>
  <c r="E9" i="126"/>
  <c r="U11" i="126"/>
  <c r="AD23" i="126"/>
  <c r="D22" i="126"/>
  <c r="G17" i="127"/>
  <c r="E17" i="127"/>
  <c r="I17" i="127"/>
  <c r="G11" i="128"/>
  <c r="E11" i="128"/>
  <c r="I11" i="128"/>
  <c r="R10" i="129"/>
  <c r="R11" i="129" s="1"/>
  <c r="R12" i="129" s="1"/>
  <c r="R13" i="129" s="1"/>
  <c r="F9" i="130"/>
  <c r="F11" i="130" s="1"/>
  <c r="C9" i="125" s="1"/>
  <c r="D9" i="130"/>
  <c r="D11" i="130" s="1"/>
  <c r="B9" i="125" s="1"/>
  <c r="H9" i="130"/>
  <c r="I13" i="132"/>
  <c r="AA19" i="126"/>
  <c r="G17" i="126"/>
  <c r="Y19" i="126"/>
  <c r="E17" i="126"/>
  <c r="AC19" i="126"/>
  <c r="U19" i="126"/>
  <c r="I17" i="126"/>
  <c r="W19" i="126"/>
  <c r="G15" i="127"/>
  <c r="E15" i="127"/>
  <c r="I15" i="127"/>
  <c r="G9" i="128"/>
  <c r="E9" i="128"/>
  <c r="I9" i="128"/>
  <c r="H11" i="130"/>
  <c r="D9" i="125" s="1"/>
  <c r="K15" i="132"/>
  <c r="I15" i="132"/>
  <c r="E15" i="132"/>
  <c r="C55" i="141"/>
  <c r="B52" i="123"/>
  <c r="AA15" i="126"/>
  <c r="G13" i="126"/>
  <c r="Y15" i="126"/>
  <c r="E13" i="126"/>
  <c r="AC15" i="126"/>
  <c r="U15" i="126"/>
  <c r="I13" i="126"/>
  <c r="W15" i="126"/>
  <c r="K17" i="126"/>
  <c r="G9" i="127"/>
  <c r="G19" i="127" s="1"/>
  <c r="C6" i="125" s="1"/>
  <c r="E9" i="127"/>
  <c r="I9" i="127"/>
  <c r="G11" i="127"/>
  <c r="E11" i="127"/>
  <c r="I11" i="127"/>
  <c r="G13" i="127"/>
  <c r="E13" i="127"/>
  <c r="I13" i="127"/>
  <c r="K15" i="127"/>
  <c r="K19" i="127" s="1"/>
  <c r="E6" i="125" s="1"/>
  <c r="E17" i="128"/>
  <c r="B7" i="125" s="1"/>
  <c r="K9" i="128"/>
  <c r="K17" i="128" s="1"/>
  <c r="E7" i="125" s="1"/>
  <c r="J11" i="130"/>
  <c r="E9" i="125" s="1"/>
  <c r="R10" i="130"/>
  <c r="R11" i="130" s="1"/>
  <c r="R12" i="130" s="1"/>
  <c r="R13" i="130" s="1"/>
  <c r="E12" i="132"/>
  <c r="K14" i="126"/>
  <c r="AA14" i="126"/>
  <c r="W16" i="126"/>
  <c r="Y17" i="126"/>
  <c r="K18" i="126"/>
  <c r="AA18" i="126"/>
  <c r="W20" i="126"/>
  <c r="AA21" i="126"/>
  <c r="AA22" i="126"/>
  <c r="K14" i="128"/>
  <c r="G9" i="132"/>
  <c r="G17" i="132" s="1"/>
  <c r="K11" i="132"/>
  <c r="K19" i="132" s="1"/>
  <c r="G14" i="132"/>
  <c r="K10" i="126"/>
  <c r="K12" i="126"/>
  <c r="AA12" i="126"/>
  <c r="G14" i="126"/>
  <c r="W14" i="126"/>
  <c r="I15" i="126"/>
  <c r="K16" i="126"/>
  <c r="AA16" i="126"/>
  <c r="U17" i="126"/>
  <c r="AC17" i="126"/>
  <c r="G18" i="126"/>
  <c r="W18" i="126"/>
  <c r="I19" i="126"/>
  <c r="K20" i="126"/>
  <c r="AA20" i="126"/>
  <c r="W21" i="126"/>
  <c r="W22" i="126"/>
  <c r="I14" i="127"/>
  <c r="I16" i="127"/>
  <c r="I8" i="128"/>
  <c r="I17" i="128" s="1"/>
  <c r="D7" i="125" s="1"/>
  <c r="I10" i="128"/>
  <c r="I12" i="128"/>
  <c r="G14" i="128"/>
  <c r="G17" i="128" s="1"/>
  <c r="C7" i="125" s="1"/>
  <c r="K9" i="132"/>
  <c r="K14" i="132"/>
  <c r="G10" i="133"/>
  <c r="E10" i="133"/>
  <c r="I10" i="133"/>
  <c r="E10" i="126"/>
  <c r="E12" i="126"/>
  <c r="U12" i="126"/>
  <c r="I14" i="126"/>
  <c r="K15" i="126"/>
  <c r="E16" i="126"/>
  <c r="U16" i="126"/>
  <c r="I18" i="126"/>
  <c r="K19" i="126"/>
  <c r="U20" i="126"/>
  <c r="I11" i="132"/>
  <c r="I19" i="132" s="1"/>
  <c r="K10" i="133"/>
  <c r="G9" i="133"/>
  <c r="P16" i="133"/>
  <c r="R16" i="133" s="1"/>
  <c r="K9" i="133"/>
  <c r="H17" i="136"/>
  <c r="K11" i="137"/>
  <c r="I12" i="137"/>
  <c r="I14" i="137" s="1"/>
  <c r="D6" i="135" s="1"/>
  <c r="G13" i="137"/>
  <c r="G8" i="138"/>
  <c r="K9" i="138"/>
  <c r="G10" i="138"/>
  <c r="K11" i="138"/>
  <c r="E12" i="138"/>
  <c r="I13" i="138"/>
  <c r="K14" i="140"/>
  <c r="K18" i="140"/>
  <c r="E21" i="140"/>
  <c r="K22" i="140"/>
  <c r="K27" i="140"/>
  <c r="L17" i="136"/>
  <c r="K12" i="137"/>
  <c r="G12" i="138"/>
  <c r="K13" i="138"/>
  <c r="I12" i="140"/>
  <c r="G13" i="140"/>
  <c r="E14" i="140"/>
  <c r="I16" i="140"/>
  <c r="G17" i="140"/>
  <c r="E18" i="140"/>
  <c r="I20" i="140"/>
  <c r="G21" i="140"/>
  <c r="E22" i="140"/>
  <c r="I24" i="140"/>
  <c r="G25" i="140"/>
  <c r="E12" i="137"/>
  <c r="E14" i="137" s="1"/>
  <c r="B6" i="135" s="1"/>
  <c r="K13" i="137"/>
  <c r="K8" i="138"/>
  <c r="K10" i="138"/>
  <c r="I12" i="138"/>
  <c r="I14" i="138" s="1"/>
  <c r="D7" i="135" s="1"/>
  <c r="E13" i="138"/>
  <c r="I13" i="140"/>
  <c r="G14" i="140"/>
  <c r="I17" i="140"/>
  <c r="G18" i="140"/>
  <c r="I21" i="140"/>
  <c r="G22" i="140"/>
  <c r="I25" i="140"/>
  <c r="G27" i="140"/>
  <c r="B16" i="141"/>
  <c r="E54" i="121"/>
  <c r="D54" i="121"/>
  <c r="B54" i="121"/>
  <c r="E53" i="121"/>
  <c r="D53" i="121"/>
  <c r="B53" i="121"/>
  <c r="E52" i="121"/>
  <c r="D52" i="121"/>
  <c r="E51" i="121"/>
  <c r="D51" i="121"/>
  <c r="B52" i="121"/>
  <c r="B51" i="121"/>
  <c r="J29" i="120"/>
  <c r="H29" i="120"/>
  <c r="F29" i="120"/>
  <c r="D29" i="120"/>
  <c r="V16" i="118"/>
  <c r="V15" i="118"/>
  <c r="J13" i="118"/>
  <c r="H13" i="118"/>
  <c r="F13" i="118"/>
  <c r="V14" i="118"/>
  <c r="K9" i="118" s="1"/>
  <c r="V13" i="118"/>
  <c r="V12" i="118"/>
  <c r="D13" i="118"/>
  <c r="K12" i="118"/>
  <c r="V11" i="118"/>
  <c r="V10" i="118"/>
  <c r="G10" i="118"/>
  <c r="E10" i="118"/>
  <c r="V9" i="118"/>
  <c r="V8" i="118"/>
  <c r="V7" i="118"/>
  <c r="V6" i="118"/>
  <c r="V5" i="118"/>
  <c r="J13" i="117"/>
  <c r="H13" i="117"/>
  <c r="D13" i="117"/>
  <c r="E12" i="117"/>
  <c r="G11" i="117"/>
  <c r="K10" i="117"/>
  <c r="C30" i="115"/>
  <c r="B30" i="115"/>
  <c r="C29" i="115"/>
  <c r="B29" i="115"/>
  <c r="C28" i="115"/>
  <c r="B28" i="115"/>
  <c r="C27" i="115"/>
  <c r="B27" i="115"/>
  <c r="C26" i="115"/>
  <c r="B26" i="115"/>
  <c r="D14" i="114"/>
  <c r="J23" i="113"/>
  <c r="H23" i="113"/>
  <c r="F23" i="113"/>
  <c r="D23" i="113"/>
  <c r="Q16" i="113"/>
  <c r="O16" i="113"/>
  <c r="N16" i="113"/>
  <c r="M16" i="113"/>
  <c r="P15" i="113"/>
  <c r="R15" i="113" s="1"/>
  <c r="R14" i="113"/>
  <c r="Q14" i="113"/>
  <c r="P14" i="113"/>
  <c r="R13" i="113"/>
  <c r="P13" i="113"/>
  <c r="R12" i="113"/>
  <c r="P12" i="113"/>
  <c r="P11" i="113"/>
  <c r="R11" i="113" s="1"/>
  <c r="P10" i="113"/>
  <c r="R10" i="113" s="1"/>
  <c r="G10" i="113"/>
  <c r="R9" i="113"/>
  <c r="P9" i="113"/>
  <c r="I9" i="113"/>
  <c r="G9" i="113"/>
  <c r="E9" i="113"/>
  <c r="R8" i="113"/>
  <c r="P8" i="113"/>
  <c r="P7" i="113"/>
  <c r="R7" i="113" s="1"/>
  <c r="R6" i="113"/>
  <c r="P6" i="113"/>
  <c r="P5" i="113"/>
  <c r="R5" i="113" s="1"/>
  <c r="E54" i="111"/>
  <c r="E53" i="111"/>
  <c r="E52" i="111"/>
  <c r="E7" i="111"/>
  <c r="L7" i="111" s="1"/>
  <c r="J7" i="111"/>
  <c r="L19" i="110"/>
  <c r="L21" i="110" s="1"/>
  <c r="L22" i="110" s="1"/>
  <c r="O18" i="110"/>
  <c r="O17" i="110"/>
  <c r="O16" i="110"/>
  <c r="O19" i="110" s="1"/>
  <c r="I11" i="110"/>
  <c r="G11" i="110"/>
  <c r="E11" i="110"/>
  <c r="C11" i="110"/>
  <c r="J10" i="110"/>
  <c r="H10" i="110"/>
  <c r="H11" i="110" s="1"/>
  <c r="D9" i="105" s="1"/>
  <c r="F10" i="110"/>
  <c r="D10" i="110"/>
  <c r="P9" i="110"/>
  <c r="R9" i="110" s="1"/>
  <c r="D9" i="110"/>
  <c r="D11" i="110" s="1"/>
  <c r="B9" i="105" s="1"/>
  <c r="B9" i="110"/>
  <c r="H9" i="110" s="1"/>
  <c r="Q8" i="110"/>
  <c r="R8" i="110" s="1"/>
  <c r="J8" i="110"/>
  <c r="H8" i="110"/>
  <c r="F8" i="110"/>
  <c r="D8" i="110"/>
  <c r="R7" i="110"/>
  <c r="P6" i="110"/>
  <c r="R6" i="110" s="1"/>
  <c r="P5" i="110"/>
  <c r="R5" i="110" s="1"/>
  <c r="L19" i="109"/>
  <c r="L21" i="109" s="1"/>
  <c r="L22" i="109" s="1"/>
  <c r="O18" i="109"/>
  <c r="O17" i="109"/>
  <c r="O16" i="109"/>
  <c r="O19" i="109" s="1"/>
  <c r="J12" i="109"/>
  <c r="I12" i="109"/>
  <c r="H12" i="109"/>
  <c r="G12" i="109"/>
  <c r="D11" i="109"/>
  <c r="D10" i="109"/>
  <c r="P9" i="109"/>
  <c r="R9" i="109" s="1"/>
  <c r="D9" i="109"/>
  <c r="R8" i="109"/>
  <c r="Q8" i="109"/>
  <c r="D8" i="109"/>
  <c r="R7" i="109"/>
  <c r="R6" i="109"/>
  <c r="P6" i="109"/>
  <c r="P5" i="109"/>
  <c r="R5" i="109" s="1"/>
  <c r="Q17" i="108"/>
  <c r="J17" i="108"/>
  <c r="H17" i="108"/>
  <c r="F17" i="108"/>
  <c r="D17" i="108"/>
  <c r="Q16" i="108"/>
  <c r="K16" i="108"/>
  <c r="I16" i="108"/>
  <c r="G16" i="108"/>
  <c r="E16" i="108"/>
  <c r="Q15" i="108"/>
  <c r="C15" i="108"/>
  <c r="Q14" i="108"/>
  <c r="G14" i="108"/>
  <c r="C14" i="108"/>
  <c r="K14" i="108" s="1"/>
  <c r="Q13" i="108"/>
  <c r="E13" i="108"/>
  <c r="C13" i="108"/>
  <c r="Q12" i="108"/>
  <c r="I12" i="108"/>
  <c r="C12" i="108"/>
  <c r="E12" i="108" s="1"/>
  <c r="Q11" i="108"/>
  <c r="E11" i="108"/>
  <c r="C11" i="108"/>
  <c r="I11" i="108" s="1"/>
  <c r="Q10" i="108"/>
  <c r="I10" i="108"/>
  <c r="C10" i="108"/>
  <c r="E10" i="108" s="1"/>
  <c r="Q9" i="108"/>
  <c r="E9" i="108"/>
  <c r="C9" i="108"/>
  <c r="I9" i="108" s="1"/>
  <c r="Q8" i="108"/>
  <c r="I8" i="108"/>
  <c r="C8" i="108"/>
  <c r="E8" i="108" s="1"/>
  <c r="Q7" i="108"/>
  <c r="Q6" i="108"/>
  <c r="Q5" i="108"/>
  <c r="J19" i="107"/>
  <c r="H19" i="107"/>
  <c r="F19" i="107"/>
  <c r="D19" i="107"/>
  <c r="Q18" i="107"/>
  <c r="K18" i="107"/>
  <c r="I18" i="107"/>
  <c r="G18" i="107"/>
  <c r="E18" i="107"/>
  <c r="Q17" i="107"/>
  <c r="E17" i="107"/>
  <c r="C17" i="107"/>
  <c r="I17" i="107" s="1"/>
  <c r="Q16" i="107"/>
  <c r="I16" i="107"/>
  <c r="C16" i="107"/>
  <c r="E16" i="107" s="1"/>
  <c r="Q15" i="107"/>
  <c r="E15" i="107"/>
  <c r="C15" i="107"/>
  <c r="I15" i="107" s="1"/>
  <c r="Q14" i="107"/>
  <c r="I14" i="107"/>
  <c r="E14" i="107"/>
  <c r="C14" i="107"/>
  <c r="K14" i="107" s="1"/>
  <c r="Q13" i="107"/>
  <c r="I13" i="107"/>
  <c r="E13" i="107"/>
  <c r="C13" i="107"/>
  <c r="G13" i="107" s="1"/>
  <c r="Q12" i="107"/>
  <c r="I12" i="107"/>
  <c r="E12" i="107"/>
  <c r="C12" i="107"/>
  <c r="K12" i="107" s="1"/>
  <c r="Q11" i="107"/>
  <c r="I11" i="107"/>
  <c r="E11" i="107"/>
  <c r="C11" i="107"/>
  <c r="G11" i="107" s="1"/>
  <c r="Q10" i="107"/>
  <c r="I10" i="107"/>
  <c r="E10" i="107"/>
  <c r="C10" i="107"/>
  <c r="K10" i="107" s="1"/>
  <c r="Q9" i="107"/>
  <c r="I9" i="107"/>
  <c r="E9" i="107"/>
  <c r="C9" i="107"/>
  <c r="G9" i="107" s="1"/>
  <c r="Q8" i="107"/>
  <c r="I8" i="107"/>
  <c r="I19" i="107" s="1"/>
  <c r="D6" i="105" s="1"/>
  <c r="E8" i="107"/>
  <c r="C8" i="107"/>
  <c r="K8" i="107" s="1"/>
  <c r="Q7" i="107"/>
  <c r="Q6" i="107"/>
  <c r="Q5" i="107"/>
  <c r="AB23" i="106"/>
  <c r="Z23" i="106"/>
  <c r="X23" i="106"/>
  <c r="V23" i="106"/>
  <c r="AD22" i="106"/>
  <c r="AA22" i="106"/>
  <c r="W22" i="106"/>
  <c r="AD21" i="106"/>
  <c r="J21" i="106"/>
  <c r="H21" i="106"/>
  <c r="AD23" i="106"/>
  <c r="AD20" i="106"/>
  <c r="K20" i="106"/>
  <c r="G20" i="106"/>
  <c r="AD19" i="106"/>
  <c r="AA19" i="106"/>
  <c r="I19" i="106"/>
  <c r="AD18" i="106"/>
  <c r="AC18" i="106"/>
  <c r="AA18" i="106"/>
  <c r="Y18" i="106"/>
  <c r="U18" i="106"/>
  <c r="I18" i="106"/>
  <c r="AA20" i="106"/>
  <c r="AD17" i="106"/>
  <c r="G17" i="106"/>
  <c r="W19" i="106"/>
  <c r="AD16" i="106"/>
  <c r="AC16" i="106"/>
  <c r="U16" i="106"/>
  <c r="I16" i="106"/>
  <c r="G16" i="106"/>
  <c r="E16" i="106"/>
  <c r="W18" i="106"/>
  <c r="AD15" i="106"/>
  <c r="AA15" i="106"/>
  <c r="AA17" i="106"/>
  <c r="AD14" i="106"/>
  <c r="AC14" i="106"/>
  <c r="AA14" i="106"/>
  <c r="Y14" i="106"/>
  <c r="U14" i="106"/>
  <c r="I14" i="106"/>
  <c r="Y16" i="106"/>
  <c r="AD13" i="106"/>
  <c r="G13" i="106"/>
  <c r="W15" i="106"/>
  <c r="AD12" i="106"/>
  <c r="AC12" i="106"/>
  <c r="Y12" i="106"/>
  <c r="W12" i="106"/>
  <c r="U12" i="106"/>
  <c r="I12" i="106"/>
  <c r="G12" i="106"/>
  <c r="E12" i="106"/>
  <c r="W14" i="106"/>
  <c r="AD11" i="106"/>
  <c r="AA11" i="106"/>
  <c r="AA13" i="106"/>
  <c r="I10" i="106"/>
  <c r="G10" i="106"/>
  <c r="E10" i="106"/>
  <c r="AA12" i="106"/>
  <c r="G9" i="106"/>
  <c r="W11" i="106"/>
  <c r="E54" i="105"/>
  <c r="D54" i="105"/>
  <c r="E53" i="105"/>
  <c r="D53" i="105"/>
  <c r="E52" i="105"/>
  <c r="D52" i="105"/>
  <c r="L11" i="105"/>
  <c r="K11" i="105"/>
  <c r="E8" i="105"/>
  <c r="D8" i="105"/>
  <c r="C8" i="105"/>
  <c r="E55" i="104"/>
  <c r="D55" i="104"/>
  <c r="B55" i="104"/>
  <c r="E54" i="104"/>
  <c r="D54" i="104"/>
  <c r="B54" i="104"/>
  <c r="E53" i="104"/>
  <c r="D53" i="104"/>
  <c r="B53" i="104"/>
  <c r="E52" i="104"/>
  <c r="D52" i="104"/>
  <c r="C52" i="104"/>
  <c r="B52" i="104"/>
  <c r="C47" i="104"/>
  <c r="C55" i="104" s="1"/>
  <c r="C42" i="104"/>
  <c r="C41" i="104"/>
  <c r="C36" i="104"/>
  <c r="C54" i="104" s="1"/>
  <c r="C30" i="104"/>
  <c r="C25" i="104"/>
  <c r="C53" i="104" s="1"/>
  <c r="B19" i="104"/>
  <c r="B30" i="104" s="1"/>
  <c r="Q16" i="104"/>
  <c r="P16" i="104"/>
  <c r="E55" i="103"/>
  <c r="J188" i="145" s="1"/>
  <c r="E54" i="103"/>
  <c r="J183" i="145" s="1"/>
  <c r="E53" i="103"/>
  <c r="J178" i="145" s="1"/>
  <c r="E52" i="103"/>
  <c r="J158" i="145" s="1"/>
  <c r="J156" i="145" s="1"/>
  <c r="Q16" i="103"/>
  <c r="P16" i="103"/>
  <c r="M16" i="103"/>
  <c r="K16" i="103"/>
  <c r="J16" i="103"/>
  <c r="B13" i="103" s="1"/>
  <c r="I16" i="103"/>
  <c r="H18" i="102"/>
  <c r="G18" i="102"/>
  <c r="H17" i="102"/>
  <c r="G17" i="102"/>
  <c r="H16" i="102"/>
  <c r="D14" i="102"/>
  <c r="D12" i="102"/>
  <c r="H5" i="102"/>
  <c r="G5" i="102"/>
  <c r="E54" i="101"/>
  <c r="D54" i="101"/>
  <c r="B54" i="101"/>
  <c r="G114" i="145" s="1"/>
  <c r="G38" i="145" s="1"/>
  <c r="E53" i="101"/>
  <c r="D53" i="101"/>
  <c r="B53" i="101"/>
  <c r="G109" i="145" s="1"/>
  <c r="G33" i="145" s="1"/>
  <c r="E52" i="101"/>
  <c r="D52" i="101"/>
  <c r="E51" i="101"/>
  <c r="D51" i="101"/>
  <c r="C51" i="101"/>
  <c r="C46" i="101"/>
  <c r="C54" i="101" s="1"/>
  <c r="C33" i="101"/>
  <c r="C53" i="101" s="1"/>
  <c r="B52" i="101"/>
  <c r="G104" i="145" s="1"/>
  <c r="G28" i="145" s="1"/>
  <c r="C16" i="101"/>
  <c r="C22" i="101" s="1"/>
  <c r="C52" i="101" s="1"/>
  <c r="B51" i="101"/>
  <c r="J30" i="100"/>
  <c r="J31" i="100" s="1"/>
  <c r="H30" i="100"/>
  <c r="H31" i="100" s="1"/>
  <c r="F30" i="100"/>
  <c r="F31" i="100" s="1"/>
  <c r="D30" i="100"/>
  <c r="D31" i="100" s="1"/>
  <c r="E27" i="100"/>
  <c r="K27" i="100"/>
  <c r="G26" i="100"/>
  <c r="E26" i="100"/>
  <c r="I25" i="100"/>
  <c r="G25" i="100"/>
  <c r="I24" i="100"/>
  <c r="E23" i="100"/>
  <c r="K23" i="100"/>
  <c r="G21" i="100"/>
  <c r="E21" i="100"/>
  <c r="I20" i="100"/>
  <c r="G20" i="100"/>
  <c r="I19" i="100"/>
  <c r="E18" i="100"/>
  <c r="K18" i="100"/>
  <c r="G17" i="100"/>
  <c r="E17" i="100"/>
  <c r="I16" i="100"/>
  <c r="E16" i="100"/>
  <c r="G16" i="100"/>
  <c r="I15" i="100"/>
  <c r="I14" i="100"/>
  <c r="E14" i="100"/>
  <c r="K14" i="100"/>
  <c r="G12" i="100"/>
  <c r="E12" i="100"/>
  <c r="I11" i="100"/>
  <c r="E11" i="100"/>
  <c r="G11" i="100"/>
  <c r="H18" i="96"/>
  <c r="C30" i="95"/>
  <c r="B30" i="95"/>
  <c r="C29" i="95"/>
  <c r="B29" i="95"/>
  <c r="C28" i="95"/>
  <c r="B28" i="95"/>
  <c r="C27" i="95"/>
  <c r="B27" i="95"/>
  <c r="C26" i="95"/>
  <c r="B26" i="95"/>
  <c r="J23" i="93"/>
  <c r="H23" i="93"/>
  <c r="F23" i="93"/>
  <c r="D23" i="93"/>
  <c r="O16" i="93"/>
  <c r="N16" i="93"/>
  <c r="M16" i="93"/>
  <c r="R15" i="93"/>
  <c r="P15" i="93"/>
  <c r="Q14" i="93"/>
  <c r="P14" i="93"/>
  <c r="P13" i="93"/>
  <c r="R13" i="93" s="1"/>
  <c r="P12" i="93"/>
  <c r="R12" i="93" s="1"/>
  <c r="P11" i="93"/>
  <c r="R11" i="93" s="1"/>
  <c r="I11" i="93"/>
  <c r="E11" i="93"/>
  <c r="R10" i="93"/>
  <c r="P10" i="93"/>
  <c r="I10" i="93"/>
  <c r="G10" i="93"/>
  <c r="K10" i="93"/>
  <c r="P9" i="93"/>
  <c r="R9" i="93" s="1"/>
  <c r="I9" i="93"/>
  <c r="G9" i="93"/>
  <c r="E9" i="93"/>
  <c r="K9" i="93"/>
  <c r="P8" i="93"/>
  <c r="R8" i="93" s="1"/>
  <c r="R7" i="93"/>
  <c r="P7" i="93"/>
  <c r="P6" i="93"/>
  <c r="R6" i="93" s="1"/>
  <c r="R5" i="93"/>
  <c r="P5" i="93"/>
  <c r="J19" i="92"/>
  <c r="H19" i="92"/>
  <c r="F19" i="92"/>
  <c r="D19" i="92"/>
  <c r="C11" i="92"/>
  <c r="C24" i="92" s="1"/>
  <c r="C10" i="92"/>
  <c r="E54" i="91"/>
  <c r="D54" i="91"/>
  <c r="E53" i="91"/>
  <c r="D53" i="91"/>
  <c r="E52" i="91"/>
  <c r="D52" i="91"/>
  <c r="E7" i="91"/>
  <c r="D7" i="91"/>
  <c r="C7" i="91"/>
  <c r="L19" i="90"/>
  <c r="L21" i="90" s="1"/>
  <c r="L22" i="90" s="1"/>
  <c r="O18" i="90"/>
  <c r="O17" i="90"/>
  <c r="O16" i="90"/>
  <c r="O19" i="90" s="1"/>
  <c r="I11" i="90"/>
  <c r="H11" i="90"/>
  <c r="D9" i="85" s="1"/>
  <c r="G11" i="90"/>
  <c r="E11" i="90"/>
  <c r="J10" i="90"/>
  <c r="H10" i="90"/>
  <c r="F10" i="90"/>
  <c r="D10" i="90"/>
  <c r="P9" i="90"/>
  <c r="R9" i="90" s="1"/>
  <c r="H9" i="90"/>
  <c r="F9" i="90"/>
  <c r="D9" i="90"/>
  <c r="B9" i="85" s="1"/>
  <c r="B9" i="90"/>
  <c r="J9" i="90" s="1"/>
  <c r="R8" i="90"/>
  <c r="Q8" i="90"/>
  <c r="J8" i="90"/>
  <c r="J11" i="90" s="1"/>
  <c r="E9" i="85" s="1"/>
  <c r="H8" i="90"/>
  <c r="F8" i="90"/>
  <c r="F11" i="90" s="1"/>
  <c r="D8" i="90"/>
  <c r="R7" i="90"/>
  <c r="P6" i="90"/>
  <c r="R6" i="90" s="1"/>
  <c r="P5" i="90"/>
  <c r="R5" i="90" s="1"/>
  <c r="L19" i="89"/>
  <c r="L21" i="89" s="1"/>
  <c r="L22" i="89" s="1"/>
  <c r="O18" i="89"/>
  <c r="O17" i="89"/>
  <c r="O16" i="89"/>
  <c r="O19" i="89" s="1"/>
  <c r="J12" i="89"/>
  <c r="I12" i="89"/>
  <c r="H12" i="89"/>
  <c r="D8" i="85" s="1"/>
  <c r="G12" i="89"/>
  <c r="C8" i="85"/>
  <c r="D11" i="89"/>
  <c r="D10" i="89"/>
  <c r="P9" i="89"/>
  <c r="R9" i="89" s="1"/>
  <c r="D9" i="89"/>
  <c r="R8" i="89"/>
  <c r="Q8" i="89"/>
  <c r="D8" i="89"/>
  <c r="R7" i="89"/>
  <c r="R6" i="89"/>
  <c r="P6" i="89"/>
  <c r="R5" i="89"/>
  <c r="P5" i="89"/>
  <c r="Q17" i="88"/>
  <c r="J17" i="88"/>
  <c r="H17" i="88"/>
  <c r="F17" i="88"/>
  <c r="D17" i="88"/>
  <c r="Q16" i="88"/>
  <c r="K16" i="88"/>
  <c r="I16" i="88"/>
  <c r="G16" i="88"/>
  <c r="E16" i="88"/>
  <c r="Q15" i="88"/>
  <c r="C15" i="88"/>
  <c r="K15" i="88" s="1"/>
  <c r="Q14" i="88"/>
  <c r="G14" i="88"/>
  <c r="C14" i="88"/>
  <c r="E14" i="88" s="1"/>
  <c r="Q13" i="88"/>
  <c r="E13" i="88"/>
  <c r="C13" i="88"/>
  <c r="Q12" i="88"/>
  <c r="I12" i="88"/>
  <c r="E12" i="88"/>
  <c r="C12" i="88"/>
  <c r="G12" i="88" s="1"/>
  <c r="Q11" i="88"/>
  <c r="I11" i="88"/>
  <c r="G11" i="88"/>
  <c r="E11" i="88"/>
  <c r="C11" i="88"/>
  <c r="K11" i="88" s="1"/>
  <c r="Q10" i="88"/>
  <c r="I10" i="88"/>
  <c r="E10" i="88"/>
  <c r="C10" i="88"/>
  <c r="G10" i="88" s="1"/>
  <c r="Q9" i="88"/>
  <c r="I9" i="88"/>
  <c r="G9" i="88"/>
  <c r="E9" i="88"/>
  <c r="C9" i="88"/>
  <c r="K9" i="88" s="1"/>
  <c r="Q8" i="88"/>
  <c r="I8" i="88"/>
  <c r="E8" i="88"/>
  <c r="C8" i="88"/>
  <c r="G8" i="88" s="1"/>
  <c r="Q7" i="88"/>
  <c r="Q6" i="88"/>
  <c r="Q5" i="88"/>
  <c r="J19" i="87"/>
  <c r="H19" i="87"/>
  <c r="F19" i="87"/>
  <c r="D19" i="87"/>
  <c r="Q18" i="87"/>
  <c r="K18" i="87"/>
  <c r="I18" i="87"/>
  <c r="G18" i="87"/>
  <c r="E18" i="87"/>
  <c r="Q17" i="87"/>
  <c r="I17" i="87"/>
  <c r="G17" i="87"/>
  <c r="E17" i="87"/>
  <c r="C17" i="87"/>
  <c r="K17" i="87" s="1"/>
  <c r="Q16" i="87"/>
  <c r="I16" i="87"/>
  <c r="E16" i="87"/>
  <c r="C16" i="87"/>
  <c r="G16" i="87" s="1"/>
  <c r="Q15" i="87"/>
  <c r="I15" i="87"/>
  <c r="G15" i="87"/>
  <c r="E15" i="87"/>
  <c r="C15" i="87"/>
  <c r="K15" i="87" s="1"/>
  <c r="Q14" i="87"/>
  <c r="I14" i="87"/>
  <c r="E14" i="87"/>
  <c r="C14" i="87"/>
  <c r="G14" i="87" s="1"/>
  <c r="Q13" i="87"/>
  <c r="I13" i="87"/>
  <c r="G13" i="87"/>
  <c r="E13" i="87"/>
  <c r="C13" i="87"/>
  <c r="K13" i="87" s="1"/>
  <c r="Q12" i="87"/>
  <c r="I12" i="87"/>
  <c r="E12" i="87"/>
  <c r="C12" i="87"/>
  <c r="G12" i="87" s="1"/>
  <c r="Q11" i="87"/>
  <c r="I11" i="87"/>
  <c r="G11" i="87"/>
  <c r="E11" i="87"/>
  <c r="C11" i="87"/>
  <c r="K11" i="87" s="1"/>
  <c r="Q10" i="87"/>
  <c r="I10" i="87"/>
  <c r="E10" i="87"/>
  <c r="C10" i="87"/>
  <c r="G10" i="87" s="1"/>
  <c r="Q9" i="87"/>
  <c r="I9" i="87"/>
  <c r="G9" i="87"/>
  <c r="E9" i="87"/>
  <c r="C9" i="87"/>
  <c r="K9" i="87" s="1"/>
  <c r="Q8" i="87"/>
  <c r="I8" i="87"/>
  <c r="E8" i="87"/>
  <c r="C8" i="87"/>
  <c r="G8" i="87" s="1"/>
  <c r="Q7" i="87"/>
  <c r="Q6" i="87"/>
  <c r="Q5" i="87"/>
  <c r="AB23" i="86"/>
  <c r="Z23" i="86"/>
  <c r="X23" i="86"/>
  <c r="V23" i="86"/>
  <c r="AD22" i="86"/>
  <c r="AA22" i="86"/>
  <c r="W22" i="86"/>
  <c r="AD21" i="86"/>
  <c r="AA21" i="86"/>
  <c r="W21" i="86"/>
  <c r="J21" i="86"/>
  <c r="H21" i="86"/>
  <c r="AD23" i="86"/>
  <c r="AD20" i="86"/>
  <c r="K20" i="86"/>
  <c r="G20" i="86"/>
  <c r="AD19" i="86"/>
  <c r="AC19" i="86"/>
  <c r="Y19" i="86"/>
  <c r="U19" i="86"/>
  <c r="I19" i="86"/>
  <c r="E19" i="86"/>
  <c r="AC21" i="86"/>
  <c r="AD18" i="86"/>
  <c r="AA18" i="86"/>
  <c r="AD17" i="86"/>
  <c r="I17" i="86"/>
  <c r="E17" i="86"/>
  <c r="W19" i="86"/>
  <c r="AD16" i="86"/>
  <c r="AA16" i="86"/>
  <c r="Y16" i="86"/>
  <c r="U16" i="86"/>
  <c r="I16" i="86"/>
  <c r="E16" i="86"/>
  <c r="AD15" i="86"/>
  <c r="AA15" i="86"/>
  <c r="Y17" i="86"/>
  <c r="AD14" i="86"/>
  <c r="AC14" i="86"/>
  <c r="Y14" i="86"/>
  <c r="U14" i="86"/>
  <c r="I14" i="86"/>
  <c r="G14" i="86"/>
  <c r="E14" i="86"/>
  <c r="AC16" i="86"/>
  <c r="AD13" i="86"/>
  <c r="G13" i="86"/>
  <c r="W15" i="86"/>
  <c r="AD12" i="86"/>
  <c r="AC12" i="86"/>
  <c r="Y12" i="86"/>
  <c r="U12" i="86"/>
  <c r="I12" i="86"/>
  <c r="E12" i="86"/>
  <c r="AA14" i="86"/>
  <c r="AD11" i="86"/>
  <c r="AA11" i="86"/>
  <c r="AA13" i="86"/>
  <c r="I10" i="86"/>
  <c r="E10" i="86"/>
  <c r="W12" i="86"/>
  <c r="G9" i="86"/>
  <c r="W11" i="86"/>
  <c r="E54" i="85"/>
  <c r="D54" i="85"/>
  <c r="E53" i="85"/>
  <c r="D53" i="85"/>
  <c r="E52" i="85"/>
  <c r="D52" i="85"/>
  <c r="L11" i="85"/>
  <c r="K11" i="85"/>
  <c r="C9" i="85"/>
  <c r="E8" i="85"/>
  <c r="E55" i="84"/>
  <c r="D55" i="84"/>
  <c r="B55" i="84"/>
  <c r="E54" i="84"/>
  <c r="D54" i="84"/>
  <c r="B54" i="84"/>
  <c r="E53" i="84"/>
  <c r="D53" i="84"/>
  <c r="C53" i="84"/>
  <c r="B53" i="84"/>
  <c r="E52" i="84"/>
  <c r="D52" i="84"/>
  <c r="C52" i="84"/>
  <c r="B52" i="84"/>
  <c r="C47" i="84"/>
  <c r="C55" i="84" s="1"/>
  <c r="C42" i="84"/>
  <c r="C41" i="84"/>
  <c r="C36" i="84"/>
  <c r="C54" i="84" s="1"/>
  <c r="C30" i="84"/>
  <c r="C25" i="84"/>
  <c r="B30" i="84"/>
  <c r="Q16" i="84"/>
  <c r="P16" i="84"/>
  <c r="E55" i="83"/>
  <c r="J112" i="145" s="1"/>
  <c r="E54" i="83"/>
  <c r="J107" i="145" s="1"/>
  <c r="E53" i="83"/>
  <c r="J102" i="145" s="1"/>
  <c r="E52" i="83"/>
  <c r="J82" i="145" s="1"/>
  <c r="J80" i="145" s="1"/>
  <c r="B35" i="83"/>
  <c r="B34" i="83"/>
  <c r="B33" i="83"/>
  <c r="B32" i="83"/>
  <c r="B31" i="83"/>
  <c r="Q16" i="83"/>
  <c r="P16" i="83"/>
  <c r="M16" i="83"/>
  <c r="K16" i="83"/>
  <c r="J16" i="83"/>
  <c r="I16" i="83"/>
  <c r="C19" i="83"/>
  <c r="H18" i="82"/>
  <c r="G18" i="82"/>
  <c r="H17" i="82"/>
  <c r="G17" i="82"/>
  <c r="H16" i="82"/>
  <c r="D14" i="82"/>
  <c r="D12" i="82"/>
  <c r="H5" i="82"/>
  <c r="G5" i="82"/>
  <c r="E54" i="81"/>
  <c r="D54" i="81"/>
  <c r="C54" i="81"/>
  <c r="B54" i="81"/>
  <c r="E53" i="81"/>
  <c r="D53" i="81"/>
  <c r="C53" i="81"/>
  <c r="B53" i="81"/>
  <c r="E52" i="81"/>
  <c r="D52" i="81"/>
  <c r="C52" i="81"/>
  <c r="B52" i="81"/>
  <c r="E51" i="81"/>
  <c r="D51" i="81"/>
  <c r="C51" i="81"/>
  <c r="C55" i="81" s="1"/>
  <c r="C46" i="81"/>
  <c r="C33" i="81"/>
  <c r="C16" i="81"/>
  <c r="C22" i="81" s="1"/>
  <c r="B51" i="81"/>
  <c r="J28" i="80"/>
  <c r="J29" i="80" s="1"/>
  <c r="H28" i="80"/>
  <c r="H29" i="80" s="1"/>
  <c r="F28" i="80"/>
  <c r="F29" i="80" s="1"/>
  <c r="D28" i="80"/>
  <c r="D29" i="80" s="1"/>
  <c r="I27" i="80"/>
  <c r="G27" i="80"/>
  <c r="E24" i="80"/>
  <c r="I23" i="80"/>
  <c r="G23" i="80"/>
  <c r="E23" i="80"/>
  <c r="I22" i="80"/>
  <c r="G22" i="80"/>
  <c r="E22" i="80"/>
  <c r="E20" i="80"/>
  <c r="K20" i="80"/>
  <c r="I19" i="80"/>
  <c r="G19" i="80"/>
  <c r="E19" i="80"/>
  <c r="K19" i="80"/>
  <c r="I18" i="80"/>
  <c r="G18" i="80"/>
  <c r="E18" i="80"/>
  <c r="E16" i="80"/>
  <c r="K16" i="80"/>
  <c r="I15" i="80"/>
  <c r="G15" i="80"/>
  <c r="E15" i="80"/>
  <c r="K15" i="80"/>
  <c r="I14" i="80"/>
  <c r="G14" i="80"/>
  <c r="E14" i="80"/>
  <c r="E12" i="80"/>
  <c r="K12" i="80"/>
  <c r="I11" i="80"/>
  <c r="G11" i="80"/>
  <c r="E11" i="80"/>
  <c r="K11" i="80"/>
  <c r="V16" i="78"/>
  <c r="V15" i="78"/>
  <c r="J17" i="78"/>
  <c r="H17" i="78"/>
  <c r="F17" i="78"/>
  <c r="V14" i="78"/>
  <c r="V13" i="78"/>
  <c r="V12" i="78"/>
  <c r="D17" i="78"/>
  <c r="V11" i="78"/>
  <c r="V10" i="78"/>
  <c r="E11" i="78"/>
  <c r="K11" i="78"/>
  <c r="V9" i="78"/>
  <c r="K15" i="78" s="1"/>
  <c r="E10" i="78"/>
  <c r="K10" i="78"/>
  <c r="V8" i="78"/>
  <c r="K9" i="78"/>
  <c r="V7" i="78"/>
  <c r="V6" i="78"/>
  <c r="I13" i="78" s="1"/>
  <c r="V5" i="78"/>
  <c r="E12" i="78" s="1"/>
  <c r="E9" i="77"/>
  <c r="E17" i="77" s="1"/>
  <c r="D23" i="76"/>
  <c r="L22" i="76"/>
  <c r="L21" i="76"/>
  <c r="L20" i="76"/>
  <c r="J23" i="76"/>
  <c r="L18" i="76"/>
  <c r="O17" i="76"/>
  <c r="I17" i="76"/>
  <c r="L17" i="76"/>
  <c r="L23" i="76" s="1"/>
  <c r="I15" i="76"/>
  <c r="I14" i="76"/>
  <c r="I13" i="76"/>
  <c r="I12" i="76"/>
  <c r="I11" i="76"/>
  <c r="B30" i="75"/>
  <c r="B29" i="75"/>
  <c r="B28" i="75"/>
  <c r="D27" i="75"/>
  <c r="C27" i="75"/>
  <c r="B27" i="75"/>
  <c r="D26" i="75"/>
  <c r="C26" i="75"/>
  <c r="B26" i="75"/>
  <c r="J23" i="73"/>
  <c r="H23" i="73"/>
  <c r="F23" i="73"/>
  <c r="D23" i="73"/>
  <c r="Q16" i="73"/>
  <c r="O16" i="73"/>
  <c r="N16" i="73"/>
  <c r="M16" i="73"/>
  <c r="P15" i="73"/>
  <c r="R15" i="73" s="1"/>
  <c r="Q14" i="73"/>
  <c r="P14" i="73"/>
  <c r="R14" i="73" s="1"/>
  <c r="P13" i="73"/>
  <c r="R13" i="73" s="1"/>
  <c r="R12" i="73"/>
  <c r="P12" i="73"/>
  <c r="R11" i="73"/>
  <c r="P11" i="73"/>
  <c r="P10" i="73"/>
  <c r="R10" i="73" s="1"/>
  <c r="P9" i="73"/>
  <c r="R9" i="73" s="1"/>
  <c r="P8" i="73"/>
  <c r="R8" i="73" s="1"/>
  <c r="P7" i="73"/>
  <c r="R7" i="73" s="1"/>
  <c r="P6" i="73"/>
  <c r="R6" i="73" s="1"/>
  <c r="P5" i="73"/>
  <c r="J26" i="72"/>
  <c r="H26" i="72"/>
  <c r="F26" i="72"/>
  <c r="J16" i="72"/>
  <c r="H16" i="72"/>
  <c r="F16" i="72"/>
  <c r="J12" i="72"/>
  <c r="H12" i="72"/>
  <c r="F12" i="72"/>
  <c r="D12" i="72"/>
  <c r="C11" i="72"/>
  <c r="K11" i="72" s="1"/>
  <c r="K25" i="72" s="1"/>
  <c r="C10" i="72"/>
  <c r="C9" i="72"/>
  <c r="K9" i="72" s="1"/>
  <c r="E54" i="71"/>
  <c r="D54" i="71"/>
  <c r="E53" i="71"/>
  <c r="D53" i="71"/>
  <c r="E52" i="71"/>
  <c r="D52" i="71"/>
  <c r="E7" i="71"/>
  <c r="L7" i="71" s="1"/>
  <c r="D7" i="71"/>
  <c r="K7" i="71" s="1"/>
  <c r="C7" i="71"/>
  <c r="L21" i="70"/>
  <c r="L22" i="70" s="1"/>
  <c r="L19" i="70"/>
  <c r="O18" i="70"/>
  <c r="O17" i="70"/>
  <c r="O16" i="70"/>
  <c r="O19" i="70" s="1"/>
  <c r="I11" i="70"/>
  <c r="G11" i="70"/>
  <c r="E11" i="70"/>
  <c r="C11" i="70"/>
  <c r="J10" i="70"/>
  <c r="H10" i="70"/>
  <c r="F10" i="70"/>
  <c r="D10" i="70"/>
  <c r="R9" i="70"/>
  <c r="P9" i="70"/>
  <c r="J9" i="70"/>
  <c r="J11" i="70" s="1"/>
  <c r="F9" i="70"/>
  <c r="B9" i="70"/>
  <c r="Q8" i="70"/>
  <c r="R8" i="70" s="1"/>
  <c r="J8" i="70"/>
  <c r="H8" i="70"/>
  <c r="F8" i="70"/>
  <c r="D8" i="70"/>
  <c r="R7" i="70"/>
  <c r="R6" i="70"/>
  <c r="P6" i="70"/>
  <c r="R5" i="70"/>
  <c r="R10" i="70" s="1"/>
  <c r="P5" i="70"/>
  <c r="L22" i="69"/>
  <c r="L21" i="69"/>
  <c r="L19" i="69"/>
  <c r="O18" i="69"/>
  <c r="O17" i="69"/>
  <c r="O16" i="69"/>
  <c r="O19" i="69" s="1"/>
  <c r="J12" i="69"/>
  <c r="I12" i="69"/>
  <c r="H12" i="69"/>
  <c r="G12" i="69"/>
  <c r="F12" i="69"/>
  <c r="D11" i="69"/>
  <c r="D10" i="69"/>
  <c r="R9" i="69"/>
  <c r="R11" i="69" s="1"/>
  <c r="R12" i="69" s="1"/>
  <c r="R13" i="69" s="1"/>
  <c r="P9" i="69"/>
  <c r="D9" i="69"/>
  <c r="Q8" i="69"/>
  <c r="R8" i="69" s="1"/>
  <c r="D8" i="69"/>
  <c r="R7" i="69"/>
  <c r="P6" i="69"/>
  <c r="R6" i="69" s="1"/>
  <c r="R10" i="69" s="1"/>
  <c r="P5" i="69"/>
  <c r="R5" i="69" s="1"/>
  <c r="Q17" i="68"/>
  <c r="J17" i="68"/>
  <c r="H17" i="68"/>
  <c r="F17" i="68"/>
  <c r="D17" i="68"/>
  <c r="Q16" i="68"/>
  <c r="K16" i="68"/>
  <c r="I16" i="68"/>
  <c r="G16" i="68"/>
  <c r="E16" i="68"/>
  <c r="Q15" i="68"/>
  <c r="I15" i="68"/>
  <c r="G15" i="68"/>
  <c r="E15" i="68"/>
  <c r="C15" i="68"/>
  <c r="K15" i="68" s="1"/>
  <c r="Q14" i="68"/>
  <c r="I14" i="68"/>
  <c r="E14" i="68"/>
  <c r="C14" i="68"/>
  <c r="K14" i="68" s="1"/>
  <c r="Q13" i="68"/>
  <c r="C13" i="68"/>
  <c r="E13" i="68" s="1"/>
  <c r="Q12" i="68"/>
  <c r="C12" i="68"/>
  <c r="K12" i="68" s="1"/>
  <c r="Q11" i="68"/>
  <c r="C11" i="68"/>
  <c r="G11" i="68" s="1"/>
  <c r="Q10" i="68"/>
  <c r="C10" i="68"/>
  <c r="Q9" i="68"/>
  <c r="K9" i="68"/>
  <c r="G9" i="68"/>
  <c r="C9" i="68"/>
  <c r="E9" i="68" s="1"/>
  <c r="Q8" i="68"/>
  <c r="G8" i="68"/>
  <c r="C8" i="68"/>
  <c r="I8" i="68" s="1"/>
  <c r="Q7" i="68"/>
  <c r="Q6" i="68"/>
  <c r="Q5" i="68"/>
  <c r="J19" i="67"/>
  <c r="H19" i="67"/>
  <c r="F19" i="67"/>
  <c r="D19" i="67"/>
  <c r="Q18" i="67"/>
  <c r="K18" i="67"/>
  <c r="I18" i="67"/>
  <c r="G18" i="67"/>
  <c r="E18" i="67"/>
  <c r="Q17" i="67"/>
  <c r="K17" i="67"/>
  <c r="I17" i="67"/>
  <c r="G17" i="67"/>
  <c r="C17" i="67"/>
  <c r="E17" i="67" s="1"/>
  <c r="Q16" i="67"/>
  <c r="C16" i="67"/>
  <c r="I16" i="67" s="1"/>
  <c r="Q15" i="67"/>
  <c r="K15" i="67"/>
  <c r="G15" i="67"/>
  <c r="C15" i="67"/>
  <c r="E15" i="67" s="1"/>
  <c r="Q14" i="67"/>
  <c r="G14" i="67"/>
  <c r="C14" i="67"/>
  <c r="I14" i="67" s="1"/>
  <c r="Q13" i="67"/>
  <c r="K13" i="67"/>
  <c r="I13" i="67"/>
  <c r="G13" i="67"/>
  <c r="C13" i="67"/>
  <c r="E13" i="67" s="1"/>
  <c r="Q12" i="67"/>
  <c r="C12" i="67"/>
  <c r="I12" i="67" s="1"/>
  <c r="Q11" i="67"/>
  <c r="K11" i="67"/>
  <c r="G11" i="67"/>
  <c r="C11" i="67"/>
  <c r="E11" i="67" s="1"/>
  <c r="Q10" i="67"/>
  <c r="G10" i="67"/>
  <c r="C10" i="67"/>
  <c r="I10" i="67" s="1"/>
  <c r="Q9" i="67"/>
  <c r="K9" i="67"/>
  <c r="I9" i="67"/>
  <c r="G9" i="67"/>
  <c r="C9" i="67"/>
  <c r="E9" i="67" s="1"/>
  <c r="Q8" i="67"/>
  <c r="C8" i="67"/>
  <c r="I8" i="67" s="1"/>
  <c r="Q7" i="67"/>
  <c r="Q6" i="67"/>
  <c r="Q5" i="67"/>
  <c r="AB23" i="66"/>
  <c r="Z23" i="66"/>
  <c r="X23" i="66"/>
  <c r="V23" i="66"/>
  <c r="AD22" i="66"/>
  <c r="AC22" i="66"/>
  <c r="AA22" i="66"/>
  <c r="Y22" i="66"/>
  <c r="U22" i="66"/>
  <c r="AD21" i="66"/>
  <c r="AA21" i="66"/>
  <c r="J21" i="66"/>
  <c r="H21" i="66"/>
  <c r="F21" i="66"/>
  <c r="D21" i="66"/>
  <c r="D22" i="66" s="1"/>
  <c r="AD20" i="66"/>
  <c r="AC20" i="66"/>
  <c r="W20" i="66"/>
  <c r="U20" i="66"/>
  <c r="I20" i="66"/>
  <c r="G20" i="66"/>
  <c r="E20" i="66"/>
  <c r="W22" i="66"/>
  <c r="AD19" i="66"/>
  <c r="AA19" i="66"/>
  <c r="W19" i="66"/>
  <c r="U19" i="66"/>
  <c r="G19" i="66"/>
  <c r="U21" i="66"/>
  <c r="AD18" i="66"/>
  <c r="AC18" i="66"/>
  <c r="AA18" i="66"/>
  <c r="Y18" i="66"/>
  <c r="U18" i="66"/>
  <c r="K18" i="66"/>
  <c r="I18" i="66"/>
  <c r="E18" i="66"/>
  <c r="AD17" i="66"/>
  <c r="AA17" i="66"/>
  <c r="Y17" i="66"/>
  <c r="K17" i="66"/>
  <c r="I17" i="66"/>
  <c r="G17" i="66"/>
  <c r="AD16" i="66"/>
  <c r="U16" i="66"/>
  <c r="I16" i="66"/>
  <c r="G16" i="66"/>
  <c r="E16" i="66"/>
  <c r="W18" i="66"/>
  <c r="AD15" i="66"/>
  <c r="AC15" i="66"/>
  <c r="Y15" i="66"/>
  <c r="U15" i="66"/>
  <c r="I15" i="66"/>
  <c r="G15" i="66"/>
  <c r="E15" i="66"/>
  <c r="AD14" i="66"/>
  <c r="G14" i="66"/>
  <c r="AA16" i="66"/>
  <c r="AD13" i="66"/>
  <c r="I13" i="66"/>
  <c r="E13" i="66"/>
  <c r="W15" i="66"/>
  <c r="AD12" i="66"/>
  <c r="AC14" i="66"/>
  <c r="AD11" i="66"/>
  <c r="AC11" i="66"/>
  <c r="Y11" i="66"/>
  <c r="U11" i="66"/>
  <c r="Y12" i="66"/>
  <c r="I9" i="66"/>
  <c r="E9" i="66"/>
  <c r="W11" i="66"/>
  <c r="E54" i="65"/>
  <c r="D54" i="65"/>
  <c r="E53" i="65"/>
  <c r="D53" i="65"/>
  <c r="E52" i="65"/>
  <c r="D52" i="65"/>
  <c r="L11" i="65"/>
  <c r="K11" i="65"/>
  <c r="E9" i="65"/>
  <c r="E8" i="65"/>
  <c r="D8" i="65"/>
  <c r="C8" i="65"/>
  <c r="E55" i="64"/>
  <c r="D55" i="64"/>
  <c r="B55" i="64"/>
  <c r="E54" i="64"/>
  <c r="D54" i="64"/>
  <c r="B54" i="64"/>
  <c r="E53" i="64"/>
  <c r="D53" i="64"/>
  <c r="B53" i="64"/>
  <c r="E52" i="64"/>
  <c r="D52" i="64"/>
  <c r="C52" i="64"/>
  <c r="C56" i="64" s="1"/>
  <c r="F17" i="62" s="1"/>
  <c r="B52" i="64"/>
  <c r="C42" i="64"/>
  <c r="C41" i="64"/>
  <c r="C47" i="64" s="1"/>
  <c r="C55" i="64" s="1"/>
  <c r="C30" i="64"/>
  <c r="C36" i="64" s="1"/>
  <c r="C54" i="64" s="1"/>
  <c r="C25" i="64"/>
  <c r="C53" i="64" s="1"/>
  <c r="B19" i="64"/>
  <c r="B41" i="64" s="1"/>
  <c r="Q16" i="64"/>
  <c r="P16" i="64"/>
  <c r="E55" i="63"/>
  <c r="J150" i="145" s="1"/>
  <c r="J36" i="145" s="1"/>
  <c r="E54" i="63"/>
  <c r="J145" i="145" s="1"/>
  <c r="E53" i="63"/>
  <c r="J140" i="145" s="1"/>
  <c r="E52" i="63"/>
  <c r="D34" i="63"/>
  <c r="D35" i="63" s="1"/>
  <c r="D33" i="63"/>
  <c r="D32" i="63"/>
  <c r="D31" i="63"/>
  <c r="Q16" i="63"/>
  <c r="P16" i="63"/>
  <c r="M16" i="63"/>
  <c r="K16" i="63"/>
  <c r="J16" i="63"/>
  <c r="I16" i="63"/>
  <c r="H18" i="62"/>
  <c r="G18" i="62"/>
  <c r="F18" i="62"/>
  <c r="H17" i="62"/>
  <c r="G17" i="62"/>
  <c r="D14" i="62"/>
  <c r="D12" i="62"/>
  <c r="H5" i="62"/>
  <c r="G5" i="62"/>
  <c r="J7" i="71" l="1"/>
  <c r="H132" i="145"/>
  <c r="H18" i="145" s="1"/>
  <c r="C8" i="75"/>
  <c r="J120" i="145"/>
  <c r="J6" i="145" s="1"/>
  <c r="E56" i="63"/>
  <c r="H16" i="62" s="1"/>
  <c r="G14" i="137"/>
  <c r="C6" i="135"/>
  <c r="J31" i="145"/>
  <c r="J26" i="145"/>
  <c r="J118" i="145"/>
  <c r="J4" i="145" s="1"/>
  <c r="K14" i="138"/>
  <c r="E7" i="135" s="1"/>
  <c r="E12" i="118"/>
  <c r="I11" i="117"/>
  <c r="G12" i="117"/>
  <c r="F114" i="145"/>
  <c r="F38" i="145" s="1"/>
  <c r="F104" i="145"/>
  <c r="F28" i="145" s="1"/>
  <c r="F109" i="145"/>
  <c r="F33" i="145" s="1"/>
  <c r="C22" i="83"/>
  <c r="C21" i="83"/>
  <c r="C20" i="83"/>
  <c r="C23" i="83"/>
  <c r="K12" i="78"/>
  <c r="E9" i="78"/>
  <c r="G10" i="78"/>
  <c r="I10" i="78"/>
  <c r="I9" i="77"/>
  <c r="I17" i="77" s="1"/>
  <c r="G9" i="77"/>
  <c r="G17" i="77" s="1"/>
  <c r="G12" i="78"/>
  <c r="E15" i="78"/>
  <c r="I12" i="78"/>
  <c r="K13" i="78"/>
  <c r="G15" i="78"/>
  <c r="G18" i="132"/>
  <c r="E19" i="132"/>
  <c r="K18" i="132"/>
  <c r="D19" i="103"/>
  <c r="B12" i="103"/>
  <c r="B14" i="103" s="1"/>
  <c r="B12" i="83"/>
  <c r="C17" i="92"/>
  <c r="E17" i="92" s="1"/>
  <c r="E10" i="92"/>
  <c r="G10" i="92"/>
  <c r="C23" i="92"/>
  <c r="I10" i="92"/>
  <c r="F18" i="122"/>
  <c r="D18" i="144"/>
  <c r="E28" i="140"/>
  <c r="E29" i="140" s="1"/>
  <c r="G208" i="145"/>
  <c r="F208" i="145" s="1"/>
  <c r="E13" i="132"/>
  <c r="E17" i="132" s="1"/>
  <c r="K13" i="132"/>
  <c r="K16" i="132" s="1"/>
  <c r="E14" i="132"/>
  <c r="E16" i="132" s="1"/>
  <c r="E20" i="132" s="1"/>
  <c r="B5" i="131" s="1"/>
  <c r="G203" i="145" s="1"/>
  <c r="I14" i="132"/>
  <c r="I16" i="132" s="1"/>
  <c r="K7" i="111"/>
  <c r="I170" i="145"/>
  <c r="D15" i="114"/>
  <c r="K7" i="91"/>
  <c r="I94" i="145"/>
  <c r="D8" i="95"/>
  <c r="L7" i="91"/>
  <c r="J94" i="145"/>
  <c r="E8" i="95"/>
  <c r="J7" i="91"/>
  <c r="H94" i="145"/>
  <c r="C8" i="95"/>
  <c r="E11" i="92"/>
  <c r="C18" i="92"/>
  <c r="G11" i="92"/>
  <c r="K28" i="140"/>
  <c r="E5" i="139" s="1"/>
  <c r="E6" i="139" s="1"/>
  <c r="G28" i="140"/>
  <c r="G29" i="140" s="1"/>
  <c r="I28" i="140"/>
  <c r="I29" i="140" s="1"/>
  <c r="E14" i="138"/>
  <c r="B7" i="135" s="1"/>
  <c r="B47" i="123"/>
  <c r="B55" i="123" s="1"/>
  <c r="B55" i="121"/>
  <c r="E18" i="102" s="1"/>
  <c r="B8" i="105"/>
  <c r="B56" i="104"/>
  <c r="E17" i="102" s="1"/>
  <c r="B55" i="81"/>
  <c r="E18" i="62" s="1"/>
  <c r="B27" i="81"/>
  <c r="E11" i="72"/>
  <c r="E25" i="72" s="1"/>
  <c r="I9" i="72"/>
  <c r="E9" i="72"/>
  <c r="G10" i="72"/>
  <c r="I11" i="72"/>
  <c r="I25" i="72" s="1"/>
  <c r="G9" i="72"/>
  <c r="K10" i="72"/>
  <c r="D12" i="69"/>
  <c r="B8" i="65" s="1"/>
  <c r="B56" i="64"/>
  <c r="E17" i="62" s="1"/>
  <c r="B30" i="64"/>
  <c r="B55" i="101"/>
  <c r="E18" i="82" s="1"/>
  <c r="B8" i="85"/>
  <c r="B56" i="84"/>
  <c r="E17" i="82" s="1"/>
  <c r="D26" i="72"/>
  <c r="I11" i="133"/>
  <c r="G11" i="133"/>
  <c r="K11" i="133"/>
  <c r="E11" i="133"/>
  <c r="E19" i="127"/>
  <c r="W13" i="126"/>
  <c r="W23" i="126" s="1"/>
  <c r="K11" i="126"/>
  <c r="K21" i="126" s="1"/>
  <c r="E5" i="125" s="1"/>
  <c r="AC13" i="126"/>
  <c r="AC23" i="126" s="1"/>
  <c r="U13" i="126"/>
  <c r="I11" i="126"/>
  <c r="I21" i="126" s="1"/>
  <c r="D5" i="125" s="1"/>
  <c r="Y13" i="126"/>
  <c r="Y23" i="126" s="1"/>
  <c r="G11" i="126"/>
  <c r="C5" i="125" s="1"/>
  <c r="E11" i="126"/>
  <c r="AA13" i="126"/>
  <c r="AA23" i="126" s="1"/>
  <c r="K12" i="132"/>
  <c r="K20" i="132" s="1"/>
  <c r="G12" i="132"/>
  <c r="C41" i="123"/>
  <c r="C30" i="123"/>
  <c r="K14" i="137"/>
  <c r="E6" i="135" s="1"/>
  <c r="G16" i="132"/>
  <c r="B27" i="141"/>
  <c r="B40" i="141"/>
  <c r="G14" i="138"/>
  <c r="C7" i="135" s="1"/>
  <c r="I19" i="127"/>
  <c r="D6" i="125" s="1"/>
  <c r="I12" i="132"/>
  <c r="I20" i="132" s="1"/>
  <c r="D5" i="131" s="1"/>
  <c r="I203" i="145" s="1"/>
  <c r="C25" i="123"/>
  <c r="C53" i="123" s="1"/>
  <c r="H216" i="145" s="1"/>
  <c r="D41" i="123"/>
  <c r="D25" i="123"/>
  <c r="D53" i="123" s="1"/>
  <c r="I216" i="145" s="1"/>
  <c r="D30" i="123"/>
  <c r="D36" i="123" s="1"/>
  <c r="D54" i="123" s="1"/>
  <c r="C30" i="103"/>
  <c r="C41" i="103"/>
  <c r="C56" i="104"/>
  <c r="F17" i="102" s="1"/>
  <c r="D17" i="102" s="1"/>
  <c r="E9" i="106"/>
  <c r="K10" i="106"/>
  <c r="I11" i="106"/>
  <c r="Y11" i="106"/>
  <c r="K12" i="106"/>
  <c r="E13" i="106"/>
  <c r="U13" i="106"/>
  <c r="AC13" i="106"/>
  <c r="G14" i="106"/>
  <c r="I15" i="106"/>
  <c r="Y15" i="106"/>
  <c r="K16" i="106"/>
  <c r="AA16" i="106"/>
  <c r="E17" i="106"/>
  <c r="U17" i="106"/>
  <c r="AC17" i="106"/>
  <c r="G18" i="106"/>
  <c r="Y19" i="106"/>
  <c r="Y22" i="106"/>
  <c r="E20" i="106"/>
  <c r="AC22" i="106"/>
  <c r="U22" i="106"/>
  <c r="I20" i="106"/>
  <c r="E19" i="107"/>
  <c r="R10" i="110"/>
  <c r="R11" i="110" s="1"/>
  <c r="R12" i="110" s="1"/>
  <c r="R13" i="110" s="1"/>
  <c r="C25" i="103"/>
  <c r="C53" i="103" s="1"/>
  <c r="H178" i="145" s="1"/>
  <c r="C52" i="103"/>
  <c r="K11" i="106"/>
  <c r="W13" i="106"/>
  <c r="K15" i="106"/>
  <c r="W17" i="106"/>
  <c r="Y21" i="106"/>
  <c r="AC21" i="106"/>
  <c r="U21" i="106"/>
  <c r="K19" i="106"/>
  <c r="G15" i="108"/>
  <c r="E15" i="108"/>
  <c r="I15" i="108"/>
  <c r="R10" i="109"/>
  <c r="R11" i="109" s="1"/>
  <c r="R12" i="109" s="1"/>
  <c r="R13" i="109" s="1"/>
  <c r="B41" i="104"/>
  <c r="I9" i="106"/>
  <c r="E11" i="106"/>
  <c r="U11" i="106"/>
  <c r="AC11" i="106"/>
  <c r="I13" i="106"/>
  <c r="Y13" i="106"/>
  <c r="K14" i="106"/>
  <c r="E15" i="106"/>
  <c r="U15" i="106"/>
  <c r="AC15" i="106"/>
  <c r="W16" i="106"/>
  <c r="I17" i="106"/>
  <c r="Y17" i="106"/>
  <c r="AC20" i="106"/>
  <c r="U20" i="106"/>
  <c r="Y20" i="106"/>
  <c r="K18" i="106"/>
  <c r="E19" i="106"/>
  <c r="U19" i="106"/>
  <c r="AC19" i="106"/>
  <c r="W21" i="106"/>
  <c r="K15" i="108"/>
  <c r="K9" i="106"/>
  <c r="G11" i="106"/>
  <c r="C5" i="105" s="1"/>
  <c r="K13" i="106"/>
  <c r="E14" i="106"/>
  <c r="G15" i="106"/>
  <c r="K17" i="106"/>
  <c r="E18" i="106"/>
  <c r="G19" i="106"/>
  <c r="W20" i="106"/>
  <c r="AA21" i="106"/>
  <c r="AA23" i="106" s="1"/>
  <c r="G8" i="107"/>
  <c r="K9" i="107"/>
  <c r="K19" i="107" s="1"/>
  <c r="E6" i="105" s="1"/>
  <c r="G10" i="107"/>
  <c r="K11" i="107"/>
  <c r="G12" i="107"/>
  <c r="K13" i="107"/>
  <c r="G14" i="107"/>
  <c r="K15" i="107"/>
  <c r="G16" i="107"/>
  <c r="K17" i="107"/>
  <c r="G8" i="108"/>
  <c r="K9" i="108"/>
  <c r="G10" i="108"/>
  <c r="K11" i="108"/>
  <c r="G12" i="108"/>
  <c r="E14" i="108"/>
  <c r="E17" i="108" s="1"/>
  <c r="B7" i="105" s="1"/>
  <c r="J9" i="110"/>
  <c r="J11" i="110" s="1"/>
  <c r="E9" i="105" s="1"/>
  <c r="D22" i="106"/>
  <c r="G15" i="107"/>
  <c r="K16" i="107"/>
  <c r="G17" i="107"/>
  <c r="K8" i="108"/>
  <c r="G9" i="108"/>
  <c r="K10" i="108"/>
  <c r="G11" i="108"/>
  <c r="K12" i="108"/>
  <c r="I14" i="108"/>
  <c r="I17" i="108" s="1"/>
  <c r="D7" i="105" s="1"/>
  <c r="F9" i="110"/>
  <c r="F11" i="110" s="1"/>
  <c r="C9" i="105" s="1"/>
  <c r="I10" i="113"/>
  <c r="P16" i="113"/>
  <c r="R16" i="113" s="1"/>
  <c r="I9" i="118"/>
  <c r="G9" i="118"/>
  <c r="E9" i="118"/>
  <c r="E8" i="118"/>
  <c r="K8" i="118"/>
  <c r="I8" i="118"/>
  <c r="K10" i="113"/>
  <c r="F18" i="102"/>
  <c r="K9" i="113"/>
  <c r="E10" i="113"/>
  <c r="G8" i="118"/>
  <c r="I11" i="118"/>
  <c r="G11" i="118"/>
  <c r="E11" i="118"/>
  <c r="I10" i="117"/>
  <c r="G10" i="117"/>
  <c r="E10" i="117"/>
  <c r="K11" i="118"/>
  <c r="K11" i="117"/>
  <c r="I12" i="117"/>
  <c r="I10" i="118"/>
  <c r="G12" i="118"/>
  <c r="E11" i="117"/>
  <c r="K12" i="117"/>
  <c r="K10" i="118"/>
  <c r="I12" i="118"/>
  <c r="D19" i="83"/>
  <c r="D52" i="83"/>
  <c r="I82" i="145" s="1"/>
  <c r="I80" i="145" s="1"/>
  <c r="I17" i="88"/>
  <c r="D7" i="85" s="1"/>
  <c r="C56" i="84"/>
  <c r="F17" i="82" s="1"/>
  <c r="B13" i="83"/>
  <c r="C52" i="83"/>
  <c r="H82" i="145" s="1"/>
  <c r="K11" i="86"/>
  <c r="W13" i="86"/>
  <c r="I9" i="92"/>
  <c r="G9" i="92"/>
  <c r="E9" i="92"/>
  <c r="B14" i="83"/>
  <c r="E9" i="86"/>
  <c r="K10" i="86"/>
  <c r="I11" i="86"/>
  <c r="Y11" i="86"/>
  <c r="K12" i="86"/>
  <c r="AA12" i="86"/>
  <c r="E13" i="86"/>
  <c r="U13" i="86"/>
  <c r="AC13" i="86"/>
  <c r="W14" i="86"/>
  <c r="I15" i="86"/>
  <c r="Y15" i="86"/>
  <c r="AC18" i="86"/>
  <c r="U18" i="86"/>
  <c r="Y18" i="86"/>
  <c r="K16" i="86"/>
  <c r="W18" i="86"/>
  <c r="I19" i="87"/>
  <c r="D6" i="85" s="1"/>
  <c r="R11" i="89"/>
  <c r="R12" i="89" s="1"/>
  <c r="R13" i="89" s="1"/>
  <c r="Y20" i="86"/>
  <c r="E18" i="86"/>
  <c r="AC20" i="86"/>
  <c r="U20" i="86"/>
  <c r="I18" i="86"/>
  <c r="W20" i="86"/>
  <c r="B41" i="84"/>
  <c r="I9" i="86"/>
  <c r="G10" i="86"/>
  <c r="E11" i="86"/>
  <c r="U11" i="86"/>
  <c r="AC11" i="86"/>
  <c r="G12" i="86"/>
  <c r="I13" i="86"/>
  <c r="Y13" i="86"/>
  <c r="K14" i="86"/>
  <c r="E15" i="86"/>
  <c r="U15" i="86"/>
  <c r="AC15" i="86"/>
  <c r="G16" i="86"/>
  <c r="W16" i="86"/>
  <c r="G18" i="86"/>
  <c r="AC22" i="86"/>
  <c r="U22" i="86"/>
  <c r="I20" i="86"/>
  <c r="Y22" i="86"/>
  <c r="E20" i="86"/>
  <c r="AA20" i="86"/>
  <c r="G19" i="87"/>
  <c r="C6" i="85" s="1"/>
  <c r="K9" i="92"/>
  <c r="AA17" i="86"/>
  <c r="W17" i="86"/>
  <c r="K15" i="86"/>
  <c r="U17" i="86"/>
  <c r="K9" i="86"/>
  <c r="G11" i="86"/>
  <c r="K13" i="86"/>
  <c r="G15" i="86"/>
  <c r="AC17" i="86"/>
  <c r="K18" i="86"/>
  <c r="E19" i="87"/>
  <c r="I15" i="88"/>
  <c r="G15" i="88"/>
  <c r="G17" i="88" s="1"/>
  <c r="C7" i="85" s="1"/>
  <c r="E15" i="88"/>
  <c r="E17" i="88" s="1"/>
  <c r="B7" i="85" s="1"/>
  <c r="R10" i="90"/>
  <c r="R11" i="90" s="1"/>
  <c r="R12" i="90" s="1"/>
  <c r="R13" i="90" s="1"/>
  <c r="I17" i="92"/>
  <c r="G17" i="92"/>
  <c r="G17" i="86"/>
  <c r="K19" i="86"/>
  <c r="AA19" i="86"/>
  <c r="Y21" i="86"/>
  <c r="K8" i="87"/>
  <c r="K10" i="87"/>
  <c r="K12" i="87"/>
  <c r="K14" i="87"/>
  <c r="K16" i="87"/>
  <c r="K8" i="88"/>
  <c r="K10" i="88"/>
  <c r="K12" i="88"/>
  <c r="I14" i="88"/>
  <c r="R10" i="89"/>
  <c r="K10" i="92"/>
  <c r="I11" i="92"/>
  <c r="Q16" i="93"/>
  <c r="R14" i="93"/>
  <c r="K14" i="88"/>
  <c r="K11" i="92"/>
  <c r="G12" i="93"/>
  <c r="E12" i="93"/>
  <c r="I12" i="93"/>
  <c r="C55" i="101"/>
  <c r="F18" i="82" s="1"/>
  <c r="K17" i="86"/>
  <c r="G19" i="86"/>
  <c r="U21" i="86"/>
  <c r="K12" i="93"/>
  <c r="E10" i="93"/>
  <c r="G11" i="93"/>
  <c r="K11" i="93"/>
  <c r="P16" i="93"/>
  <c r="R16" i="93" s="1"/>
  <c r="K15" i="100"/>
  <c r="K19" i="100"/>
  <c r="K24" i="100"/>
  <c r="K11" i="100"/>
  <c r="I12" i="100"/>
  <c r="G14" i="100"/>
  <c r="E15" i="100"/>
  <c r="K16" i="100"/>
  <c r="I17" i="100"/>
  <c r="G18" i="100"/>
  <c r="E19" i="100"/>
  <c r="K20" i="100"/>
  <c r="I21" i="100"/>
  <c r="G23" i="100"/>
  <c r="E24" i="100"/>
  <c r="K25" i="100"/>
  <c r="I26" i="100"/>
  <c r="G27" i="100"/>
  <c r="K12" i="100"/>
  <c r="G15" i="100"/>
  <c r="K17" i="100"/>
  <c r="I18" i="100"/>
  <c r="G19" i="100"/>
  <c r="E20" i="100"/>
  <c r="K21" i="100"/>
  <c r="I23" i="100"/>
  <c r="G24" i="100"/>
  <c r="E25" i="100"/>
  <c r="K26" i="100"/>
  <c r="I27" i="100"/>
  <c r="D17" i="62"/>
  <c r="D19" i="63"/>
  <c r="D52" i="63"/>
  <c r="I120" i="145" s="1"/>
  <c r="K10" i="66"/>
  <c r="K12" i="66"/>
  <c r="E10" i="68"/>
  <c r="I10" i="68"/>
  <c r="E23" i="72"/>
  <c r="I15" i="72"/>
  <c r="I23" i="72" s="1"/>
  <c r="B19" i="63"/>
  <c r="G9" i="66"/>
  <c r="E10" i="66"/>
  <c r="AA11" i="66"/>
  <c r="E12" i="66"/>
  <c r="U12" i="66"/>
  <c r="AC12" i="66"/>
  <c r="G13" i="66"/>
  <c r="I14" i="66"/>
  <c r="Y14" i="66"/>
  <c r="AC17" i="66"/>
  <c r="U17" i="66"/>
  <c r="K15" i="66"/>
  <c r="AA15" i="66"/>
  <c r="W16" i="66"/>
  <c r="Y19" i="66"/>
  <c r="E17" i="66"/>
  <c r="W17" i="66"/>
  <c r="AA20" i="66"/>
  <c r="G18" i="66"/>
  <c r="K19" i="66"/>
  <c r="AC19" i="66"/>
  <c r="Y20" i="66"/>
  <c r="AC21" i="66"/>
  <c r="E8" i="67"/>
  <c r="K10" i="67"/>
  <c r="I11" i="67"/>
  <c r="E12" i="67"/>
  <c r="K14" i="67"/>
  <c r="I15" i="67"/>
  <c r="I19" i="67" s="1"/>
  <c r="D6" i="65" s="1"/>
  <c r="E16" i="67"/>
  <c r="K8" i="68"/>
  <c r="I9" i="68"/>
  <c r="G10" i="68"/>
  <c r="G17" i="68" s="1"/>
  <c r="C7" i="65" s="1"/>
  <c r="G12" i="68"/>
  <c r="F11" i="70"/>
  <c r="C9" i="65" s="1"/>
  <c r="H9" i="70"/>
  <c r="D9" i="70"/>
  <c r="D11" i="70" s="1"/>
  <c r="B9" i="65" s="1"/>
  <c r="E10" i="72"/>
  <c r="I10" i="72"/>
  <c r="G15" i="72"/>
  <c r="G23" i="72" s="1"/>
  <c r="P16" i="73"/>
  <c r="R16" i="73" s="1"/>
  <c r="R5" i="73"/>
  <c r="I9" i="73"/>
  <c r="G9" i="73"/>
  <c r="E9" i="73"/>
  <c r="K9" i="73"/>
  <c r="I11" i="68"/>
  <c r="E11" i="68"/>
  <c r="G10" i="66"/>
  <c r="K14" i="66"/>
  <c r="AA14" i="66"/>
  <c r="Y16" i="66"/>
  <c r="G12" i="67"/>
  <c r="H11" i="70"/>
  <c r="D9" i="65" s="1"/>
  <c r="R11" i="70"/>
  <c r="R12" i="70" s="1"/>
  <c r="R13" i="70" s="1"/>
  <c r="K15" i="72"/>
  <c r="K23" i="72" s="1"/>
  <c r="AA12" i="66"/>
  <c r="W14" i="66"/>
  <c r="AD23" i="66"/>
  <c r="E12" i="68"/>
  <c r="I12" i="68"/>
  <c r="I17" i="68" s="1"/>
  <c r="D7" i="65" s="1"/>
  <c r="G12" i="66"/>
  <c r="W12" i="66"/>
  <c r="W21" i="66"/>
  <c r="I19" i="66"/>
  <c r="G8" i="67"/>
  <c r="G16" i="67"/>
  <c r="K10" i="68"/>
  <c r="K11" i="68"/>
  <c r="K9" i="66"/>
  <c r="I10" i="66"/>
  <c r="I12" i="66"/>
  <c r="K13" i="66"/>
  <c r="E14" i="66"/>
  <c r="U14" i="66"/>
  <c r="AC16" i="66"/>
  <c r="E19" i="66"/>
  <c r="Y21" i="66"/>
  <c r="K8" i="67"/>
  <c r="E10" i="67"/>
  <c r="K12" i="67"/>
  <c r="E14" i="67"/>
  <c r="K16" i="67"/>
  <c r="E8" i="68"/>
  <c r="I13" i="72"/>
  <c r="K16" i="66"/>
  <c r="K20" i="66"/>
  <c r="G14" i="68"/>
  <c r="G11" i="72"/>
  <c r="I17" i="80"/>
  <c r="G17" i="80"/>
  <c r="E17" i="80"/>
  <c r="K17" i="80"/>
  <c r="I16" i="78"/>
  <c r="G16" i="78"/>
  <c r="E16" i="78"/>
  <c r="I13" i="80"/>
  <c r="G13" i="80"/>
  <c r="E13" i="80"/>
  <c r="H23" i="76"/>
  <c r="M17" i="76"/>
  <c r="E23" i="76"/>
  <c r="B6" i="75"/>
  <c r="K16" i="78"/>
  <c r="K17" i="78" s="1"/>
  <c r="E7" i="75" s="1"/>
  <c r="K13" i="80"/>
  <c r="I25" i="80"/>
  <c r="G25" i="80"/>
  <c r="E25" i="80"/>
  <c r="B7" i="71"/>
  <c r="I16" i="76"/>
  <c r="I21" i="80"/>
  <c r="G21" i="80"/>
  <c r="E21" i="80"/>
  <c r="K17" i="76"/>
  <c r="K9" i="77"/>
  <c r="C6" i="75"/>
  <c r="G9" i="78"/>
  <c r="G11" i="78"/>
  <c r="E13" i="78"/>
  <c r="I15" i="78"/>
  <c r="G12" i="80"/>
  <c r="K14" i="80"/>
  <c r="G16" i="80"/>
  <c r="K18" i="80"/>
  <c r="G20" i="80"/>
  <c r="G24" i="80"/>
  <c r="B40" i="81"/>
  <c r="I9" i="78"/>
  <c r="I11" i="78"/>
  <c r="G13" i="78"/>
  <c r="I12" i="80"/>
  <c r="I16" i="80"/>
  <c r="I20" i="80"/>
  <c r="I24" i="80"/>
  <c r="M16" i="2"/>
  <c r="H19" i="31"/>
  <c r="G19" i="31"/>
  <c r="F19" i="31"/>
  <c r="D17" i="31"/>
  <c r="E16" i="31"/>
  <c r="D15" i="31"/>
  <c r="H16" i="31"/>
  <c r="G16" i="31"/>
  <c r="F16" i="31"/>
  <c r="D14" i="31"/>
  <c r="H13" i="31"/>
  <c r="G13" i="31"/>
  <c r="F13" i="31"/>
  <c r="D12" i="31"/>
  <c r="D11" i="31"/>
  <c r="H10" i="31"/>
  <c r="G10" i="31"/>
  <c r="D9" i="31"/>
  <c r="D21" i="31"/>
  <c r="H22" i="31"/>
  <c r="G22" i="31"/>
  <c r="F22" i="31"/>
  <c r="E22" i="31"/>
  <c r="I6" i="61" l="1"/>
  <c r="E22" i="92"/>
  <c r="E13" i="92"/>
  <c r="G22" i="92"/>
  <c r="G13" i="92"/>
  <c r="K22" i="92"/>
  <c r="K13" i="92"/>
  <c r="I22" i="92"/>
  <c r="I13" i="92"/>
  <c r="D18" i="62"/>
  <c r="D18" i="122"/>
  <c r="I118" i="145"/>
  <c r="G19" i="61"/>
  <c r="C5" i="139"/>
  <c r="C6" i="139" s="1"/>
  <c r="C37" i="139" s="1"/>
  <c r="K13" i="117"/>
  <c r="E6" i="115" s="1"/>
  <c r="G13" i="117"/>
  <c r="C6" i="115" s="1"/>
  <c r="H80" i="145"/>
  <c r="C24" i="83"/>
  <c r="C25" i="83" s="1"/>
  <c r="C53" i="83" s="1"/>
  <c r="H102" i="145" s="1"/>
  <c r="G17" i="78"/>
  <c r="C7" i="75" s="1"/>
  <c r="E17" i="78"/>
  <c r="B7" i="75" s="1"/>
  <c r="K17" i="77"/>
  <c r="E6" i="75" s="1"/>
  <c r="D6" i="75"/>
  <c r="B5" i="139"/>
  <c r="B6" i="139" s="1"/>
  <c r="B34" i="139" s="1"/>
  <c r="K17" i="132"/>
  <c r="G20" i="132"/>
  <c r="C5" i="131" s="1"/>
  <c r="H203" i="145" s="1"/>
  <c r="I18" i="132"/>
  <c r="E18" i="132"/>
  <c r="G12" i="72"/>
  <c r="G25" i="72"/>
  <c r="K12" i="72"/>
  <c r="D20" i="103"/>
  <c r="D23" i="103"/>
  <c r="D21" i="103"/>
  <c r="D22" i="103"/>
  <c r="B45" i="103"/>
  <c r="B44" i="103"/>
  <c r="B43" i="103"/>
  <c r="B42" i="103"/>
  <c r="D42" i="103"/>
  <c r="D44" i="103"/>
  <c r="D45" i="103"/>
  <c r="D43" i="103"/>
  <c r="D52" i="103"/>
  <c r="I158" i="145" s="1"/>
  <c r="I156" i="145" s="1"/>
  <c r="B22" i="63"/>
  <c r="B21" i="63"/>
  <c r="B20" i="63"/>
  <c r="B23" i="63"/>
  <c r="D22" i="63"/>
  <c r="D21" i="63"/>
  <c r="D20" i="63"/>
  <c r="D23" i="63"/>
  <c r="B44" i="63"/>
  <c r="B43" i="63"/>
  <c r="B42" i="63"/>
  <c r="B45" i="63"/>
  <c r="B52" i="63"/>
  <c r="G120" i="145" s="1"/>
  <c r="D44" i="63"/>
  <c r="D43" i="63"/>
  <c r="D42" i="63"/>
  <c r="D45" i="63"/>
  <c r="D44" i="83"/>
  <c r="D43" i="83"/>
  <c r="D45" i="83"/>
  <c r="D42" i="83"/>
  <c r="B44" i="83"/>
  <c r="B43" i="83"/>
  <c r="B42" i="83"/>
  <c r="B45" i="83"/>
  <c r="D22" i="83"/>
  <c r="D20" i="83"/>
  <c r="D21" i="83"/>
  <c r="D23" i="83"/>
  <c r="G23" i="92"/>
  <c r="I23" i="92"/>
  <c r="K29" i="140"/>
  <c r="E37" i="139"/>
  <c r="E36" i="139"/>
  <c r="E35" i="139"/>
  <c r="E34" i="139"/>
  <c r="D18" i="102"/>
  <c r="G170" i="145"/>
  <c r="F170" i="145" s="1"/>
  <c r="D18" i="82"/>
  <c r="K17" i="92"/>
  <c r="K23" i="92" s="1"/>
  <c r="E23" i="92"/>
  <c r="G132" i="145"/>
  <c r="G18" i="145" s="1"/>
  <c r="F216" i="145"/>
  <c r="B56" i="123"/>
  <c r="E16" i="122" s="1"/>
  <c r="G226" i="145"/>
  <c r="D17" i="82"/>
  <c r="D5" i="139"/>
  <c r="D6" i="139" s="1"/>
  <c r="D44" i="139" s="1"/>
  <c r="I207" i="145" s="1"/>
  <c r="I205" i="145" s="1"/>
  <c r="AA23" i="86"/>
  <c r="W23" i="86"/>
  <c r="E5" i="119"/>
  <c r="E6" i="119" s="1"/>
  <c r="I29" i="120"/>
  <c r="E29" i="120"/>
  <c r="W23" i="106"/>
  <c r="K21" i="106"/>
  <c r="E5" i="105" s="1"/>
  <c r="K28" i="80"/>
  <c r="K29" i="80" s="1"/>
  <c r="I28" i="80"/>
  <c r="I29" i="80" s="1"/>
  <c r="E28" i="80"/>
  <c r="E29" i="80" s="1"/>
  <c r="G28" i="80"/>
  <c r="G29" i="80" s="1"/>
  <c r="E12" i="72"/>
  <c r="K13" i="72"/>
  <c r="G13" i="72"/>
  <c r="E17" i="68"/>
  <c r="B7" i="65" s="1"/>
  <c r="I30" i="100"/>
  <c r="D5" i="99" s="1"/>
  <c r="D6" i="99" s="1"/>
  <c r="G30" i="100"/>
  <c r="C5" i="99" s="1"/>
  <c r="C6" i="99" s="1"/>
  <c r="E30" i="100"/>
  <c r="B5" i="99" s="1"/>
  <c r="B6" i="99" s="1"/>
  <c r="D21" i="94"/>
  <c r="B7" i="91" s="1"/>
  <c r="C5" i="85"/>
  <c r="E10" i="125"/>
  <c r="L5" i="125" s="1"/>
  <c r="L6" i="125" s="1"/>
  <c r="D47" i="123"/>
  <c r="D55" i="123" s="1"/>
  <c r="C47" i="123"/>
  <c r="C55" i="123" s="1"/>
  <c r="H226" i="145" s="1"/>
  <c r="D10" i="125"/>
  <c r="K5" i="125" s="1"/>
  <c r="K6" i="125" s="1"/>
  <c r="E22" i="126"/>
  <c r="B5" i="125"/>
  <c r="C10" i="125"/>
  <c r="C35" i="123"/>
  <c r="C36" i="123" s="1"/>
  <c r="C54" i="123" s="1"/>
  <c r="E19" i="128"/>
  <c r="B6" i="125"/>
  <c r="E11" i="139"/>
  <c r="E44" i="139"/>
  <c r="J207" i="145" s="1"/>
  <c r="J205" i="145" s="1"/>
  <c r="K12" i="133"/>
  <c r="I12" i="133"/>
  <c r="E12" i="133"/>
  <c r="G12" i="133"/>
  <c r="G29" i="120"/>
  <c r="C5" i="119"/>
  <c r="C6" i="119" s="1"/>
  <c r="K29" i="120"/>
  <c r="E13" i="117"/>
  <c r="B6" i="115" s="1"/>
  <c r="K17" i="108"/>
  <c r="E7" i="105" s="1"/>
  <c r="G19" i="107"/>
  <c r="C6" i="105" s="1"/>
  <c r="C10" i="105" s="1"/>
  <c r="I13" i="118"/>
  <c r="D7" i="115" s="1"/>
  <c r="I13" i="117"/>
  <c r="D6" i="115" s="1"/>
  <c r="G13" i="118"/>
  <c r="C7" i="115" s="1"/>
  <c r="K13" i="118"/>
  <c r="E7" i="115" s="1"/>
  <c r="I11" i="113"/>
  <c r="G11" i="113"/>
  <c r="E11" i="113"/>
  <c r="K11" i="113"/>
  <c r="G17" i="108"/>
  <c r="C7" i="105" s="1"/>
  <c r="E10" i="105"/>
  <c r="L5" i="105" s="1"/>
  <c r="L6" i="105" s="1"/>
  <c r="I21" i="106"/>
  <c r="D5" i="105" s="1"/>
  <c r="D41" i="103"/>
  <c r="D30" i="103"/>
  <c r="D36" i="103" s="1"/>
  <c r="D54" i="103" s="1"/>
  <c r="I183" i="145" s="1"/>
  <c r="C55" i="103"/>
  <c r="E13" i="118"/>
  <c r="B7" i="115" s="1"/>
  <c r="AC23" i="106"/>
  <c r="E19" i="108"/>
  <c r="B6" i="105"/>
  <c r="Y23" i="106"/>
  <c r="B19" i="103"/>
  <c r="B52" i="103"/>
  <c r="G158" i="145" s="1"/>
  <c r="C36" i="103"/>
  <c r="C54" i="103" s="1"/>
  <c r="H183" i="145" s="1"/>
  <c r="C10" i="85"/>
  <c r="I13" i="93"/>
  <c r="G13" i="93"/>
  <c r="K13" i="93"/>
  <c r="E13" i="93"/>
  <c r="G18" i="92"/>
  <c r="G24" i="92" s="1"/>
  <c r="E18" i="92"/>
  <c r="E24" i="92" s="1"/>
  <c r="K18" i="92"/>
  <c r="K24" i="92" s="1"/>
  <c r="I18" i="92"/>
  <c r="I24" i="92" s="1"/>
  <c r="K19" i="87"/>
  <c r="E6" i="85" s="1"/>
  <c r="E19" i="88"/>
  <c r="B6" i="85"/>
  <c r="Y23" i="86"/>
  <c r="B19" i="83"/>
  <c r="B52" i="83"/>
  <c r="G82" i="145" s="1"/>
  <c r="K14" i="92"/>
  <c r="K20" i="92" s="1"/>
  <c r="I14" i="92"/>
  <c r="I20" i="92" s="1"/>
  <c r="G14" i="92"/>
  <c r="G20" i="92" s="1"/>
  <c r="E14" i="92"/>
  <c r="E20" i="92" s="1"/>
  <c r="K30" i="100"/>
  <c r="K21" i="86"/>
  <c r="E5" i="85" s="1"/>
  <c r="AC23" i="86"/>
  <c r="I21" i="86"/>
  <c r="D5" i="85" s="1"/>
  <c r="K17" i="88"/>
  <c r="E7" i="85" s="1"/>
  <c r="C36" i="83"/>
  <c r="C54" i="83" s="1"/>
  <c r="C47" i="83"/>
  <c r="C55" i="83" s="1"/>
  <c r="H112" i="145" s="1"/>
  <c r="D41" i="83"/>
  <c r="D30" i="83"/>
  <c r="D36" i="83" s="1"/>
  <c r="D54" i="83" s="1"/>
  <c r="I107" i="145" s="1"/>
  <c r="B5" i="79"/>
  <c r="B6" i="79" s="1"/>
  <c r="O18" i="76"/>
  <c r="I18" i="76"/>
  <c r="M18" i="76"/>
  <c r="K18" i="76"/>
  <c r="AA13" i="66"/>
  <c r="AA23" i="66" s="1"/>
  <c r="G11" i="66"/>
  <c r="G21" i="66" s="1"/>
  <c r="C5" i="65" s="1"/>
  <c r="Y13" i="66"/>
  <c r="Y23" i="66" s="1"/>
  <c r="E11" i="66"/>
  <c r="E21" i="66" s="1"/>
  <c r="U13" i="66"/>
  <c r="AC13" i="66"/>
  <c r="AC23" i="66" s="1"/>
  <c r="I11" i="66"/>
  <c r="I21" i="66" s="1"/>
  <c r="D5" i="65" s="1"/>
  <c r="W13" i="66"/>
  <c r="W23" i="66" s="1"/>
  <c r="K11" i="66"/>
  <c r="K21" i="66" s="1"/>
  <c r="E5" i="65" s="1"/>
  <c r="C19" i="63"/>
  <c r="C52" i="63"/>
  <c r="I12" i="72"/>
  <c r="I17" i="78"/>
  <c r="D7" i="75" s="1"/>
  <c r="K19" i="67"/>
  <c r="E6" i="65" s="1"/>
  <c r="E19" i="67"/>
  <c r="D41" i="63"/>
  <c r="D30" i="63"/>
  <c r="D36" i="63" s="1"/>
  <c r="D54" i="63" s="1"/>
  <c r="I145" i="145" s="1"/>
  <c r="G14" i="72"/>
  <c r="G22" i="72" s="1"/>
  <c r="K14" i="72"/>
  <c r="K22" i="72" s="1"/>
  <c r="I14" i="72"/>
  <c r="I22" i="72" s="1"/>
  <c r="E22" i="72"/>
  <c r="G19" i="67"/>
  <c r="C6" i="65" s="1"/>
  <c r="K10" i="73"/>
  <c r="I10" i="73"/>
  <c r="G10" i="73"/>
  <c r="E10" i="73"/>
  <c r="K17" i="68"/>
  <c r="E7" i="65" s="1"/>
  <c r="B41" i="63"/>
  <c r="B30" i="63"/>
  <c r="E13" i="31"/>
  <c r="D18" i="31"/>
  <c r="E19" i="31"/>
  <c r="E25" i="31" s="1"/>
  <c r="E26" i="31" s="1"/>
  <c r="D16" i="31"/>
  <c r="D22" i="31"/>
  <c r="D20" i="31"/>
  <c r="J16" i="2"/>
  <c r="I16" i="2"/>
  <c r="K16" i="2"/>
  <c r="E26" i="92" l="1"/>
  <c r="D24" i="103"/>
  <c r="D25" i="103" s="1"/>
  <c r="D53" i="103" s="1"/>
  <c r="I178" i="145" s="1"/>
  <c r="G26" i="92"/>
  <c r="I6" i="145"/>
  <c r="I4" i="145"/>
  <c r="G6" i="145"/>
  <c r="I31" i="145"/>
  <c r="C34" i="139"/>
  <c r="C35" i="139"/>
  <c r="C36" i="139"/>
  <c r="C11" i="139"/>
  <c r="C12" i="139" s="1"/>
  <c r="C44" i="139"/>
  <c r="H207" i="145" s="1"/>
  <c r="H205" i="145" s="1"/>
  <c r="B37" i="139"/>
  <c r="B44" i="139"/>
  <c r="G207" i="145" s="1"/>
  <c r="B35" i="139"/>
  <c r="B11" i="139"/>
  <c r="B14" i="139" s="1"/>
  <c r="B36" i="139"/>
  <c r="C5" i="79"/>
  <c r="C6" i="79" s="1"/>
  <c r="C36" i="79" s="1"/>
  <c r="D46" i="103"/>
  <c r="D47" i="103" s="1"/>
  <c r="D55" i="103" s="1"/>
  <c r="B35" i="63"/>
  <c r="B36" i="63" s="1"/>
  <c r="B54" i="63" s="1"/>
  <c r="G145" i="145" s="1"/>
  <c r="D46" i="63"/>
  <c r="D47" i="63" s="1"/>
  <c r="D55" i="63" s="1"/>
  <c r="G118" i="145"/>
  <c r="F120" i="145"/>
  <c r="B46" i="63"/>
  <c r="D24" i="63"/>
  <c r="D25" i="63" s="1"/>
  <c r="D53" i="63" s="1"/>
  <c r="I140" i="145" s="1"/>
  <c r="B24" i="63"/>
  <c r="B25" i="63" s="1"/>
  <c r="B53" i="63" s="1"/>
  <c r="G140" i="145" s="1"/>
  <c r="D24" i="83"/>
  <c r="D25" i="83" s="1"/>
  <c r="D53" i="83" s="1"/>
  <c r="I102" i="145" s="1"/>
  <c r="G80" i="145"/>
  <c r="F82" i="145"/>
  <c r="F80" i="145" s="1"/>
  <c r="B22" i="83"/>
  <c r="B21" i="83"/>
  <c r="B20" i="83"/>
  <c r="B23" i="83"/>
  <c r="D46" i="83"/>
  <c r="D47" i="83" s="1"/>
  <c r="D55" i="83" s="1"/>
  <c r="E5" i="79"/>
  <c r="E6" i="79" s="1"/>
  <c r="D5" i="79"/>
  <c r="D6" i="79" s="1"/>
  <c r="D44" i="79" s="1"/>
  <c r="I131" i="145" s="1"/>
  <c r="I129" i="145" s="1"/>
  <c r="B36" i="79"/>
  <c r="B35" i="79"/>
  <c r="B34" i="79"/>
  <c r="B37" i="79"/>
  <c r="E15" i="139"/>
  <c r="E14" i="139"/>
  <c r="E13" i="139"/>
  <c r="E12" i="139"/>
  <c r="D11" i="139"/>
  <c r="D22" i="139" s="1"/>
  <c r="D28" i="139" s="1"/>
  <c r="D46" i="139" s="1"/>
  <c r="D37" i="139"/>
  <c r="D36" i="139"/>
  <c r="D35" i="139"/>
  <c r="D34" i="139"/>
  <c r="G205" i="145"/>
  <c r="J5" i="125"/>
  <c r="J6" i="125" s="1"/>
  <c r="C44" i="125"/>
  <c r="C43" i="125"/>
  <c r="C42" i="125"/>
  <c r="C41" i="125"/>
  <c r="C15" i="125"/>
  <c r="B21" i="103"/>
  <c r="B20" i="103"/>
  <c r="B23" i="103"/>
  <c r="B22" i="103"/>
  <c r="E37" i="119"/>
  <c r="E36" i="119"/>
  <c r="E35" i="119"/>
  <c r="E34" i="119"/>
  <c r="C37" i="119"/>
  <c r="C36" i="119"/>
  <c r="C34" i="119"/>
  <c r="C35" i="119"/>
  <c r="C15" i="105"/>
  <c r="C41" i="105"/>
  <c r="C44" i="105"/>
  <c r="C43" i="105"/>
  <c r="C42" i="105"/>
  <c r="J5" i="105"/>
  <c r="G31" i="100"/>
  <c r="C11" i="99"/>
  <c r="C36" i="99"/>
  <c r="C35" i="99"/>
  <c r="C34" i="99"/>
  <c r="C37" i="99"/>
  <c r="D11" i="99"/>
  <c r="D36" i="99"/>
  <c r="D35" i="99"/>
  <c r="D37" i="99"/>
  <c r="D34" i="99"/>
  <c r="B36" i="99"/>
  <c r="B34" i="99"/>
  <c r="B35" i="99"/>
  <c r="B37" i="99"/>
  <c r="G94" i="145"/>
  <c r="F94" i="145" s="1"/>
  <c r="E19" i="92"/>
  <c r="G19" i="92"/>
  <c r="I19" i="92"/>
  <c r="C43" i="85"/>
  <c r="C42" i="85"/>
  <c r="C41" i="85"/>
  <c r="C44" i="85"/>
  <c r="F132" i="145"/>
  <c r="F18" i="145" s="1"/>
  <c r="D56" i="123"/>
  <c r="G16" i="122" s="1"/>
  <c r="I226" i="145"/>
  <c r="D19" i="31"/>
  <c r="D13" i="31"/>
  <c r="G156" i="145"/>
  <c r="F158" i="145"/>
  <c r="C15" i="85"/>
  <c r="J5" i="85"/>
  <c r="J6" i="85" s="1"/>
  <c r="C26" i="105"/>
  <c r="C32" i="105" s="1"/>
  <c r="C53" i="105" s="1"/>
  <c r="C40" i="105"/>
  <c r="C56" i="123"/>
  <c r="F16" i="122" s="1"/>
  <c r="D16" i="122" s="1"/>
  <c r="B5" i="119"/>
  <c r="B6" i="119" s="1"/>
  <c r="B44" i="119" s="1"/>
  <c r="G169" i="145" s="1"/>
  <c r="D5" i="119"/>
  <c r="D6" i="119" s="1"/>
  <c r="D44" i="119" s="1"/>
  <c r="I169" i="145" s="1"/>
  <c r="I167" i="145" s="1"/>
  <c r="C56" i="103"/>
  <c r="F16" i="102" s="1"/>
  <c r="I16" i="72"/>
  <c r="I31" i="100"/>
  <c r="E31" i="100"/>
  <c r="C56" i="83"/>
  <c r="F16" i="82" s="1"/>
  <c r="D25" i="2"/>
  <c r="D41" i="2"/>
  <c r="D30" i="2"/>
  <c r="D36" i="2" s="1"/>
  <c r="D54" i="2" s="1"/>
  <c r="I69" i="145" s="1"/>
  <c r="C22" i="139"/>
  <c r="C28" i="139" s="1"/>
  <c r="C46" i="139" s="1"/>
  <c r="E33" i="139"/>
  <c r="E38" i="139" s="1"/>
  <c r="E22" i="139"/>
  <c r="E51" i="125"/>
  <c r="E55" i="125" s="1"/>
  <c r="E57" i="125" s="1"/>
  <c r="H6" i="122" s="1"/>
  <c r="H7" i="122" s="1"/>
  <c r="L10" i="125"/>
  <c r="E13" i="133"/>
  <c r="K13" i="133"/>
  <c r="G13" i="133"/>
  <c r="I13" i="133"/>
  <c r="J10" i="125"/>
  <c r="C51" i="125"/>
  <c r="B10" i="125"/>
  <c r="D51" i="125"/>
  <c r="D55" i="125" s="1"/>
  <c r="D57" i="125" s="1"/>
  <c r="G6" i="122" s="1"/>
  <c r="G7" i="122" s="1"/>
  <c r="K10" i="125"/>
  <c r="C51" i="105"/>
  <c r="H163" i="145" s="1"/>
  <c r="H161" i="145" s="1"/>
  <c r="J10" i="105"/>
  <c r="J6" i="105"/>
  <c r="E11" i="119"/>
  <c r="E44" i="119"/>
  <c r="J169" i="145" s="1"/>
  <c r="J167" i="145" s="1"/>
  <c r="C44" i="119"/>
  <c r="H169" i="145" s="1"/>
  <c r="H167" i="145" s="1"/>
  <c r="C11" i="119"/>
  <c r="B41" i="103"/>
  <c r="B46" i="103" s="1"/>
  <c r="B30" i="103"/>
  <c r="B36" i="103" s="1"/>
  <c r="B54" i="103" s="1"/>
  <c r="G183" i="145" s="1"/>
  <c r="K12" i="113"/>
  <c r="I12" i="113"/>
  <c r="G12" i="113"/>
  <c r="E12" i="113"/>
  <c r="E22" i="106"/>
  <c r="B5" i="105"/>
  <c r="D10" i="105"/>
  <c r="K5" i="105" s="1"/>
  <c r="K6" i="105" s="1"/>
  <c r="L10" i="105"/>
  <c r="E51" i="105"/>
  <c r="E55" i="105" s="1"/>
  <c r="E57" i="105" s="1"/>
  <c r="H6" i="102" s="1"/>
  <c r="E5" i="99"/>
  <c r="E6" i="99" s="1"/>
  <c r="K31" i="100"/>
  <c r="K19" i="92"/>
  <c r="B41" i="83"/>
  <c r="B46" i="83" s="1"/>
  <c r="B30" i="83"/>
  <c r="B36" i="83" s="1"/>
  <c r="B54" i="83" s="1"/>
  <c r="G107" i="145" s="1"/>
  <c r="F107" i="145" s="1"/>
  <c r="C44" i="99"/>
  <c r="H93" i="145" s="1"/>
  <c r="E10" i="85"/>
  <c r="L5" i="85" s="1"/>
  <c r="L6" i="85" s="1"/>
  <c r="K14" i="93"/>
  <c r="I14" i="93"/>
  <c r="E14" i="93"/>
  <c r="G14" i="93"/>
  <c r="D44" i="99"/>
  <c r="I93" i="145" s="1"/>
  <c r="B5" i="85"/>
  <c r="D10" i="85"/>
  <c r="K5" i="85" s="1"/>
  <c r="K6" i="85" s="1"/>
  <c r="C51" i="85"/>
  <c r="H87" i="145" s="1"/>
  <c r="J10" i="85"/>
  <c r="B11" i="99"/>
  <c r="B44" i="99"/>
  <c r="G93" i="145" s="1"/>
  <c r="E10" i="65"/>
  <c r="E22" i="66"/>
  <c r="B5" i="65"/>
  <c r="B47" i="63"/>
  <c r="B55" i="63" s="1"/>
  <c r="K16" i="72"/>
  <c r="E19" i="68"/>
  <c r="B6" i="65"/>
  <c r="D10" i="65"/>
  <c r="O19" i="76"/>
  <c r="I19" i="76"/>
  <c r="M19" i="76"/>
  <c r="K19" i="76"/>
  <c r="E44" i="79"/>
  <c r="J131" i="145" s="1"/>
  <c r="J129" i="145" s="1"/>
  <c r="B44" i="79"/>
  <c r="G131" i="145" s="1"/>
  <c r="B11" i="79"/>
  <c r="E11" i="73"/>
  <c r="K11" i="73"/>
  <c r="I11" i="73"/>
  <c r="G11" i="73"/>
  <c r="C10" i="65"/>
  <c r="C41" i="63"/>
  <c r="C25" i="63"/>
  <c r="C53" i="63" s="1"/>
  <c r="H140" i="145" s="1"/>
  <c r="C11" i="79" l="1"/>
  <c r="C37" i="79"/>
  <c r="C34" i="79"/>
  <c r="B24" i="103"/>
  <c r="B25" i="103" s="1"/>
  <c r="B53" i="103" s="1"/>
  <c r="G178" i="145" s="1"/>
  <c r="G26" i="145" s="1"/>
  <c r="G4" i="145"/>
  <c r="I26" i="145"/>
  <c r="F145" i="145"/>
  <c r="G31" i="145"/>
  <c r="F118" i="145"/>
  <c r="F6" i="145"/>
  <c r="C33" i="139"/>
  <c r="C38" i="139" s="1"/>
  <c r="C13" i="139"/>
  <c r="C14" i="139"/>
  <c r="C15" i="139"/>
  <c r="F207" i="145"/>
  <c r="F205" i="145" s="1"/>
  <c r="B33" i="139"/>
  <c r="B38" i="139" s="1"/>
  <c r="B15" i="139"/>
  <c r="B22" i="139"/>
  <c r="B28" i="139" s="1"/>
  <c r="B46" i="139" s="1"/>
  <c r="B12" i="139"/>
  <c r="B13" i="139"/>
  <c r="C35" i="79"/>
  <c r="C44" i="79"/>
  <c r="H131" i="145" s="1"/>
  <c r="H129" i="145" s="1"/>
  <c r="L5" i="65"/>
  <c r="L6" i="65" s="1"/>
  <c r="E43" i="65"/>
  <c r="E45" i="65" s="1"/>
  <c r="E42" i="65"/>
  <c r="E41" i="65"/>
  <c r="E44" i="65"/>
  <c r="C43" i="65"/>
  <c r="C42" i="65"/>
  <c r="C41" i="65"/>
  <c r="C44" i="65"/>
  <c r="J5" i="65"/>
  <c r="D43" i="65"/>
  <c r="D42" i="65"/>
  <c r="D41" i="65"/>
  <c r="D44" i="65"/>
  <c r="B24" i="83"/>
  <c r="B25" i="83" s="1"/>
  <c r="B53" i="83" s="1"/>
  <c r="G102" i="145" s="1"/>
  <c r="F102" i="145" s="1"/>
  <c r="B14" i="79"/>
  <c r="B13" i="79"/>
  <c r="B12" i="79"/>
  <c r="B15" i="79"/>
  <c r="G129" i="145"/>
  <c r="D11" i="79"/>
  <c r="D36" i="79"/>
  <c r="D35" i="79"/>
  <c r="D34" i="79"/>
  <c r="D37" i="79"/>
  <c r="E11" i="79"/>
  <c r="E22" i="79" s="1"/>
  <c r="E28" i="79" s="1"/>
  <c r="E36" i="79"/>
  <c r="E35" i="79"/>
  <c r="E34" i="79"/>
  <c r="E37" i="79"/>
  <c r="C14" i="79"/>
  <c r="C13" i="79"/>
  <c r="C12" i="79"/>
  <c r="C15" i="79"/>
  <c r="E16" i="139"/>
  <c r="E17" i="139" s="1"/>
  <c r="E45" i="139" s="1"/>
  <c r="D15" i="139"/>
  <c r="D14" i="139"/>
  <c r="D13" i="139"/>
  <c r="D12" i="139"/>
  <c r="D33" i="139"/>
  <c r="D38" i="139" s="1"/>
  <c r="D39" i="139" s="1"/>
  <c r="D47" i="139" s="1"/>
  <c r="H201" i="145"/>
  <c r="H199" i="145" s="1"/>
  <c r="C19" i="125"/>
  <c r="C18" i="125"/>
  <c r="C17" i="125"/>
  <c r="C16" i="125"/>
  <c r="J11" i="125" s="1"/>
  <c r="C40" i="125"/>
  <c r="C54" i="125" s="1"/>
  <c r="C26" i="125"/>
  <c r="I5" i="125"/>
  <c r="I6" i="125" s="1"/>
  <c r="B44" i="125"/>
  <c r="B43" i="125"/>
  <c r="B42" i="125"/>
  <c r="B41" i="125"/>
  <c r="B11" i="119"/>
  <c r="B12" i="119" s="1"/>
  <c r="D37" i="119"/>
  <c r="D34" i="119"/>
  <c r="D36" i="119"/>
  <c r="D35" i="119"/>
  <c r="D11" i="119"/>
  <c r="D33" i="119" s="1"/>
  <c r="B15" i="119"/>
  <c r="B14" i="119"/>
  <c r="B13" i="119"/>
  <c r="E15" i="119"/>
  <c r="E12" i="119"/>
  <c r="E14" i="119"/>
  <c r="E13" i="119"/>
  <c r="B37" i="119"/>
  <c r="B36" i="119"/>
  <c r="B35" i="119"/>
  <c r="B34" i="119"/>
  <c r="C15" i="119"/>
  <c r="C14" i="119"/>
  <c r="C12" i="119"/>
  <c r="C13" i="119"/>
  <c r="G167" i="145"/>
  <c r="F169" i="145"/>
  <c r="F167" i="145" s="1"/>
  <c r="C45" i="105"/>
  <c r="C16" i="105"/>
  <c r="J11" i="105" s="1"/>
  <c r="C19" i="105"/>
  <c r="C18" i="105"/>
  <c r="C17" i="105"/>
  <c r="G91" i="145"/>
  <c r="E11" i="99"/>
  <c r="E36" i="99"/>
  <c r="E34" i="99"/>
  <c r="E35" i="99"/>
  <c r="E37" i="99"/>
  <c r="B14" i="99"/>
  <c r="B13" i="99"/>
  <c r="B15" i="99"/>
  <c r="B12" i="99"/>
  <c r="H91" i="145"/>
  <c r="D14" i="99"/>
  <c r="D13" i="99"/>
  <c r="D12" i="99"/>
  <c r="D15" i="99"/>
  <c r="I91" i="145"/>
  <c r="C14" i="99"/>
  <c r="C12" i="99"/>
  <c r="C13" i="99"/>
  <c r="C15" i="99"/>
  <c r="H85" i="145"/>
  <c r="C18" i="85"/>
  <c r="C17" i="85"/>
  <c r="C16" i="85"/>
  <c r="J11" i="85" s="1"/>
  <c r="C19" i="85"/>
  <c r="F226" i="145"/>
  <c r="D56" i="63"/>
  <c r="G16" i="62" s="1"/>
  <c r="I150" i="145"/>
  <c r="F140" i="145"/>
  <c r="B56" i="63"/>
  <c r="G150" i="145"/>
  <c r="D56" i="83"/>
  <c r="G16" i="82" s="1"/>
  <c r="I112" i="145"/>
  <c r="D56" i="103"/>
  <c r="G16" i="102" s="1"/>
  <c r="I188" i="145"/>
  <c r="F183" i="145"/>
  <c r="F156" i="145"/>
  <c r="F178" i="145"/>
  <c r="B39" i="139"/>
  <c r="B47" i="139" s="1"/>
  <c r="C39" i="139"/>
  <c r="C47" i="139" s="1"/>
  <c r="C40" i="85"/>
  <c r="C45" i="85" s="1"/>
  <c r="C26" i="85"/>
  <c r="C32" i="85" s="1"/>
  <c r="C53" i="85" s="1"/>
  <c r="C15" i="65"/>
  <c r="C46" i="105"/>
  <c r="C54" i="105" s="1"/>
  <c r="H7" i="102"/>
  <c r="D47" i="2"/>
  <c r="E28" i="139"/>
  <c r="E46" i="139" s="1"/>
  <c r="B15" i="125"/>
  <c r="B51" i="125"/>
  <c r="I10" i="125"/>
  <c r="G14" i="133"/>
  <c r="E14" i="133"/>
  <c r="I14" i="133"/>
  <c r="K14" i="133"/>
  <c r="E39" i="139"/>
  <c r="E47" i="139" s="1"/>
  <c r="B10" i="105"/>
  <c r="E13" i="113"/>
  <c r="K13" i="113"/>
  <c r="I13" i="113"/>
  <c r="G13" i="113"/>
  <c r="B47" i="103"/>
  <c r="B55" i="103" s="1"/>
  <c r="B33" i="119"/>
  <c r="B22" i="119"/>
  <c r="B28" i="119" s="1"/>
  <c r="B46" i="119" s="1"/>
  <c r="E33" i="119"/>
  <c r="E38" i="119" s="1"/>
  <c r="E22" i="119"/>
  <c r="K10" i="105"/>
  <c r="D51" i="105"/>
  <c r="D55" i="105" s="1"/>
  <c r="D57" i="105" s="1"/>
  <c r="G6" i="102" s="1"/>
  <c r="C33" i="119"/>
  <c r="C38" i="119" s="1"/>
  <c r="C22" i="119"/>
  <c r="C28" i="119" s="1"/>
  <c r="C46" i="119" s="1"/>
  <c r="B10" i="85"/>
  <c r="C33" i="99"/>
  <c r="C38" i="99" s="1"/>
  <c r="C22" i="99"/>
  <c r="K15" i="93"/>
  <c r="I15" i="93"/>
  <c r="E15" i="93"/>
  <c r="G15" i="93"/>
  <c r="E44" i="99"/>
  <c r="J93" i="145" s="1"/>
  <c r="B33" i="99"/>
  <c r="B38" i="99" s="1"/>
  <c r="B22" i="99"/>
  <c r="B28" i="99" s="1"/>
  <c r="B46" i="99" s="1"/>
  <c r="K10" i="85"/>
  <c r="D51" i="85"/>
  <c r="D55" i="85" s="1"/>
  <c r="D57" i="85" s="1"/>
  <c r="G6" i="82" s="1"/>
  <c r="G7" i="82" s="1"/>
  <c r="D33" i="99"/>
  <c r="D38" i="99" s="1"/>
  <c r="D22" i="99"/>
  <c r="D28" i="99" s="1"/>
  <c r="D46" i="99" s="1"/>
  <c r="L10" i="85"/>
  <c r="E51" i="85"/>
  <c r="E55" i="85" s="1"/>
  <c r="E57" i="85" s="1"/>
  <c r="H6" i="82" s="1"/>
  <c r="H7" i="82" s="1"/>
  <c r="B47" i="83"/>
  <c r="B55" i="83" s="1"/>
  <c r="C33" i="79"/>
  <c r="C22" i="79"/>
  <c r="G12" i="73"/>
  <c r="E12" i="73"/>
  <c r="K12" i="73"/>
  <c r="I12" i="73"/>
  <c r="E33" i="79"/>
  <c r="K10" i="65"/>
  <c r="D51" i="65"/>
  <c r="D33" i="79"/>
  <c r="D22" i="79"/>
  <c r="D28" i="79" s="1"/>
  <c r="D46" i="79" s="1"/>
  <c r="C51" i="65"/>
  <c r="H125" i="145" s="1"/>
  <c r="H123" i="145" s="1"/>
  <c r="J10" i="65"/>
  <c r="B10" i="65"/>
  <c r="L10" i="65"/>
  <c r="E51" i="65"/>
  <c r="C47" i="63"/>
  <c r="C55" i="63" s="1"/>
  <c r="H150" i="145" s="1"/>
  <c r="B33" i="79"/>
  <c r="B38" i="79" s="1"/>
  <c r="B22" i="79"/>
  <c r="B28" i="79" s="1"/>
  <c r="B46" i="79" s="1"/>
  <c r="C36" i="63"/>
  <c r="C54" i="63" s="1"/>
  <c r="K20" i="76"/>
  <c r="O20" i="76"/>
  <c r="I20" i="76"/>
  <c r="M20" i="76"/>
  <c r="K5" i="65"/>
  <c r="K6" i="65" s="1"/>
  <c r="C18" i="8"/>
  <c r="C17" i="8"/>
  <c r="C16" i="8"/>
  <c r="C15" i="8"/>
  <c r="C14" i="8"/>
  <c r="C13" i="8"/>
  <c r="C12" i="8"/>
  <c r="C11" i="8"/>
  <c r="C20" i="7"/>
  <c r="C19" i="7"/>
  <c r="C18" i="7"/>
  <c r="C17" i="7"/>
  <c r="C16" i="7"/>
  <c r="C15" i="7"/>
  <c r="C14" i="7"/>
  <c r="C13" i="7"/>
  <c r="C12" i="7"/>
  <c r="C11" i="7"/>
  <c r="E16" i="62" l="1"/>
  <c r="C38" i="79"/>
  <c r="F26" i="145"/>
  <c r="F4" i="145"/>
  <c r="F31" i="145"/>
  <c r="I36" i="145"/>
  <c r="H6" i="61"/>
  <c r="F131" i="145"/>
  <c r="F129" i="145" s="1"/>
  <c r="C16" i="139"/>
  <c r="C17" i="139" s="1"/>
  <c r="C45" i="139" s="1"/>
  <c r="C48" i="139" s="1"/>
  <c r="F13" i="122" s="1"/>
  <c r="B16" i="139"/>
  <c r="B17" i="139" s="1"/>
  <c r="B45" i="139" s="1"/>
  <c r="B48" i="139" s="1"/>
  <c r="E13" i="122" s="1"/>
  <c r="D22" i="119"/>
  <c r="D28" i="119" s="1"/>
  <c r="D46" i="119" s="1"/>
  <c r="D55" i="65"/>
  <c r="D57" i="65" s="1"/>
  <c r="G6" i="62" s="1"/>
  <c r="I125" i="145"/>
  <c r="I123" i="145" s="1"/>
  <c r="E55" i="65"/>
  <c r="E57" i="65" s="1"/>
  <c r="H6" i="62" s="1"/>
  <c r="J125" i="145"/>
  <c r="J123" i="145" s="1"/>
  <c r="B43" i="65"/>
  <c r="B42" i="65"/>
  <c r="B41" i="65"/>
  <c r="B44" i="65"/>
  <c r="C18" i="65"/>
  <c r="C17" i="65"/>
  <c r="C16" i="65"/>
  <c r="J11" i="65" s="1"/>
  <c r="C19" i="65"/>
  <c r="I5" i="65"/>
  <c r="I6" i="65" s="1"/>
  <c r="D45" i="65"/>
  <c r="D38" i="79"/>
  <c r="B16" i="79"/>
  <c r="B17" i="79" s="1"/>
  <c r="B45" i="79" s="1"/>
  <c r="D39" i="79"/>
  <c r="D47" i="79" s="1"/>
  <c r="C16" i="79"/>
  <c r="C17" i="79" s="1"/>
  <c r="C45" i="79" s="1"/>
  <c r="E38" i="79"/>
  <c r="E39" i="79" s="1"/>
  <c r="E47" i="79" s="1"/>
  <c r="E14" i="79"/>
  <c r="E13" i="79"/>
  <c r="E12" i="79"/>
  <c r="E15" i="79"/>
  <c r="D14" i="79"/>
  <c r="D13" i="79"/>
  <c r="D12" i="79"/>
  <c r="D15" i="79"/>
  <c r="D16" i="139"/>
  <c r="D17" i="139" s="1"/>
  <c r="D45" i="139" s="1"/>
  <c r="D48" i="139" s="1"/>
  <c r="G13" i="122" s="1"/>
  <c r="C45" i="125"/>
  <c r="C32" i="125"/>
  <c r="C53" i="125" s="1"/>
  <c r="C20" i="125"/>
  <c r="C21" i="125" s="1"/>
  <c r="C52" i="125" s="1"/>
  <c r="G201" i="145"/>
  <c r="B19" i="125"/>
  <c r="B18" i="125"/>
  <c r="B20" i="125" s="1"/>
  <c r="B21" i="125" s="1"/>
  <c r="B52" i="125" s="1"/>
  <c r="B55" i="125" s="1"/>
  <c r="B17" i="125"/>
  <c r="B16" i="125"/>
  <c r="D38" i="119"/>
  <c r="D39" i="119" s="1"/>
  <c r="D47" i="119" s="1"/>
  <c r="C16" i="119"/>
  <c r="C17" i="119" s="1"/>
  <c r="C45" i="119" s="1"/>
  <c r="E16" i="119"/>
  <c r="E17" i="119" s="1"/>
  <c r="E45" i="119" s="1"/>
  <c r="B16" i="119"/>
  <c r="B17" i="119" s="1"/>
  <c r="B45" i="119" s="1"/>
  <c r="B38" i="119"/>
  <c r="B39" i="119" s="1"/>
  <c r="B47" i="119" s="1"/>
  <c r="D15" i="119"/>
  <c r="D14" i="119"/>
  <c r="D13" i="119"/>
  <c r="D12" i="119"/>
  <c r="B41" i="105"/>
  <c r="B44" i="105"/>
  <c r="B43" i="105"/>
  <c r="B42" i="105"/>
  <c r="I5" i="105"/>
  <c r="I6" i="105" s="1"/>
  <c r="C20" i="105"/>
  <c r="C21" i="105" s="1"/>
  <c r="C52" i="105" s="1"/>
  <c r="C55" i="105" s="1"/>
  <c r="C56" i="105" s="1"/>
  <c r="F5" i="102" s="1"/>
  <c r="J91" i="145"/>
  <c r="C16" i="99"/>
  <c r="C17" i="99" s="1"/>
  <c r="C45" i="99" s="1"/>
  <c r="E14" i="99"/>
  <c r="E13" i="99"/>
  <c r="E15" i="99"/>
  <c r="E12" i="99"/>
  <c r="F93" i="145"/>
  <c r="D16" i="99"/>
  <c r="D17" i="99" s="1"/>
  <c r="D45" i="99" s="1"/>
  <c r="B16" i="99"/>
  <c r="B17" i="99" s="1"/>
  <c r="B45" i="99" s="1"/>
  <c r="I5" i="85"/>
  <c r="I6" i="85" s="1"/>
  <c r="B43" i="85"/>
  <c r="B42" i="85"/>
  <c r="B41" i="85"/>
  <c r="B44" i="85"/>
  <c r="C20" i="85"/>
  <c r="C21" i="85" s="1"/>
  <c r="C52" i="85" s="1"/>
  <c r="F150" i="145"/>
  <c r="B56" i="83"/>
  <c r="E16" i="82" s="1"/>
  <c r="G112" i="145"/>
  <c r="F112" i="145" s="1"/>
  <c r="B56" i="103"/>
  <c r="G188" i="145"/>
  <c r="G36" i="145" s="1"/>
  <c r="C39" i="119"/>
  <c r="C47" i="119" s="1"/>
  <c r="E48" i="139"/>
  <c r="H13" i="122" s="1"/>
  <c r="C46" i="85"/>
  <c r="C54" i="85" s="1"/>
  <c r="C26" i="65"/>
  <c r="C32" i="65" s="1"/>
  <c r="C53" i="65" s="1"/>
  <c r="C40" i="65"/>
  <c r="C45" i="65" s="1"/>
  <c r="J6" i="65"/>
  <c r="C39" i="79"/>
  <c r="C47" i="79" s="1"/>
  <c r="B39" i="79"/>
  <c r="B47" i="79" s="1"/>
  <c r="C28" i="79"/>
  <c r="C46" i="79" s="1"/>
  <c r="G7" i="102"/>
  <c r="C56" i="63"/>
  <c r="F16" i="62" s="1"/>
  <c r="C28" i="99"/>
  <c r="C46" i="99" s="1"/>
  <c r="D39" i="99"/>
  <c r="D47" i="99" s="1"/>
  <c r="C39" i="99"/>
  <c r="C47" i="99" s="1"/>
  <c r="B39" i="99"/>
  <c r="B47" i="99" s="1"/>
  <c r="B26" i="125"/>
  <c r="B32" i="125" s="1"/>
  <c r="B53" i="125" s="1"/>
  <c r="B40" i="125"/>
  <c r="B45" i="125" s="1"/>
  <c r="G15" i="133"/>
  <c r="E15" i="133"/>
  <c r="I15" i="133"/>
  <c r="K15" i="133"/>
  <c r="E28" i="119"/>
  <c r="E46" i="119" s="1"/>
  <c r="G14" i="113"/>
  <c r="E14" i="113"/>
  <c r="K14" i="113"/>
  <c r="I14" i="113"/>
  <c r="B51" i="105"/>
  <c r="G163" i="145" s="1"/>
  <c r="B15" i="105"/>
  <c r="I10" i="105"/>
  <c r="E39" i="119"/>
  <c r="E47" i="119" s="1"/>
  <c r="E33" i="99"/>
  <c r="E38" i="99" s="1"/>
  <c r="E22" i="99"/>
  <c r="E28" i="99" s="1"/>
  <c r="O18" i="96"/>
  <c r="G17" i="93"/>
  <c r="E17" i="93"/>
  <c r="I17" i="93"/>
  <c r="K17" i="93"/>
  <c r="E16" i="93"/>
  <c r="K16" i="93"/>
  <c r="G16" i="93"/>
  <c r="I16" i="93"/>
  <c r="B51" i="85"/>
  <c r="G87" i="145" s="1"/>
  <c r="B15" i="85"/>
  <c r="I10" i="85"/>
  <c r="D16" i="62"/>
  <c r="I13" i="73"/>
  <c r="G13" i="73"/>
  <c r="E13" i="73"/>
  <c r="K13" i="73"/>
  <c r="M21" i="76"/>
  <c r="K21" i="76"/>
  <c r="O21" i="76"/>
  <c r="I21" i="76"/>
  <c r="B51" i="65"/>
  <c r="G125" i="145" s="1"/>
  <c r="B15" i="65"/>
  <c r="I10" i="65"/>
  <c r="E46" i="79"/>
  <c r="E16" i="102" l="1"/>
  <c r="B48" i="79"/>
  <c r="E13" i="62" s="1"/>
  <c r="E15" i="122"/>
  <c r="F6" i="61"/>
  <c r="B18" i="65"/>
  <c r="B17" i="65"/>
  <c r="B16" i="65"/>
  <c r="B19" i="65"/>
  <c r="H7" i="62"/>
  <c r="G7" i="62"/>
  <c r="F125" i="145"/>
  <c r="F123" i="145" s="1"/>
  <c r="G123" i="145"/>
  <c r="C20" i="65"/>
  <c r="C21" i="65" s="1"/>
  <c r="C52" i="65" s="1"/>
  <c r="D16" i="102"/>
  <c r="D16" i="82"/>
  <c r="D16" i="79"/>
  <c r="D17" i="79" s="1"/>
  <c r="D45" i="79" s="1"/>
  <c r="D48" i="79" s="1"/>
  <c r="G13" i="62" s="1"/>
  <c r="E16" i="79"/>
  <c r="E17" i="79" s="1"/>
  <c r="E45" i="79" s="1"/>
  <c r="E48" i="79" s="1"/>
  <c r="H13" i="62" s="1"/>
  <c r="F15" i="122"/>
  <c r="G15" i="122"/>
  <c r="C55" i="125"/>
  <c r="I11" i="125"/>
  <c r="E5" i="122"/>
  <c r="G199" i="145"/>
  <c r="F201" i="145"/>
  <c r="F199" i="145" s="1"/>
  <c r="C48" i="119"/>
  <c r="F13" i="102" s="1"/>
  <c r="B48" i="119"/>
  <c r="E13" i="102" s="1"/>
  <c r="D16" i="119"/>
  <c r="D17" i="119" s="1"/>
  <c r="D45" i="119" s="1"/>
  <c r="D48" i="119" s="1"/>
  <c r="G13" i="102" s="1"/>
  <c r="B16" i="105"/>
  <c r="B19" i="105"/>
  <c r="B18" i="105"/>
  <c r="B17" i="105"/>
  <c r="G161" i="145"/>
  <c r="F163" i="145"/>
  <c r="F161" i="145" s="1"/>
  <c r="D48" i="99"/>
  <c r="G13" i="82" s="1"/>
  <c r="B48" i="99"/>
  <c r="E13" i="82" s="1"/>
  <c r="F91" i="145"/>
  <c r="E16" i="99"/>
  <c r="E17" i="99" s="1"/>
  <c r="E45" i="99" s="1"/>
  <c r="C55" i="85"/>
  <c r="B18" i="85"/>
  <c r="B17" i="85"/>
  <c r="B16" i="85"/>
  <c r="B19" i="85"/>
  <c r="G85" i="145"/>
  <c r="F87" i="145"/>
  <c r="H15" i="122"/>
  <c r="D13" i="122"/>
  <c r="E15" i="62"/>
  <c r="F188" i="145"/>
  <c r="F36" i="145" s="1"/>
  <c r="F5" i="82"/>
  <c r="C46" i="65"/>
  <c r="C54" i="65" s="1"/>
  <c r="C57" i="105"/>
  <c r="F6" i="102" s="1"/>
  <c r="C48" i="79"/>
  <c r="F13" i="62" s="1"/>
  <c r="C48" i="99"/>
  <c r="F13" i="82" s="1"/>
  <c r="I16" i="133"/>
  <c r="G16" i="133"/>
  <c r="K16" i="133"/>
  <c r="E16" i="133"/>
  <c r="B57" i="125"/>
  <c r="K17" i="133"/>
  <c r="I17" i="133"/>
  <c r="E17" i="133"/>
  <c r="G17" i="133"/>
  <c r="E48" i="119"/>
  <c r="H13" i="102" s="1"/>
  <c r="B26" i="105"/>
  <c r="B32" i="105" s="1"/>
  <c r="B53" i="105" s="1"/>
  <c r="B40" i="105"/>
  <c r="B45" i="105" s="1"/>
  <c r="G15" i="113"/>
  <c r="E15" i="113"/>
  <c r="K15" i="113"/>
  <c r="I15" i="113"/>
  <c r="E18" i="93"/>
  <c r="K18" i="93"/>
  <c r="G18" i="93"/>
  <c r="I18" i="93"/>
  <c r="E46" i="99"/>
  <c r="E39" i="99"/>
  <c r="E47" i="99" s="1"/>
  <c r="B26" i="85"/>
  <c r="B32" i="85" s="1"/>
  <c r="B53" i="85" s="1"/>
  <c r="B40" i="85"/>
  <c r="B45" i="85" s="1"/>
  <c r="B26" i="65"/>
  <c r="B32" i="65" s="1"/>
  <c r="B53" i="65" s="1"/>
  <c r="B40" i="65"/>
  <c r="B45" i="65" s="1"/>
  <c r="K14" i="73"/>
  <c r="I14" i="73"/>
  <c r="G14" i="73"/>
  <c r="E14" i="73"/>
  <c r="C10" i="12"/>
  <c r="C20" i="12" s="1"/>
  <c r="F15" i="102" l="1"/>
  <c r="G15" i="62"/>
  <c r="B20" i="65"/>
  <c r="B21" i="65" s="1"/>
  <c r="B52" i="65" s="1"/>
  <c r="G15" i="82"/>
  <c r="D15" i="122"/>
  <c r="F5" i="122"/>
  <c r="D5" i="122" s="1"/>
  <c r="C57" i="125"/>
  <c r="G15" i="102"/>
  <c r="E15" i="102"/>
  <c r="B20" i="105"/>
  <c r="B21" i="105" s="1"/>
  <c r="B52" i="105" s="1"/>
  <c r="E15" i="82"/>
  <c r="F85" i="145"/>
  <c r="B20" i="85"/>
  <c r="B21" i="85" s="1"/>
  <c r="B52" i="85" s="1"/>
  <c r="E6" i="122"/>
  <c r="E6" i="144"/>
  <c r="F7" i="102"/>
  <c r="H15" i="62"/>
  <c r="F15" i="62"/>
  <c r="C55" i="65"/>
  <c r="C56" i="65" s="1"/>
  <c r="F15" i="82"/>
  <c r="B46" i="85"/>
  <c r="B54" i="85" s="1"/>
  <c r="C57" i="85"/>
  <c r="F6" i="82" s="1"/>
  <c r="B46" i="65"/>
  <c r="B54" i="65" s="1"/>
  <c r="B46" i="105"/>
  <c r="B54" i="105" s="1"/>
  <c r="D13" i="62"/>
  <c r="E48" i="99"/>
  <c r="H13" i="82" s="1"/>
  <c r="I18" i="133"/>
  <c r="G18" i="133"/>
  <c r="K18" i="133"/>
  <c r="E18" i="133"/>
  <c r="H15" i="102"/>
  <c r="D13" i="102"/>
  <c r="I16" i="113"/>
  <c r="G16" i="113"/>
  <c r="E16" i="113"/>
  <c r="K16" i="113"/>
  <c r="K17" i="113"/>
  <c r="I17" i="113"/>
  <c r="G17" i="113"/>
  <c r="E17" i="113"/>
  <c r="K19" i="93"/>
  <c r="I19" i="93"/>
  <c r="E19" i="93"/>
  <c r="G19" i="93"/>
  <c r="K15" i="73"/>
  <c r="I15" i="73"/>
  <c r="G15" i="73"/>
  <c r="E15" i="73"/>
  <c r="G8" i="61" l="1"/>
  <c r="D15" i="62"/>
  <c r="F6" i="122"/>
  <c r="F6" i="144"/>
  <c r="F7" i="144" s="1"/>
  <c r="F19" i="144" s="1"/>
  <c r="E7" i="122"/>
  <c r="B55" i="85"/>
  <c r="F7" i="82"/>
  <c r="E7" i="144"/>
  <c r="D7" i="144" s="1"/>
  <c r="D6" i="144"/>
  <c r="D6" i="122"/>
  <c r="D15" i="102"/>
  <c r="B55" i="105"/>
  <c r="E5" i="102" s="1"/>
  <c r="B55" i="65"/>
  <c r="I11" i="65" s="1"/>
  <c r="H15" i="82"/>
  <c r="I11" i="85"/>
  <c r="E5" i="82"/>
  <c r="C57" i="65"/>
  <c r="I11" i="105"/>
  <c r="D13" i="82"/>
  <c r="G19" i="133"/>
  <c r="E19" i="133"/>
  <c r="I19" i="133"/>
  <c r="K19" i="133"/>
  <c r="I18" i="113"/>
  <c r="G18" i="113"/>
  <c r="E18" i="113"/>
  <c r="K18" i="113"/>
  <c r="I20" i="93"/>
  <c r="I23" i="93" s="1"/>
  <c r="D6" i="91" s="1"/>
  <c r="G20" i="93"/>
  <c r="G23" i="93" s="1"/>
  <c r="C6" i="91" s="1"/>
  <c r="K20" i="93"/>
  <c r="K23" i="93" s="1"/>
  <c r="E6" i="91" s="1"/>
  <c r="E20" i="93"/>
  <c r="E16" i="73"/>
  <c r="K16" i="73"/>
  <c r="I16" i="73"/>
  <c r="G16" i="73"/>
  <c r="G17" i="73"/>
  <c r="E17" i="73"/>
  <c r="K17" i="73"/>
  <c r="I17" i="73"/>
  <c r="Q16" i="1"/>
  <c r="P16" i="1"/>
  <c r="Q16" i="2"/>
  <c r="P16" i="2"/>
  <c r="G9" i="61" l="1"/>
  <c r="K6" i="91"/>
  <c r="I95" i="145"/>
  <c r="L6" i="91"/>
  <c r="J95" i="145"/>
  <c r="F7" i="122"/>
  <c r="J6" i="91"/>
  <c r="H95" i="145"/>
  <c r="D5" i="102"/>
  <c r="B56" i="65"/>
  <c r="D15" i="82"/>
  <c r="B57" i="105"/>
  <c r="E6" i="102" s="1"/>
  <c r="B57" i="85"/>
  <c r="E6" i="82" s="1"/>
  <c r="D5" i="82"/>
  <c r="E20" i="133"/>
  <c r="K20" i="133"/>
  <c r="K23" i="133" s="1"/>
  <c r="E6" i="131" s="1"/>
  <c r="G20" i="133"/>
  <c r="G23" i="133" s="1"/>
  <c r="C6" i="131" s="1"/>
  <c r="C23" i="133"/>
  <c r="I20" i="133"/>
  <c r="I23" i="133" s="1"/>
  <c r="D6" i="131" s="1"/>
  <c r="C5" i="135"/>
  <c r="C9" i="135" s="1"/>
  <c r="E5" i="135"/>
  <c r="E9" i="135" s="1"/>
  <c r="I17" i="136"/>
  <c r="B5" i="135" s="1"/>
  <c r="B9" i="135" s="1"/>
  <c r="M17" i="136"/>
  <c r="D5" i="135" s="1"/>
  <c r="D9" i="135" s="1"/>
  <c r="G19" i="113"/>
  <c r="E19" i="113"/>
  <c r="K19" i="113"/>
  <c r="I19" i="113"/>
  <c r="G21" i="93"/>
  <c r="E21" i="93"/>
  <c r="I21" i="93"/>
  <c r="K21" i="93"/>
  <c r="E18" i="73"/>
  <c r="K18" i="73"/>
  <c r="I18" i="73"/>
  <c r="G18" i="73"/>
  <c r="F12" i="9"/>
  <c r="G12" i="9"/>
  <c r="H12" i="9"/>
  <c r="I12" i="9"/>
  <c r="J12" i="9"/>
  <c r="D9" i="9"/>
  <c r="D10" i="9"/>
  <c r="D11" i="9"/>
  <c r="D8" i="9"/>
  <c r="Q17" i="8"/>
  <c r="B57" i="65" l="1"/>
  <c r="D5" i="62"/>
  <c r="B42" i="135"/>
  <c r="B45" i="135"/>
  <c r="B44" i="135"/>
  <c r="B43" i="135"/>
  <c r="E45" i="135"/>
  <c r="E44" i="135"/>
  <c r="E43" i="135"/>
  <c r="E42" i="135"/>
  <c r="C45" i="135"/>
  <c r="C44" i="135"/>
  <c r="C43" i="135"/>
  <c r="C42" i="135"/>
  <c r="D45" i="135"/>
  <c r="D44" i="135"/>
  <c r="D43" i="135"/>
  <c r="D42" i="135"/>
  <c r="L6" i="131"/>
  <c r="J209" i="145"/>
  <c r="K6" i="131"/>
  <c r="I209" i="145"/>
  <c r="J6" i="131"/>
  <c r="H209" i="145"/>
  <c r="D7" i="122"/>
  <c r="E7" i="102"/>
  <c r="D6" i="82"/>
  <c r="D7" i="102"/>
  <c r="D6" i="102"/>
  <c r="D6" i="62"/>
  <c r="E7" i="82"/>
  <c r="L6" i="135"/>
  <c r="D12" i="9"/>
  <c r="I6" i="135"/>
  <c r="I7" i="135" s="1"/>
  <c r="K21" i="133"/>
  <c r="I21" i="133"/>
  <c r="E21" i="133"/>
  <c r="G21" i="133"/>
  <c r="D8" i="131"/>
  <c r="J6" i="135"/>
  <c r="J7" i="135" s="1"/>
  <c r="C8" i="131"/>
  <c r="E20" i="113"/>
  <c r="K20" i="113"/>
  <c r="K23" i="113" s="1"/>
  <c r="E6" i="111" s="1"/>
  <c r="C23" i="113"/>
  <c r="I20" i="113"/>
  <c r="I23" i="113" s="1"/>
  <c r="D6" i="111" s="1"/>
  <c r="G20" i="113"/>
  <c r="G23" i="113" s="1"/>
  <c r="C6" i="111" s="1"/>
  <c r="E22" i="93"/>
  <c r="E23" i="93" s="1"/>
  <c r="B6" i="91" s="1"/>
  <c r="G95" i="145" s="1"/>
  <c r="K22" i="93"/>
  <c r="G22" i="93"/>
  <c r="I22" i="93"/>
  <c r="K19" i="73"/>
  <c r="I19" i="73"/>
  <c r="G19" i="73"/>
  <c r="E19" i="73"/>
  <c r="L6" i="111" l="1"/>
  <c r="J171" i="145"/>
  <c r="J19" i="145" s="1"/>
  <c r="D7" i="62"/>
  <c r="D51" i="131"/>
  <c r="D44" i="131"/>
  <c r="D43" i="131"/>
  <c r="D42" i="131"/>
  <c r="D41" i="131"/>
  <c r="D13" i="131"/>
  <c r="C51" i="131"/>
  <c r="C44" i="131"/>
  <c r="C43" i="131"/>
  <c r="C42" i="131"/>
  <c r="C41" i="131"/>
  <c r="C13" i="131"/>
  <c r="E5" i="131"/>
  <c r="E8" i="131" s="1"/>
  <c r="K6" i="111"/>
  <c r="I171" i="145"/>
  <c r="I19" i="145" s="1"/>
  <c r="J6" i="111"/>
  <c r="H171" i="145"/>
  <c r="F95" i="145"/>
  <c r="D7" i="82"/>
  <c r="E52" i="135"/>
  <c r="J204" i="145" s="1"/>
  <c r="E14" i="135"/>
  <c r="I22" i="133"/>
  <c r="G22" i="133"/>
  <c r="K22" i="133"/>
  <c r="E22" i="133"/>
  <c r="E23" i="133" s="1"/>
  <c r="D52" i="135"/>
  <c r="I204" i="145" s="1"/>
  <c r="I202" i="145" s="1"/>
  <c r="I198" i="145" s="1"/>
  <c r="I193" i="145" s="1"/>
  <c r="D14" i="135"/>
  <c r="K6" i="135"/>
  <c r="K7" i="135" s="1"/>
  <c r="C14" i="135"/>
  <c r="C52" i="135"/>
  <c r="H204" i="145" s="1"/>
  <c r="H202" i="145" s="1"/>
  <c r="H198" i="145" s="1"/>
  <c r="H193" i="145" s="1"/>
  <c r="B14" i="135"/>
  <c r="B52" i="135"/>
  <c r="G204" i="145" s="1"/>
  <c r="K21" i="113"/>
  <c r="I21" i="113"/>
  <c r="G21" i="113"/>
  <c r="E21" i="113"/>
  <c r="C5" i="115"/>
  <c r="C9" i="115" s="1"/>
  <c r="E5" i="115"/>
  <c r="E9" i="115" s="1"/>
  <c r="B5" i="115"/>
  <c r="B9" i="115" s="1"/>
  <c r="D5" i="115"/>
  <c r="D9" i="115" s="1"/>
  <c r="C5" i="95"/>
  <c r="C9" i="95" s="1"/>
  <c r="E5" i="95"/>
  <c r="I18" i="96"/>
  <c r="B5" i="95" s="1"/>
  <c r="B9" i="95" s="1"/>
  <c r="D5" i="95"/>
  <c r="D9" i="95" s="1"/>
  <c r="C23" i="73"/>
  <c r="I20" i="73"/>
  <c r="I23" i="73" s="1"/>
  <c r="D6" i="71" s="1"/>
  <c r="G20" i="73"/>
  <c r="G23" i="73" s="1"/>
  <c r="C6" i="71" s="1"/>
  <c r="E20" i="73"/>
  <c r="K20" i="73"/>
  <c r="K23" i="73" s="1"/>
  <c r="E6" i="71" s="1"/>
  <c r="K22" i="76"/>
  <c r="K23" i="76" s="1"/>
  <c r="C5" i="75" s="1"/>
  <c r="C9" i="75" s="1"/>
  <c r="O22" i="76"/>
  <c r="I22" i="76"/>
  <c r="I23" i="76" s="1"/>
  <c r="B5" i="75" s="1"/>
  <c r="B9" i="75" s="1"/>
  <c r="M22" i="76"/>
  <c r="I21" i="22"/>
  <c r="K20" i="22"/>
  <c r="B6" i="131" l="1"/>
  <c r="G209" i="145" s="1"/>
  <c r="F209" i="145" s="1"/>
  <c r="K6" i="71"/>
  <c r="I133" i="145"/>
  <c r="L6" i="71"/>
  <c r="J133" i="145"/>
  <c r="J6" i="71"/>
  <c r="H133" i="145"/>
  <c r="M23" i="76"/>
  <c r="D5" i="75" s="1"/>
  <c r="B42" i="75"/>
  <c r="B45" i="75"/>
  <c r="B44" i="75"/>
  <c r="B43" i="75"/>
  <c r="C44" i="75"/>
  <c r="C43" i="75"/>
  <c r="C42" i="75"/>
  <c r="C45" i="75"/>
  <c r="O23" i="76"/>
  <c r="E5" i="75" s="1"/>
  <c r="D18" i="135"/>
  <c r="D17" i="135"/>
  <c r="D16" i="135"/>
  <c r="D15" i="135"/>
  <c r="C18" i="135"/>
  <c r="C17" i="135"/>
  <c r="C16" i="135"/>
  <c r="C15" i="135"/>
  <c r="E18" i="135"/>
  <c r="E17" i="135"/>
  <c r="E16" i="135"/>
  <c r="E15" i="135"/>
  <c r="G202" i="145"/>
  <c r="F204" i="145"/>
  <c r="B18" i="135"/>
  <c r="B17" i="135"/>
  <c r="B16" i="135"/>
  <c r="B15" i="135"/>
  <c r="D17" i="131"/>
  <c r="D16" i="131"/>
  <c r="D15" i="131"/>
  <c r="D14" i="131"/>
  <c r="D24" i="131"/>
  <c r="D30" i="131" s="1"/>
  <c r="D53" i="131" s="1"/>
  <c r="D40" i="131"/>
  <c r="C17" i="131"/>
  <c r="C16" i="131"/>
  <c r="C15" i="131"/>
  <c r="C14" i="131"/>
  <c r="C40" i="131"/>
  <c r="C24" i="131"/>
  <c r="J203" i="145"/>
  <c r="J202" i="145" s="1"/>
  <c r="J198" i="145" s="1"/>
  <c r="J193" i="145" s="1"/>
  <c r="F203" i="145"/>
  <c r="E51" i="131"/>
  <c r="E55" i="131" s="1"/>
  <c r="E44" i="131"/>
  <c r="E42" i="131"/>
  <c r="E41" i="131"/>
  <c r="E43" i="131"/>
  <c r="E42" i="115"/>
  <c r="E45" i="115"/>
  <c r="E44" i="115"/>
  <c r="E43" i="115"/>
  <c r="C42" i="115"/>
  <c r="C45" i="115"/>
  <c r="C44" i="115"/>
  <c r="C43" i="115"/>
  <c r="D43" i="115"/>
  <c r="D42" i="115"/>
  <c r="D45" i="115"/>
  <c r="D44" i="115"/>
  <c r="B43" i="115"/>
  <c r="B42" i="115"/>
  <c r="B45" i="115"/>
  <c r="B44" i="115"/>
  <c r="D42" i="95"/>
  <c r="D41" i="95"/>
  <c r="D44" i="95"/>
  <c r="D43" i="95"/>
  <c r="B41" i="95"/>
  <c r="B44" i="95"/>
  <c r="B43" i="95"/>
  <c r="B42" i="95"/>
  <c r="E9" i="95"/>
  <c r="L6" i="95" s="1"/>
  <c r="C42" i="95"/>
  <c r="C41" i="95"/>
  <c r="C44" i="95"/>
  <c r="C43" i="95"/>
  <c r="L6" i="115"/>
  <c r="E41" i="135"/>
  <c r="E46" i="135" s="1"/>
  <c r="E25" i="135"/>
  <c r="E31" i="135" s="1"/>
  <c r="E54" i="135" s="1"/>
  <c r="J222" i="145" s="1"/>
  <c r="J220" i="145" s="1"/>
  <c r="C41" i="135"/>
  <c r="C46" i="135" s="1"/>
  <c r="C25" i="135"/>
  <c r="C31" i="135" s="1"/>
  <c r="C54" i="135" s="1"/>
  <c r="D41" i="135"/>
  <c r="D46" i="135" s="1"/>
  <c r="D25" i="135"/>
  <c r="D31" i="135" s="1"/>
  <c r="D54" i="135" s="1"/>
  <c r="B25" i="135"/>
  <c r="B31" i="135" s="1"/>
  <c r="B54" i="135" s="1"/>
  <c r="B41" i="135"/>
  <c r="B46" i="135" s="1"/>
  <c r="B8" i="131"/>
  <c r="D8" i="111"/>
  <c r="E5" i="111"/>
  <c r="C8" i="111"/>
  <c r="D14" i="115"/>
  <c r="I6" i="115"/>
  <c r="I7" i="115" s="1"/>
  <c r="I22" i="113"/>
  <c r="G22" i="113"/>
  <c r="E22" i="113"/>
  <c r="E23" i="113" s="1"/>
  <c r="K22" i="113"/>
  <c r="C5" i="91"/>
  <c r="K6" i="95"/>
  <c r="K7" i="95" s="1"/>
  <c r="D5" i="91"/>
  <c r="I6" i="95"/>
  <c r="I7" i="95" s="1"/>
  <c r="G26" i="72"/>
  <c r="C5" i="71" s="1"/>
  <c r="J6" i="75"/>
  <c r="J7" i="75" s="1"/>
  <c r="K21" i="73"/>
  <c r="G21" i="73"/>
  <c r="E21" i="73"/>
  <c r="I21" i="73"/>
  <c r="K26" i="72"/>
  <c r="E5" i="71" s="1"/>
  <c r="I26" i="72"/>
  <c r="D5" i="71" s="1"/>
  <c r="K21" i="22"/>
  <c r="I19" i="22"/>
  <c r="I20" i="22"/>
  <c r="G19" i="22"/>
  <c r="G21" i="22"/>
  <c r="K19" i="22"/>
  <c r="G20" i="22"/>
  <c r="E5" i="91" l="1"/>
  <c r="E5" i="238"/>
  <c r="E8" i="238" s="1"/>
  <c r="G198" i="145"/>
  <c r="G193" i="145" s="1"/>
  <c r="B6" i="111"/>
  <c r="G171" i="145" s="1"/>
  <c r="F171" i="145" s="1"/>
  <c r="E8" i="71"/>
  <c r="J127" i="145"/>
  <c r="D8" i="71"/>
  <c r="I127" i="145"/>
  <c r="C8" i="71"/>
  <c r="H127" i="145"/>
  <c r="E9" i="75"/>
  <c r="D9" i="75"/>
  <c r="F202" i="145"/>
  <c r="F198" i="145" s="1"/>
  <c r="F193" i="145" s="1"/>
  <c r="I222" i="145"/>
  <c r="I220" i="145" s="1"/>
  <c r="B19" i="135"/>
  <c r="B20" i="135" s="1"/>
  <c r="B53" i="135" s="1"/>
  <c r="E19" i="135"/>
  <c r="E20" i="135" s="1"/>
  <c r="E53" i="135" s="1"/>
  <c r="J217" i="145" s="1"/>
  <c r="J215" i="145" s="1"/>
  <c r="C19" i="135"/>
  <c r="C20" i="135" s="1"/>
  <c r="C53" i="135" s="1"/>
  <c r="D19" i="135"/>
  <c r="D20" i="135" s="1"/>
  <c r="D53" i="135" s="1"/>
  <c r="D18" i="131"/>
  <c r="D19" i="131" s="1"/>
  <c r="D52" i="131" s="1"/>
  <c r="D45" i="131"/>
  <c r="D46" i="131" s="1"/>
  <c r="D54" i="131" s="1"/>
  <c r="C30" i="131"/>
  <c r="C53" i="131" s="1"/>
  <c r="H222" i="145" s="1"/>
  <c r="H220" i="145" s="1"/>
  <c r="C18" i="131"/>
  <c r="C19" i="131" s="1"/>
  <c r="C52" i="131" s="1"/>
  <c r="C45" i="131"/>
  <c r="C46" i="131" s="1"/>
  <c r="C54" i="131" s="1"/>
  <c r="B44" i="131"/>
  <c r="B43" i="131"/>
  <c r="B42" i="131"/>
  <c r="B41" i="131"/>
  <c r="E45" i="131"/>
  <c r="H8" i="122"/>
  <c r="H8" i="144"/>
  <c r="D15" i="115"/>
  <c r="D18" i="115"/>
  <c r="D17" i="115"/>
  <c r="D16" i="115"/>
  <c r="D51" i="111"/>
  <c r="D41" i="111"/>
  <c r="D44" i="111"/>
  <c r="D43" i="111"/>
  <c r="D42" i="111"/>
  <c r="D13" i="111"/>
  <c r="C51" i="111"/>
  <c r="C41" i="111"/>
  <c r="C44" i="111"/>
  <c r="C43" i="111"/>
  <c r="C42" i="111"/>
  <c r="C13" i="111"/>
  <c r="E8" i="111"/>
  <c r="J165" i="145"/>
  <c r="E42" i="95"/>
  <c r="E14" i="95"/>
  <c r="E41" i="95"/>
  <c r="E43" i="95"/>
  <c r="E44" i="95"/>
  <c r="E51" i="95"/>
  <c r="C8" i="91"/>
  <c r="H89" i="145"/>
  <c r="E8" i="91"/>
  <c r="J89" i="145"/>
  <c r="D8" i="91"/>
  <c r="I89" i="145"/>
  <c r="J6" i="115"/>
  <c r="J7" i="115" s="1"/>
  <c r="C14" i="115"/>
  <c r="E52" i="115"/>
  <c r="J166" i="145" s="1"/>
  <c r="E14" i="115"/>
  <c r="E47" i="135"/>
  <c r="E55" i="135" s="1"/>
  <c r="B13" i="131"/>
  <c r="B51" i="131"/>
  <c r="I6" i="131"/>
  <c r="D47" i="135"/>
  <c r="D55" i="135" s="1"/>
  <c r="C47" i="135"/>
  <c r="C55" i="135" s="1"/>
  <c r="B47" i="135"/>
  <c r="B55" i="135" s="1"/>
  <c r="D52" i="115"/>
  <c r="I166" i="145" s="1"/>
  <c r="I164" i="145" s="1"/>
  <c r="I160" i="145" s="1"/>
  <c r="I155" i="145" s="1"/>
  <c r="C52" i="115"/>
  <c r="H166" i="145" s="1"/>
  <c r="H164" i="145" s="1"/>
  <c r="H160" i="145" s="1"/>
  <c r="H155" i="145" s="1"/>
  <c r="B14" i="115"/>
  <c r="B52" i="115"/>
  <c r="G166" i="145" s="1"/>
  <c r="K6" i="115"/>
  <c r="K7" i="115" s="1"/>
  <c r="B8" i="111"/>
  <c r="C14" i="95"/>
  <c r="C51" i="95"/>
  <c r="H90" i="145" s="1"/>
  <c r="B5" i="91"/>
  <c r="B14" i="95"/>
  <c r="B51" i="95"/>
  <c r="G90" i="145" s="1"/>
  <c r="D51" i="95"/>
  <c r="I90" i="145" s="1"/>
  <c r="I14" i="145" s="1"/>
  <c r="D14" i="95"/>
  <c r="J6" i="95"/>
  <c r="J7" i="95" s="1"/>
  <c r="B14" i="75"/>
  <c r="B52" i="75"/>
  <c r="G128" i="145" s="1"/>
  <c r="G14" i="145" s="1"/>
  <c r="E26" i="72"/>
  <c r="B5" i="71" s="1"/>
  <c r="G127" i="145" s="1"/>
  <c r="I22" i="73"/>
  <c r="E22" i="73"/>
  <c r="E23" i="73" s="1"/>
  <c r="B6" i="71" s="1"/>
  <c r="G133" i="145" s="1"/>
  <c r="F133" i="145" s="1"/>
  <c r="K22" i="73"/>
  <c r="G22" i="73"/>
  <c r="C52" i="75"/>
  <c r="C14" i="75"/>
  <c r="D23" i="13"/>
  <c r="H14" i="145" l="1"/>
  <c r="E51" i="238"/>
  <c r="E41" i="238"/>
  <c r="E44" i="238"/>
  <c r="E43" i="238"/>
  <c r="E45" i="238" s="1"/>
  <c r="E42" i="238"/>
  <c r="F127" i="145"/>
  <c r="H126" i="145"/>
  <c r="H122" i="145" s="1"/>
  <c r="H117" i="145" s="1"/>
  <c r="B56" i="135"/>
  <c r="E14" i="75"/>
  <c r="E17" i="75" s="1"/>
  <c r="E52" i="75"/>
  <c r="J128" i="145" s="1"/>
  <c r="J126" i="145" s="1"/>
  <c r="J122" i="145" s="1"/>
  <c r="J117" i="145" s="1"/>
  <c r="D14" i="75"/>
  <c r="D17" i="75" s="1"/>
  <c r="D55" i="131"/>
  <c r="G8" i="122" s="1"/>
  <c r="D51" i="71"/>
  <c r="D55" i="71" s="1"/>
  <c r="G8" i="62" s="1"/>
  <c r="D43" i="71"/>
  <c r="D42" i="71"/>
  <c r="D41" i="71"/>
  <c r="D44" i="71"/>
  <c r="C51" i="71"/>
  <c r="C43" i="71"/>
  <c r="C42" i="71"/>
  <c r="C41" i="71"/>
  <c r="C44" i="71"/>
  <c r="C13" i="71"/>
  <c r="E51" i="71"/>
  <c r="E55" i="71" s="1"/>
  <c r="H8" i="62" s="1"/>
  <c r="E43" i="71"/>
  <c r="E42" i="71"/>
  <c r="E41" i="71"/>
  <c r="E44" i="71"/>
  <c r="C17" i="75"/>
  <c r="C16" i="75"/>
  <c r="C15" i="75"/>
  <c r="C18" i="75"/>
  <c r="D52" i="75"/>
  <c r="I128" i="145" s="1"/>
  <c r="I126" i="145" s="1"/>
  <c r="I122" i="145" s="1"/>
  <c r="I117" i="145" s="1"/>
  <c r="D44" i="75"/>
  <c r="D43" i="75"/>
  <c r="D42" i="75"/>
  <c r="D45" i="75"/>
  <c r="E18" i="75"/>
  <c r="E44" i="75"/>
  <c r="E43" i="75"/>
  <c r="E42" i="75"/>
  <c r="E45" i="75"/>
  <c r="I217" i="145"/>
  <c r="I215" i="145" s="1"/>
  <c r="C55" i="131"/>
  <c r="F8" i="122" s="1"/>
  <c r="H217" i="145"/>
  <c r="H215" i="145" s="1"/>
  <c r="B17" i="131"/>
  <c r="B16" i="131"/>
  <c r="B15" i="131"/>
  <c r="B14" i="131"/>
  <c r="I24" i="61"/>
  <c r="D19" i="115"/>
  <c r="D20" i="115" s="1"/>
  <c r="D53" i="115" s="1"/>
  <c r="E15" i="115"/>
  <c r="E18" i="115"/>
  <c r="E17" i="115"/>
  <c r="E16" i="115"/>
  <c r="C15" i="115"/>
  <c r="C18" i="115"/>
  <c r="C17" i="115"/>
  <c r="C16" i="115"/>
  <c r="G164" i="145"/>
  <c r="G160" i="145" s="1"/>
  <c r="G155" i="145" s="1"/>
  <c r="F166" i="145"/>
  <c r="B15" i="115"/>
  <c r="B18" i="115"/>
  <c r="B17" i="115"/>
  <c r="B16" i="115"/>
  <c r="D14" i="111"/>
  <c r="D17" i="111"/>
  <c r="D16" i="111"/>
  <c r="D15" i="111"/>
  <c r="D40" i="111"/>
  <c r="D24" i="111"/>
  <c r="D30" i="111" s="1"/>
  <c r="D53" i="111" s="1"/>
  <c r="C14" i="111"/>
  <c r="C17" i="111"/>
  <c r="C16" i="111"/>
  <c r="C15" i="111"/>
  <c r="C40" i="111"/>
  <c r="C24" i="111"/>
  <c r="C30" i="111" s="1"/>
  <c r="C53" i="111" s="1"/>
  <c r="B41" i="111"/>
  <c r="B43" i="111"/>
  <c r="B44" i="111"/>
  <c r="B42" i="111"/>
  <c r="J164" i="145"/>
  <c r="J160" i="145" s="1"/>
  <c r="J155" i="145" s="1"/>
  <c r="F165" i="145"/>
  <c r="E51" i="111"/>
  <c r="E55" i="111" s="1"/>
  <c r="H8" i="102" s="1"/>
  <c r="E41" i="111"/>
  <c r="E44" i="111"/>
  <c r="E43" i="111"/>
  <c r="E42" i="111"/>
  <c r="J90" i="145"/>
  <c r="J88" i="145" s="1"/>
  <c r="E17" i="95"/>
  <c r="E15" i="95"/>
  <c r="E40" i="95"/>
  <c r="E18" i="95"/>
  <c r="E25" i="95"/>
  <c r="E31" i="95" s="1"/>
  <c r="E53" i="95" s="1"/>
  <c r="J108" i="145" s="1"/>
  <c r="E16" i="95"/>
  <c r="C17" i="95"/>
  <c r="C16" i="95"/>
  <c r="C15" i="95"/>
  <c r="C18" i="95"/>
  <c r="B17" i="95"/>
  <c r="B16" i="95"/>
  <c r="B15" i="95"/>
  <c r="B18" i="95"/>
  <c r="D17" i="95"/>
  <c r="D16" i="95"/>
  <c r="D40" i="95"/>
  <c r="D45" i="95" s="1"/>
  <c r="D15" i="95"/>
  <c r="D18" i="95"/>
  <c r="E51" i="91"/>
  <c r="E55" i="91" s="1"/>
  <c r="H8" i="82" s="1"/>
  <c r="E43" i="91"/>
  <c r="E42" i="91"/>
  <c r="E41" i="91"/>
  <c r="E44" i="91"/>
  <c r="I88" i="145"/>
  <c r="D51" i="91"/>
  <c r="D55" i="91" s="1"/>
  <c r="G8" i="82" s="1"/>
  <c r="D43" i="91"/>
  <c r="D42" i="91"/>
  <c r="D41" i="91"/>
  <c r="D44" i="91"/>
  <c r="H88" i="145"/>
  <c r="B8" i="91"/>
  <c r="B13" i="91" s="1"/>
  <c r="G89" i="145"/>
  <c r="C51" i="91"/>
  <c r="C43" i="91"/>
  <c r="C42" i="91"/>
  <c r="C41" i="91"/>
  <c r="C44" i="91"/>
  <c r="C13" i="91"/>
  <c r="G126" i="145"/>
  <c r="B16" i="75"/>
  <c r="B15" i="75"/>
  <c r="B18" i="75"/>
  <c r="B17" i="75"/>
  <c r="C56" i="135"/>
  <c r="C57" i="135" s="1"/>
  <c r="H227" i="145"/>
  <c r="H225" i="145" s="1"/>
  <c r="E56" i="135"/>
  <c r="H9" i="122" s="1"/>
  <c r="J227" i="145"/>
  <c r="J225" i="145" s="1"/>
  <c r="J214" i="145" s="1"/>
  <c r="J192" i="145" s="1"/>
  <c r="D56" i="135"/>
  <c r="I227" i="145"/>
  <c r="I225" i="145" s="1"/>
  <c r="E41" i="75"/>
  <c r="E41" i="115"/>
  <c r="E25" i="115"/>
  <c r="E31" i="115" s="1"/>
  <c r="E54" i="115" s="1"/>
  <c r="J184" i="145" s="1"/>
  <c r="J182" i="145" s="1"/>
  <c r="G9" i="122"/>
  <c r="E9" i="122"/>
  <c r="B24" i="131"/>
  <c r="B40" i="131"/>
  <c r="B45" i="131" s="1"/>
  <c r="C41" i="115"/>
  <c r="C46" i="115" s="1"/>
  <c r="C25" i="115"/>
  <c r="C31" i="115" s="1"/>
  <c r="C54" i="115" s="1"/>
  <c r="D41" i="115"/>
  <c r="D46" i="115" s="1"/>
  <c r="D25" i="115"/>
  <c r="D31" i="115" s="1"/>
  <c r="D54" i="115" s="1"/>
  <c r="B13" i="111"/>
  <c r="B51" i="111"/>
  <c r="I6" i="111"/>
  <c r="B25" i="115"/>
  <c r="B31" i="115" s="1"/>
  <c r="B54" i="115" s="1"/>
  <c r="B41" i="115"/>
  <c r="B46" i="115" s="1"/>
  <c r="B25" i="95"/>
  <c r="B31" i="95" s="1"/>
  <c r="B53" i="95" s="1"/>
  <c r="B40" i="95"/>
  <c r="B45" i="95" s="1"/>
  <c r="I6" i="91"/>
  <c r="D25" i="95"/>
  <c r="D31" i="95" s="1"/>
  <c r="D53" i="95" s="1"/>
  <c r="I108" i="145" s="1"/>
  <c r="C40" i="95"/>
  <c r="C45" i="95" s="1"/>
  <c r="C25" i="95"/>
  <c r="C31" i="95" s="1"/>
  <c r="C53" i="95" s="1"/>
  <c r="B41" i="75"/>
  <c r="B46" i="75" s="1"/>
  <c r="B25" i="75"/>
  <c r="B31" i="75" s="1"/>
  <c r="B54" i="75" s="1"/>
  <c r="C41" i="75"/>
  <c r="C46" i="75" s="1"/>
  <c r="C25" i="75"/>
  <c r="C31" i="75" s="1"/>
  <c r="C54" i="75" s="1"/>
  <c r="B8" i="71"/>
  <c r="AD12" i="5"/>
  <c r="AD13" i="5"/>
  <c r="AD14" i="5"/>
  <c r="AD15" i="5"/>
  <c r="AD16" i="5"/>
  <c r="AD17" i="5"/>
  <c r="AD18" i="5"/>
  <c r="AD19" i="5"/>
  <c r="AD20" i="5"/>
  <c r="AD21" i="5"/>
  <c r="AD22" i="5"/>
  <c r="AD11" i="5"/>
  <c r="E55" i="238" l="1"/>
  <c r="H8" i="235" s="1"/>
  <c r="J241" i="145"/>
  <c r="F90" i="145"/>
  <c r="I214" i="145"/>
  <c r="I192" i="145" s="1"/>
  <c r="E15" i="75"/>
  <c r="E16" i="75"/>
  <c r="E25" i="75"/>
  <c r="E31" i="75" s="1"/>
  <c r="E54" i="75" s="1"/>
  <c r="J146" i="145" s="1"/>
  <c r="J144" i="145" s="1"/>
  <c r="D25" i="75"/>
  <c r="D31" i="75" s="1"/>
  <c r="D54" i="75" s="1"/>
  <c r="I146" i="145" s="1"/>
  <c r="I144" i="145" s="1"/>
  <c r="D18" i="75"/>
  <c r="D15" i="75"/>
  <c r="D41" i="75"/>
  <c r="D46" i="75" s="1"/>
  <c r="D47" i="75" s="1"/>
  <c r="D55" i="75" s="1"/>
  <c r="D16" i="75"/>
  <c r="F128" i="145"/>
  <c r="F126" i="145" s="1"/>
  <c r="B18" i="131"/>
  <c r="B19" i="131" s="1"/>
  <c r="B52" i="131" s="1"/>
  <c r="G217" i="145" s="1"/>
  <c r="F217" i="145" s="1"/>
  <c r="E19" i="115"/>
  <c r="E20" i="115" s="1"/>
  <c r="E53" i="115" s="1"/>
  <c r="J179" i="145" s="1"/>
  <c r="J177" i="145" s="1"/>
  <c r="C18" i="111"/>
  <c r="C19" i="111" s="1"/>
  <c r="C52" i="111" s="1"/>
  <c r="D45" i="71"/>
  <c r="C16" i="71"/>
  <c r="C15" i="71"/>
  <c r="C14" i="71"/>
  <c r="C17" i="71"/>
  <c r="C40" i="71"/>
  <c r="C24" i="71"/>
  <c r="C30" i="71" s="1"/>
  <c r="C53" i="71" s="1"/>
  <c r="H146" i="145" s="1"/>
  <c r="H144" i="145" s="1"/>
  <c r="E45" i="71"/>
  <c r="C19" i="75"/>
  <c r="C20" i="75" s="1"/>
  <c r="C53" i="75" s="1"/>
  <c r="E46" i="75"/>
  <c r="E47" i="75" s="1"/>
  <c r="E55" i="75" s="1"/>
  <c r="E19" i="75"/>
  <c r="E20" i="75" s="1"/>
  <c r="E53" i="75" s="1"/>
  <c r="J141" i="145" s="1"/>
  <c r="J139" i="145" s="1"/>
  <c r="H214" i="145"/>
  <c r="H192" i="145" s="1"/>
  <c r="H184" i="145"/>
  <c r="H182" i="145" s="1"/>
  <c r="C19" i="115"/>
  <c r="C20" i="115" s="1"/>
  <c r="C53" i="115" s="1"/>
  <c r="E46" i="115"/>
  <c r="E47" i="115" s="1"/>
  <c r="E55" i="115" s="1"/>
  <c r="B19" i="115"/>
  <c r="B20" i="115" s="1"/>
  <c r="B53" i="115" s="1"/>
  <c r="F164" i="145"/>
  <c r="F160" i="145" s="1"/>
  <c r="F155" i="145" s="1"/>
  <c r="D18" i="111"/>
  <c r="D19" i="111" s="1"/>
  <c r="D52" i="111" s="1"/>
  <c r="I179" i="145" s="1"/>
  <c r="I177" i="145" s="1"/>
  <c r="I184" i="145"/>
  <c r="I182" i="145" s="1"/>
  <c r="D45" i="111"/>
  <c r="D46" i="111" s="1"/>
  <c r="D54" i="111" s="1"/>
  <c r="C45" i="111"/>
  <c r="C46" i="111" s="1"/>
  <c r="C54" i="111" s="1"/>
  <c r="C55" i="111" s="1"/>
  <c r="F8" i="102" s="1"/>
  <c r="B14" i="111"/>
  <c r="B17" i="111"/>
  <c r="B16" i="111"/>
  <c r="B15" i="111"/>
  <c r="E45" i="111"/>
  <c r="J106" i="145"/>
  <c r="E19" i="95"/>
  <c r="E20" i="95" s="1"/>
  <c r="E52" i="95" s="1"/>
  <c r="E45" i="95"/>
  <c r="E46" i="95" s="1"/>
  <c r="E54" i="95" s="1"/>
  <c r="J113" i="145" s="1"/>
  <c r="J111" i="145" s="1"/>
  <c r="B19" i="95"/>
  <c r="B20" i="95" s="1"/>
  <c r="B52" i="95" s="1"/>
  <c r="C19" i="95"/>
  <c r="C20" i="95" s="1"/>
  <c r="C52" i="95" s="1"/>
  <c r="D19" i="95"/>
  <c r="D20" i="95" s="1"/>
  <c r="D52" i="95" s="1"/>
  <c r="I103" i="145" s="1"/>
  <c r="B51" i="91"/>
  <c r="E45" i="91"/>
  <c r="B16" i="91"/>
  <c r="B15" i="91"/>
  <c r="B14" i="91"/>
  <c r="B17" i="91"/>
  <c r="C16" i="91"/>
  <c r="C15" i="91"/>
  <c r="C14" i="91"/>
  <c r="C17" i="91"/>
  <c r="C40" i="91"/>
  <c r="C45" i="91" s="1"/>
  <c r="C24" i="91"/>
  <c r="C30" i="91" s="1"/>
  <c r="C53" i="91" s="1"/>
  <c r="H108" i="145" s="1"/>
  <c r="G88" i="145"/>
  <c r="G84" i="145" s="1"/>
  <c r="G79" i="145" s="1"/>
  <c r="F89" i="145"/>
  <c r="B43" i="91"/>
  <c r="B42" i="91"/>
  <c r="B41" i="91"/>
  <c r="B44" i="91"/>
  <c r="I84" i="145"/>
  <c r="J84" i="145"/>
  <c r="H84" i="145"/>
  <c r="D45" i="91"/>
  <c r="B19" i="75"/>
  <c r="B20" i="75" s="1"/>
  <c r="B53" i="75" s="1"/>
  <c r="B42" i="71"/>
  <c r="B41" i="71"/>
  <c r="B44" i="71"/>
  <c r="B43" i="71"/>
  <c r="G122" i="145"/>
  <c r="I106" i="145"/>
  <c r="E58" i="135"/>
  <c r="B58" i="135"/>
  <c r="E10" i="122" s="1"/>
  <c r="B46" i="131"/>
  <c r="B54" i="131" s="1"/>
  <c r="G227" i="145" s="1"/>
  <c r="D9" i="122"/>
  <c r="B30" i="131"/>
  <c r="B53" i="131" s="1"/>
  <c r="G222" i="145" s="1"/>
  <c r="C58" i="135"/>
  <c r="D58" i="135"/>
  <c r="B47" i="115"/>
  <c r="B55" i="115" s="1"/>
  <c r="B40" i="111"/>
  <c r="B45" i="111" s="1"/>
  <c r="B24" i="111"/>
  <c r="B30" i="111" s="1"/>
  <c r="D47" i="115"/>
  <c r="D55" i="115" s="1"/>
  <c r="C47" i="115"/>
  <c r="C55" i="115" s="1"/>
  <c r="C46" i="95"/>
  <c r="C54" i="95" s="1"/>
  <c r="B46" i="95"/>
  <c r="B54" i="95" s="1"/>
  <c r="D46" i="95"/>
  <c r="D54" i="95" s="1"/>
  <c r="B40" i="91"/>
  <c r="B24" i="91"/>
  <c r="B51" i="71"/>
  <c r="B13" i="71"/>
  <c r="I6" i="71"/>
  <c r="C47" i="75"/>
  <c r="C55" i="75" s="1"/>
  <c r="B47" i="75"/>
  <c r="B55" i="75" s="1"/>
  <c r="E26" i="22"/>
  <c r="K24" i="22"/>
  <c r="K23" i="22"/>
  <c r="E22" i="22"/>
  <c r="J240" i="145" l="1"/>
  <c r="J236" i="145" s="1"/>
  <c r="J231" i="145" s="1"/>
  <c r="J230" i="145" s="1"/>
  <c r="F241" i="145"/>
  <c r="F240" i="145" s="1"/>
  <c r="F236" i="145" s="1"/>
  <c r="F231" i="145" s="1"/>
  <c r="F230" i="145" s="1"/>
  <c r="H19" i="235"/>
  <c r="D19" i="235" s="1"/>
  <c r="D8" i="235"/>
  <c r="H179" i="145"/>
  <c r="H177" i="145" s="1"/>
  <c r="F14" i="145"/>
  <c r="I101" i="145"/>
  <c r="G215" i="145"/>
  <c r="F215" i="145" s="1"/>
  <c r="B56" i="115"/>
  <c r="C18" i="71"/>
  <c r="C19" i="71" s="1"/>
  <c r="C52" i="71" s="1"/>
  <c r="H141" i="145" s="1"/>
  <c r="H139" i="145" s="1"/>
  <c r="D19" i="75"/>
  <c r="D20" i="75" s="1"/>
  <c r="D53" i="75" s="1"/>
  <c r="I141" i="145" s="1"/>
  <c r="I139" i="145" s="1"/>
  <c r="B56" i="75"/>
  <c r="B57" i="75" s="1"/>
  <c r="E9" i="62" s="1"/>
  <c r="C45" i="71"/>
  <c r="C46" i="71" s="1"/>
  <c r="C54" i="71" s="1"/>
  <c r="G220" i="145"/>
  <c r="F220" i="145" s="1"/>
  <c r="F222" i="145"/>
  <c r="J189" i="145"/>
  <c r="J187" i="145" s="1"/>
  <c r="J176" i="145" s="1"/>
  <c r="J154" i="145" s="1"/>
  <c r="E56" i="115"/>
  <c r="H9" i="102" s="1"/>
  <c r="D55" i="111"/>
  <c r="G8" i="102" s="1"/>
  <c r="B18" i="111"/>
  <c r="B19" i="111" s="1"/>
  <c r="B52" i="111" s="1"/>
  <c r="G179" i="145" s="1"/>
  <c r="G177" i="145" s="1"/>
  <c r="J103" i="145"/>
  <c r="J101" i="145" s="1"/>
  <c r="J100" i="145" s="1"/>
  <c r="E55" i="95"/>
  <c r="B45" i="91"/>
  <c r="B46" i="91" s="1"/>
  <c r="B54" i="91" s="1"/>
  <c r="G113" i="145" s="1"/>
  <c r="J79" i="145"/>
  <c r="F88" i="145"/>
  <c r="F84" i="145" s="1"/>
  <c r="F79" i="145" s="1"/>
  <c r="H106" i="145"/>
  <c r="C46" i="91"/>
  <c r="C54" i="91" s="1"/>
  <c r="H113" i="145" s="1"/>
  <c r="H79" i="145"/>
  <c r="I79" i="145"/>
  <c r="C18" i="91"/>
  <c r="C19" i="91" s="1"/>
  <c r="C52" i="91" s="1"/>
  <c r="B18" i="91"/>
  <c r="B19" i="91" s="1"/>
  <c r="B52" i="91" s="1"/>
  <c r="G103" i="145" s="1"/>
  <c r="G101" i="145" s="1"/>
  <c r="G117" i="145"/>
  <c r="B15" i="71"/>
  <c r="B14" i="71"/>
  <c r="B17" i="71"/>
  <c r="B16" i="71"/>
  <c r="F122" i="145"/>
  <c r="E11" i="122"/>
  <c r="F11" i="122"/>
  <c r="F227" i="145"/>
  <c r="G225" i="145"/>
  <c r="F225" i="145" s="1"/>
  <c r="D56" i="115"/>
  <c r="G9" i="102" s="1"/>
  <c r="I189" i="145"/>
  <c r="I187" i="145" s="1"/>
  <c r="I176" i="145" s="1"/>
  <c r="I154" i="145" s="1"/>
  <c r="C56" i="115"/>
  <c r="C57" i="115" s="1"/>
  <c r="H189" i="145"/>
  <c r="H187" i="145" s="1"/>
  <c r="H176" i="145" s="1"/>
  <c r="H154" i="145" s="1"/>
  <c r="E56" i="75"/>
  <c r="E57" i="75" s="1"/>
  <c r="H9" i="62" s="1"/>
  <c r="J151" i="145"/>
  <c r="J149" i="145" s="1"/>
  <c r="I151" i="145"/>
  <c r="I149" i="145" s="1"/>
  <c r="C56" i="75"/>
  <c r="C57" i="75" s="1"/>
  <c r="B55" i="95"/>
  <c r="E9" i="82" s="1"/>
  <c r="C55" i="95"/>
  <c r="C56" i="95" s="1"/>
  <c r="D55" i="95"/>
  <c r="G9" i="82" s="1"/>
  <c r="I113" i="145"/>
  <c r="G10" i="122"/>
  <c r="G10" i="144"/>
  <c r="H10" i="144"/>
  <c r="H11" i="144" s="1"/>
  <c r="H19" i="144" s="1"/>
  <c r="H10" i="122"/>
  <c r="B55" i="131"/>
  <c r="I7" i="131" s="1"/>
  <c r="E9" i="102"/>
  <c r="B53" i="111"/>
  <c r="G184" i="145" s="1"/>
  <c r="B46" i="111"/>
  <c r="B54" i="111" s="1"/>
  <c r="G189" i="145" s="1"/>
  <c r="B29" i="91"/>
  <c r="B30" i="91" s="1"/>
  <c r="B53" i="91" s="1"/>
  <c r="G108" i="145" s="1"/>
  <c r="B40" i="71"/>
  <c r="B45" i="71" s="1"/>
  <c r="B24" i="71"/>
  <c r="K27" i="22"/>
  <c r="I27" i="22"/>
  <c r="G27" i="22"/>
  <c r="K26" i="22"/>
  <c r="I26" i="22"/>
  <c r="G26" i="22"/>
  <c r="I24" i="22"/>
  <c r="G24" i="22"/>
  <c r="E24" i="22"/>
  <c r="I23" i="22"/>
  <c r="G23" i="22"/>
  <c r="E23" i="22"/>
  <c r="K22" i="22"/>
  <c r="I22" i="22"/>
  <c r="G22" i="22"/>
  <c r="F12" i="61" l="1"/>
  <c r="G12" i="61"/>
  <c r="J138" i="145"/>
  <c r="J116" i="145" s="1"/>
  <c r="E58" i="115"/>
  <c r="H10" i="102" s="1"/>
  <c r="H11" i="102" s="1"/>
  <c r="I138" i="145"/>
  <c r="D56" i="75"/>
  <c r="D57" i="75" s="1"/>
  <c r="G9" i="62" s="1"/>
  <c r="E58" i="75"/>
  <c r="H10" i="62" s="1"/>
  <c r="C55" i="71"/>
  <c r="F8" i="62" s="1"/>
  <c r="H151" i="145"/>
  <c r="H149" i="145" s="1"/>
  <c r="H138" i="145" s="1"/>
  <c r="H116" i="145" s="1"/>
  <c r="F214" i="145"/>
  <c r="F192" i="145" s="1"/>
  <c r="F179" i="145"/>
  <c r="F184" i="145"/>
  <c r="G182" i="145"/>
  <c r="F182" i="145" s="1"/>
  <c r="H9" i="82"/>
  <c r="E57" i="95"/>
  <c r="H10" i="82" s="1"/>
  <c r="I13" i="61" s="1"/>
  <c r="G106" i="145"/>
  <c r="F106" i="145" s="1"/>
  <c r="F108" i="145"/>
  <c r="J78" i="145"/>
  <c r="H103" i="145"/>
  <c r="C55" i="91"/>
  <c r="F8" i="82" s="1"/>
  <c r="B18" i="71"/>
  <c r="B19" i="71" s="1"/>
  <c r="B52" i="71" s="1"/>
  <c r="G141" i="145" s="1"/>
  <c r="G139" i="145" s="1"/>
  <c r="F117" i="145"/>
  <c r="G11" i="122"/>
  <c r="F19" i="122"/>
  <c r="H11" i="122"/>
  <c r="G214" i="145"/>
  <c r="G192" i="145" s="1"/>
  <c r="F189" i="145"/>
  <c r="G187" i="145"/>
  <c r="F187" i="145" s="1"/>
  <c r="F177" i="145"/>
  <c r="G111" i="145"/>
  <c r="H111" i="145"/>
  <c r="I111" i="145"/>
  <c r="F113" i="145"/>
  <c r="D10" i="122"/>
  <c r="D10" i="144"/>
  <c r="G11" i="144"/>
  <c r="E8" i="122"/>
  <c r="B58" i="115"/>
  <c r="E10" i="102" s="1"/>
  <c r="B55" i="91"/>
  <c r="E8" i="82" s="1"/>
  <c r="B55" i="111"/>
  <c r="D9" i="102"/>
  <c r="G10" i="102"/>
  <c r="C58" i="115"/>
  <c r="D9" i="82"/>
  <c r="B57" i="95"/>
  <c r="E10" i="82" s="1"/>
  <c r="F13" i="61" s="1"/>
  <c r="C57" i="95"/>
  <c r="D57" i="95"/>
  <c r="G10" i="82" s="1"/>
  <c r="B46" i="71"/>
  <c r="B54" i="71" s="1"/>
  <c r="G151" i="145" s="1"/>
  <c r="D9" i="62"/>
  <c r="B29" i="71"/>
  <c r="B30" i="71" s="1"/>
  <c r="B53" i="71" s="1"/>
  <c r="G146" i="145" s="1"/>
  <c r="B58" i="75"/>
  <c r="E10" i="62" s="1"/>
  <c r="C58" i="75"/>
  <c r="G27" i="61"/>
  <c r="G32" i="61" s="1"/>
  <c r="I27" i="61"/>
  <c r="F27" i="61"/>
  <c r="H27" i="61"/>
  <c r="H16" i="24"/>
  <c r="G17" i="24"/>
  <c r="H17" i="24"/>
  <c r="G5" i="24"/>
  <c r="H5" i="24"/>
  <c r="G18" i="24"/>
  <c r="H18" i="24"/>
  <c r="H13" i="61" l="1"/>
  <c r="G13" i="61"/>
  <c r="I116" i="145"/>
  <c r="H11" i="62"/>
  <c r="D58" i="75"/>
  <c r="G10" i="62" s="1"/>
  <c r="H19" i="62"/>
  <c r="D11" i="122"/>
  <c r="E19" i="122"/>
  <c r="H11" i="82"/>
  <c r="H101" i="145"/>
  <c r="F101" i="145" s="1"/>
  <c r="F103" i="145"/>
  <c r="F141" i="145"/>
  <c r="G144" i="145"/>
  <c r="F146" i="145"/>
  <c r="H19" i="122"/>
  <c r="G19" i="122"/>
  <c r="D8" i="122"/>
  <c r="G176" i="145"/>
  <c r="G154" i="145" s="1"/>
  <c r="G11" i="102"/>
  <c r="H19" i="102"/>
  <c r="E11" i="102"/>
  <c r="F176" i="145"/>
  <c r="F154" i="145" s="1"/>
  <c r="G11" i="62"/>
  <c r="G149" i="145"/>
  <c r="F151" i="145"/>
  <c r="F139" i="145"/>
  <c r="E11" i="82"/>
  <c r="G100" i="145"/>
  <c r="F11" i="82"/>
  <c r="F111" i="145"/>
  <c r="I100" i="145"/>
  <c r="G11" i="82"/>
  <c r="D11" i="144"/>
  <c r="G19" i="144"/>
  <c r="D10" i="102"/>
  <c r="D10" i="62"/>
  <c r="I7" i="91"/>
  <c r="B55" i="71"/>
  <c r="I7" i="71" s="1"/>
  <c r="F11" i="102"/>
  <c r="I7" i="111"/>
  <c r="E8" i="102"/>
  <c r="D10" i="82"/>
  <c r="D8" i="82"/>
  <c r="E11" i="62"/>
  <c r="E26" i="61"/>
  <c r="E27" i="61"/>
  <c r="E25" i="61"/>
  <c r="E17" i="61"/>
  <c r="E15" i="61"/>
  <c r="L11" i="4"/>
  <c r="K11" i="4"/>
  <c r="AB23" i="5"/>
  <c r="Z23" i="5"/>
  <c r="X23" i="5"/>
  <c r="V23" i="5"/>
  <c r="F144" i="145" l="1"/>
  <c r="F149" i="145"/>
  <c r="F138" i="145" s="1"/>
  <c r="E20" i="82"/>
  <c r="G19" i="62"/>
  <c r="F19" i="62"/>
  <c r="H20" i="82"/>
  <c r="H100" i="145"/>
  <c r="H78" i="145" s="1"/>
  <c r="D19" i="122"/>
  <c r="F19" i="102"/>
  <c r="G19" i="102"/>
  <c r="G138" i="145"/>
  <c r="D11" i="62"/>
  <c r="D11" i="82"/>
  <c r="G78" i="145"/>
  <c r="F20" i="82"/>
  <c r="I78" i="145"/>
  <c r="F100" i="145"/>
  <c r="G20" i="82"/>
  <c r="G32" i="144"/>
  <c r="F279" i="145"/>
  <c r="E8" i="62"/>
  <c r="D8" i="102"/>
  <c r="E19" i="102"/>
  <c r="D11" i="102"/>
  <c r="D6" i="31"/>
  <c r="G116" i="145" l="1"/>
  <c r="F116" i="145"/>
  <c r="D8" i="62"/>
  <c r="F32" i="144"/>
  <c r="D19" i="102"/>
  <c r="E19" i="62"/>
  <c r="D19" i="62" s="1"/>
  <c r="D20" i="82"/>
  <c r="F78" i="145"/>
  <c r="H7" i="31"/>
  <c r="I32" i="61"/>
  <c r="G7" i="31"/>
  <c r="H32" i="61"/>
  <c r="F7" i="31"/>
  <c r="F10" i="31" l="1"/>
  <c r="E23" i="61" l="1"/>
  <c r="D24" i="31"/>
  <c r="G35" i="144" l="1"/>
  <c r="F282" i="145"/>
  <c r="F35" i="144" s="1"/>
  <c r="G34" i="144"/>
  <c r="D23" i="31" l="1"/>
  <c r="G280" i="145"/>
  <c r="F281" i="145"/>
  <c r="F34" i="144" s="1"/>
  <c r="E7" i="31"/>
  <c r="D5" i="31"/>
  <c r="G33" i="144" l="1"/>
  <c r="F283" i="145"/>
  <c r="F36" i="144" s="1"/>
  <c r="G36" i="144"/>
  <c r="E10" i="31"/>
  <c r="D8" i="31"/>
  <c r="D7" i="31"/>
  <c r="D25" i="31" l="1"/>
  <c r="D26" i="31" s="1"/>
  <c r="D10" i="31"/>
  <c r="F280" i="145"/>
  <c r="F33" i="144" l="1"/>
  <c r="C27" i="16"/>
  <c r="C30" i="16"/>
  <c r="C29" i="16"/>
  <c r="C28" i="16"/>
  <c r="C26" i="16"/>
  <c r="V6" i="20"/>
  <c r="V7" i="20"/>
  <c r="V8" i="20"/>
  <c r="V9" i="20"/>
  <c r="V10" i="20"/>
  <c r="V11" i="20"/>
  <c r="V12" i="20"/>
  <c r="V13" i="20"/>
  <c r="V14" i="20"/>
  <c r="V15" i="20"/>
  <c r="V16" i="20"/>
  <c r="V5" i="20"/>
  <c r="I14" i="17"/>
  <c r="I15" i="17" l="1"/>
  <c r="I12" i="17"/>
  <c r="H23" i="17"/>
  <c r="I13" i="17"/>
  <c r="I16" i="17"/>
  <c r="D11" i="14"/>
  <c r="D12" i="14"/>
  <c r="D12" i="24" l="1"/>
  <c r="D14" i="24"/>
  <c r="D51" i="23"/>
  <c r="E51" i="23"/>
  <c r="E54" i="23"/>
  <c r="D54" i="23"/>
  <c r="E53" i="23"/>
  <c r="D53" i="23"/>
  <c r="E52" i="23"/>
  <c r="D52" i="23"/>
  <c r="J28" i="22"/>
  <c r="J29" i="22" s="1"/>
  <c r="H28" i="22"/>
  <c r="H29" i="22" s="1"/>
  <c r="F28" i="22"/>
  <c r="D28" i="22"/>
  <c r="D29" i="22" s="1"/>
  <c r="G18" i="22"/>
  <c r="I17" i="22"/>
  <c r="I16" i="22"/>
  <c r="I14" i="22"/>
  <c r="G13" i="22"/>
  <c r="I13" i="22"/>
  <c r="G11" i="22"/>
  <c r="J17" i="20"/>
  <c r="H17" i="20"/>
  <c r="F17" i="20"/>
  <c r="D17" i="20"/>
  <c r="K9" i="20"/>
  <c r="J17" i="18"/>
  <c r="H17" i="18"/>
  <c r="F17" i="18"/>
  <c r="D17" i="18"/>
  <c r="M11" i="17"/>
  <c r="M23" i="17" s="1"/>
  <c r="K11" i="17"/>
  <c r="I11" i="17"/>
  <c r="J23" i="17"/>
  <c r="L22" i="17"/>
  <c r="D23" i="17"/>
  <c r="B30" i="16"/>
  <c r="B29" i="16"/>
  <c r="B28" i="16"/>
  <c r="B27" i="16"/>
  <c r="B26" i="16"/>
  <c r="E7" i="11"/>
  <c r="D7" i="11"/>
  <c r="C7" i="11"/>
  <c r="K7" i="11" l="1"/>
  <c r="D8" i="16"/>
  <c r="J7" i="11"/>
  <c r="C8" i="16"/>
  <c r="L7" i="11"/>
  <c r="E8" i="16"/>
  <c r="O11" i="17"/>
  <c r="O23" i="17" s="1"/>
  <c r="G15" i="20"/>
  <c r="E15" i="20"/>
  <c r="G12" i="20"/>
  <c r="E12" i="20"/>
  <c r="I9" i="20"/>
  <c r="C51" i="23"/>
  <c r="C16" i="23"/>
  <c r="I11" i="22"/>
  <c r="G17" i="22"/>
  <c r="I18" i="22"/>
  <c r="G14" i="22"/>
  <c r="I15" i="22"/>
  <c r="G15" i="22"/>
  <c r="K12" i="22"/>
  <c r="G12" i="22"/>
  <c r="K15" i="22"/>
  <c r="F29" i="22"/>
  <c r="K13" i="22"/>
  <c r="K17" i="22"/>
  <c r="K11" i="22"/>
  <c r="K14" i="22"/>
  <c r="G16" i="22"/>
  <c r="K18" i="22"/>
  <c r="K16" i="22"/>
  <c r="K11" i="20"/>
  <c r="I11" i="20"/>
  <c r="G11" i="20"/>
  <c r="E11" i="20"/>
  <c r="K13" i="20"/>
  <c r="I13" i="20"/>
  <c r="G13" i="20"/>
  <c r="E13" i="20"/>
  <c r="K16" i="20"/>
  <c r="G16" i="20"/>
  <c r="E16" i="20"/>
  <c r="I16" i="20"/>
  <c r="G10" i="20"/>
  <c r="K10" i="20"/>
  <c r="I10" i="20"/>
  <c r="E10" i="20"/>
  <c r="E9" i="20"/>
  <c r="I12" i="20"/>
  <c r="I15" i="20"/>
  <c r="G9" i="20"/>
  <c r="K12" i="20"/>
  <c r="K15" i="20"/>
  <c r="I9" i="18"/>
  <c r="G9" i="18"/>
  <c r="K9" i="18"/>
  <c r="E9" i="18"/>
  <c r="I16" i="18"/>
  <c r="I19" i="17"/>
  <c r="I17" i="17"/>
  <c r="I20" i="17"/>
  <c r="I18" i="17"/>
  <c r="D10" i="14"/>
  <c r="D13" i="14"/>
  <c r="D9" i="14"/>
  <c r="Q14" i="13"/>
  <c r="P6" i="13"/>
  <c r="R6" i="13" s="1"/>
  <c r="P7" i="13"/>
  <c r="R7" i="13" s="1"/>
  <c r="P8" i="13"/>
  <c r="R8" i="13" s="1"/>
  <c r="P9" i="13"/>
  <c r="R9" i="13" s="1"/>
  <c r="P10" i="13"/>
  <c r="R10" i="13" s="1"/>
  <c r="P11" i="13"/>
  <c r="R11" i="13" s="1"/>
  <c r="P12" i="13"/>
  <c r="R12" i="13" s="1"/>
  <c r="P13" i="13"/>
  <c r="R13" i="13" s="1"/>
  <c r="P14" i="13"/>
  <c r="R14" i="13" s="1"/>
  <c r="P15" i="13"/>
  <c r="R15" i="13" s="1"/>
  <c r="P5" i="13"/>
  <c r="N16" i="13"/>
  <c r="M16" i="13"/>
  <c r="F12" i="12"/>
  <c r="H12" i="12"/>
  <c r="J12" i="12"/>
  <c r="D12" i="12"/>
  <c r="C11" i="12"/>
  <c r="G10" i="12"/>
  <c r="C9" i="12"/>
  <c r="E54" i="11"/>
  <c r="D54" i="11"/>
  <c r="E53" i="11"/>
  <c r="D53" i="11"/>
  <c r="E52" i="11"/>
  <c r="D52" i="11"/>
  <c r="L19" i="10"/>
  <c r="L21" i="10" s="1"/>
  <c r="L22" i="10" s="1"/>
  <c r="O18" i="10"/>
  <c r="O17" i="10"/>
  <c r="O16" i="10"/>
  <c r="I11" i="10"/>
  <c r="G11" i="10"/>
  <c r="E11" i="10"/>
  <c r="C11" i="10"/>
  <c r="R9" i="10"/>
  <c r="P9" i="10"/>
  <c r="Q8" i="10"/>
  <c r="R8" i="10" s="1"/>
  <c r="R7" i="10"/>
  <c r="P6" i="10"/>
  <c r="R6" i="10" s="1"/>
  <c r="P5" i="10"/>
  <c r="R5" i="10" s="1"/>
  <c r="P6" i="9"/>
  <c r="R6" i="9" s="1"/>
  <c r="P5" i="9"/>
  <c r="R5" i="9" s="1"/>
  <c r="P9" i="9"/>
  <c r="Q8" i="9"/>
  <c r="R8" i="9" s="1"/>
  <c r="O18" i="9"/>
  <c r="O16" i="9"/>
  <c r="O17" i="9"/>
  <c r="L19" i="9"/>
  <c r="L21" i="9" s="1"/>
  <c r="L22" i="9" s="1"/>
  <c r="R7" i="9"/>
  <c r="Q16" i="8"/>
  <c r="Q15" i="8"/>
  <c r="Q14" i="8"/>
  <c r="Q13" i="8"/>
  <c r="Q12" i="8"/>
  <c r="Q11" i="8"/>
  <c r="Q10" i="8"/>
  <c r="Q9" i="8"/>
  <c r="Q8" i="8"/>
  <c r="Q7" i="8"/>
  <c r="Q6" i="8"/>
  <c r="Q5" i="8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5" i="7"/>
  <c r="C15" i="12" l="1"/>
  <c r="C21" i="12"/>
  <c r="C13" i="12"/>
  <c r="G13" i="12" s="1"/>
  <c r="C19" i="12"/>
  <c r="K28" i="22"/>
  <c r="E5" i="21" s="1"/>
  <c r="E16" i="8"/>
  <c r="W14" i="5"/>
  <c r="AC14" i="5"/>
  <c r="U14" i="5"/>
  <c r="Y14" i="5"/>
  <c r="AA14" i="5"/>
  <c r="U15" i="5"/>
  <c r="W15" i="5"/>
  <c r="AC15" i="5"/>
  <c r="AA15" i="5"/>
  <c r="Y15" i="5"/>
  <c r="U19" i="5"/>
  <c r="W19" i="5"/>
  <c r="AC19" i="5"/>
  <c r="AA19" i="5"/>
  <c r="Y19" i="5"/>
  <c r="O19" i="10"/>
  <c r="W22" i="5"/>
  <c r="AC22" i="5"/>
  <c r="U22" i="5"/>
  <c r="Y22" i="5"/>
  <c r="AA22" i="5"/>
  <c r="U11" i="5"/>
  <c r="W11" i="5"/>
  <c r="AC11" i="5"/>
  <c r="AA11" i="5"/>
  <c r="Y11" i="5"/>
  <c r="W16" i="5"/>
  <c r="U16" i="5"/>
  <c r="AC16" i="5"/>
  <c r="Y16" i="5"/>
  <c r="AA16" i="5"/>
  <c r="W20" i="5"/>
  <c r="U20" i="5"/>
  <c r="AC20" i="5"/>
  <c r="Y20" i="5"/>
  <c r="AA20" i="5"/>
  <c r="W18" i="5"/>
  <c r="AC18" i="5"/>
  <c r="Y18" i="5"/>
  <c r="AA18" i="5"/>
  <c r="U18" i="5"/>
  <c r="W12" i="5"/>
  <c r="U12" i="5"/>
  <c r="AC12" i="5"/>
  <c r="Y12" i="5"/>
  <c r="AA12" i="5"/>
  <c r="W17" i="5"/>
  <c r="AC17" i="5"/>
  <c r="U17" i="5"/>
  <c r="AA17" i="5"/>
  <c r="Y17" i="5"/>
  <c r="W21" i="5"/>
  <c r="AC21" i="5"/>
  <c r="U21" i="5"/>
  <c r="AA21" i="5"/>
  <c r="Y21" i="5"/>
  <c r="K17" i="20"/>
  <c r="E7" i="16" s="1"/>
  <c r="I17" i="20"/>
  <c r="D7" i="16" s="1"/>
  <c r="E17" i="20"/>
  <c r="B7" i="16" s="1"/>
  <c r="B7" i="11"/>
  <c r="B8" i="16" s="1"/>
  <c r="K15" i="12"/>
  <c r="I15" i="12"/>
  <c r="G15" i="12"/>
  <c r="E15" i="12"/>
  <c r="C14" i="12"/>
  <c r="E18" i="12" s="1"/>
  <c r="I13" i="12"/>
  <c r="O19" i="9"/>
  <c r="C22" i="23"/>
  <c r="C52" i="23" s="1"/>
  <c r="B40" i="23"/>
  <c r="B52" i="23"/>
  <c r="G28" i="22"/>
  <c r="C5" i="21" s="1"/>
  <c r="I12" i="22"/>
  <c r="I28" i="22" s="1"/>
  <c r="D5" i="21" s="1"/>
  <c r="E28" i="22"/>
  <c r="B5" i="21" s="1"/>
  <c r="G17" i="20"/>
  <c r="C7" i="16" s="1"/>
  <c r="E17" i="18"/>
  <c r="B6" i="16" s="1"/>
  <c r="I17" i="18"/>
  <c r="D6" i="16" s="1"/>
  <c r="K17" i="18"/>
  <c r="E6" i="16" s="1"/>
  <c r="G17" i="18"/>
  <c r="C6" i="16" s="1"/>
  <c r="I21" i="17"/>
  <c r="O16" i="13"/>
  <c r="Q16" i="13"/>
  <c r="P16" i="13"/>
  <c r="R5" i="13"/>
  <c r="I12" i="5"/>
  <c r="I9" i="12"/>
  <c r="E9" i="12"/>
  <c r="G9" i="12"/>
  <c r="K10" i="12"/>
  <c r="K9" i="12"/>
  <c r="I10" i="12"/>
  <c r="E10" i="12"/>
  <c r="R10" i="10"/>
  <c r="R11" i="10" s="1"/>
  <c r="R12" i="10" s="1"/>
  <c r="R13" i="10" s="1"/>
  <c r="R9" i="9"/>
  <c r="K19" i="8"/>
  <c r="I19" i="8"/>
  <c r="G19" i="8"/>
  <c r="E19" i="8"/>
  <c r="G11" i="8"/>
  <c r="K11" i="8"/>
  <c r="I11" i="8"/>
  <c r="E11" i="8"/>
  <c r="G15" i="8"/>
  <c r="E15" i="8"/>
  <c r="K15" i="8"/>
  <c r="I15" i="8"/>
  <c r="K12" i="8"/>
  <c r="I12" i="8"/>
  <c r="G12" i="8"/>
  <c r="E12" i="8"/>
  <c r="K17" i="8"/>
  <c r="I17" i="8"/>
  <c r="G17" i="8"/>
  <c r="E17" i="8"/>
  <c r="G13" i="8"/>
  <c r="E13" i="8"/>
  <c r="K13" i="8"/>
  <c r="I13" i="8"/>
  <c r="G18" i="8"/>
  <c r="E18" i="8"/>
  <c r="K18" i="8"/>
  <c r="I18" i="8"/>
  <c r="K14" i="8"/>
  <c r="I14" i="8"/>
  <c r="G14" i="8"/>
  <c r="E14" i="8"/>
  <c r="K21" i="7"/>
  <c r="G21" i="7"/>
  <c r="I21" i="7"/>
  <c r="E21" i="7"/>
  <c r="K17" i="7"/>
  <c r="G17" i="7"/>
  <c r="I17" i="7"/>
  <c r="E17" i="7"/>
  <c r="I20" i="7"/>
  <c r="K20" i="7"/>
  <c r="E20" i="7"/>
  <c r="G20" i="7"/>
  <c r="I16" i="7"/>
  <c r="G16" i="7"/>
  <c r="K16" i="7"/>
  <c r="E16" i="7"/>
  <c r="I12" i="7"/>
  <c r="K12" i="7"/>
  <c r="E12" i="7"/>
  <c r="G12" i="7"/>
  <c r="I19" i="7"/>
  <c r="E19" i="7"/>
  <c r="K19" i="7"/>
  <c r="G19" i="7"/>
  <c r="I15" i="7"/>
  <c r="E15" i="7"/>
  <c r="K15" i="7"/>
  <c r="G15" i="7"/>
  <c r="K18" i="7"/>
  <c r="G18" i="7"/>
  <c r="E18" i="7"/>
  <c r="I18" i="7"/>
  <c r="K14" i="7"/>
  <c r="G14" i="7"/>
  <c r="E14" i="7"/>
  <c r="I14" i="7"/>
  <c r="K13" i="7"/>
  <c r="G13" i="7"/>
  <c r="I13" i="7"/>
  <c r="E13" i="7"/>
  <c r="I11" i="7"/>
  <c r="E11" i="7"/>
  <c r="K11" i="7"/>
  <c r="G11" i="7"/>
  <c r="E13" i="12" l="1"/>
  <c r="E19" i="12" s="1"/>
  <c r="K13" i="12"/>
  <c r="K19" i="12" s="1"/>
  <c r="G19" i="12"/>
  <c r="I19" i="12"/>
  <c r="E20" i="12"/>
  <c r="E24" i="12" s="1"/>
  <c r="G22" i="7"/>
  <c r="E12" i="5"/>
  <c r="G12" i="5"/>
  <c r="K12" i="5"/>
  <c r="W13" i="5"/>
  <c r="W23" i="5" s="1"/>
  <c r="AC13" i="5"/>
  <c r="AC23" i="5" s="1"/>
  <c r="U13" i="5"/>
  <c r="AA13" i="5"/>
  <c r="AA23" i="5" s="1"/>
  <c r="Y13" i="5"/>
  <c r="Y23" i="5" s="1"/>
  <c r="K14" i="12"/>
  <c r="G14" i="12"/>
  <c r="G20" i="12" s="1"/>
  <c r="I14" i="12"/>
  <c r="I20" i="12" s="1"/>
  <c r="C46" i="23"/>
  <c r="C54" i="23" s="1"/>
  <c r="B53" i="23"/>
  <c r="B54" i="23"/>
  <c r="C33" i="23"/>
  <c r="C53" i="23" s="1"/>
  <c r="I22" i="17"/>
  <c r="K22" i="17"/>
  <c r="M22" i="17"/>
  <c r="O22" i="17"/>
  <c r="R16" i="13"/>
  <c r="E11" i="12"/>
  <c r="E21" i="12" s="1"/>
  <c r="K11" i="12"/>
  <c r="K21" i="12" s="1"/>
  <c r="G11" i="12"/>
  <c r="G21" i="12" s="1"/>
  <c r="I11" i="12"/>
  <c r="I21" i="12" s="1"/>
  <c r="D8" i="10"/>
  <c r="J8" i="10"/>
  <c r="F8" i="10"/>
  <c r="H8" i="10"/>
  <c r="R10" i="9"/>
  <c r="R11" i="9" s="1"/>
  <c r="R12" i="9" s="1"/>
  <c r="R13" i="9" s="1"/>
  <c r="B8" i="4" s="1"/>
  <c r="E7" i="4"/>
  <c r="C7" i="4"/>
  <c r="D7" i="4"/>
  <c r="B6" i="4"/>
  <c r="D6" i="4"/>
  <c r="E6" i="4"/>
  <c r="C6" i="4"/>
  <c r="K20" i="12" l="1"/>
  <c r="B7" i="4"/>
  <c r="E22" i="8"/>
  <c r="G12" i="12"/>
  <c r="E9" i="13"/>
  <c r="K9" i="13"/>
  <c r="G9" i="13"/>
  <c r="I9" i="13"/>
  <c r="E12" i="12"/>
  <c r="K12" i="12"/>
  <c r="I12" i="12"/>
  <c r="D8" i="4"/>
  <c r="E8" i="4"/>
  <c r="C8" i="4"/>
  <c r="B55" i="23"/>
  <c r="E18" i="24" s="1"/>
  <c r="F19" i="61" s="1"/>
  <c r="C55" i="23"/>
  <c r="F18" i="24" s="1"/>
  <c r="E29" i="22"/>
  <c r="C6" i="21"/>
  <c r="B6" i="21"/>
  <c r="K29" i="22"/>
  <c r="G29" i="22"/>
  <c r="I29" i="22"/>
  <c r="D6" i="21"/>
  <c r="E6" i="21"/>
  <c r="F9" i="10"/>
  <c r="D9" i="10"/>
  <c r="H9" i="10"/>
  <c r="J9" i="10"/>
  <c r="D36" i="21" l="1"/>
  <c r="D35" i="21"/>
  <c r="D37" i="21"/>
  <c r="D34" i="21"/>
  <c r="B11" i="21"/>
  <c r="B36" i="21"/>
  <c r="B35" i="21"/>
  <c r="B37" i="21"/>
  <c r="B34" i="21"/>
  <c r="C36" i="21"/>
  <c r="C35" i="21"/>
  <c r="C34" i="21"/>
  <c r="C37" i="21"/>
  <c r="E36" i="21"/>
  <c r="E34" i="21"/>
  <c r="E35" i="21"/>
  <c r="E37" i="21"/>
  <c r="B22" i="21"/>
  <c r="B28" i="21" s="1"/>
  <c r="B33" i="21"/>
  <c r="C44" i="21"/>
  <c r="H55" i="145" s="1"/>
  <c r="H17" i="145" s="1"/>
  <c r="C11" i="21"/>
  <c r="D44" i="21"/>
  <c r="I55" i="145" s="1"/>
  <c r="I17" i="145" s="1"/>
  <c r="D11" i="21"/>
  <c r="E44" i="21"/>
  <c r="J55" i="145" s="1"/>
  <c r="J17" i="145" s="1"/>
  <c r="E11" i="21"/>
  <c r="E19" i="61"/>
  <c r="D18" i="24"/>
  <c r="G10" i="13"/>
  <c r="I10" i="13"/>
  <c r="K10" i="13"/>
  <c r="B44" i="21"/>
  <c r="G55" i="145" s="1"/>
  <c r="G17" i="145" s="1"/>
  <c r="H10" i="10"/>
  <c r="H11" i="10" s="1"/>
  <c r="D9" i="4" s="1"/>
  <c r="D10" i="10"/>
  <c r="D11" i="10" s="1"/>
  <c r="B9" i="4" s="1"/>
  <c r="F10" i="10"/>
  <c r="F11" i="10" s="1"/>
  <c r="C9" i="4" s="1"/>
  <c r="J10" i="10"/>
  <c r="J11" i="10" s="1"/>
  <c r="E9" i="4" s="1"/>
  <c r="E14" i="21" l="1"/>
  <c r="E13" i="21"/>
  <c r="E12" i="21"/>
  <c r="E15" i="21"/>
  <c r="C14" i="21"/>
  <c r="C13" i="21"/>
  <c r="C15" i="21"/>
  <c r="C12" i="21"/>
  <c r="F55" i="145"/>
  <c r="F17" i="145" s="1"/>
  <c r="G53" i="145"/>
  <c r="G15" i="145" s="1"/>
  <c r="I53" i="145"/>
  <c r="I15" i="145" s="1"/>
  <c r="B38" i="21"/>
  <c r="B39" i="21" s="1"/>
  <c r="J53" i="145"/>
  <c r="J15" i="145" s="1"/>
  <c r="H53" i="145"/>
  <c r="H15" i="145" s="1"/>
  <c r="D14" i="21"/>
  <c r="D12" i="21"/>
  <c r="D13" i="21"/>
  <c r="D15" i="21"/>
  <c r="B14" i="21"/>
  <c r="B13" i="21"/>
  <c r="B12" i="21"/>
  <c r="B15" i="21"/>
  <c r="D33" i="21"/>
  <c r="D38" i="21" s="1"/>
  <c r="D22" i="21"/>
  <c r="D28" i="21" s="1"/>
  <c r="D46" i="21" s="1"/>
  <c r="C22" i="21"/>
  <c r="C28" i="21" s="1"/>
  <c r="C46" i="21" s="1"/>
  <c r="C33" i="21"/>
  <c r="C38" i="21" s="1"/>
  <c r="E33" i="21"/>
  <c r="E38" i="21" s="1"/>
  <c r="E22" i="21"/>
  <c r="G11" i="13"/>
  <c r="E11" i="13"/>
  <c r="I11" i="13"/>
  <c r="K11" i="13"/>
  <c r="B46" i="21"/>
  <c r="B16" i="21" l="1"/>
  <c r="B17" i="21" s="1"/>
  <c r="B45" i="21" s="1"/>
  <c r="D16" i="21"/>
  <c r="D17" i="21" s="1"/>
  <c r="D45" i="21" s="1"/>
  <c r="F53" i="145"/>
  <c r="F15" i="145" s="1"/>
  <c r="C16" i="21"/>
  <c r="C17" i="21" s="1"/>
  <c r="C45" i="21" s="1"/>
  <c r="E16" i="21"/>
  <c r="E17" i="21" s="1"/>
  <c r="E45" i="21" s="1"/>
  <c r="C39" i="21"/>
  <c r="C47" i="21" s="1"/>
  <c r="D39" i="21"/>
  <c r="D47" i="21" s="1"/>
  <c r="E39" i="21"/>
  <c r="E47" i="21" s="1"/>
  <c r="E28" i="21"/>
  <c r="E46" i="21" s="1"/>
  <c r="E12" i="13"/>
  <c r="K12" i="13"/>
  <c r="G12" i="13"/>
  <c r="I12" i="13"/>
  <c r="B47" i="21"/>
  <c r="K23" i="17"/>
  <c r="C5" i="16" s="1"/>
  <c r="D48" i="21" l="1"/>
  <c r="G13" i="24" s="1"/>
  <c r="C48" i="21"/>
  <c r="F13" i="24" s="1"/>
  <c r="B48" i="21"/>
  <c r="E13" i="24" s="1"/>
  <c r="G15" i="24"/>
  <c r="E48" i="21"/>
  <c r="H13" i="24" s="1"/>
  <c r="I16" i="61" s="1"/>
  <c r="I23" i="17"/>
  <c r="B5" i="16" s="1"/>
  <c r="B9" i="16" s="1"/>
  <c r="F15" i="24"/>
  <c r="E5" i="16"/>
  <c r="E9" i="16" s="1"/>
  <c r="D5" i="16"/>
  <c r="D9" i="16" s="1"/>
  <c r="I13" i="13"/>
  <c r="E13" i="13"/>
  <c r="G13" i="13"/>
  <c r="K13" i="13"/>
  <c r="G16" i="61" l="1"/>
  <c r="G18" i="61" s="1"/>
  <c r="H16" i="61"/>
  <c r="H18" i="61" s="1"/>
  <c r="F16" i="61"/>
  <c r="F18" i="61" s="1"/>
  <c r="E15" i="24"/>
  <c r="I18" i="61"/>
  <c r="E44" i="16"/>
  <c r="E43" i="16"/>
  <c r="E42" i="16"/>
  <c r="E45" i="16"/>
  <c r="D44" i="16"/>
  <c r="D43" i="16"/>
  <c r="D42" i="16"/>
  <c r="D45" i="16"/>
  <c r="C9" i="16"/>
  <c r="C14" i="16" s="1"/>
  <c r="B44" i="16"/>
  <c r="B43" i="16"/>
  <c r="B42" i="16"/>
  <c r="B45" i="16"/>
  <c r="D13" i="24"/>
  <c r="H15" i="24"/>
  <c r="L6" i="16"/>
  <c r="I6" i="16"/>
  <c r="I7" i="16" s="1"/>
  <c r="B52" i="16"/>
  <c r="G52" i="145" s="1"/>
  <c r="B14" i="16"/>
  <c r="K6" i="16"/>
  <c r="K7" i="16" s="1"/>
  <c r="D14" i="16"/>
  <c r="D52" i="16"/>
  <c r="I52" i="145" s="1"/>
  <c r="E14" i="13"/>
  <c r="G14" i="13"/>
  <c r="I14" i="13"/>
  <c r="K14" i="13"/>
  <c r="E18" i="61" l="1"/>
  <c r="E16" i="61"/>
  <c r="C52" i="16"/>
  <c r="H52" i="145" s="1"/>
  <c r="J6" i="16"/>
  <c r="J7" i="16" s="1"/>
  <c r="D17" i="16"/>
  <c r="D16" i="16"/>
  <c r="D15" i="16"/>
  <c r="D18" i="16"/>
  <c r="B25" i="16"/>
  <c r="B31" i="16" s="1"/>
  <c r="B54" i="16" s="1"/>
  <c r="B17" i="16"/>
  <c r="B16" i="16"/>
  <c r="B15" i="16"/>
  <c r="B18" i="16"/>
  <c r="C44" i="16"/>
  <c r="C43" i="16"/>
  <c r="C42" i="16"/>
  <c r="C45" i="16"/>
  <c r="C17" i="16"/>
  <c r="C16" i="16"/>
  <c r="C15" i="16"/>
  <c r="C18" i="16"/>
  <c r="D15" i="24"/>
  <c r="E52" i="16"/>
  <c r="J52" i="145" s="1"/>
  <c r="E14" i="16"/>
  <c r="B41" i="16"/>
  <c r="B46" i="16" s="1"/>
  <c r="G16" i="13"/>
  <c r="E16" i="13"/>
  <c r="K16" i="13"/>
  <c r="I16" i="13"/>
  <c r="D25" i="16"/>
  <c r="D31" i="16" s="1"/>
  <c r="D54" i="16" s="1"/>
  <c r="I70" i="145" s="1"/>
  <c r="I32" i="145" s="1"/>
  <c r="D41" i="16"/>
  <c r="D46" i="16" s="1"/>
  <c r="C25" i="16"/>
  <c r="C31" i="16" s="1"/>
  <c r="C54" i="16" s="1"/>
  <c r="C41" i="16"/>
  <c r="K15" i="13"/>
  <c r="E15" i="13"/>
  <c r="G15" i="13"/>
  <c r="I15" i="13"/>
  <c r="B19" i="16" l="1"/>
  <c r="B20" i="16" s="1"/>
  <c r="B53" i="16" s="1"/>
  <c r="C46" i="16"/>
  <c r="C47" i="16" s="1"/>
  <c r="C55" i="16" s="1"/>
  <c r="D19" i="16"/>
  <c r="D20" i="16" s="1"/>
  <c r="D53" i="16" s="1"/>
  <c r="B47" i="16"/>
  <c r="B55" i="16" s="1"/>
  <c r="I68" i="145"/>
  <c r="I30" i="145" s="1"/>
  <c r="E17" i="16"/>
  <c r="E16" i="16"/>
  <c r="E15" i="16"/>
  <c r="E18" i="16"/>
  <c r="C19" i="16"/>
  <c r="C20" i="16" s="1"/>
  <c r="C53" i="16" s="1"/>
  <c r="F52" i="145"/>
  <c r="E41" i="16"/>
  <c r="E25" i="16"/>
  <c r="E31" i="16" s="1"/>
  <c r="E54" i="16" s="1"/>
  <c r="J70" i="145" s="1"/>
  <c r="J32" i="145" s="1"/>
  <c r="D47" i="16"/>
  <c r="D55" i="16" s="1"/>
  <c r="G17" i="13"/>
  <c r="I17" i="13"/>
  <c r="K17" i="13"/>
  <c r="E17" i="13"/>
  <c r="D56" i="16" l="1"/>
  <c r="C56" i="16"/>
  <c r="C57" i="16" s="1"/>
  <c r="F9" i="24" s="1"/>
  <c r="B56" i="16"/>
  <c r="E9" i="24" s="1"/>
  <c r="E46" i="16"/>
  <c r="E47" i="16" s="1"/>
  <c r="E55" i="16" s="1"/>
  <c r="E19" i="16"/>
  <c r="E20" i="16" s="1"/>
  <c r="E53" i="16" s="1"/>
  <c r="J68" i="145"/>
  <c r="J30" i="145" s="1"/>
  <c r="G9" i="24"/>
  <c r="E18" i="13"/>
  <c r="I6" i="142" s="1"/>
  <c r="I7" i="142" s="1"/>
  <c r="I18" i="13"/>
  <c r="G18" i="13"/>
  <c r="K18" i="13"/>
  <c r="K11" i="5"/>
  <c r="I17" i="5"/>
  <c r="G21" i="5"/>
  <c r="G11" i="5"/>
  <c r="K18" i="5"/>
  <c r="K14" i="5"/>
  <c r="E53" i="4"/>
  <c r="D53" i="4"/>
  <c r="E52" i="4"/>
  <c r="D52" i="4"/>
  <c r="I65" i="145" s="1"/>
  <c r="I27" i="145" s="1"/>
  <c r="E55" i="2"/>
  <c r="J74" i="145" s="1"/>
  <c r="D55" i="2"/>
  <c r="I74" i="145" s="1"/>
  <c r="E54" i="2"/>
  <c r="E53" i="2"/>
  <c r="D53" i="2"/>
  <c r="I64" i="145" s="1"/>
  <c r="E52" i="2"/>
  <c r="D52" i="2"/>
  <c r="C52" i="2"/>
  <c r="E55" i="1"/>
  <c r="D55" i="1"/>
  <c r="E54" i="1"/>
  <c r="D54" i="1"/>
  <c r="E53" i="1"/>
  <c r="D53" i="1"/>
  <c r="E52" i="1"/>
  <c r="D52" i="1"/>
  <c r="C42" i="1"/>
  <c r="J65" i="145" l="1"/>
  <c r="J27" i="145" s="1"/>
  <c r="B58" i="16"/>
  <c r="E10" i="24" s="1"/>
  <c r="E56" i="16"/>
  <c r="H9" i="24" s="1"/>
  <c r="I63" i="145"/>
  <c r="I25" i="145" s="1"/>
  <c r="D56" i="2"/>
  <c r="G16" i="24" s="1"/>
  <c r="B5" i="11"/>
  <c r="G51" i="145" s="1"/>
  <c r="G13" i="145" s="1"/>
  <c r="C58" i="16"/>
  <c r="F10" i="24" s="1"/>
  <c r="E5" i="11"/>
  <c r="J51" i="145" s="1"/>
  <c r="J13" i="145" s="1"/>
  <c r="D5" i="11"/>
  <c r="I51" i="145" s="1"/>
  <c r="I13" i="145" s="1"/>
  <c r="D23" i="5"/>
  <c r="AD23" i="5"/>
  <c r="D58" i="16"/>
  <c r="G10" i="24" s="1"/>
  <c r="K19" i="13"/>
  <c r="G19" i="13"/>
  <c r="I19" i="13"/>
  <c r="E19" i="13"/>
  <c r="C5" i="11"/>
  <c r="H51" i="145" s="1"/>
  <c r="H13" i="145" s="1"/>
  <c r="E20" i="5"/>
  <c r="G20" i="5"/>
  <c r="I16" i="5"/>
  <c r="K20" i="5"/>
  <c r="G16" i="5"/>
  <c r="I20" i="5"/>
  <c r="K16" i="5"/>
  <c r="E11" i="5"/>
  <c r="G17" i="5"/>
  <c r="I11" i="5"/>
  <c r="I21" i="5"/>
  <c r="K17" i="5"/>
  <c r="G13" i="5"/>
  <c r="E21" i="5"/>
  <c r="E13" i="5"/>
  <c r="G10" i="5"/>
  <c r="G15" i="5"/>
  <c r="G19" i="5"/>
  <c r="I10" i="5"/>
  <c r="I15" i="5"/>
  <c r="I19" i="5"/>
  <c r="K10" i="5"/>
  <c r="K15" i="5"/>
  <c r="K19" i="5"/>
  <c r="I13" i="5"/>
  <c r="K13" i="5"/>
  <c r="K21" i="5"/>
  <c r="G14" i="5"/>
  <c r="G18" i="5"/>
  <c r="I14" i="5"/>
  <c r="I18" i="5"/>
  <c r="E10" i="5"/>
  <c r="C19" i="2"/>
  <c r="B52" i="1"/>
  <c r="G22" i="5" l="1"/>
  <c r="I22" i="5"/>
  <c r="E22" i="5"/>
  <c r="K22" i="5"/>
  <c r="E5" i="4" s="1"/>
  <c r="E11" i="24"/>
  <c r="D9" i="24"/>
  <c r="J63" i="145"/>
  <c r="J25" i="145" s="1"/>
  <c r="F14" i="61"/>
  <c r="I50" i="145"/>
  <c r="I12" i="145" s="1"/>
  <c r="J50" i="145"/>
  <c r="J12" i="145" s="1"/>
  <c r="H50" i="145"/>
  <c r="H12" i="145" s="1"/>
  <c r="F51" i="145"/>
  <c r="F13" i="145" s="1"/>
  <c r="G50" i="145"/>
  <c r="G12" i="145" s="1"/>
  <c r="H14" i="61"/>
  <c r="G14" i="61"/>
  <c r="E58" i="16"/>
  <c r="H10" i="24" s="1"/>
  <c r="E12" i="61"/>
  <c r="G11" i="24"/>
  <c r="I21" i="13"/>
  <c r="G21" i="13"/>
  <c r="K21" i="13"/>
  <c r="E21" i="13"/>
  <c r="F11" i="24"/>
  <c r="I20" i="13"/>
  <c r="E20" i="13"/>
  <c r="G20" i="13"/>
  <c r="K20" i="13"/>
  <c r="D5" i="4"/>
  <c r="C5" i="4"/>
  <c r="B19" i="1"/>
  <c r="C30" i="2"/>
  <c r="C41" i="2"/>
  <c r="C25" i="2"/>
  <c r="C53" i="2" s="1"/>
  <c r="H64" i="145" s="1"/>
  <c r="C52" i="1"/>
  <c r="F50" i="145" l="1"/>
  <c r="F12" i="145" s="1"/>
  <c r="I14" i="61"/>
  <c r="D10" i="24"/>
  <c r="H11" i="24"/>
  <c r="B5" i="4"/>
  <c r="E23" i="5"/>
  <c r="G22" i="13"/>
  <c r="G23" i="13" s="1"/>
  <c r="C6" i="11" s="1"/>
  <c r="K22" i="13"/>
  <c r="K23" i="13" s="1"/>
  <c r="E6" i="11" s="1"/>
  <c r="E22" i="13"/>
  <c r="E23" i="13" s="1"/>
  <c r="B6" i="11" s="1"/>
  <c r="I22" i="13"/>
  <c r="I23" i="13" s="1"/>
  <c r="D6" i="11" s="1"/>
  <c r="B41" i="1"/>
  <c r="B55" i="1" s="1"/>
  <c r="B30" i="1"/>
  <c r="B54" i="1" s="1"/>
  <c r="B53" i="1"/>
  <c r="C36" i="2"/>
  <c r="C54" i="2" s="1"/>
  <c r="H69" i="145" s="1"/>
  <c r="C47" i="2"/>
  <c r="C55" i="2" s="1"/>
  <c r="H74" i="145" s="1"/>
  <c r="C30" i="1"/>
  <c r="C41" i="1"/>
  <c r="C25" i="1"/>
  <c r="C53" i="1" s="1"/>
  <c r="H57" i="145" l="1"/>
  <c r="H19" i="145" s="1"/>
  <c r="J6" i="11"/>
  <c r="C8" i="11"/>
  <c r="C43" i="11" s="1"/>
  <c r="J57" i="145"/>
  <c r="E8" i="11"/>
  <c r="E51" i="11" s="1"/>
  <c r="E55" i="11" s="1"/>
  <c r="H8" i="24" s="1"/>
  <c r="L6" i="11"/>
  <c r="I57" i="145"/>
  <c r="K6" i="11"/>
  <c r="D8" i="11"/>
  <c r="D42" i="11" s="1"/>
  <c r="B8" i="11"/>
  <c r="I6" i="11" s="1"/>
  <c r="G57" i="145"/>
  <c r="G19" i="145" s="1"/>
  <c r="E41" i="11"/>
  <c r="D43" i="11"/>
  <c r="E13" i="61"/>
  <c r="D11" i="24"/>
  <c r="E14" i="61"/>
  <c r="C56" i="2"/>
  <c r="F16" i="24" s="1"/>
  <c r="B51" i="11"/>
  <c r="B56" i="1"/>
  <c r="E17" i="24" s="1"/>
  <c r="C36" i="1"/>
  <c r="C54" i="1" s="1"/>
  <c r="C47" i="1"/>
  <c r="C55" i="1" s="1"/>
  <c r="I11" i="61" l="1"/>
  <c r="B41" i="11"/>
  <c r="B42" i="11"/>
  <c r="C13" i="11"/>
  <c r="C41" i="11"/>
  <c r="C44" i="11"/>
  <c r="B43" i="11"/>
  <c r="B13" i="11"/>
  <c r="B44" i="11"/>
  <c r="E43" i="11"/>
  <c r="D44" i="11"/>
  <c r="D51" i="11"/>
  <c r="D55" i="11" s="1"/>
  <c r="G8" i="24" s="1"/>
  <c r="E42" i="11"/>
  <c r="D41" i="11"/>
  <c r="E44" i="11"/>
  <c r="C51" i="11"/>
  <c r="C42" i="11"/>
  <c r="F57" i="145"/>
  <c r="F19" i="145" s="1"/>
  <c r="B40" i="11"/>
  <c r="B16" i="11"/>
  <c r="B15" i="11"/>
  <c r="B14" i="11"/>
  <c r="B17" i="11"/>
  <c r="C16" i="11"/>
  <c r="C15" i="11"/>
  <c r="C14" i="11"/>
  <c r="C17" i="11"/>
  <c r="C24" i="11"/>
  <c r="C30" i="11" s="1"/>
  <c r="C53" i="11" s="1"/>
  <c r="C40" i="11"/>
  <c r="B24" i="11"/>
  <c r="B30" i="11" s="1"/>
  <c r="B53" i="11" s="1"/>
  <c r="E10" i="4"/>
  <c r="C10" i="4"/>
  <c r="B10" i="4"/>
  <c r="D10" i="4"/>
  <c r="C56" i="1"/>
  <c r="F17" i="24" s="1"/>
  <c r="D45" i="11" l="1"/>
  <c r="E45" i="11"/>
  <c r="H11" i="61"/>
  <c r="B45" i="11"/>
  <c r="B46" i="11" s="1"/>
  <c r="B54" i="11" s="1"/>
  <c r="C45" i="11"/>
  <c r="C46" i="11" s="1"/>
  <c r="C54" i="11" s="1"/>
  <c r="B18" i="11"/>
  <c r="B19" i="11" s="1"/>
  <c r="B52" i="11" s="1"/>
  <c r="C18" i="11"/>
  <c r="C19" i="11" s="1"/>
  <c r="C52" i="11" s="1"/>
  <c r="C41" i="4"/>
  <c r="C44" i="4"/>
  <c r="C43" i="4"/>
  <c r="C42" i="4"/>
  <c r="E41" i="4"/>
  <c r="E44" i="4"/>
  <c r="E43" i="4"/>
  <c r="E42" i="4"/>
  <c r="I5" i="4"/>
  <c r="I6" i="4" s="1"/>
  <c r="B41" i="4"/>
  <c r="B44" i="4"/>
  <c r="B43" i="4"/>
  <c r="B42" i="4"/>
  <c r="D41" i="4"/>
  <c r="D44" i="4"/>
  <c r="D43" i="4"/>
  <c r="D42" i="4"/>
  <c r="C15" i="4"/>
  <c r="J5" i="4"/>
  <c r="J6" i="4" s="1"/>
  <c r="E7" i="61"/>
  <c r="D17" i="24"/>
  <c r="C51" i="4"/>
  <c r="H49" i="145" s="1"/>
  <c r="H11" i="145" s="1"/>
  <c r="E51" i="4"/>
  <c r="L10" i="4"/>
  <c r="D51" i="4"/>
  <c r="K10" i="4"/>
  <c r="B15" i="4"/>
  <c r="I10" i="4"/>
  <c r="L5" i="4"/>
  <c r="L6" i="4" s="1"/>
  <c r="B51" i="4"/>
  <c r="G49" i="145" s="1"/>
  <c r="G11" i="145" s="1"/>
  <c r="K5" i="4"/>
  <c r="K6" i="4" s="1"/>
  <c r="B55" i="11" l="1"/>
  <c r="I7" i="11" s="1"/>
  <c r="C55" i="11"/>
  <c r="F8" i="24" s="1"/>
  <c r="E45" i="4"/>
  <c r="E46" i="4" s="1"/>
  <c r="E54" i="4" s="1"/>
  <c r="J75" i="145" s="1"/>
  <c r="I49" i="145"/>
  <c r="G47" i="145"/>
  <c r="G9" i="145" s="1"/>
  <c r="H47" i="145"/>
  <c r="H9" i="145" s="1"/>
  <c r="D45" i="4"/>
  <c r="D46" i="4" s="1"/>
  <c r="D54" i="4" s="1"/>
  <c r="I75" i="145" s="1"/>
  <c r="I37" i="145" s="1"/>
  <c r="J10" i="4"/>
  <c r="C18" i="4"/>
  <c r="C17" i="4"/>
  <c r="C16" i="4"/>
  <c r="J11" i="4" s="1"/>
  <c r="C19" i="4"/>
  <c r="B18" i="4"/>
  <c r="B17" i="4"/>
  <c r="B16" i="4"/>
  <c r="B19" i="4"/>
  <c r="J49" i="145"/>
  <c r="C40" i="4"/>
  <c r="C45" i="4" s="1"/>
  <c r="C26" i="4"/>
  <c r="C32" i="4" s="1"/>
  <c r="C53" i="4" s="1"/>
  <c r="H70" i="145" s="1"/>
  <c r="H32" i="145" s="1"/>
  <c r="B26" i="4"/>
  <c r="E8" i="24"/>
  <c r="B40" i="4"/>
  <c r="B45" i="4" s="1"/>
  <c r="F6" i="24"/>
  <c r="J73" i="145" l="1"/>
  <c r="J35" i="145" s="1"/>
  <c r="J37" i="145"/>
  <c r="G11" i="61"/>
  <c r="F11" i="61"/>
  <c r="F49" i="145"/>
  <c r="F11" i="145" s="1"/>
  <c r="E55" i="4"/>
  <c r="E57" i="4" s="1"/>
  <c r="H6" i="24" s="1"/>
  <c r="B20" i="4"/>
  <c r="B21" i="4" s="1"/>
  <c r="B52" i="4" s="1"/>
  <c r="G65" i="145" s="1"/>
  <c r="G27" i="145" s="1"/>
  <c r="C20" i="4"/>
  <c r="C21" i="4" s="1"/>
  <c r="C52" i="4" s="1"/>
  <c r="H65" i="145" s="1"/>
  <c r="H27" i="145" s="1"/>
  <c r="I73" i="145"/>
  <c r="I35" i="145" s="1"/>
  <c r="G46" i="145"/>
  <c r="G8" i="145" s="1"/>
  <c r="H68" i="145"/>
  <c r="H30" i="145" s="1"/>
  <c r="H46" i="145"/>
  <c r="H8" i="145" s="1"/>
  <c r="I47" i="145"/>
  <c r="J47" i="145"/>
  <c r="I10" i="61"/>
  <c r="J62" i="145"/>
  <c r="J24" i="145" s="1"/>
  <c r="D55" i="4"/>
  <c r="D57" i="4" s="1"/>
  <c r="G6" i="24" s="1"/>
  <c r="C46" i="4"/>
  <c r="C54" i="4" s="1"/>
  <c r="B46" i="4"/>
  <c r="B54" i="4" s="1"/>
  <c r="G75" i="145" s="1"/>
  <c r="G37" i="145" s="1"/>
  <c r="B32" i="4"/>
  <c r="B53" i="4" s="1"/>
  <c r="G70" i="145" s="1"/>
  <c r="G32" i="145" s="1"/>
  <c r="D8" i="24"/>
  <c r="H7" i="24"/>
  <c r="E11" i="61" l="1"/>
  <c r="F47" i="145"/>
  <c r="F9" i="145" s="1"/>
  <c r="F65" i="145"/>
  <c r="F27" i="145" s="1"/>
  <c r="H63" i="145"/>
  <c r="H25" i="145" s="1"/>
  <c r="F70" i="145"/>
  <c r="F32" i="145" s="1"/>
  <c r="H10" i="61"/>
  <c r="H21" i="61" s="1"/>
  <c r="H5" i="61" s="1"/>
  <c r="I46" i="145"/>
  <c r="I8" i="145" s="1"/>
  <c r="H41" i="145"/>
  <c r="H3" i="145" s="1"/>
  <c r="J46" i="145"/>
  <c r="J8" i="145" s="1"/>
  <c r="G7" i="24"/>
  <c r="I62" i="145"/>
  <c r="I24" i="145" s="1"/>
  <c r="C55" i="4"/>
  <c r="F5" i="24" s="1"/>
  <c r="H75" i="145"/>
  <c r="I21" i="61"/>
  <c r="I5" i="61" s="1"/>
  <c r="B55" i="4"/>
  <c r="I11" i="4" s="1"/>
  <c r="H19" i="24"/>
  <c r="F75" i="145" l="1"/>
  <c r="F37" i="145" s="1"/>
  <c r="H37" i="145"/>
  <c r="F46" i="145"/>
  <c r="F8" i="145" s="1"/>
  <c r="G19" i="24"/>
  <c r="F7" i="24"/>
  <c r="J41" i="145"/>
  <c r="J3" i="145" s="1"/>
  <c r="G10" i="61"/>
  <c r="G21" i="61" s="1"/>
  <c r="G5" i="61" s="1"/>
  <c r="I41" i="145"/>
  <c r="I3" i="145" s="1"/>
  <c r="H73" i="145"/>
  <c r="H35" i="145" s="1"/>
  <c r="B56" i="4"/>
  <c r="F8" i="61" l="1"/>
  <c r="E8" i="61" s="1"/>
  <c r="F19" i="24"/>
  <c r="J40" i="145"/>
  <c r="I40" i="145"/>
  <c r="I2" i="145" s="1"/>
  <c r="H62" i="145"/>
  <c r="H24" i="145" s="1"/>
  <c r="B57" i="4"/>
  <c r="D5" i="24"/>
  <c r="F9" i="61" l="1"/>
  <c r="F10" i="61" s="1"/>
  <c r="E7" i="24"/>
  <c r="J2" i="145"/>
  <c r="O2" i="145"/>
  <c r="N2" i="145"/>
  <c r="H40" i="145"/>
  <c r="H2" i="145" s="1"/>
  <c r="D6" i="24"/>
  <c r="D7" i="24" l="1"/>
  <c r="M2" i="145"/>
  <c r="E9" i="61"/>
  <c r="E10" i="61"/>
  <c r="B52" i="2" l="1"/>
  <c r="G44" i="145" s="1"/>
  <c r="B30" i="2"/>
  <c r="B36" i="2" s="1"/>
  <c r="B54" i="2" s="1"/>
  <c r="G69" i="145" s="1"/>
  <c r="F44" i="145" l="1"/>
  <c r="G42" i="145"/>
  <c r="F69" i="145"/>
  <c r="G68" i="145"/>
  <c r="G30" i="145" s="1"/>
  <c r="B41" i="2"/>
  <c r="B25" i="2"/>
  <c r="B53" i="2" s="1"/>
  <c r="G41" i="145" l="1"/>
  <c r="G3" i="145" s="1"/>
  <c r="B47" i="2"/>
  <c r="B55" i="2" s="1"/>
  <c r="F68" i="145"/>
  <c r="F30" i="145" s="1"/>
  <c r="F42" i="145"/>
  <c r="G64" i="145"/>
  <c r="G74" i="145" l="1"/>
  <c r="B56" i="2"/>
  <c r="E16" i="24" s="1"/>
  <c r="F41" i="145"/>
  <c r="F3" i="145" s="1"/>
  <c r="F64" i="145"/>
  <c r="G63" i="145"/>
  <c r="G25" i="145" s="1"/>
  <c r="D16" i="24" l="1"/>
  <c r="E19" i="24"/>
  <c r="D19" i="24" s="1"/>
  <c r="F63" i="145"/>
  <c r="F25" i="145" s="1"/>
  <c r="G73" i="145"/>
  <c r="F74" i="145"/>
  <c r="G62" i="145" l="1"/>
  <c r="G24" i="145" s="1"/>
  <c r="G35" i="145"/>
  <c r="F21" i="61"/>
  <c r="E6" i="61"/>
  <c r="G40" i="145"/>
  <c r="F73" i="145"/>
  <c r="F35" i="145" s="1"/>
  <c r="L2" i="145" l="1"/>
  <c r="F62" i="145"/>
  <c r="F24" i="145" s="1"/>
  <c r="E21" i="61"/>
  <c r="F40" i="145" l="1"/>
  <c r="K2" i="145" l="1"/>
  <c r="G24" i="144"/>
  <c r="F271" i="145" l="1"/>
  <c r="G270" i="145"/>
  <c r="G23" i="144" l="1"/>
  <c r="F24" i="144"/>
  <c r="F270" i="145"/>
  <c r="F23" i="144" l="1"/>
  <c r="G274" i="145"/>
  <c r="G27" i="144" l="1"/>
  <c r="G269" i="145"/>
  <c r="F275" i="145"/>
  <c r="G28" i="144"/>
  <c r="F28" i="144" l="1"/>
  <c r="F274" i="145"/>
  <c r="G22" i="144"/>
  <c r="M22" i="144" s="1"/>
  <c r="G268" i="145"/>
  <c r="G2" i="145" s="1"/>
  <c r="E16" i="144" l="1"/>
  <c r="M23" i="144"/>
  <c r="L4" i="144" s="1"/>
  <c r="F27" i="144"/>
  <c r="F269" i="145"/>
  <c r="F268" i="145" s="1"/>
  <c r="F2" i="145" s="1"/>
  <c r="G21" i="144"/>
  <c r="F22" i="144" l="1"/>
  <c r="L22" i="144" s="1"/>
  <c r="L23" i="144" s="1"/>
  <c r="K277" i="145"/>
  <c r="K276" i="145"/>
  <c r="K271" i="145"/>
  <c r="K275" i="145"/>
  <c r="E8" i="144"/>
  <c r="D16" i="144"/>
  <c r="F22" i="61"/>
  <c r="E12" i="144" l="1"/>
  <c r="E19" i="144" s="1"/>
  <c r="D19" i="144" s="1"/>
  <c r="E22" i="61"/>
  <c r="D8" i="144"/>
  <c r="F24" i="61"/>
  <c r="E24" i="61" s="1"/>
  <c r="K282" i="145"/>
  <c r="K281" i="145"/>
  <c r="F21" i="144"/>
  <c r="K283" i="145"/>
  <c r="D12" i="144" l="1"/>
  <c r="F28" i="61"/>
  <c r="E28" i="61" s="1"/>
  <c r="F32" i="61" l="1"/>
  <c r="F5" i="61" l="1"/>
  <c r="E5" i="61" s="1"/>
  <c r="E32" i="61"/>
</calcChain>
</file>

<file path=xl/sharedStrings.xml><?xml version="1.0" encoding="utf-8"?>
<sst xmlns="http://schemas.openxmlformats.org/spreadsheetml/2006/main" count="10448" uniqueCount="1082">
  <si>
    <t>1) 사업비 산정기준</t>
    <phoneticPr fontId="5" type="noConversion"/>
  </si>
  <si>
    <t>시설용량(㎥/일)</t>
    <phoneticPr fontId="8" type="noConversion"/>
  </si>
  <si>
    <t>침사 및 유입펌프장</t>
    <phoneticPr fontId="8" type="noConversion"/>
  </si>
  <si>
    <t>유량조정조</t>
    <phoneticPr fontId="8" type="noConversion"/>
  </si>
  <si>
    <t>2) 공사비 산정</t>
    <phoneticPr fontId="5" type="noConversion"/>
  </si>
  <si>
    <t>일차침전지</t>
    <phoneticPr fontId="8" type="noConversion"/>
  </si>
  <si>
    <t>(단위 : ㎥/일, 백만원)</t>
    <phoneticPr fontId="8" type="noConversion"/>
  </si>
  <si>
    <t>생물반응조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</si>
  <si>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</si>
  <si>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</si>
  <si>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</si>
  <si>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</si>
  <si>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</si>
  <si>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</si>
  <si>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이차침전지</t>
    <phoneticPr fontId="8" type="noConversion"/>
  </si>
  <si>
    <t>증설용량</t>
    <phoneticPr fontId="8" type="noConversion"/>
  </si>
  <si>
    <t>소독 방류동</t>
    <phoneticPr fontId="8" type="noConversion"/>
  </si>
  <si>
    <t>작은시설용량</t>
    <phoneticPr fontId="8" type="noConversion"/>
  </si>
  <si>
    <t>농축</t>
    <phoneticPr fontId="8" type="noConversion"/>
  </si>
  <si>
    <t>큰시설용량</t>
    <phoneticPr fontId="8" type="noConversion"/>
  </si>
  <si>
    <t>탈수</t>
    <phoneticPr fontId="8" type="noConversion"/>
  </si>
  <si>
    <t>큰공사비</t>
    <phoneticPr fontId="8" type="noConversion"/>
  </si>
  <si>
    <t>탈취</t>
    <phoneticPr fontId="8" type="noConversion"/>
  </si>
  <si>
    <t>작은공사비</t>
    <phoneticPr fontId="8" type="noConversion"/>
  </si>
  <si>
    <t>저류조</t>
    <phoneticPr fontId="8" type="noConversion"/>
  </si>
  <si>
    <t>공사비</t>
    <phoneticPr fontId="8" type="noConversion"/>
  </si>
  <si>
    <t>관리시설</t>
    <phoneticPr fontId="8" type="noConversion"/>
  </si>
  <si>
    <r>
      <t xml:space="preserve">부대시설 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한양신명조"/>
        <family val="3"/>
        <charset val="129"/>
      </rPr>
      <t>조경</t>
    </r>
    <r>
      <rPr>
        <sz val="9"/>
        <color rgb="FF000000"/>
        <rFont val="맑은 고딕"/>
        <family val="3"/>
        <charset val="129"/>
        <scheme val="minor"/>
      </rPr>
      <t xml:space="preserve">, </t>
    </r>
    <r>
      <rPr>
        <sz val="9"/>
        <color rgb="FF000000"/>
        <rFont val="한양신명조"/>
        <family val="3"/>
        <charset val="129"/>
      </rPr>
      <t>공동구</t>
    </r>
    <r>
      <rPr>
        <sz val="9"/>
        <color rgb="FF000000"/>
        <rFont val="맑은 고딕"/>
        <family val="3"/>
        <charset val="129"/>
        <scheme val="minor"/>
      </rPr>
      <t>)</t>
    </r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</si>
  <si>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</si>
  <si>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</si>
  <si>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</si>
  <si>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</si>
  <si>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</si>
  <si>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</si>
  <si>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</si>
  <si>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</si>
  <si>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</si>
  <si>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공사비(백만원)</t>
    <phoneticPr fontId="8" type="noConversion"/>
  </si>
  <si>
    <t>기본조사</t>
  </si>
  <si>
    <t>실시설계비</t>
  </si>
  <si>
    <t>공사감리비</t>
    <phoneticPr fontId="8" type="noConversion"/>
  </si>
  <si>
    <t>시설부대비</t>
  </si>
  <si>
    <t>금회공사비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</si>
  <si>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</si>
  <si>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</si>
  <si>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</si>
  <si>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</si>
  <si>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</si>
  <si>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</si>
  <si>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</si>
  <si>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</si>
  <si>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</si>
  <si>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</si>
  <si>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개산요율(%)</t>
  </si>
  <si>
    <t>시설부대비</t>
    <phoneticPr fontId="8" type="noConversion"/>
  </si>
  <si>
    <t>5) 총 사업비</t>
    <phoneticPr fontId="5" type="noConversion"/>
  </si>
  <si>
    <t>계</t>
    <phoneticPr fontId="8" type="noConversion"/>
  </si>
  <si>
    <t>기능정상화</t>
    <phoneticPr fontId="8" type="noConversion"/>
  </si>
  <si>
    <t>주) 증설공사로 침사 및 유입펌프장, 유량조정조, 저류조, 관리시설 제외</t>
    <phoneticPr fontId="4" type="noConversion"/>
  </si>
  <si>
    <t>1) 공사비</t>
    <phoneticPr fontId="5" type="noConversion"/>
  </si>
  <si>
    <t>굴착교체</t>
    <phoneticPr fontId="8" type="noConversion"/>
  </si>
  <si>
    <t>맨홀보수</t>
    <phoneticPr fontId="8" type="noConversion"/>
  </si>
  <si>
    <t>우수토실개량</t>
    <phoneticPr fontId="8" type="noConversion"/>
  </si>
  <si>
    <t>1) 공사비 산정기준</t>
    <phoneticPr fontId="5" type="noConversion"/>
  </si>
  <si>
    <t>관 종</t>
  </si>
  <si>
    <t>관 경(mm)</t>
    <phoneticPr fontId="8" type="noConversion"/>
  </si>
  <si>
    <t>포 장 상 태</t>
  </si>
  <si>
    <t>비포장구간</t>
  </si>
  <si>
    <t>포장구간</t>
  </si>
  <si>
    <t>콘크리트관</t>
  </si>
  <si>
    <t>압송관로</t>
  </si>
  <si>
    <t>(단위 :백만원)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</si>
  <si>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</si>
  <si>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</si>
  <si>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</si>
  <si>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공사비</t>
    <phoneticPr fontId="8" type="noConversion"/>
  </si>
  <si>
    <t>강 관</t>
  </si>
  <si>
    <t>플라스틱관</t>
  </si>
  <si>
    <t>사각형거
(BOX)1련
2련박스는 동일규격의 1.5배적용</t>
    <phoneticPr fontId="8" type="noConversion"/>
  </si>
  <si>
    <t>H1.0×W1.0</t>
  </si>
  <si>
    <t>H1.0×W1.2</t>
  </si>
  <si>
    <t>H1.2×W1.2</t>
  </si>
  <si>
    <t>H1.0×W1.5</t>
  </si>
  <si>
    <t>H1.5×W1.5</t>
  </si>
  <si>
    <t>H1.5×W1.8</t>
  </si>
  <si>
    <t>H1.8×W1.8</t>
  </si>
  <si>
    <t>H1.5×W2.0</t>
  </si>
  <si>
    <t>H2.0×W2.0</t>
  </si>
  <si>
    <t>H1.5×W2.5</t>
  </si>
  <si>
    <t>H2.0×W2.5</t>
  </si>
  <si>
    <t>H2.5×W2.5</t>
  </si>
  <si>
    <t>H1.5×W3.0</t>
  </si>
  <si>
    <t>H2.0×W3.0</t>
  </si>
  <si>
    <t>H2.5×W3.0</t>
  </si>
  <si>
    <t>H3.0×W3.0</t>
  </si>
  <si>
    <t>계</t>
    <phoneticPr fontId="4" type="noConversion"/>
  </si>
  <si>
    <t>소계</t>
    <phoneticPr fontId="4" type="noConversion"/>
  </si>
  <si>
    <t>전체보수</t>
    <phoneticPr fontId="4" type="noConversion"/>
  </si>
  <si>
    <t xml:space="preserve">  (기존관 철거 및 물돌리기를 고려하여 공사비의 1.5배 적용)</t>
    <phoneticPr fontId="8" type="noConversion"/>
  </si>
  <si>
    <t>배</t>
    <phoneticPr fontId="4" type="noConversion"/>
  </si>
  <si>
    <t>적용단가(원/m)</t>
    <phoneticPr fontId="4" type="noConversion"/>
  </si>
  <si>
    <t>조사단가(원/m)</t>
    <phoneticPr fontId="4" type="noConversion"/>
  </si>
  <si>
    <t>제경비
(35%)</t>
    <phoneticPr fontId="4" type="noConversion"/>
  </si>
  <si>
    <t>단가
(원/개소)</t>
    <phoneticPr fontId="8" type="noConversion"/>
  </si>
  <si>
    <t>개소</t>
    <phoneticPr fontId="8" type="noConversion"/>
  </si>
  <si>
    <t>전체보수</t>
    <phoneticPr fontId="4" type="noConversion"/>
  </si>
  <si>
    <t>부분보수</t>
    <phoneticPr fontId="8" type="noConversion"/>
  </si>
  <si>
    <t>1. 공사비 산출근거(개소당)</t>
    <phoneticPr fontId="8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</si>
  <si>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</si>
  <si>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</si>
  <si>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</si>
  <si>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</si>
  <si>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개략공사비(원)</t>
    <phoneticPr fontId="21" type="noConversion"/>
  </si>
  <si>
    <t>비고</t>
    <phoneticPr fontId="21" type="noConversion"/>
  </si>
  <si>
    <t>1. 토공</t>
    <phoneticPr fontId="21" type="noConversion"/>
  </si>
  <si>
    <t>1) 터파기</t>
    <phoneticPr fontId="21" type="noConversion"/>
  </si>
  <si>
    <t>㎥</t>
    <phoneticPr fontId="21" type="noConversion"/>
  </si>
  <si>
    <t>2) 되메우기 및 다짐</t>
    <phoneticPr fontId="21" type="noConversion"/>
  </si>
  <si>
    <t>1) 재료비</t>
    <phoneticPr fontId="21" type="noConversion"/>
  </si>
  <si>
    <t>조달청 계약단가</t>
    <phoneticPr fontId="8" type="noConversion"/>
  </si>
  <si>
    <t>2) 설치비</t>
    <phoneticPr fontId="21" type="noConversion"/>
  </si>
  <si>
    <t>식</t>
    <phoneticPr fontId="21" type="noConversion"/>
  </si>
  <si>
    <t>3. 가시설공</t>
    <phoneticPr fontId="21" type="noConversion"/>
  </si>
  <si>
    <t>1) 시트파일</t>
    <phoneticPr fontId="21" type="noConversion"/>
  </si>
  <si>
    <t>m</t>
    <phoneticPr fontId="21" type="noConversion"/>
  </si>
  <si>
    <t>유사사례 적용</t>
    <phoneticPr fontId="8" type="noConversion"/>
  </si>
  <si>
    <t>6. 부대공</t>
    <phoneticPr fontId="8" type="noConversion"/>
  </si>
  <si>
    <t>공사비의 50%</t>
    <phoneticPr fontId="8" type="noConversion"/>
  </si>
  <si>
    <t>순공사비 계</t>
    <phoneticPr fontId="21" type="noConversion"/>
  </si>
  <si>
    <t>공사비 계</t>
    <phoneticPr fontId="21" type="noConversion"/>
  </si>
  <si>
    <t>2) 공사비 산정</t>
    <phoneticPr fontId="5" type="noConversion"/>
  </si>
  <si>
    <t>DE100.13230, 실적단가</t>
    <phoneticPr fontId="4" type="noConversion"/>
  </si>
  <si>
    <t>DH110.00000, 실적단가</t>
    <phoneticPr fontId="4" type="noConversion"/>
  </si>
  <si>
    <t>하천,인력10%</t>
    <phoneticPr fontId="21" type="noConversion"/>
  </si>
  <si>
    <t>기계, 다짐</t>
    <phoneticPr fontId="21" type="noConversion"/>
  </si>
  <si>
    <t>2. 구조물공</t>
    <phoneticPr fontId="21" type="noConversion"/>
  </si>
  <si>
    <t>3호맨홀</t>
    <phoneticPr fontId="21" type="noConversion"/>
  </si>
  <si>
    <t>단가</t>
    <phoneticPr fontId="21" type="noConversion"/>
  </si>
  <si>
    <t>1500*1500</t>
    <phoneticPr fontId="4" type="noConversion"/>
  </si>
  <si>
    <t>4m기준</t>
    <phoneticPr fontId="4" type="noConversion"/>
  </si>
  <si>
    <t>1500*550</t>
    <phoneticPr fontId="4" type="noConversion"/>
  </si>
  <si>
    <t>1500*500</t>
    <phoneticPr fontId="4" type="noConversion"/>
  </si>
  <si>
    <t>재료비의 20%</t>
    <phoneticPr fontId="8" type="noConversion"/>
  </si>
  <si>
    <t>H=4.5</t>
    <phoneticPr fontId="21" type="noConversion"/>
  </si>
  <si>
    <t>제경비 계(순공사비 35% 적용)</t>
    <phoneticPr fontId="21" type="noConversion"/>
  </si>
  <si>
    <t>우수토실</t>
    <phoneticPr fontId="8" type="noConversion"/>
  </si>
  <si>
    <t>관로신설</t>
    <phoneticPr fontId="8" type="noConversion"/>
  </si>
  <si>
    <t>배수설비</t>
    <phoneticPr fontId="4" type="noConversion"/>
  </si>
  <si>
    <t>맨홀펌프장</t>
    <phoneticPr fontId="8" type="noConversion"/>
  </si>
  <si>
    <t>배수설비</t>
    <phoneticPr fontId="4" type="noConversion"/>
  </si>
  <si>
    <t>공사비</t>
    <phoneticPr fontId="4" type="noConversion"/>
  </si>
  <si>
    <t>사급자재비</t>
    <phoneticPr fontId="4" type="noConversion"/>
  </si>
  <si>
    <t>관급공사비</t>
    <phoneticPr fontId="4" type="noConversion"/>
  </si>
  <si>
    <t>도급공사비</t>
    <phoneticPr fontId="4" type="noConversion"/>
  </si>
  <si>
    <t>원/개소</t>
    <phoneticPr fontId="4" type="noConversion"/>
  </si>
  <si>
    <t xml:space="preserve"> - “하수도분야 보조금 편성 및 집행관리 실무요령(2016.1, 환경부)”상의 오수펌프장 공사비 함수식 적용</t>
    <phoneticPr fontId="8" type="noConversion"/>
  </si>
  <si>
    <t xml:space="preserve"> - 공사비(백만원)=0.292Q + 83.662( Q : 용량, ㎥/일)</t>
    <phoneticPr fontId="8" type="noConversion"/>
  </si>
  <si>
    <t>펌프용량(㎥/min)</t>
    <phoneticPr fontId="8" type="noConversion"/>
  </si>
  <si>
    <t xml:space="preserve"> -플라스틱관 200mm, 포장상태는 포장구간 적용</t>
    <phoneticPr fontId="8" type="noConversion"/>
  </si>
  <si>
    <t>소구역</t>
    <phoneticPr fontId="4" type="noConversion"/>
  </si>
  <si>
    <t>처리분구</t>
    <phoneticPr fontId="8" type="noConversion"/>
  </si>
  <si>
    <t>유량계
지점</t>
    <phoneticPr fontId="4" type="noConversion"/>
  </si>
  <si>
    <t>유역내
연장(m)</t>
    <phoneticPr fontId="4" type="noConversion"/>
  </si>
  <si>
    <t>대상연장
(m)</t>
    <phoneticPr fontId="4" type="noConversion"/>
  </si>
  <si>
    <t>부분보수</t>
    <phoneticPr fontId="4" type="noConversion"/>
  </si>
  <si>
    <t xml:space="preserve"> - 정비대상 연장은 유량계 측정지점 유역내 관로연장의 30%적용, 실태조사가 완료된 부춘처리분구는 조사결과 적용</t>
    <phoneticPr fontId="8" type="noConversion"/>
  </si>
  <si>
    <t>시설용량</t>
    <phoneticPr fontId="8" type="noConversion"/>
  </si>
  <si>
    <t>(단위 : ㎥, 백만원)</t>
    <phoneticPr fontId="8" type="noConversion"/>
  </si>
  <si>
    <t>교체</t>
    <phoneticPr fontId="4" type="noConversion"/>
  </si>
  <si>
    <t>보수</t>
    <phoneticPr fontId="4" type="noConversion"/>
  </si>
  <si>
    <t>1단계</t>
    <phoneticPr fontId="4" type="noConversion"/>
  </si>
  <si>
    <t>2단계</t>
  </si>
  <si>
    <t>3단계</t>
  </si>
  <si>
    <t>4단계</t>
  </si>
  <si>
    <t>구분</t>
    <phoneticPr fontId="4" type="noConversion"/>
  </si>
  <si>
    <t>교체보수비율</t>
    <phoneticPr fontId="4" type="noConversion"/>
  </si>
  <si>
    <t>구분</t>
    <phoneticPr fontId="4" type="noConversion"/>
  </si>
  <si>
    <t>처리시설</t>
    <phoneticPr fontId="4" type="noConversion"/>
  </si>
  <si>
    <t>신증설</t>
    <phoneticPr fontId="4" type="noConversion"/>
  </si>
  <si>
    <t>기능정상화</t>
    <phoneticPr fontId="4" type="noConversion"/>
  </si>
  <si>
    <t>개보수</t>
    <phoneticPr fontId="4" type="noConversion"/>
  </si>
  <si>
    <t>교체</t>
    <phoneticPr fontId="4" type="noConversion"/>
  </si>
  <si>
    <t>보수</t>
    <phoneticPr fontId="4" type="noConversion"/>
  </si>
  <si>
    <t>신설</t>
    <phoneticPr fontId="4" type="noConversion"/>
  </si>
  <si>
    <t>기타</t>
    <phoneticPr fontId="4" type="noConversion"/>
  </si>
  <si>
    <t>하수저류시설</t>
    <phoneticPr fontId="4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</si>
  <si>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</si>
  <si>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</si>
  <si>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</si>
  <si>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</si>
  <si>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(단위:백만원)</t>
    <phoneticPr fontId="4" type="noConversion"/>
  </si>
  <si>
    <t>오수관로
정비</t>
    <phoneticPr fontId="4" type="noConversion"/>
  </si>
  <si>
    <t>우수관로
정비</t>
    <phoneticPr fontId="4" type="noConversion"/>
  </si>
  <si>
    <t>오수간선 및 
차집관로
정비</t>
    <phoneticPr fontId="4" type="noConversion"/>
  </si>
  <si>
    <t>개량</t>
    <phoneticPr fontId="4" type="noConversion"/>
  </si>
  <si>
    <t>3.0x2.5단가적용</t>
    <phoneticPr fontId="4" type="noConversion"/>
  </si>
  <si>
    <t>배</t>
    <phoneticPr fontId="4" type="noConversion"/>
  </si>
  <si>
    <t xml:space="preserve"> - 굴착교체 공사비의 80%적용(물돌리기를 고려하여 공사비의 1.3배 적용)</t>
    <phoneticPr fontId="8" type="noConversion"/>
  </si>
  <si>
    <t>개보수</t>
    <phoneticPr fontId="4" type="noConversion"/>
  </si>
  <si>
    <t>처리시설
및
오수관로</t>
    <phoneticPr fontId="4" type="noConversion"/>
  </si>
  <si>
    <t>&lt;수리검토에 의한 관경확대 공사비&gt;</t>
    <phoneticPr fontId="4" type="noConversion"/>
  </si>
  <si>
    <t>원인자부담금비율</t>
    <phoneticPr fontId="4" type="noConversion"/>
  </si>
  <si>
    <t>관경확대 비율</t>
    <phoneticPr fontId="4" type="noConversion"/>
  </si>
  <si>
    <t>관경확대사업비</t>
    <phoneticPr fontId="4" type="noConversion"/>
  </si>
  <si>
    <t>원인자 사업비</t>
    <phoneticPr fontId="4" type="noConversion"/>
  </si>
  <si>
    <t xml:space="preserve">  (기존관 철거를 고려하여 공사비의 1.3배 적용)</t>
    <phoneticPr fontId="8" type="noConversion"/>
  </si>
  <si>
    <t>공공하수
처리구역</t>
    <phoneticPr fontId="4" type="noConversion"/>
  </si>
  <si>
    <t>소규모
공공하수
처리구역</t>
    <phoneticPr fontId="4" type="noConversion"/>
  </si>
  <si>
    <t xml:space="preserve"> - 콘크리트관, 포장구간 적용(200mm는 플라스틱관 적용)</t>
    <phoneticPr fontId="8" type="noConversion"/>
  </si>
  <si>
    <t>구분</t>
    <phoneticPr fontId="8" type="noConversion"/>
  </si>
  <si>
    <t>2035년</t>
    <phoneticPr fontId="8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</si>
  <si>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</si>
  <si>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</si>
  <si>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</si>
  <si>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</si>
  <si>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</si>
  <si>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</si>
  <si>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</si>
  <si>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</si>
  <si>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</si>
  <si>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</si>
  <si>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</si>
  <si>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계</t>
    <phoneticPr fontId="8" type="noConversion"/>
  </si>
  <si>
    <t xml:space="preserve">D300                                                                            </t>
  </si>
  <si>
    <t xml:space="preserve">D400                                                                            </t>
  </si>
  <si>
    <t xml:space="preserve">D450                                                                            </t>
  </si>
  <si>
    <t xml:space="preserve">D500                                                                            </t>
  </si>
  <si>
    <t xml:space="preserve">D600                                                                            </t>
  </si>
  <si>
    <t xml:space="preserve">D700                                                                            </t>
  </si>
  <si>
    <t xml:space="preserve">D800                                                                            </t>
  </si>
  <si>
    <t xml:space="preserve">D900                                                                            </t>
  </si>
  <si>
    <t xml:space="preserve">D1000                                                                           </t>
  </si>
  <si>
    <t xml:space="preserve">D1100                                                                           </t>
  </si>
  <si>
    <t xml:space="preserve">D1200                                                                           </t>
  </si>
  <si>
    <t xml:space="preserve">D300                                                                            </t>
    <phoneticPr fontId="4" type="noConversion"/>
  </si>
  <si>
    <t>D1350</t>
  </si>
  <si>
    <t>D1350</t>
    <phoneticPr fontId="4" type="noConversion"/>
  </si>
  <si>
    <t>맨홀보강</t>
    <phoneticPr fontId="4" type="noConversion"/>
  </si>
  <si>
    <t>맨홀인상</t>
    <phoneticPr fontId="4" type="noConversion"/>
  </si>
  <si>
    <t>뚜껑교체</t>
    <phoneticPr fontId="4" type="noConversion"/>
  </si>
  <si>
    <t>사다리</t>
    <phoneticPr fontId="4" type="noConversion"/>
  </si>
  <si>
    <t>할증</t>
    <phoneticPr fontId="4" type="noConversion"/>
  </si>
  <si>
    <t xml:space="preserve"> - "강우시하수도정비시범사업 기본설계(2016.6)"상의 사업비 적용(기능정상화)</t>
    <phoneticPr fontId="8" type="noConversion"/>
  </si>
  <si>
    <t xml:space="preserve"> - "강우시하수도정비시범사업 기본설계(2016.6)"상의 사업비 적용(차집 및 오수간선관로)</t>
    <phoneticPr fontId="8" type="noConversion"/>
  </si>
  <si>
    <t>나. 공공하수처리시설 신증설 공사비</t>
    <phoneticPr fontId="5" type="noConversion"/>
  </si>
  <si>
    <t>다. 공공하수처리시설 기능정상화 공사비</t>
    <phoneticPr fontId="5" type="noConversion"/>
  </si>
  <si>
    <t>■ 굴착교체</t>
    <phoneticPr fontId="5" type="noConversion"/>
  </si>
  <si>
    <t>■ 전체보수</t>
    <phoneticPr fontId="5" type="noConversion"/>
  </si>
  <si>
    <t>■ 부분보수</t>
    <phoneticPr fontId="5" type="noConversion"/>
  </si>
  <si>
    <t>■ 맨홀보수</t>
    <phoneticPr fontId="5" type="noConversion"/>
  </si>
  <si>
    <t>■ 우수토실 개량</t>
    <phoneticPr fontId="5" type="noConversion"/>
  </si>
  <si>
    <t>■ 맨홀펌프장</t>
    <phoneticPr fontId="4" type="noConversion"/>
  </si>
  <si>
    <t>■ 배수설비</t>
    <phoneticPr fontId="4" type="noConversion"/>
  </si>
  <si>
    <t>■ 관로신설</t>
    <phoneticPr fontId="5" type="noConversion"/>
  </si>
  <si>
    <t>가. 총괄(소규모)</t>
    <phoneticPr fontId="5" type="noConversion"/>
  </si>
  <si>
    <t>가. 총괄(음성)</t>
    <phoneticPr fontId="5" type="noConversion"/>
  </si>
  <si>
    <t>관경</t>
  </si>
  <si>
    <t>(mm)</t>
  </si>
  <si>
    <t>평균값</t>
  </si>
  <si>
    <t xml:space="preserve">ABL </t>
  </si>
  <si>
    <t>공법</t>
  </si>
  <si>
    <t>ESTM</t>
  </si>
  <si>
    <t>BPL</t>
  </si>
  <si>
    <t>TPLS</t>
  </si>
  <si>
    <t>MSHS</t>
  </si>
  <si>
    <t>D-ITL</t>
  </si>
  <si>
    <t>B&amp;G</t>
  </si>
  <si>
    <t>SEPR</t>
  </si>
  <si>
    <t>-</t>
  </si>
  <si>
    <t>순공사비</t>
  </si>
  <si>
    <t>물돌리기</t>
  </si>
  <si>
    <r>
      <t>CCTV</t>
    </r>
    <r>
      <rPr>
        <b/>
        <sz val="11"/>
        <color rgb="FF000000"/>
        <rFont val="맑은 고딕"/>
        <family val="3"/>
        <charset val="129"/>
        <scheme val="minor"/>
      </rPr>
      <t>조사</t>
    </r>
  </si>
  <si>
    <t>소계</t>
  </si>
  <si>
    <r>
      <t>제경비</t>
    </r>
    <r>
      <rPr>
        <b/>
        <sz val="11"/>
        <color rgb="FF000000"/>
        <rFont val="함초롬바탕"/>
        <family val="1"/>
        <charset val="129"/>
      </rPr>
      <t>(%)</t>
    </r>
  </si>
  <si>
    <t>적용</t>
  </si>
  <si>
    <t>공사비</t>
  </si>
  <si>
    <t>비고</t>
  </si>
  <si>
    <r>
      <rPr>
        <b/>
        <sz val="10"/>
        <rFont val="HY신명조"/>
        <family val="1"/>
      </rPr>
      <t>규격</t>
    </r>
  </si>
  <si>
    <r>
      <rPr>
        <b/>
        <sz val="10"/>
        <rFont val="HY신명조"/>
        <family val="1"/>
      </rPr>
      <t>비굴착 전체보수 직접공사비 (원)</t>
    </r>
  </si>
  <si>
    <r>
      <rPr>
        <b/>
        <sz val="10"/>
        <rFont val="HY신명조"/>
        <family val="1"/>
      </rPr>
      <t>수량</t>
    </r>
  </si>
  <si>
    <r>
      <rPr>
        <b/>
        <sz val="10"/>
        <rFont val="HY신명조"/>
        <family val="1"/>
      </rPr>
      <t>A공법</t>
    </r>
  </si>
  <si>
    <r>
      <rPr>
        <b/>
        <sz val="10"/>
        <rFont val="HY신명조"/>
        <family val="1"/>
      </rPr>
      <t>B공법</t>
    </r>
  </si>
  <si>
    <r>
      <rPr>
        <b/>
        <sz val="10"/>
        <rFont val="HY신명조"/>
        <family val="1"/>
      </rPr>
      <t>C공법</t>
    </r>
  </si>
  <si>
    <r>
      <rPr>
        <b/>
        <sz val="10"/>
        <rFont val="HY신명조"/>
        <family val="1"/>
      </rPr>
      <t>D공법</t>
    </r>
  </si>
  <si>
    <r>
      <rPr>
        <b/>
        <sz val="10"/>
        <rFont val="HY신명조"/>
        <family val="1"/>
      </rPr>
      <t>E공법</t>
    </r>
  </si>
  <si>
    <r>
      <rPr>
        <b/>
        <sz val="10"/>
        <rFont val="HY신명조"/>
        <family val="1"/>
      </rPr>
      <t>평균</t>
    </r>
  </si>
  <si>
    <r>
      <rPr>
        <sz val="10"/>
        <rFont val="HY신명조"/>
        <family val="1"/>
      </rPr>
      <t>Φ200mm×3.0t</t>
    </r>
  </si>
  <si>
    <r>
      <rPr>
        <sz val="10"/>
        <rFont val="HY신명조"/>
        <family val="1"/>
      </rPr>
      <t>1m</t>
    </r>
  </si>
  <si>
    <r>
      <rPr>
        <sz val="10"/>
        <rFont val="HY신명조"/>
        <family val="1"/>
      </rPr>
      <t>Φ250mm×3.0t</t>
    </r>
  </si>
  <si>
    <r>
      <rPr>
        <sz val="10"/>
        <rFont val="HY신명조"/>
        <family val="1"/>
      </rPr>
      <t>Φ300mm×4.5t</t>
    </r>
  </si>
  <si>
    <r>
      <rPr>
        <sz val="10"/>
        <rFont val="HY신명조"/>
        <family val="1"/>
      </rPr>
      <t>Φ350mm×4.5t</t>
    </r>
  </si>
  <si>
    <r>
      <rPr>
        <sz val="10"/>
        <rFont val="HY신명조"/>
        <family val="1"/>
      </rPr>
      <t>Φ400mm×6.0t</t>
    </r>
  </si>
  <si>
    <r>
      <rPr>
        <sz val="10"/>
        <rFont val="HY신명조"/>
        <family val="1"/>
      </rPr>
      <t>Φ450mm×6.0t</t>
    </r>
  </si>
  <si>
    <r>
      <rPr>
        <sz val="10"/>
        <rFont val="HY신명조"/>
        <family val="1"/>
      </rPr>
      <t>Φ500mm×6.0t</t>
    </r>
  </si>
  <si>
    <r>
      <rPr>
        <sz val="10"/>
        <rFont val="HY신명조"/>
        <family val="1"/>
      </rPr>
      <t>Φ600mm×7.5t</t>
    </r>
  </si>
  <si>
    <r>
      <rPr>
        <sz val="10"/>
        <rFont val="HY신명조"/>
        <family val="1"/>
      </rPr>
      <t>Φ700mm×7.5t</t>
    </r>
  </si>
  <si>
    <r>
      <rPr>
        <sz val="10"/>
        <rFont val="HY신명조"/>
        <family val="1"/>
      </rPr>
      <t>Φ800mm×10.0t</t>
    </r>
  </si>
  <si>
    <r>
      <rPr>
        <sz val="10"/>
        <rFont val="HY신명조"/>
        <family val="1"/>
      </rPr>
      <t>Φ900mm×10.0t</t>
    </r>
  </si>
  <si>
    <r>
      <rPr>
        <sz val="10"/>
        <rFont val="HY신명조"/>
        <family val="1"/>
      </rPr>
      <t>Φ1000mm×12.0t</t>
    </r>
  </si>
  <si>
    <r>
      <rPr>
        <sz val="10"/>
        <rFont val="HY신명조"/>
        <family val="1"/>
      </rPr>
      <t>Φ1100mm×13.5t</t>
    </r>
  </si>
  <si>
    <r>
      <rPr>
        <b/>
        <sz val="11"/>
        <rFont val="HY신명조"/>
        <family val="1"/>
      </rPr>
      <t>규격</t>
    </r>
  </si>
  <si>
    <r>
      <rPr>
        <b/>
        <sz val="11"/>
        <rFont val="HY신명조"/>
        <family val="1"/>
      </rPr>
      <t>비굴착 부분보수 직접공사비 (원)</t>
    </r>
  </si>
  <si>
    <r>
      <rPr>
        <b/>
        <sz val="11"/>
        <rFont val="HY신명조"/>
        <family val="1"/>
      </rPr>
      <t>수량</t>
    </r>
  </si>
  <si>
    <r>
      <rPr>
        <b/>
        <sz val="11"/>
        <rFont val="HY신명조"/>
        <family val="1"/>
      </rPr>
      <t>A공법</t>
    </r>
  </si>
  <si>
    <r>
      <rPr>
        <b/>
        <sz val="11"/>
        <rFont val="HY신명조"/>
        <family val="1"/>
      </rPr>
      <t>B공법</t>
    </r>
  </si>
  <si>
    <r>
      <rPr>
        <b/>
        <sz val="11"/>
        <rFont val="HY신명조"/>
        <family val="1"/>
      </rPr>
      <t>C공법</t>
    </r>
  </si>
  <si>
    <r>
      <rPr>
        <b/>
        <sz val="11"/>
        <rFont val="HY신명조"/>
        <family val="1"/>
      </rPr>
      <t>평균</t>
    </r>
  </si>
  <si>
    <r>
      <rPr>
        <sz val="11"/>
        <rFont val="HY신명조"/>
        <family val="1"/>
      </rPr>
      <t>Φ200mm</t>
    </r>
  </si>
  <si>
    <r>
      <rPr>
        <sz val="11"/>
        <rFont val="HY신명조"/>
        <family val="1"/>
      </rPr>
      <t>1개소</t>
    </r>
  </si>
  <si>
    <r>
      <rPr>
        <sz val="11"/>
        <rFont val="HY신명조"/>
        <family val="1"/>
      </rPr>
      <t>Φ250mm</t>
    </r>
  </si>
  <si>
    <r>
      <rPr>
        <sz val="11"/>
        <rFont val="HY신명조"/>
        <family val="1"/>
      </rPr>
      <t>Φ300mm</t>
    </r>
  </si>
  <si>
    <r>
      <rPr>
        <sz val="11"/>
        <rFont val="HY신명조"/>
        <family val="1"/>
      </rPr>
      <t>Φ350mm</t>
    </r>
  </si>
  <si>
    <r>
      <rPr>
        <sz val="11"/>
        <rFont val="HY신명조"/>
        <family val="1"/>
      </rPr>
      <t>Φ400mm</t>
    </r>
  </si>
  <si>
    <r>
      <rPr>
        <sz val="11"/>
        <rFont val="HY신명조"/>
        <family val="1"/>
      </rPr>
      <t>Φ450mm</t>
    </r>
  </si>
  <si>
    <r>
      <rPr>
        <sz val="11"/>
        <rFont val="HY신명조"/>
        <family val="1"/>
      </rPr>
      <t>Φ500mm</t>
    </r>
  </si>
  <si>
    <r>
      <rPr>
        <sz val="11"/>
        <rFont val="HY신명조"/>
        <family val="1"/>
      </rPr>
      <t>Φ600mm</t>
    </r>
  </si>
  <si>
    <r>
      <rPr>
        <sz val="11"/>
        <rFont val="HY신명조"/>
        <family val="1"/>
      </rPr>
      <t>Φ700mm</t>
    </r>
  </si>
  <si>
    <r>
      <rPr>
        <sz val="11"/>
        <rFont val="HY신명조"/>
        <family val="1"/>
      </rPr>
      <t>Φ800mm</t>
    </r>
  </si>
  <si>
    <r>
      <rPr>
        <sz val="11"/>
        <rFont val="HY신명조"/>
        <family val="1"/>
      </rPr>
      <t>Φ900mm</t>
    </r>
  </si>
  <si>
    <r>
      <rPr>
        <sz val="11"/>
        <rFont val="HY신명조"/>
        <family val="1"/>
      </rPr>
      <t>Φ1000mm</t>
    </r>
  </si>
  <si>
    <r>
      <rPr>
        <sz val="11"/>
        <rFont val="HY신명조"/>
        <family val="1"/>
      </rPr>
      <t>Φ1100mm</t>
    </r>
  </si>
  <si>
    <r>
      <rPr>
        <b/>
        <sz val="10"/>
        <rFont val="HY신명조"/>
        <family val="1"/>
      </rPr>
      <t>비굴착 전체보수 표준공사비 (원)</t>
    </r>
  </si>
  <si>
    <r>
      <rPr>
        <b/>
        <sz val="11"/>
        <rFont val="HY신명조"/>
        <family val="1"/>
      </rPr>
      <t>직접공사비 (5개공법 평균)</t>
    </r>
  </si>
  <si>
    <r>
      <rPr>
        <b/>
        <sz val="11"/>
        <rFont val="HY신명조"/>
        <family val="1"/>
      </rPr>
      <t>직접공사비+부대공(15%)</t>
    </r>
  </si>
  <si>
    <r>
      <rPr>
        <b/>
        <sz val="11"/>
        <rFont val="HY신명조"/>
        <family val="1"/>
      </rPr>
      <t>표준공사비 (제경비35% 포함)</t>
    </r>
  </si>
  <si>
    <r>
      <rPr>
        <sz val="11"/>
        <rFont val="HY신명조"/>
        <family val="1"/>
      </rPr>
      <t>Φ200mm×3.0t</t>
    </r>
  </si>
  <si>
    <r>
      <rPr>
        <sz val="11"/>
        <rFont val="HY신명조"/>
        <family val="1"/>
      </rPr>
      <t>Φ250mm×3.0t</t>
    </r>
  </si>
  <si>
    <r>
      <rPr>
        <sz val="11"/>
        <rFont val="HY신명조"/>
        <family val="1"/>
      </rPr>
      <t>Φ300mm×4.5t</t>
    </r>
  </si>
  <si>
    <r>
      <rPr>
        <sz val="11"/>
        <rFont val="HY신명조"/>
        <family val="1"/>
      </rPr>
      <t>Φ350mm×4.5t</t>
    </r>
  </si>
  <si>
    <r>
      <rPr>
        <sz val="11"/>
        <rFont val="HY신명조"/>
        <family val="1"/>
      </rPr>
      <t>Φ400mm×6.0t</t>
    </r>
  </si>
  <si>
    <r>
      <rPr>
        <sz val="11"/>
        <rFont val="HY신명조"/>
        <family val="1"/>
      </rPr>
      <t>Φ450mm×6.0t</t>
    </r>
  </si>
  <si>
    <r>
      <rPr>
        <sz val="11"/>
        <rFont val="HY신명조"/>
        <family val="1"/>
      </rPr>
      <t>Φ500mm×6.0t</t>
    </r>
  </si>
  <si>
    <r>
      <rPr>
        <sz val="11"/>
        <rFont val="HY신명조"/>
        <family val="1"/>
      </rPr>
      <t>Φ600mm×7.5t</t>
    </r>
  </si>
  <si>
    <r>
      <rPr>
        <sz val="11"/>
        <rFont val="HY신명조"/>
        <family val="1"/>
      </rPr>
      <t>Φ700mm×7.5t</t>
    </r>
  </si>
  <si>
    <r>
      <rPr>
        <sz val="11"/>
        <rFont val="HY신명조"/>
        <family val="1"/>
      </rPr>
      <t>Φ800mm×10.0t</t>
    </r>
  </si>
  <si>
    <r>
      <rPr>
        <sz val="11"/>
        <rFont val="HY신명조"/>
        <family val="1"/>
      </rPr>
      <t>Φ900mm×10.0t</t>
    </r>
  </si>
  <si>
    <r>
      <rPr>
        <sz val="11"/>
        <rFont val="HY신명조"/>
        <family val="1"/>
      </rPr>
      <t>Φ1000mm×12.0t</t>
    </r>
  </si>
  <si>
    <r>
      <rPr>
        <sz val="11"/>
        <rFont val="HY신명조"/>
        <family val="1"/>
      </rPr>
      <t>Φ1100mm×13.5t</t>
    </r>
  </si>
  <si>
    <r>
      <rPr>
        <b/>
        <sz val="11"/>
        <rFont val="HY신명조"/>
        <family val="1"/>
      </rPr>
      <t>비굴착 부분보수 표준공사비 (원)</t>
    </r>
  </si>
  <si>
    <r>
      <rPr>
        <b/>
        <sz val="11"/>
        <rFont val="HY신명조"/>
        <family val="1"/>
      </rPr>
      <t>직접공사비 (3개공법 평균)</t>
    </r>
  </si>
  <si>
    <t>&lt;표 3.6.3-3&gt;  표준공사비 산정</t>
    <phoneticPr fontId="4" type="noConversion"/>
  </si>
  <si>
    <t>&lt;표 3.6.3-1&gt; 직접공사비 견적단가</t>
    <phoneticPr fontId="4" type="noConversion"/>
  </si>
  <si>
    <t>규격</t>
    <phoneticPr fontId="4" type="noConversion"/>
  </si>
  <si>
    <r>
      <rPr>
        <b/>
        <sz val="11"/>
        <rFont val="HY신명조"/>
        <family val="1"/>
      </rPr>
      <t>규격</t>
    </r>
    <phoneticPr fontId="4" type="noConversion"/>
  </si>
  <si>
    <t>하수도시설 표준사업비 산정을 통한 국고지원 적정성 검토 보고서(한국환경공단,2015.8)</t>
    <phoneticPr fontId="4" type="noConversion"/>
  </si>
  <si>
    <t xml:space="preserve"> - 하수도시설 표준사업비 산정을 통한 국고지원 적정성 검토 보고서(한국환경공단,2015.8)</t>
    <phoneticPr fontId="8" type="noConversion"/>
  </si>
  <si>
    <r>
      <rPr>
        <sz val="11"/>
        <rFont val="HY울릉도M"/>
        <family val="1"/>
      </rPr>
      <t>&lt;표 3.2.3-1&gt; 배수설비 표준공사비</t>
    </r>
  </si>
  <si>
    <r>
      <rPr>
        <b/>
        <sz val="11"/>
        <rFont val="HY신명조"/>
        <family val="1"/>
      </rPr>
      <t>공종</t>
    </r>
  </si>
  <si>
    <r>
      <rPr>
        <b/>
        <sz val="11"/>
        <rFont val="HY신명조"/>
        <family val="1"/>
      </rPr>
      <t>단위</t>
    </r>
  </si>
  <si>
    <r>
      <rPr>
        <b/>
        <sz val="11"/>
        <rFont val="HY신명조"/>
        <family val="1"/>
      </rPr>
      <t>비포장</t>
    </r>
  </si>
  <si>
    <r>
      <rPr>
        <b/>
        <sz val="11"/>
        <rFont val="HY신명조"/>
        <family val="1"/>
      </rPr>
      <t>아스팔트</t>
    </r>
  </si>
  <si>
    <r>
      <rPr>
        <b/>
        <sz val="11"/>
        <rFont val="HY신명조"/>
        <family val="1"/>
      </rPr>
      <t>콘크리트</t>
    </r>
  </si>
  <si>
    <r>
      <rPr>
        <b/>
        <sz val="11"/>
        <rFont val="HY신명조"/>
        <family val="1"/>
      </rPr>
      <t xml:space="preserve">아스팔트
</t>
    </r>
    <r>
      <rPr>
        <b/>
        <sz val="11"/>
        <rFont val="HY신명조"/>
        <family val="1"/>
      </rPr>
      <t xml:space="preserve">+
</t>
    </r>
    <r>
      <rPr>
        <b/>
        <sz val="11"/>
        <rFont val="HY신명조"/>
        <family val="1"/>
      </rPr>
      <t>콘크리트</t>
    </r>
  </si>
  <si>
    <r>
      <rPr>
        <b/>
        <sz val="11"/>
        <rFont val="HY신명조"/>
        <family val="1"/>
      </rPr>
      <t>계</t>
    </r>
  </si>
  <si>
    <r>
      <rPr>
        <b/>
        <sz val="11"/>
        <rFont val="HY신명조"/>
        <family val="1"/>
      </rPr>
      <t>비고</t>
    </r>
  </si>
  <si>
    <r>
      <rPr>
        <sz val="11"/>
        <rFont val="HY신명조"/>
        <family val="1"/>
      </rPr>
      <t>연 결 관</t>
    </r>
  </si>
  <si>
    <r>
      <rPr>
        <sz val="11"/>
        <rFont val="HY신명조"/>
        <family val="1"/>
      </rPr>
      <t>평균관거연장</t>
    </r>
  </si>
  <si>
    <r>
      <rPr>
        <sz val="11"/>
        <rFont val="HY신명조"/>
        <family val="1"/>
      </rPr>
      <t>m</t>
    </r>
  </si>
  <si>
    <r>
      <rPr>
        <sz val="11"/>
        <rFont val="HY신명조"/>
        <family val="1"/>
      </rPr>
      <t>토공+ 포장공</t>
    </r>
  </si>
  <si>
    <r>
      <rPr>
        <sz val="11"/>
        <rFont val="HY신명조"/>
        <family val="1"/>
      </rPr>
      <t>단가</t>
    </r>
  </si>
  <si>
    <r>
      <rPr>
        <sz val="11"/>
        <rFont val="HY신명조"/>
        <family val="1"/>
      </rPr>
      <t>원/m</t>
    </r>
  </si>
  <si>
    <r>
      <rPr>
        <sz val="11"/>
        <rFont val="HY신명조"/>
        <family val="1"/>
      </rPr>
      <t>금액</t>
    </r>
  </si>
  <si>
    <r>
      <rPr>
        <sz val="11"/>
        <rFont val="HY신명조"/>
        <family val="1"/>
      </rPr>
      <t>원</t>
    </r>
  </si>
  <si>
    <r>
      <rPr>
        <sz val="11"/>
        <rFont val="HY신명조"/>
        <family val="1"/>
      </rPr>
      <t>관로공</t>
    </r>
  </si>
  <si>
    <r>
      <rPr>
        <sz val="11"/>
        <rFont val="HY신명조"/>
        <family val="1"/>
      </rPr>
      <t>배 수 관</t>
    </r>
  </si>
  <si>
    <r>
      <rPr>
        <sz val="11"/>
        <rFont val="HY신명조"/>
        <family val="1"/>
      </rPr>
      <t>오수받이</t>
    </r>
  </si>
  <si>
    <r>
      <rPr>
        <sz val="11"/>
        <rFont val="HY신명조"/>
        <family val="1"/>
      </rPr>
      <t>개</t>
    </r>
  </si>
  <si>
    <r>
      <rPr>
        <sz val="11"/>
        <rFont val="HY신명조"/>
        <family val="1"/>
      </rPr>
      <t>D=300mm(1개소)</t>
    </r>
  </si>
  <si>
    <r>
      <rPr>
        <sz val="11"/>
        <rFont val="HY신명조"/>
        <family val="1"/>
      </rPr>
      <t>소</t>
    </r>
  </si>
  <si>
    <r>
      <rPr>
        <sz val="11"/>
        <rFont val="HY신명조"/>
        <family val="1"/>
      </rPr>
      <t>계</t>
    </r>
  </si>
  <si>
    <r>
      <rPr>
        <sz val="11"/>
        <rFont val="HY신명조"/>
        <family val="1"/>
      </rPr>
      <t>부</t>
    </r>
  </si>
  <si>
    <r>
      <rPr>
        <sz val="11"/>
        <rFont val="HY신명조"/>
        <family val="1"/>
      </rPr>
      <t>대</t>
    </r>
  </si>
  <si>
    <r>
      <rPr>
        <sz val="11"/>
        <rFont val="HY신명조"/>
        <family val="1"/>
      </rPr>
      <t>공</t>
    </r>
  </si>
  <si>
    <r>
      <rPr>
        <sz val="11"/>
        <rFont val="HY신명조"/>
        <family val="1"/>
      </rPr>
      <t>%</t>
    </r>
  </si>
  <si>
    <r>
      <rPr>
        <sz val="11"/>
        <rFont val="HY신명조"/>
        <family val="1"/>
      </rPr>
      <t>제</t>
    </r>
  </si>
  <si>
    <r>
      <rPr>
        <sz val="11"/>
        <rFont val="HY신명조"/>
        <family val="1"/>
      </rPr>
      <t>경</t>
    </r>
  </si>
  <si>
    <r>
      <rPr>
        <sz val="11"/>
        <rFont val="HY신명조"/>
        <family val="1"/>
      </rPr>
      <t>비</t>
    </r>
  </si>
  <si>
    <r>
      <rPr>
        <sz val="11"/>
        <rFont val="HY신명조"/>
        <family val="1"/>
      </rPr>
      <t>사</t>
    </r>
  </si>
  <si>
    <r>
      <rPr>
        <sz val="11"/>
        <rFont val="HY신명조"/>
        <family val="1"/>
      </rPr>
      <t>원/가구</t>
    </r>
  </si>
  <si>
    <t>용량</t>
    <phoneticPr fontId="4" type="noConversion"/>
  </si>
  <si>
    <t>토목</t>
    <phoneticPr fontId="4" type="noConversion"/>
  </si>
  <si>
    <t>기계</t>
    <phoneticPr fontId="4" type="noConversion"/>
  </si>
  <si>
    <t>전기</t>
    <phoneticPr fontId="4" type="noConversion"/>
  </si>
  <si>
    <t>직접공사비 합계</t>
    <phoneticPr fontId="4" type="noConversion"/>
  </si>
  <si>
    <t>표준공사비(제경비포함)</t>
    <phoneticPr fontId="4" type="noConversion"/>
  </si>
  <si>
    <t>단위(백만원)</t>
    <phoneticPr fontId="4" type="noConversion"/>
  </si>
  <si>
    <t>한벌</t>
    <phoneticPr fontId="4" type="noConversion"/>
  </si>
  <si>
    <t>사창</t>
    <phoneticPr fontId="4" type="noConversion"/>
  </si>
  <si>
    <t>소이</t>
    <phoneticPr fontId="4" type="noConversion"/>
  </si>
  <si>
    <t>원남</t>
    <phoneticPr fontId="4" type="noConversion"/>
  </si>
  <si>
    <t>주천</t>
    <phoneticPr fontId="4" type="noConversion"/>
  </si>
  <si>
    <t>음성
처리구역</t>
    <phoneticPr fontId="8" type="noConversion"/>
  </si>
  <si>
    <t>음성
처리구역</t>
    <phoneticPr fontId="8" type="noConversion"/>
  </si>
  <si>
    <t>음성
처리구역</t>
    <phoneticPr fontId="4" type="noConversion"/>
  </si>
  <si>
    <t>군부대</t>
    <phoneticPr fontId="4" type="noConversion"/>
  </si>
  <si>
    <t>음성1</t>
    <phoneticPr fontId="8" type="noConversion"/>
  </si>
  <si>
    <t>음성2</t>
    <phoneticPr fontId="8" type="noConversion"/>
  </si>
  <si>
    <t xml:space="preserve"> -  공사비(백만원) = (0.304 V + 1,854.83) × 1.35  (V:저류용량, ㎥)</t>
    <phoneticPr fontId="4" type="noConversion"/>
  </si>
  <si>
    <t xml:space="preserve"> - “하수도분야 보조금 편성 및 집행관리 실무요령(2016.1, 환경부) 상의 사업비 적용(하수저류시설)</t>
    <phoneticPr fontId="8" type="noConversion"/>
  </si>
  <si>
    <t>음성</t>
    <phoneticPr fontId="8" type="noConversion"/>
  </si>
  <si>
    <t>음성2</t>
    <phoneticPr fontId="4" type="noConversion"/>
  </si>
  <si>
    <t xml:space="preserve"> -  자연유하구간은 플라스틱관, 압송구간은 주철관 적용, 포장상태는 포장구간 적용</t>
    <phoneticPr fontId="8" type="noConversion"/>
  </si>
  <si>
    <t xml:space="preserve"> - “하수도분야 보조금 편성 및 집행관리 실무요령(2017.1, 환경부)”상의 사업비 산정기준 적용</t>
    <phoneticPr fontId="8" type="noConversion"/>
  </si>
  <si>
    <t>가. 총괄(대소)</t>
    <phoneticPr fontId="5" type="noConversion"/>
  </si>
  <si>
    <t>(단위:백만원)</t>
    <phoneticPr fontId="4" type="noConversion"/>
  </si>
  <si>
    <t>구분</t>
    <phoneticPr fontId="4" type="noConversion"/>
  </si>
  <si>
    <t>계</t>
    <phoneticPr fontId="4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</si>
  <si>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</si>
  <si>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</si>
  <si>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</si>
  <si>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</si>
  <si>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오수간선 및 
차집관로
정비</t>
    <phoneticPr fontId="4" type="noConversion"/>
  </si>
  <si>
    <t>교체</t>
    <phoneticPr fontId="4" type="noConversion"/>
  </si>
  <si>
    <t>보수</t>
    <phoneticPr fontId="4" type="noConversion"/>
  </si>
  <si>
    <t>오수관로
정비</t>
    <phoneticPr fontId="4" type="noConversion"/>
  </si>
  <si>
    <t>신설</t>
    <phoneticPr fontId="4" type="noConversion"/>
  </si>
  <si>
    <t>개보수</t>
    <phoneticPr fontId="4" type="noConversion"/>
  </si>
  <si>
    <t>교체</t>
    <phoneticPr fontId="4" type="noConversion"/>
  </si>
  <si>
    <t>우수관로
정비</t>
    <phoneticPr fontId="4" type="noConversion"/>
  </si>
  <si>
    <t>신설</t>
    <phoneticPr fontId="4" type="noConversion"/>
  </si>
  <si>
    <t>개보수</t>
    <phoneticPr fontId="4" type="noConversion"/>
  </si>
  <si>
    <t>교체</t>
    <phoneticPr fontId="4" type="noConversion"/>
  </si>
  <si>
    <t>처리시설</t>
    <phoneticPr fontId="4" type="noConversion"/>
  </si>
  <si>
    <t>신증설</t>
    <phoneticPr fontId="4" type="noConversion"/>
  </si>
  <si>
    <t>기능정상화</t>
    <phoneticPr fontId="4" type="noConversion"/>
  </si>
  <si>
    <t>기타</t>
    <phoneticPr fontId="4" type="noConversion"/>
  </si>
  <si>
    <t>나. 공공하수처리시설 신증설 공사비</t>
    <phoneticPr fontId="5" type="noConversion"/>
  </si>
  <si>
    <t>1) 사업비 산정기준</t>
    <phoneticPr fontId="5" type="noConversion"/>
  </si>
  <si>
    <t>시설용량(㎥/일)</t>
    <phoneticPr fontId="8" type="noConversion"/>
  </si>
  <si>
    <t>침사 및 유입펌프장</t>
    <phoneticPr fontId="8" type="noConversion"/>
  </si>
  <si>
    <t>유량조정조</t>
    <phoneticPr fontId="8" type="noConversion"/>
  </si>
  <si>
    <t>2) 공사비 산정</t>
    <phoneticPr fontId="5" type="noConversion"/>
  </si>
  <si>
    <t>일차침전지</t>
    <phoneticPr fontId="8" type="noConversion"/>
  </si>
  <si>
    <t>(단위 : ㎥/일, 백만원)</t>
    <phoneticPr fontId="8" type="noConversion"/>
  </si>
  <si>
    <t>생물반응조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</si>
  <si>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</si>
  <si>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</si>
  <si>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</si>
  <si>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</si>
  <si>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</si>
  <si>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</si>
  <si>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이차침전지</t>
    <phoneticPr fontId="8" type="noConversion"/>
  </si>
  <si>
    <t>증설용량</t>
    <phoneticPr fontId="8" type="noConversion"/>
  </si>
  <si>
    <t>소독 방류동</t>
    <phoneticPr fontId="8" type="noConversion"/>
  </si>
  <si>
    <t>작은시설용량</t>
    <phoneticPr fontId="8" type="noConversion"/>
  </si>
  <si>
    <t>농축</t>
    <phoneticPr fontId="8" type="noConversion"/>
  </si>
  <si>
    <t>큰시설용량</t>
    <phoneticPr fontId="8" type="noConversion"/>
  </si>
  <si>
    <t>탈수</t>
    <phoneticPr fontId="8" type="noConversion"/>
  </si>
  <si>
    <t>큰공사비</t>
    <phoneticPr fontId="8" type="noConversion"/>
  </si>
  <si>
    <t>탈취</t>
    <phoneticPr fontId="8" type="noConversion"/>
  </si>
  <si>
    <t>작은공사비</t>
    <phoneticPr fontId="8" type="noConversion"/>
  </si>
  <si>
    <t>저류조</t>
    <phoneticPr fontId="8" type="noConversion"/>
  </si>
  <si>
    <t>공사비</t>
    <phoneticPr fontId="8" type="noConversion"/>
  </si>
  <si>
    <t>관리시설</t>
    <phoneticPr fontId="8" type="noConversion"/>
  </si>
  <si>
    <t>주) 증설공사로 침사 및 유입펌프장, 유량조정조, 저류조, 관리시설 제외</t>
    <phoneticPr fontId="4" type="noConversion"/>
  </si>
  <si>
    <r>
      <t xml:space="preserve">부대시설 </t>
    </r>
    <r>
      <rPr>
        <sz val="9"/>
        <color rgb="FF000000"/>
        <rFont val="맑은 고딕"/>
        <family val="3"/>
        <charset val="129"/>
        <scheme val="minor"/>
      </rPr>
      <t>(</t>
    </r>
    <r>
      <rPr>
        <sz val="9"/>
        <color rgb="FF000000"/>
        <rFont val="한양신명조"/>
        <family val="3"/>
        <charset val="129"/>
      </rPr>
      <t>조경</t>
    </r>
    <r>
      <rPr>
        <sz val="9"/>
        <color rgb="FF000000"/>
        <rFont val="맑은 고딕"/>
        <family val="3"/>
        <charset val="129"/>
        <scheme val="minor"/>
      </rPr>
      <t xml:space="preserve">, </t>
    </r>
    <r>
      <rPr>
        <sz val="9"/>
        <color rgb="FF000000"/>
        <rFont val="한양신명조"/>
        <family val="3"/>
        <charset val="129"/>
      </rPr>
      <t>공동구</t>
    </r>
    <r>
      <rPr>
        <sz val="9"/>
        <color rgb="FF000000"/>
        <rFont val="맑은 고딕"/>
        <family val="3"/>
        <charset val="129"/>
        <scheme val="minor"/>
      </rPr>
      <t>)</t>
    </r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</si>
  <si>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</si>
  <si>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</si>
  <si>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</si>
  <si>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공사비(백만원)</t>
    <phoneticPr fontId="8" type="noConversion"/>
  </si>
  <si>
    <t>공사감리비</t>
    <phoneticPr fontId="8" type="noConversion"/>
  </si>
  <si>
    <t>금회공사비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</si>
  <si>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</si>
  <si>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</si>
  <si>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</si>
  <si>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</si>
  <si>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</si>
  <si>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</si>
  <si>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</si>
  <si>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</si>
  <si>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</si>
  <si>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</si>
  <si>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</si>
  <si>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</si>
  <si>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</si>
  <si>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</si>
  <si>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</si>
  <si>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</si>
  <si>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시설부대비</t>
    <phoneticPr fontId="8" type="noConversion"/>
  </si>
  <si>
    <t>5) 총 사업비</t>
    <phoneticPr fontId="5" type="noConversion"/>
  </si>
  <si>
    <t>설계비</t>
    <phoneticPr fontId="8" type="noConversion"/>
  </si>
  <si>
    <t>계</t>
    <phoneticPr fontId="8" type="noConversion"/>
  </si>
  <si>
    <t>다. 공공하수처리시설 기능정상화 공사비</t>
    <phoneticPr fontId="5" type="noConversion"/>
  </si>
  <si>
    <t xml:space="preserve"> - "강우시하수도정비시범사업 기본설계(2016.6)"상의 사업비 적용(기능정상화)</t>
    <phoneticPr fontId="8" type="noConversion"/>
  </si>
  <si>
    <t>기능정상화</t>
    <phoneticPr fontId="8" type="noConversion"/>
  </si>
  <si>
    <t>4) 감리비 산정</t>
    <phoneticPr fontId="8" type="noConversion"/>
  </si>
  <si>
    <t>라. 오수간선/차집관로 교체 및 보수</t>
    <phoneticPr fontId="5" type="noConversion"/>
  </si>
  <si>
    <t>1) 공사비</t>
    <phoneticPr fontId="5" type="noConversion"/>
  </si>
  <si>
    <t>교체보수비율</t>
    <phoneticPr fontId="4" type="noConversion"/>
  </si>
  <si>
    <t>1단계</t>
    <phoneticPr fontId="4" type="noConversion"/>
  </si>
  <si>
    <t>굴착교체</t>
    <phoneticPr fontId="8" type="noConversion"/>
  </si>
  <si>
    <t>전체보수</t>
    <phoneticPr fontId="4" type="noConversion"/>
  </si>
  <si>
    <t>부분보수</t>
    <phoneticPr fontId="8" type="noConversion"/>
  </si>
  <si>
    <t>맨홀보수</t>
    <phoneticPr fontId="8" type="noConversion"/>
  </si>
  <si>
    <t>원인자부담금비율</t>
    <phoneticPr fontId="4" type="noConversion"/>
  </si>
  <si>
    <t>우수토실개량</t>
    <phoneticPr fontId="8" type="noConversion"/>
  </si>
  <si>
    <t>관경확대 비율</t>
    <phoneticPr fontId="4" type="noConversion"/>
  </si>
  <si>
    <t>관경확대사업비</t>
    <phoneticPr fontId="4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</si>
  <si>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</si>
  <si>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</si>
  <si>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</si>
  <si>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</si>
  <si>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</si>
  <si>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</si>
  <si>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</si>
  <si>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</si>
  <si>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</si>
  <si>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■ 굴착교체</t>
    <phoneticPr fontId="5" type="noConversion"/>
  </si>
  <si>
    <t>배</t>
    <phoneticPr fontId="4" type="noConversion"/>
  </si>
  <si>
    <t>1) 공사비 산정기준</t>
    <phoneticPr fontId="5" type="noConversion"/>
  </si>
  <si>
    <t xml:space="preserve"> - "강우시하수도정비시범사업 기본설계(2016.6)"상의 사업비 적용(차집 및 오수간선관로)</t>
    <phoneticPr fontId="8" type="noConversion"/>
  </si>
  <si>
    <t>관 경(mm)</t>
    <phoneticPr fontId="8" type="noConversion"/>
  </si>
  <si>
    <t>(단위 :백만원)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</si>
  <si>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</si>
  <si>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</si>
  <si>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</si>
  <si>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&lt;수리검토에 의한 관경확대 공사비&gt;</t>
    <phoneticPr fontId="4" type="noConversion"/>
  </si>
  <si>
    <t>대소
처리구역</t>
    <phoneticPr fontId="8" type="noConversion"/>
  </si>
  <si>
    <t>음성
처리구역</t>
    <phoneticPr fontId="8" type="noConversion"/>
  </si>
  <si>
    <t>사각형거
(BOX)1련
2련박스는 동일규격의 1.5배적용</t>
    <phoneticPr fontId="8" type="noConversion"/>
  </si>
  <si>
    <t>■ 전체보수</t>
    <phoneticPr fontId="5" type="noConversion"/>
  </si>
  <si>
    <t>하수도시설 표준사업비 산정을 통한 국고지원 적정성 검토 보고서(한국환경공단,2015.8)</t>
    <phoneticPr fontId="4" type="noConversion"/>
  </si>
  <si>
    <t>&lt;표 3.6.3-1&gt; 직접공사비 견적단가</t>
    <phoneticPr fontId="4" type="noConversion"/>
  </si>
  <si>
    <t xml:space="preserve"> - 하수도시설 표준사업비 산정을 통한 국고지원 적정성 검토 보고서(한국환경공단,2015.8)</t>
    <phoneticPr fontId="8" type="noConversion"/>
  </si>
  <si>
    <t>조사단가(원/m)</t>
    <phoneticPr fontId="4" type="noConversion"/>
  </si>
  <si>
    <t>할증</t>
    <phoneticPr fontId="4" type="noConversion"/>
  </si>
  <si>
    <t>적용단가(원/m)</t>
    <phoneticPr fontId="4" type="noConversion"/>
  </si>
  <si>
    <t>대소
처리구역</t>
    <phoneticPr fontId="4" type="noConversion"/>
  </si>
  <si>
    <t xml:space="preserve">D300                                                                            </t>
    <phoneticPr fontId="4" type="noConversion"/>
  </si>
  <si>
    <t>&lt;표 3.6.3-3&gt;  표준공사비 산정</t>
    <phoneticPr fontId="4" type="noConversion"/>
  </si>
  <si>
    <r>
      <rPr>
        <b/>
        <sz val="11"/>
        <rFont val="HY신명조"/>
        <family val="1"/>
      </rPr>
      <t>규격</t>
    </r>
    <phoneticPr fontId="4" type="noConversion"/>
  </si>
  <si>
    <t>규격</t>
    <phoneticPr fontId="4" type="noConversion"/>
  </si>
  <si>
    <t>■ 부분보수</t>
    <phoneticPr fontId="5" type="noConversion"/>
  </si>
  <si>
    <t>부분보수</t>
    <phoneticPr fontId="4" type="noConversion"/>
  </si>
  <si>
    <t>단가
(원/개소)</t>
    <phoneticPr fontId="8" type="noConversion"/>
  </si>
  <si>
    <t>개소</t>
    <phoneticPr fontId="8" type="noConversion"/>
  </si>
  <si>
    <t>대소
처리구역</t>
  </si>
  <si>
    <t>D1350</t>
    <phoneticPr fontId="4" type="noConversion"/>
  </si>
  <si>
    <t>■ 맨홀보수</t>
    <phoneticPr fontId="5" type="noConversion"/>
  </si>
  <si>
    <t>1. 공사비 산출근거(개소당)</t>
    <phoneticPr fontId="8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</si>
  <si>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</si>
  <si>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</si>
  <si>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</si>
  <si>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</si>
  <si>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단가</t>
    <phoneticPr fontId="21" type="noConversion"/>
  </si>
  <si>
    <t>개략공사비(원)</t>
    <phoneticPr fontId="21" type="noConversion"/>
  </si>
  <si>
    <t>비고</t>
    <phoneticPr fontId="21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</si>
  <si>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</si>
  <si>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</si>
  <si>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</si>
  <si>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</si>
  <si>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</si>
  <si>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단가
(원/개소)</t>
    <phoneticPr fontId="8" type="noConversion"/>
  </si>
  <si>
    <t>2) 되메우기 및 다짐</t>
    <phoneticPr fontId="21" type="noConversion"/>
  </si>
  <si>
    <t>기계, 다짐</t>
    <phoneticPr fontId="21" type="noConversion"/>
  </si>
  <si>
    <t>DH110.00000, 실적단가</t>
    <phoneticPr fontId="4" type="noConversion"/>
  </si>
  <si>
    <t>2. 구조물공</t>
    <phoneticPr fontId="21" type="noConversion"/>
  </si>
  <si>
    <t>1) 재료비</t>
    <phoneticPr fontId="21" type="noConversion"/>
  </si>
  <si>
    <t>3호맨홀</t>
    <phoneticPr fontId="21" type="noConversion"/>
  </si>
  <si>
    <t>식</t>
    <phoneticPr fontId="21" type="noConversion"/>
  </si>
  <si>
    <t>조달청 계약단가</t>
    <phoneticPr fontId="8" type="noConversion"/>
  </si>
  <si>
    <t>맨홀보강</t>
    <phoneticPr fontId="4" type="noConversion"/>
  </si>
  <si>
    <t>2) 설치비</t>
    <phoneticPr fontId="21" type="noConversion"/>
  </si>
  <si>
    <t>재료비의 20%</t>
    <phoneticPr fontId="8" type="noConversion"/>
  </si>
  <si>
    <t>맨홀인상</t>
    <phoneticPr fontId="4" type="noConversion"/>
  </si>
  <si>
    <t>3. 가시설공</t>
    <phoneticPr fontId="21" type="noConversion"/>
  </si>
  <si>
    <t>1) 시트파일</t>
    <phoneticPr fontId="21" type="noConversion"/>
  </si>
  <si>
    <t>H=4.5</t>
    <phoneticPr fontId="21" type="noConversion"/>
  </si>
  <si>
    <t>m</t>
    <phoneticPr fontId="21" type="noConversion"/>
  </si>
  <si>
    <t>유사사례 적용</t>
    <phoneticPr fontId="8" type="noConversion"/>
  </si>
  <si>
    <t>뚜껑교체</t>
    <phoneticPr fontId="4" type="noConversion"/>
  </si>
  <si>
    <t>6. 부대공</t>
    <phoneticPr fontId="8" type="noConversion"/>
  </si>
  <si>
    <t>공사비의 50%</t>
    <phoneticPr fontId="8" type="noConversion"/>
  </si>
  <si>
    <t>사다리</t>
    <phoneticPr fontId="4" type="noConversion"/>
  </si>
  <si>
    <t>순공사비 계</t>
    <phoneticPr fontId="21" type="noConversion"/>
  </si>
  <si>
    <t>제경비 계(순공사비 35% 적용)</t>
    <phoneticPr fontId="21" type="noConversion"/>
  </si>
  <si>
    <t>공사비 계</t>
    <phoneticPr fontId="21" type="noConversion"/>
  </si>
  <si>
    <t>4m기준</t>
    <phoneticPr fontId="4" type="noConversion"/>
  </si>
  <si>
    <t>1500*550</t>
    <phoneticPr fontId="4" type="noConversion"/>
  </si>
  <si>
    <t>1500*500</t>
    <phoneticPr fontId="4" type="noConversion"/>
  </si>
  <si>
    <t>1500*1500</t>
    <phoneticPr fontId="4" type="noConversion"/>
  </si>
  <si>
    <t>■ 우수토실 개량</t>
    <phoneticPr fontId="5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</si>
  <si>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</si>
  <si>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</si>
  <si>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</si>
  <si>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</si>
  <si>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</si>
  <si>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우수토실</t>
    <phoneticPr fontId="8" type="noConversion"/>
  </si>
  <si>
    <t>2) 되메우기 및 다짐</t>
    <phoneticPr fontId="21" type="noConversion"/>
  </si>
  <si>
    <t>기계, 다짐</t>
    <phoneticPr fontId="21" type="noConversion"/>
  </si>
  <si>
    <t>대소1</t>
  </si>
  <si>
    <t>대소2</t>
  </si>
  <si>
    <t>관로신설</t>
    <phoneticPr fontId="8" type="noConversion"/>
  </si>
  <si>
    <t>배수설비</t>
    <phoneticPr fontId="4" type="noConversion"/>
  </si>
  <si>
    <t>군부대</t>
    <phoneticPr fontId="4" type="noConversion"/>
  </si>
  <si>
    <t>맨홀펌프장</t>
    <phoneticPr fontId="8" type="noConversion"/>
  </si>
  <si>
    <t>원인자 사업비</t>
    <phoneticPr fontId="4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</si>
  <si>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</si>
  <si>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</si>
  <si>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</si>
  <si>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</si>
  <si>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</si>
  <si>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</si>
  <si>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</si>
  <si>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</si>
  <si>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</si>
  <si>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설계비</t>
    <phoneticPr fontId="8" type="noConversion"/>
  </si>
  <si>
    <t>감리비</t>
    <phoneticPr fontId="8" type="noConversion"/>
  </si>
  <si>
    <t>■ 관로신설</t>
    <phoneticPr fontId="5" type="noConversion"/>
  </si>
  <si>
    <t>1) 공사비 산정기준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</si>
  <si>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</si>
  <si>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</si>
  <si>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2) 공사비 산정</t>
    <phoneticPr fontId="5" type="noConversion"/>
  </si>
  <si>
    <t>(단위 :백만원)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</si>
  <si>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</si>
  <si>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</si>
  <si>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</si>
  <si>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</si>
  <si>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</si>
  <si>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</si>
  <si>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</si>
  <si>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연장(m)</t>
    <phoneticPr fontId="8" type="noConversion"/>
  </si>
  <si>
    <t>공사비</t>
    <phoneticPr fontId="8" type="noConversion"/>
  </si>
  <si>
    <t>■ 배수설비</t>
    <phoneticPr fontId="4" type="noConversion"/>
  </si>
  <si>
    <t>관급공사비</t>
    <phoneticPr fontId="4" type="noConversion"/>
  </si>
  <si>
    <t>도급공사비</t>
    <phoneticPr fontId="4" type="noConversion"/>
  </si>
  <si>
    <t>공사비</t>
    <phoneticPr fontId="4" type="noConversion"/>
  </si>
  <si>
    <t>원/개소</t>
    <phoneticPr fontId="4" type="noConversion"/>
  </si>
  <si>
    <t>사급자재비</t>
    <phoneticPr fontId="4" type="noConversion"/>
  </si>
  <si>
    <t>■ 맨홀펌프장</t>
    <phoneticPr fontId="4" type="noConversion"/>
  </si>
  <si>
    <t xml:space="preserve"> - 공사비(백만원)=0.292Q + 83.662( Q : 용량, ㎥/일)</t>
    <phoneticPr fontId="8" type="noConversion"/>
  </si>
  <si>
    <t>펌프용량(㎥/min)</t>
    <phoneticPr fontId="8" type="noConversion"/>
  </si>
  <si>
    <t>대소</t>
  </si>
  <si>
    <t>소계</t>
    <phoneticPr fontId="4" type="noConversion"/>
  </si>
  <si>
    <t>계</t>
    <phoneticPr fontId="8" type="noConversion"/>
  </si>
  <si>
    <t>작은공사비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</si>
  <si>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</si>
  <si>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</si>
  <si>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</si>
  <si>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</si>
  <si>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</si>
  <si>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4) 시설부대비 산정</t>
    <phoneticPr fontId="5" type="noConversion"/>
  </si>
  <si>
    <t>(단위 : 백만원)</t>
    <phoneticPr fontId="8" type="noConversion"/>
  </si>
  <si>
    <t>&lt;전면책임감리 요율&gt;</t>
    <phoneticPr fontId="8" type="noConversion"/>
  </si>
  <si>
    <t>비고</t>
    <phoneticPr fontId="8" type="noConversion"/>
  </si>
  <si>
    <t>공사비(백만원)</t>
    <phoneticPr fontId="8" type="noConversion"/>
  </si>
  <si>
    <t>금회공사비</t>
    <phoneticPr fontId="8" type="noConversion"/>
  </si>
  <si>
    <t>작은공사비</t>
    <phoneticPr fontId="8" type="noConversion"/>
  </si>
  <si>
    <t>금회요율</t>
    <phoneticPr fontId="8" type="noConversion"/>
  </si>
  <si>
    <t>시설부대비</t>
    <phoneticPr fontId="8" type="noConversion"/>
  </si>
  <si>
    <t>5) 총 사업비</t>
    <phoneticPr fontId="5" type="noConversion"/>
  </si>
  <si>
    <t xml:space="preserve"> - “하수도분야 보조금 편성 및 집행관리 실무요령(2016.1, 환경부)”상의 하수관로정비사업 m당 공사비 적용 </t>
    <phoneticPr fontId="8" type="noConversion"/>
  </si>
  <si>
    <t xml:space="preserve">  (기존관 철거 및 물돌리기를 고려하여 공사비의 1.5배 적용)</t>
    <phoneticPr fontId="8" type="noConversion"/>
  </si>
  <si>
    <t xml:space="preserve"> -플라스틱관 200mm, 포장상태는 포장구간 적용</t>
    <phoneticPr fontId="8" type="noConversion"/>
  </si>
  <si>
    <t xml:space="preserve"> - 정비대상 연장은 유량계 측정지점 유역내 관로연장의 30%적용, 실태조사가 완료된 부춘처리분구는 조사결과 적용</t>
    <phoneticPr fontId="8" type="noConversion"/>
  </si>
  <si>
    <t>처리분구</t>
    <phoneticPr fontId="8" type="noConversion"/>
  </si>
  <si>
    <t>소구역</t>
    <phoneticPr fontId="4" type="noConversion"/>
  </si>
  <si>
    <t>유량계
지점</t>
    <phoneticPr fontId="4" type="noConversion"/>
  </si>
  <si>
    <t>유역내
연장(m)</t>
    <phoneticPr fontId="4" type="noConversion"/>
  </si>
  <si>
    <t>대상연장
(m)</t>
    <phoneticPr fontId="4" type="noConversion"/>
  </si>
  <si>
    <t>3.0x2.5단가적용</t>
    <phoneticPr fontId="4" type="noConversion"/>
  </si>
  <si>
    <t xml:space="preserve"> - 굴착교체 공사비의 80%적용(물돌리기를 고려하여 공사비의 1.3배 적용)</t>
    <phoneticPr fontId="8" type="noConversion"/>
  </si>
  <si>
    <t xml:space="preserve"> - 원형관은 최근 조사단가 적용, 박스는 굴착교체 공사비의 50%적용(물돌리기를 고려하여 공사비의 1.3배 적용)</t>
    <phoneticPr fontId="8" type="noConversion"/>
  </si>
  <si>
    <t>제경비
(35%)</t>
    <phoneticPr fontId="4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</si>
  <si>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</si>
  <si>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</si>
  <si>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</si>
  <si>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</si>
  <si>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</si>
  <si>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</si>
  <si>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</si>
  <si>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</si>
  <si>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</si>
  <si>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금회공사비</t>
    <phoneticPr fontId="8" type="noConversion"/>
  </si>
  <si>
    <t>작은공사비</t>
    <phoneticPr fontId="8" type="noConversion"/>
  </si>
  <si>
    <t>&lt;부대비요율)</t>
    <phoneticPr fontId="8" type="noConversion"/>
  </si>
  <si>
    <t>작은금액요율</t>
    <phoneticPr fontId="8" type="noConversion"/>
  </si>
  <si>
    <t>공사비(백만원)</t>
    <phoneticPr fontId="8" type="noConversion"/>
  </si>
  <si>
    <t>공사감리비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</si>
  <si>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</si>
  <si>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</si>
  <si>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</si>
  <si>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</si>
  <si>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 xml:space="preserve">  (기존관 철거를 고려하여 공사비의 1.3배 적용)</t>
    <phoneticPr fontId="8" type="noConversion"/>
  </si>
  <si>
    <t xml:space="preserve"> - 콘크리트관, 포장구간 적용(200mm는 플라스틱관 적용)</t>
    <phoneticPr fontId="8" type="noConversion"/>
  </si>
  <si>
    <t xml:space="preserve"> - “하수도분야 보조금 편성 및 집행관리 실무요령(2016.1, 환경부) 상의 사업비 적용(하수저류시설)</t>
    <phoneticPr fontId="8" type="noConversion"/>
  </si>
  <si>
    <t xml:space="preserve"> -  공사비(백만원) = (0.304 V + 1,854.83) × 1.35  (V:저류용량, ㎥)</t>
    <phoneticPr fontId="4" type="noConversion"/>
  </si>
  <si>
    <t>단위(백만원)</t>
    <phoneticPr fontId="4" type="noConversion"/>
  </si>
  <si>
    <t>용량</t>
    <phoneticPr fontId="4" type="noConversion"/>
  </si>
  <si>
    <t>토목</t>
    <phoneticPr fontId="4" type="noConversion"/>
  </si>
  <si>
    <t>기계</t>
    <phoneticPr fontId="4" type="noConversion"/>
  </si>
  <si>
    <t>전기</t>
    <phoneticPr fontId="4" type="noConversion"/>
  </si>
  <si>
    <t>직접공사비 합계</t>
    <phoneticPr fontId="4" type="noConversion"/>
  </si>
  <si>
    <t>표준공사비(제경비포함)</t>
    <phoneticPr fontId="4" type="noConversion"/>
  </si>
  <si>
    <t>(단위 : ㎥, 백만원)</t>
    <phoneticPr fontId="8" type="noConversion"/>
  </si>
  <si>
    <t>시설용량</t>
    <phoneticPr fontId="8" type="noConversion"/>
  </si>
  <si>
    <t>2020년</t>
    <phoneticPr fontId="4" type="noConversion"/>
  </si>
  <si>
    <t>2025년</t>
    <phoneticPr fontId="4" type="noConversion"/>
  </si>
  <si>
    <t>2030년</t>
    <phoneticPr fontId="4" type="noConversion"/>
  </si>
  <si>
    <t>2035년</t>
    <phoneticPr fontId="4" type="noConversion"/>
  </si>
  <si>
    <t>오수간선 및 
차집관로
정비</t>
    <phoneticPr fontId="4" type="noConversion"/>
  </si>
  <si>
    <t>우수관로
정비</t>
    <phoneticPr fontId="4" type="noConversion"/>
  </si>
  <si>
    <t>관경확대사업비</t>
    <phoneticPr fontId="4" type="noConversion"/>
  </si>
  <si>
    <t>■ 관로신설</t>
    <phoneticPr fontId="5" type="noConversion"/>
  </si>
  <si>
    <t xml:space="preserve"> -  자연유하구간은 플라스틱관, 압송구간은 주철관 적용, 포장상태는 포장구간 적용</t>
    <phoneticPr fontId="8" type="noConversion"/>
  </si>
  <si>
    <t>계</t>
    <phoneticPr fontId="8" type="noConversion"/>
  </si>
  <si>
    <t>가. 총괄(금왕)</t>
  </si>
  <si>
    <t>금왕
처리구역</t>
  </si>
  <si>
    <t>금왕1</t>
  </si>
  <si>
    <t>금왕2</t>
  </si>
  <si>
    <t>금왕</t>
  </si>
  <si>
    <t>가. 총괄(생극)</t>
  </si>
  <si>
    <t>큰금액요율</t>
    <phoneticPr fontId="8" type="noConversion"/>
  </si>
  <si>
    <t>작은공사비</t>
    <phoneticPr fontId="8" type="noConversion"/>
  </si>
  <si>
    <t>생극
처리구역</t>
  </si>
  <si>
    <t>생극1</t>
  </si>
  <si>
    <t>유사사례 적용</t>
    <phoneticPr fontId="8" type="noConversion"/>
  </si>
  <si>
    <t>생극2</t>
  </si>
  <si>
    <t>6. 부대공</t>
    <phoneticPr fontId="8" type="noConversion"/>
  </si>
  <si>
    <t>공사비의 50%</t>
    <phoneticPr fontId="8" type="noConversion"/>
  </si>
  <si>
    <t>계</t>
    <phoneticPr fontId="4" type="noConversion"/>
  </si>
  <si>
    <t>순공사비 계</t>
    <phoneticPr fontId="21" type="noConversion"/>
  </si>
  <si>
    <t>제경비 계(순공사비 35% 적용)</t>
    <phoneticPr fontId="21" type="noConversion"/>
  </si>
  <si>
    <t>공사비 계</t>
    <phoneticPr fontId="21" type="noConversion"/>
  </si>
  <si>
    <t>4m기준</t>
    <phoneticPr fontId="4" type="noConversion"/>
  </si>
  <si>
    <t>1500*550</t>
    <phoneticPr fontId="4" type="noConversion"/>
  </si>
  <si>
    <t>1) 공사비</t>
    <phoneticPr fontId="5" type="noConversion"/>
  </si>
  <si>
    <t>구분</t>
    <phoneticPr fontId="8" type="noConversion"/>
  </si>
  <si>
    <t>비고</t>
    <phoneticPr fontId="8" type="noConversion"/>
  </si>
  <si>
    <t>원인자부담금비율</t>
    <phoneticPr fontId="4" type="noConversion"/>
  </si>
  <si>
    <t>작은금액요율</t>
    <phoneticPr fontId="8" type="noConversion"/>
  </si>
  <si>
    <t>시설부대비</t>
    <phoneticPr fontId="8" type="noConversion"/>
  </si>
  <si>
    <t>■ 관로신설</t>
    <phoneticPr fontId="5" type="noConversion"/>
  </si>
  <si>
    <t>1) 공사비 산정기준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</si>
  <si>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</si>
  <si>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</si>
  <si>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2) 공사비 산정</t>
    <phoneticPr fontId="5" type="noConversion"/>
  </si>
  <si>
    <t>(단위 :백만원)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</si>
  <si>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</si>
  <si>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</si>
  <si>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</si>
  <si>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</si>
  <si>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</si>
  <si>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</si>
  <si>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</si>
  <si>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연장(m)</t>
    <phoneticPr fontId="8" type="noConversion"/>
  </si>
  <si>
    <t>공사비</t>
    <phoneticPr fontId="8" type="noConversion"/>
  </si>
  <si>
    <t>생극</t>
  </si>
  <si>
    <t>계</t>
    <phoneticPr fontId="8" type="noConversion"/>
  </si>
  <si>
    <t>큰금액요율</t>
    <phoneticPr fontId="8" type="noConversion"/>
  </si>
  <si>
    <t>계</t>
    <phoneticPr fontId="4" type="noConversion"/>
  </si>
  <si>
    <t>사각형거
(BOX)1련
2련박스는 동일규격의 1.5배적용</t>
    <phoneticPr fontId="8" type="noConversion"/>
  </si>
  <si>
    <t>■ 우수토실 개량</t>
    <phoneticPr fontId="5" type="noConversion"/>
  </si>
  <si>
    <t>배</t>
    <phoneticPr fontId="4" type="noConversion"/>
  </si>
  <si>
    <t>1) 공사비 산정기준</t>
    <phoneticPr fontId="5" type="noConversion"/>
  </si>
  <si>
    <t xml:space="preserve"> - "강우시하수도정비시범사업 기본설계(2016.6)"상의 사업비 적용(차집 및 오수간선관로)</t>
    <phoneticPr fontId="8" type="noConversion"/>
  </si>
  <si>
    <t>1. 공사비 산출근거(개소당)</t>
    <phoneticPr fontId="8" type="noConversion"/>
  </si>
  <si>
    <t>2) 공사비 산정</t>
    <phoneticPr fontId="5" type="noConversion"/>
  </si>
  <si>
    <t>공   종</t>
    <phoneticPr fontId="21" type="noConversion"/>
  </si>
  <si>
    <t>규격</t>
    <phoneticPr fontId="21" type="noConversion"/>
  </si>
  <si>
    <t>단위</t>
    <phoneticPr fontId="21" type="noConversion"/>
  </si>
  <si>
    <t>수량</t>
    <phoneticPr fontId="21" type="noConversion"/>
  </si>
  <si>
    <t>단가</t>
    <phoneticPr fontId="21" type="noConversion"/>
  </si>
  <si>
    <t>개략공사비(원)</t>
    <phoneticPr fontId="21" type="noConversion"/>
  </si>
  <si>
    <t>비고</t>
    <phoneticPr fontId="21" type="noConversion"/>
  </si>
  <si>
    <t>(단위 :백만원)</t>
    <phoneticPr fontId="8" type="noConversion"/>
  </si>
  <si>
    <t>1. 토공</t>
    <phoneticPr fontId="21" type="noConversion"/>
  </si>
  <si>
    <t>1) 터파기</t>
    <phoneticPr fontId="21" type="noConversion"/>
  </si>
  <si>
    <t>하천,인력10%</t>
    <phoneticPr fontId="21" type="noConversion"/>
  </si>
  <si>
    <t>㎥</t>
    <phoneticPr fontId="21" type="noConversion"/>
  </si>
  <si>
    <t>DE100.13230, 실적단가</t>
    <phoneticPr fontId="4" type="noConversion"/>
  </si>
  <si>
    <t>우수토실</t>
    <phoneticPr fontId="8" type="noConversion"/>
  </si>
  <si>
    <t>단가
(원/개소)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</si>
  <si>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</si>
  <si>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</si>
  <si>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</si>
  <si>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</si>
  <si>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2) 되메우기 및 다짐</t>
    <phoneticPr fontId="21" type="noConversion"/>
  </si>
  <si>
    <t>기계, 다짐</t>
    <phoneticPr fontId="21" type="noConversion"/>
  </si>
  <si>
    <t>DH110.00000, 실적단가</t>
    <phoneticPr fontId="4" type="noConversion"/>
  </si>
  <si>
    <t>개소</t>
    <phoneticPr fontId="8" type="noConversion"/>
  </si>
  <si>
    <t>공사비</t>
    <phoneticPr fontId="8" type="noConversion"/>
  </si>
  <si>
    <t>2. 구조물공</t>
    <phoneticPr fontId="21" type="noConversion"/>
  </si>
  <si>
    <t>1) 재료비</t>
    <phoneticPr fontId="21" type="noConversion"/>
  </si>
  <si>
    <t>3호맨홀</t>
    <phoneticPr fontId="21" type="noConversion"/>
  </si>
  <si>
    <t>식</t>
    <phoneticPr fontId="21" type="noConversion"/>
  </si>
  <si>
    <t>조달청 계약단가</t>
    <phoneticPr fontId="8" type="noConversion"/>
  </si>
  <si>
    <t>2) 설치비</t>
    <phoneticPr fontId="21" type="noConversion"/>
  </si>
  <si>
    <t>재료비의 20%</t>
    <phoneticPr fontId="8" type="noConversion"/>
  </si>
  <si>
    <t>3. 가시설공</t>
    <phoneticPr fontId="21" type="noConversion"/>
  </si>
  <si>
    <t>1) 시트파일</t>
    <phoneticPr fontId="21" type="noConversion"/>
  </si>
  <si>
    <t>H=4.5</t>
    <phoneticPr fontId="21" type="noConversion"/>
  </si>
  <si>
    <t>m</t>
    <phoneticPr fontId="21" type="noConversion"/>
  </si>
  <si>
    <t>시설부대비</t>
    <phoneticPr fontId="8" type="noConversion"/>
  </si>
  <si>
    <t>계</t>
    <phoneticPr fontId="8" type="noConversion"/>
  </si>
  <si>
    <t>■ 관로신설</t>
    <phoneticPr fontId="5" type="noConversion"/>
  </si>
  <si>
    <t>관 경(mm)</t>
    <phoneticPr fontId="8" type="noConversion"/>
  </si>
  <si>
    <t xml:space="preserve"> -  자연유하구간은 플라스틱관, 압송구간은 주철관 적용, 포장상태는 포장구간 적용</t>
    <phoneticPr fontId="8" type="noConversion"/>
  </si>
  <si>
    <t>구분</t>
    <phoneticPr fontId="8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</si>
  <si>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</si>
  <si>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</si>
  <si>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</si>
  <si>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계</t>
    <phoneticPr fontId="4" type="noConversion"/>
  </si>
  <si>
    <t>계</t>
    <phoneticPr fontId="8" type="noConversion"/>
  </si>
  <si>
    <t>삼성</t>
    <phoneticPr fontId="4" type="noConversion"/>
  </si>
  <si>
    <t>관로연장</t>
    <phoneticPr fontId="4" type="noConversion"/>
  </si>
  <si>
    <t>맨홀(추정)</t>
    <phoneticPr fontId="4" type="noConversion"/>
  </si>
  <si>
    <t>보수 맨홀 (20%)</t>
    <phoneticPr fontId="4" type="noConversion"/>
  </si>
  <si>
    <t xml:space="preserve"> - "음성 3단계 하수관거 정비사업" 공사비 적용</t>
    <phoneticPr fontId="8" type="noConversion"/>
  </si>
  <si>
    <t>굴착교체</t>
    <phoneticPr fontId="4" type="noConversion"/>
  </si>
  <si>
    <t>전체보수</t>
    <phoneticPr fontId="4" type="noConversion"/>
  </si>
  <si>
    <t>부분보수</t>
    <phoneticPr fontId="4" type="noConversion"/>
  </si>
  <si>
    <t xml:space="preserve"> - 물돌리기를 고려하여 공사비의 1.3배 적용</t>
    <phoneticPr fontId="8" type="noConversion"/>
  </si>
  <si>
    <t xml:space="preserve"> - 초기 빗물연속처리시설(장치형) 견적 적용</t>
    <phoneticPr fontId="8" type="noConversion"/>
  </si>
  <si>
    <t>음성</t>
    <phoneticPr fontId="4" type="noConversion"/>
  </si>
  <si>
    <t>금왕</t>
    <phoneticPr fontId="4" type="noConversion"/>
  </si>
  <si>
    <t>대소</t>
    <phoneticPr fontId="4" type="noConversion"/>
  </si>
  <si>
    <t>삼성</t>
    <phoneticPr fontId="4" type="noConversion"/>
  </si>
  <si>
    <t>생극</t>
    <phoneticPr fontId="4" type="noConversion"/>
  </si>
  <si>
    <t>감곡</t>
    <phoneticPr fontId="4" type="noConversion"/>
  </si>
  <si>
    <t>보선</t>
    <phoneticPr fontId="4" type="noConversion"/>
  </si>
  <si>
    <t>블루</t>
    <phoneticPr fontId="4" type="noConversion"/>
  </si>
  <si>
    <t>빈텍</t>
    <phoneticPr fontId="4" type="noConversion"/>
  </si>
  <si>
    <t>자연</t>
  </si>
  <si>
    <t>유하</t>
  </si>
  <si>
    <t>D150</t>
  </si>
  <si>
    <t>m</t>
  </si>
  <si>
    <t>D200</t>
  </si>
  <si>
    <t>압송</t>
  </si>
  <si>
    <t>D80</t>
  </si>
  <si>
    <t>D100</t>
  </si>
  <si>
    <t>소 계</t>
  </si>
  <si>
    <t>감곡
처리구역</t>
    <phoneticPr fontId="4" type="noConversion"/>
  </si>
  <si>
    <t>감곡</t>
    <phoneticPr fontId="4" type="noConversion"/>
  </si>
  <si>
    <t>감곡1</t>
    <phoneticPr fontId="4" type="noConversion"/>
  </si>
  <si>
    <t>합계</t>
    <phoneticPr fontId="4" type="noConversion"/>
  </si>
  <si>
    <t>맨홀펌프장 개량 및 보수</t>
    <phoneticPr fontId="4" type="noConversion"/>
  </si>
  <si>
    <t>맨홀펌프장 개량 및 보수</t>
    <phoneticPr fontId="4" type="noConversion"/>
  </si>
  <si>
    <t>가. 총괄(소규모)</t>
    <phoneticPr fontId="4" type="noConversion"/>
  </si>
  <si>
    <t>계</t>
    <phoneticPr fontId="4" type="noConversion"/>
  </si>
  <si>
    <t>우수관로
정비</t>
    <phoneticPr fontId="4" type="noConversion"/>
  </si>
  <si>
    <t>음성</t>
    <phoneticPr fontId="4" type="noConversion"/>
  </si>
  <si>
    <t>계</t>
    <phoneticPr fontId="4" type="noConversion"/>
  </si>
  <si>
    <t>증설</t>
    <phoneticPr fontId="4" type="noConversion"/>
  </si>
  <si>
    <t>개량</t>
    <phoneticPr fontId="4" type="noConversion"/>
  </si>
  <si>
    <t>차집</t>
    <phoneticPr fontId="4" type="noConversion"/>
  </si>
  <si>
    <t>신설</t>
    <phoneticPr fontId="4" type="noConversion"/>
  </si>
  <si>
    <t>개량</t>
    <phoneticPr fontId="4" type="noConversion"/>
  </si>
  <si>
    <t>오수</t>
    <phoneticPr fontId="4" type="noConversion"/>
  </si>
  <si>
    <t>우수</t>
    <phoneticPr fontId="4" type="noConversion"/>
  </si>
  <si>
    <t>펌프장</t>
    <phoneticPr fontId="4" type="noConversion"/>
  </si>
  <si>
    <t>배수시설</t>
    <phoneticPr fontId="4" type="noConversion"/>
  </si>
  <si>
    <t>초기 빗물오염 연속처리시설</t>
    <phoneticPr fontId="4" type="noConversion"/>
  </si>
  <si>
    <t>하수찌꺼기 처리시설</t>
    <phoneticPr fontId="4" type="noConversion"/>
  </si>
  <si>
    <t>기타</t>
    <phoneticPr fontId="4" type="noConversion"/>
  </si>
  <si>
    <t>설계비</t>
    <phoneticPr fontId="4" type="noConversion"/>
  </si>
  <si>
    <t>감리비</t>
    <phoneticPr fontId="4" type="noConversion"/>
  </si>
  <si>
    <t>부대비</t>
    <phoneticPr fontId="4" type="noConversion"/>
  </si>
  <si>
    <t>하수
처리장</t>
    <phoneticPr fontId="4" type="noConversion"/>
  </si>
  <si>
    <t>하수
관거</t>
    <phoneticPr fontId="4" type="noConversion"/>
  </si>
  <si>
    <t>합 계</t>
    <phoneticPr fontId="4" type="noConversion"/>
  </si>
  <si>
    <t>소 계</t>
    <phoneticPr fontId="4" type="noConversion"/>
  </si>
  <si>
    <t>1단계</t>
    <phoneticPr fontId="4" type="noConversion"/>
  </si>
  <si>
    <t>합계</t>
    <phoneticPr fontId="4" type="noConversion"/>
  </si>
  <si>
    <t>2단계</t>
    <phoneticPr fontId="4" type="noConversion"/>
  </si>
  <si>
    <t>구  분</t>
    <phoneticPr fontId="4" type="noConversion"/>
  </si>
  <si>
    <t>계</t>
    <phoneticPr fontId="4" type="noConversion"/>
  </si>
  <si>
    <t>처리장</t>
    <phoneticPr fontId="4" type="noConversion"/>
  </si>
  <si>
    <t>관거</t>
    <phoneticPr fontId="4" type="noConversion"/>
  </si>
  <si>
    <t>빗물</t>
    <phoneticPr fontId="4" type="noConversion"/>
  </si>
  <si>
    <t>찌꺼기</t>
    <phoneticPr fontId="4" type="noConversion"/>
  </si>
  <si>
    <t>합 계</t>
    <phoneticPr fontId="4" type="noConversion"/>
  </si>
  <si>
    <t>하수
처리장</t>
    <phoneticPr fontId="4" type="noConversion"/>
  </si>
  <si>
    <t>계</t>
    <phoneticPr fontId="4" type="noConversion"/>
  </si>
  <si>
    <t>신설</t>
    <phoneticPr fontId="4" type="noConversion"/>
  </si>
  <si>
    <t>증설</t>
    <phoneticPr fontId="4" type="noConversion"/>
  </si>
  <si>
    <t>개량</t>
    <phoneticPr fontId="4" type="noConversion"/>
  </si>
  <si>
    <t>하수
관거</t>
    <phoneticPr fontId="4" type="noConversion"/>
  </si>
  <si>
    <t>소 계</t>
    <phoneticPr fontId="4" type="noConversion"/>
  </si>
  <si>
    <t>차집</t>
    <phoneticPr fontId="4" type="noConversion"/>
  </si>
  <si>
    <t>계</t>
    <phoneticPr fontId="4" type="noConversion"/>
  </si>
  <si>
    <t>신설</t>
    <phoneticPr fontId="4" type="noConversion"/>
  </si>
  <si>
    <t>오수</t>
    <phoneticPr fontId="4" type="noConversion"/>
  </si>
  <si>
    <t>우수</t>
    <phoneticPr fontId="4" type="noConversion"/>
  </si>
  <si>
    <t>펌프장</t>
    <phoneticPr fontId="4" type="noConversion"/>
  </si>
  <si>
    <t>배수시설</t>
    <phoneticPr fontId="4" type="noConversion"/>
  </si>
  <si>
    <t>초기 빗물오염 연속처리시설</t>
    <phoneticPr fontId="4" type="noConversion"/>
  </si>
  <si>
    <t>하수찌꺼기 처리시설</t>
    <phoneticPr fontId="4" type="noConversion"/>
  </si>
  <si>
    <t>기타</t>
    <phoneticPr fontId="4" type="noConversion"/>
  </si>
  <si>
    <t>설계비</t>
    <phoneticPr fontId="4" type="noConversion"/>
  </si>
  <si>
    <t>처리장</t>
    <phoneticPr fontId="4" type="noConversion"/>
  </si>
  <si>
    <t>관거</t>
    <phoneticPr fontId="4" type="noConversion"/>
  </si>
  <si>
    <t>빗물</t>
    <phoneticPr fontId="4" type="noConversion"/>
  </si>
  <si>
    <t>찌꺼기</t>
    <phoneticPr fontId="4" type="noConversion"/>
  </si>
  <si>
    <t>감리비</t>
    <phoneticPr fontId="4" type="noConversion"/>
  </si>
  <si>
    <t>부대비</t>
    <phoneticPr fontId="4" type="noConversion"/>
  </si>
  <si>
    <t>대소</t>
    <phoneticPr fontId="4" type="noConversion"/>
  </si>
  <si>
    <t>생극</t>
    <phoneticPr fontId="4" type="noConversion"/>
  </si>
  <si>
    <t>감곡</t>
    <phoneticPr fontId="4" type="noConversion"/>
  </si>
  <si>
    <t>4. 시설부대비</t>
    <phoneticPr fontId="4" type="noConversion"/>
  </si>
  <si>
    <t>3. 용지보상비</t>
    <phoneticPr fontId="4" type="noConversion"/>
  </si>
  <si>
    <t>2. 공사비</t>
    <phoneticPr fontId="4" type="noConversion"/>
  </si>
  <si>
    <t>1. 사업비</t>
    <phoneticPr fontId="4" type="noConversion"/>
  </si>
  <si>
    <t>합계</t>
    <phoneticPr fontId="4" type="noConversion"/>
  </si>
  <si>
    <t>소규모
처리시설</t>
    <phoneticPr fontId="4" type="noConversion"/>
  </si>
  <si>
    <t>찌꺼기 처리시설</t>
    <phoneticPr fontId="4" type="noConversion"/>
  </si>
  <si>
    <t xml:space="preserve"> - “음성군 하수찌꺼기 처리시설 증설사업" 사업비 적용</t>
    <phoneticPr fontId="8" type="noConversion"/>
  </si>
  <si>
    <t>가. 총괄(감곡)</t>
    <phoneticPr fontId="4" type="noConversion"/>
  </si>
  <si>
    <t>마재</t>
    <phoneticPr fontId="4" type="noConversion"/>
  </si>
  <si>
    <t>영청골1</t>
    <phoneticPr fontId="4" type="noConversion"/>
  </si>
  <si>
    <t>영청골2</t>
    <phoneticPr fontId="4" type="noConversion"/>
  </si>
  <si>
    <t>조룡미</t>
    <phoneticPr fontId="4" type="noConversion"/>
  </si>
  <si>
    <t>소당이</t>
    <phoneticPr fontId="4" type="noConversion"/>
  </si>
  <si>
    <t>고려그린</t>
    <phoneticPr fontId="4" type="noConversion"/>
  </si>
  <si>
    <t>방금이</t>
    <phoneticPr fontId="4" type="noConversion"/>
  </si>
  <si>
    <t>부영A</t>
    <phoneticPr fontId="4" type="noConversion"/>
  </si>
  <si>
    <t>중방골</t>
    <phoneticPr fontId="4" type="noConversion"/>
  </si>
  <si>
    <t>산수화A</t>
    <phoneticPr fontId="4" type="noConversion"/>
  </si>
  <si>
    <t>서보산업</t>
    <phoneticPr fontId="4" type="noConversion"/>
  </si>
  <si>
    <t>초기빗물연속오염처리시설</t>
    <phoneticPr fontId="4" type="noConversion"/>
  </si>
  <si>
    <t>JSP-2</t>
  </si>
  <si>
    <t>JSP-3</t>
  </si>
  <si>
    <t>JSP-4</t>
  </si>
  <si>
    <t>JSP-5</t>
  </si>
  <si>
    <t>KHP-1</t>
  </si>
  <si>
    <t>NSP-1</t>
  </si>
  <si>
    <t>NSP-2</t>
  </si>
  <si>
    <t>NSP-3</t>
  </si>
  <si>
    <t>NSP-4</t>
  </si>
  <si>
    <t>NSP-5</t>
  </si>
  <si>
    <t>정생</t>
    <phoneticPr fontId="4" type="noConversion"/>
  </si>
  <si>
    <t>금왕</t>
    <phoneticPr fontId="4" type="noConversion"/>
  </si>
  <si>
    <t>0.5x0.5</t>
    <phoneticPr fontId="4" type="noConversion"/>
  </si>
  <si>
    <t>1.0x1.0</t>
    <phoneticPr fontId="4" type="noConversion"/>
  </si>
  <si>
    <t>1.2x1.2</t>
    <phoneticPr fontId="4" type="noConversion"/>
  </si>
  <si>
    <t>1.5x1.5</t>
    <phoneticPr fontId="4" type="noConversion"/>
  </si>
  <si>
    <t>2.0x2.0</t>
    <phoneticPr fontId="4" type="noConversion"/>
  </si>
  <si>
    <t>2.5x2.5</t>
    <phoneticPr fontId="4" type="noConversion"/>
  </si>
  <si>
    <t>침수대응 하수도시설</t>
    <phoneticPr fontId="4" type="noConversion"/>
  </si>
  <si>
    <t>1.0x1.0</t>
    <phoneticPr fontId="4" type="noConversion"/>
  </si>
  <si>
    <t>1.2x1.2</t>
    <phoneticPr fontId="4" type="noConversion"/>
  </si>
  <si>
    <t>계</t>
    <phoneticPr fontId="4" type="noConversion"/>
  </si>
  <si>
    <t>계</t>
    <phoneticPr fontId="8" type="noConversion"/>
  </si>
  <si>
    <t>생극-3</t>
    <phoneticPr fontId="4" type="noConversion"/>
  </si>
  <si>
    <t>생극-4</t>
  </si>
  <si>
    <t>생극-5</t>
  </si>
  <si>
    <t>생극</t>
    <phoneticPr fontId="4" type="noConversion"/>
  </si>
  <si>
    <t>감곡1</t>
    <phoneticPr fontId="4" type="noConversion"/>
  </si>
  <si>
    <t>감곡2</t>
    <phoneticPr fontId="4" type="noConversion"/>
  </si>
  <si>
    <t>감곡1</t>
    <phoneticPr fontId="4" type="noConversion"/>
  </si>
  <si>
    <t>감곡2</t>
    <phoneticPr fontId="8" type="noConversion"/>
  </si>
  <si>
    <t>4) 배수설비 공사비</t>
    <phoneticPr fontId="5" type="noConversion"/>
  </si>
  <si>
    <t>4) 펌프장 공사비</t>
    <phoneticPr fontId="5" type="noConversion"/>
  </si>
  <si>
    <t>가. 오수간선/차집관로 교체 및 보수</t>
    <phoneticPr fontId="5" type="noConversion"/>
  </si>
  <si>
    <t>나. 오수관로 신설</t>
    <phoneticPr fontId="5" type="noConversion"/>
  </si>
  <si>
    <t>다. 오수관로 교체 및 보수</t>
    <phoneticPr fontId="5" type="noConversion"/>
  </si>
  <si>
    <t>음성</t>
    <phoneticPr fontId="4" type="noConversion"/>
  </si>
  <si>
    <t>라. 우수관로 신설</t>
    <phoneticPr fontId="5" type="noConversion"/>
  </si>
  <si>
    <t>마. 우수관로 교체 및 보수</t>
    <phoneticPr fontId="5" type="noConversion"/>
  </si>
  <si>
    <t>바. 하수저류시설</t>
    <phoneticPr fontId="5" type="noConversion"/>
  </si>
  <si>
    <t>다. 오수관로 신설</t>
    <phoneticPr fontId="5" type="noConversion"/>
  </si>
  <si>
    <t>라. 오수관로 교체 및 보수</t>
    <phoneticPr fontId="5" type="noConversion"/>
  </si>
  <si>
    <t>사. 하수찌꺼기 처리시설</t>
    <phoneticPr fontId="5" type="noConversion"/>
  </si>
  <si>
    <t>다. 오수간선/차집관로 교체 및 보수</t>
    <phoneticPr fontId="5" type="noConversion"/>
  </si>
  <si>
    <t>라. 오수관로 신설</t>
    <phoneticPr fontId="5" type="noConversion"/>
  </si>
  <si>
    <t>마. 오수관로 교체 및 보수</t>
    <phoneticPr fontId="5" type="noConversion"/>
  </si>
  <si>
    <t>대소</t>
    <phoneticPr fontId="4" type="noConversion"/>
  </si>
  <si>
    <t>바. 우수관로 교체 및 보수</t>
    <phoneticPr fontId="5" type="noConversion"/>
  </si>
  <si>
    <t>사. 하수저류시설</t>
    <phoneticPr fontId="5" type="noConversion"/>
  </si>
  <si>
    <t>라. 우수관로 교체 및 보수</t>
    <phoneticPr fontId="5" type="noConversion"/>
  </si>
  <si>
    <t>마. 하수저류시설</t>
    <phoneticPr fontId="5" type="noConversion"/>
  </si>
  <si>
    <t>D150</t>
    <phoneticPr fontId="4" type="noConversion"/>
  </si>
  <si>
    <t>D200</t>
    <phoneticPr fontId="4" type="noConversion"/>
  </si>
  <si>
    <t>D250</t>
    <phoneticPr fontId="4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</si>
  <si>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</si>
  <si>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사업비 산정기준 적용</t>
    <phoneticPr fontId="8" type="noConversion"/>
  </si>
  <si>
    <t>가. 한벌 소규모처리시설</t>
    <phoneticPr fontId="5" type="noConversion"/>
  </si>
  <si>
    <t>1) 공사비</t>
    <phoneticPr fontId="5" type="noConversion"/>
  </si>
  <si>
    <t>(단위 : ㎥/일, 백만원)</t>
    <phoneticPr fontId="8" type="noConversion"/>
  </si>
  <si>
    <t>구분</t>
    <phoneticPr fontId="8" type="noConversion"/>
  </si>
  <si>
    <t>2020년</t>
    <phoneticPr fontId="8" type="noConversion"/>
  </si>
  <si>
    <t>2025년</t>
    <phoneticPr fontId="8" type="noConversion"/>
  </si>
  <si>
    <t>2030년</t>
    <phoneticPr fontId="8" type="noConversion"/>
  </si>
  <si>
    <t>2035년</t>
    <phoneticPr fontId="8" type="noConversion"/>
  </si>
  <si>
    <t>비고</t>
    <phoneticPr fontId="8" type="noConversion"/>
  </si>
  <si>
    <t>처리시설</t>
    <phoneticPr fontId="8" type="noConversion"/>
  </si>
  <si>
    <t>오수관로</t>
    <phoneticPr fontId="8" type="noConversion"/>
  </si>
  <si>
    <t>배수설비</t>
    <phoneticPr fontId="8" type="noConversion"/>
  </si>
  <si>
    <t>맨홀펌프장</t>
    <phoneticPr fontId="4" type="noConversion"/>
  </si>
  <si>
    <t>공사비</t>
    <phoneticPr fontId="8" type="noConversion"/>
  </si>
  <si>
    <t>3) 설계비 산정</t>
    <phoneticPr fontId="5" type="noConversion"/>
  </si>
  <si>
    <t>(단위 : 백만원)</t>
    <phoneticPr fontId="8" type="noConversion"/>
  </si>
  <si>
    <t>&lt;부대비요율)</t>
    <phoneticPr fontId="8" type="noConversion"/>
  </si>
  <si>
    <t>공사비(백만원)</t>
    <phoneticPr fontId="8" type="noConversion"/>
  </si>
  <si>
    <t>공사감리비</t>
    <phoneticPr fontId="8" type="noConversion"/>
  </si>
  <si>
    <t>금회공사비</t>
    <phoneticPr fontId="8" type="noConversion"/>
  </si>
  <si>
    <t>작은공사비</t>
    <phoneticPr fontId="8" type="noConversion"/>
  </si>
  <si>
    <t>큰공사비</t>
    <phoneticPr fontId="8" type="noConversion"/>
  </si>
  <si>
    <t>작은금액요율</t>
    <phoneticPr fontId="8" type="noConversion"/>
  </si>
  <si>
    <t>큰금액요율</t>
    <phoneticPr fontId="8" type="noConversion"/>
  </si>
  <si>
    <t>금회요율</t>
    <phoneticPr fontId="8" type="noConversion"/>
  </si>
  <si>
    <t>설계비</t>
    <phoneticPr fontId="8" type="noConversion"/>
  </si>
  <si>
    <t>4) 감리비 산정</t>
    <phoneticPr fontId="8" type="noConversion"/>
  </si>
  <si>
    <t>감리비</t>
    <phoneticPr fontId="8" type="noConversion"/>
  </si>
  <si>
    <t>&lt;전면책임감리 요율&gt;</t>
    <phoneticPr fontId="8" type="noConversion"/>
  </si>
  <si>
    <t>4) 시설부대비 산정</t>
    <phoneticPr fontId="5" type="noConversion"/>
  </si>
  <si>
    <t>시설부대비</t>
    <phoneticPr fontId="8" type="noConversion"/>
  </si>
  <si>
    <t>5) 용지보상비 산정</t>
    <phoneticPr fontId="5" type="noConversion"/>
  </si>
  <si>
    <t xml:space="preserve"> - 산정근거 : 주택단지내 상수․오수발생량 원단위 산정 및 하수처리시설 소요비용연구(2001.7, 환경부, 한국토지공사)</t>
    <phoneticPr fontId="4" type="noConversion"/>
  </si>
  <si>
    <t xml:space="preserve">   의 소유부지 산정공식 적용</t>
    <phoneticPr fontId="4" type="noConversion"/>
  </si>
  <si>
    <r>
      <t xml:space="preserve"> - A = 6.084 x Q</t>
    </r>
    <r>
      <rPr>
        <vertAlign val="superscript"/>
        <sz val="7.65"/>
        <rFont val="맑은 고딕"/>
        <family val="3"/>
        <charset val="129"/>
      </rPr>
      <t>0.57</t>
    </r>
    <phoneticPr fontId="4" type="noConversion"/>
  </si>
  <si>
    <t>(A:면적(천㎡), Q:용량(천㎥/일))</t>
    <phoneticPr fontId="4" type="noConversion"/>
  </si>
  <si>
    <t xml:space="preserve"> - 용지보상비는  해당지역 공시지가의 3배적용 (해미면 관유리 7-2번지 공시지가 16,700원/㎡)</t>
    <phoneticPr fontId="4" type="noConversion"/>
  </si>
  <si>
    <t>처리시설 부지면적(㎡)</t>
    <phoneticPr fontId="8" type="noConversion"/>
  </si>
  <si>
    <t>공시지가(원/㎡)</t>
    <phoneticPr fontId="8" type="noConversion"/>
  </si>
  <si>
    <t>적용금액(원/㎡)</t>
    <phoneticPr fontId="4" type="noConversion"/>
  </si>
  <si>
    <t>용지보상비(백만원)</t>
    <phoneticPr fontId="8" type="noConversion"/>
  </si>
  <si>
    <t>5) 총 사업비</t>
    <phoneticPr fontId="5" type="noConversion"/>
  </si>
  <si>
    <t>용지보상비</t>
    <phoneticPr fontId="4" type="noConversion"/>
  </si>
  <si>
    <t>계</t>
    <phoneticPr fontId="8" type="noConversion"/>
  </si>
  <si>
    <t>■ 공사비 산출</t>
    <phoneticPr fontId="5" type="noConversion"/>
  </si>
  <si>
    <t>1) 공사비 산정기준</t>
    <phoneticPr fontId="5" type="noConversion"/>
  </si>
  <si>
    <t>관 경(mm)</t>
    <phoneticPr fontId="8" type="noConversion"/>
  </si>
  <si>
    <r>
      <t xml:space="preserve"> - 공사비(백만원) = 35.616 X</t>
    </r>
    <r>
      <rPr>
        <vertAlign val="superscript"/>
        <sz val="7.65"/>
        <color rgb="FF000000"/>
        <rFont val="맑은 고딕"/>
        <family val="3"/>
        <charset val="129"/>
        <scheme val="major"/>
      </rPr>
      <t>0.7408</t>
    </r>
    <phoneticPr fontId="8" type="noConversion"/>
  </si>
  <si>
    <t>(X : 시설용량(㎥/일))</t>
    <phoneticPr fontId="4" type="noConversion"/>
  </si>
  <si>
    <t xml:space="preserve">   (자연유하구간은 플라스틱관, 압송구간은 주철관 적용, 포장상태는 포장구간 적용)</t>
    <phoneticPr fontId="8" type="noConversion"/>
  </si>
  <si>
    <t>2) 소규모공공하수처리시설 공사비</t>
    <phoneticPr fontId="4" type="noConversion"/>
  </si>
  <si>
    <t>(단위 :백만원)</t>
    <phoneticPr fontId="8" type="noConversion"/>
  </si>
  <si>
    <t>구 분</t>
    <phoneticPr fontId="4" type="noConversion"/>
  </si>
  <si>
    <t>시설용량(㎥/일)</t>
    <phoneticPr fontId="4" type="noConversion"/>
  </si>
  <si>
    <t>공사비</t>
    <phoneticPr fontId="4" type="noConversion"/>
  </si>
  <si>
    <t>3) 오수관로 공사비</t>
    <phoneticPr fontId="5" type="noConversion"/>
  </si>
  <si>
    <t>관경
(mm)</t>
    <phoneticPr fontId="8" type="noConversion"/>
  </si>
  <si>
    <t>단가
(원/m)</t>
    <phoneticPr fontId="8" type="noConversion"/>
  </si>
  <si>
    <t>연장(m)</t>
    <phoneticPr fontId="8" type="noConversion"/>
  </si>
  <si>
    <t>나. 사창 소규모처리시설</t>
    <phoneticPr fontId="5" type="noConversion"/>
  </si>
  <si>
    <t>다. 소이 소규모처리시설</t>
    <phoneticPr fontId="5" type="noConversion"/>
  </si>
  <si>
    <t>주) "소이 소규모 공공하수처리시설 건설사업 기본 및 실시설계" 공사비 적용</t>
    <phoneticPr fontId="4" type="noConversion"/>
  </si>
  <si>
    <t>라. 원남 소규모처리시설</t>
    <phoneticPr fontId="5" type="noConversion"/>
  </si>
  <si>
    <t>주) "원남 소규모 공공하수처리시설 건설사업 기본 및 실시설계" 공사비 적용</t>
    <phoneticPr fontId="4" type="noConversion"/>
  </si>
  <si>
    <t>감리비</t>
    <phoneticPr fontId="8" type="noConversion"/>
  </si>
  <si>
    <t>마. 주천 소규모처리시설</t>
    <phoneticPr fontId="5" type="noConversion"/>
  </si>
  <si>
    <t>소이 원남은 비율적용</t>
    <phoneticPr fontId="4" type="noConversion"/>
  </si>
  <si>
    <t>5) 시설부대비 산정</t>
    <phoneticPr fontId="5" type="noConversion"/>
  </si>
  <si>
    <t>6) 총 사업비</t>
    <phoneticPr fontId="5" type="noConversion"/>
  </si>
  <si>
    <t>생극</t>
    <phoneticPr fontId="4" type="noConversion"/>
  </si>
  <si>
    <t>0.8x0.8</t>
    <phoneticPr fontId="4" type="noConversion"/>
  </si>
  <si>
    <t>감곡</t>
    <phoneticPr fontId="4" type="noConversion"/>
  </si>
  <si>
    <t>감곡</t>
    <phoneticPr fontId="4" type="noConversion"/>
  </si>
  <si>
    <t>감곡</t>
    <phoneticPr fontId="4" type="noConversion"/>
  </si>
  <si>
    <t>감곡</t>
    <phoneticPr fontId="4" type="noConversion"/>
  </si>
  <si>
    <t>맹동</t>
    <phoneticPr fontId="4" type="noConversion"/>
  </si>
  <si>
    <t>가. 총괄(맹동)</t>
    <phoneticPr fontId="4" type="noConversion"/>
  </si>
  <si>
    <t>맹동</t>
    <phoneticPr fontId="4" type="noConversion"/>
  </si>
  <si>
    <t>맹동</t>
    <phoneticPr fontId="4" type="noConversion"/>
  </si>
  <si>
    <t xml:space="preserve"> - “하수도분야 보조금 편성 및 집행관리 실무요령(2018.1, 환경부)”상의 소규모공공하수처리시설 함수식 적용</t>
    <phoneticPr fontId="8" type="noConversion"/>
  </si>
  <si>
    <t xml:space="preserve"> - “하수도분야 보조금 편성 및 집행관리 실무요령(2018.1, 환경부)" 공사비 3,600천원/개소</t>
    <phoneticPr fontId="8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</si>
  <si>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</si>
  <si>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>본대</t>
    <phoneticPr fontId="4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</si>
  <si>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</si>
  <si>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하수관로정비사업 m당 공사비 적용 </t>
    <phoneticPr fontId="8" type="noConversion"/>
  </si>
  <si>
    <t xml:space="preserve"> - “하수도분야 보조금 편성 및 집행관리 실무요령(2018.1, 환경부)”상의 사업비 산정기준 적용</t>
    <phoneticPr fontId="8" type="noConversion"/>
  </si>
  <si>
    <t xml:space="preserve"> - “하수도분야 보조금 편성 및 집행관리 실무요령(2018.1, 환경부)”상의 오수펌프장 공사비 함수식 적용</t>
    <phoneticPr fontId="8" type="noConversion"/>
  </si>
  <si>
    <t xml:space="preserve"> - “하수도분야 보조금 편성 및 집행관리 실무요령(2018.1, 환경부)”상의 오수펌프장 공사비 함수식 적용</t>
    <phoneticPr fontId="8" type="noConversion"/>
  </si>
  <si>
    <t>큰공사비</t>
    <phoneticPr fontId="8" type="noConversion"/>
  </si>
  <si>
    <t>관성리 군부대</t>
    <phoneticPr fontId="4" type="noConversion"/>
  </si>
  <si>
    <t>6.1 소요사업비</t>
  </si>
  <si>
    <t>6.1.1 총괄(음성군전체)</t>
  </si>
  <si>
    <t>6.1.2 음성처리구역</t>
  </si>
  <si>
    <t>6.1.3 금왕처리구역</t>
  </si>
  <si>
    <t>6.1.3 대소처리구역</t>
  </si>
  <si>
    <t>6.1.5 생극처리구역</t>
  </si>
  <si>
    <t>6.1.6 감곡처리구역</t>
  </si>
  <si>
    <t>6.1.7 맹동처리구역</t>
  </si>
  <si>
    <t>6.1.8 소규모극처리구역</t>
  </si>
  <si>
    <t>6.1.8 소규모 처리구역</t>
  </si>
  <si>
    <t>삼성</t>
    <phoneticPr fontId="4" type="noConversion"/>
  </si>
  <si>
    <t>양덕</t>
    <phoneticPr fontId="4" type="noConversion"/>
  </si>
  <si>
    <t>바. 본대1 소규모처리시설</t>
    <phoneticPr fontId="5" type="noConversion"/>
  </si>
  <si>
    <t xml:space="preserve"> - “맹동 소규모하수도설치 공사“ 사업비 적용</t>
    <phoneticPr fontId="8" type="noConversion"/>
  </si>
  <si>
    <t>쌍정3리</t>
    <phoneticPr fontId="4" type="noConversion"/>
  </si>
  <si>
    <t>쌍정3리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</si>
</sst>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176" formatCode="#,##0_ "/>
    <numFmt numFmtId="177" formatCode="0.000%"/>
    <numFmt numFmtId="178" formatCode="#,##0_);[Red]\(#,##0\)"/>
    <numFmt numFmtId="179" formatCode="0.0"/>
    <numFmt numFmtId="180" formatCode="_-* #,##0.00_-;\-* #,##0.00_-;_-* &quot;-&quot;_-;_-@_-"/>
    <numFmt numFmtId="181" formatCode="0.0%"/>
    <numFmt numFmtId="182" formatCode="#,###;\-#,###;\-;@"/>
    <numFmt numFmtId="183" formatCode="_-* #,##0.0_-;\-* #,##0.0_-;_-* &quot;-&quot;_-;_-@_-"/>
  </numFmts>
  <fonts count="5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name val="굴림체"/>
      <family val="3"/>
      <charset val="129"/>
    </font>
    <font>
      <b/>
      <sz val="1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굴림체"/>
      <family val="3"/>
      <charset val="129"/>
    </font>
    <font>
      <sz val="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8"/>
      <name val="돋움"/>
      <family val="3"/>
      <charset val="129"/>
    </font>
    <font>
      <sz val="9"/>
      <color indexed="8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ajor"/>
    </font>
    <font>
      <sz val="11"/>
      <name val="돋움"/>
      <family val="3"/>
      <charset val="129"/>
    </font>
    <font>
      <sz val="9"/>
      <color rgb="FF000000"/>
      <name val="한양신명조"/>
      <family val="3"/>
      <charset val="129"/>
    </font>
    <font>
      <b/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9"/>
      <name val="굴림"/>
      <family val="3"/>
      <charset val="129"/>
    </font>
    <font>
      <sz val="9"/>
      <name val="굴림"/>
      <family val="3"/>
      <charset val="129"/>
    </font>
    <font>
      <sz val="10"/>
      <color theme="1"/>
      <name val="돋움"/>
      <family val="3"/>
      <charset val="129"/>
    </font>
    <font>
      <sz val="8"/>
      <name val="맑은 고딕"/>
      <family val="3"/>
      <charset val="129"/>
    </font>
    <font>
      <sz val="10"/>
      <name val="돋움"/>
      <family val="3"/>
      <charset val="129"/>
    </font>
    <font>
      <sz val="9"/>
      <color rgb="FF000000"/>
      <name val="바탕체"/>
      <family val="1"/>
      <charset val="129"/>
    </font>
    <font>
      <sz val="9"/>
      <color rgb="FFFF0000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한양신명조"/>
      <family val="3"/>
      <charset val="129"/>
    </font>
    <font>
      <vertAlign val="superscript"/>
      <sz val="7.65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-윤고딕320"/>
      <family val="1"/>
      <charset val="129"/>
    </font>
    <font>
      <sz val="11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함초롬바탕"/>
      <family val="1"/>
      <charset val="129"/>
    </font>
    <font>
      <sz val="11"/>
      <color rgb="FF000000"/>
      <name val="함초롬바탕"/>
      <family val="1"/>
      <charset val="129"/>
    </font>
    <font>
      <b/>
      <sz val="10"/>
      <name val="HY신명조"/>
      <family val="1"/>
      <charset val="129"/>
    </font>
    <font>
      <b/>
      <sz val="10"/>
      <name val="HY신명조"/>
      <family val="1"/>
    </font>
    <font>
      <sz val="10"/>
      <name val="HY신명조"/>
      <family val="1"/>
      <charset val="129"/>
    </font>
    <font>
      <sz val="10"/>
      <name val="HY신명조"/>
      <family val="1"/>
    </font>
    <font>
      <sz val="10"/>
      <color rgb="FF000000"/>
      <name val="HY신명조"/>
      <family val="2"/>
    </font>
    <font>
      <b/>
      <sz val="11"/>
      <name val="HY신명조"/>
      <family val="1"/>
      <charset val="129"/>
    </font>
    <font>
      <b/>
      <sz val="11"/>
      <name val="HY신명조"/>
      <family val="1"/>
    </font>
    <font>
      <sz val="11"/>
      <name val="HY신명조"/>
      <family val="1"/>
      <charset val="129"/>
    </font>
    <font>
      <sz val="11"/>
      <name val="HY신명조"/>
      <family val="1"/>
    </font>
    <font>
      <sz val="11"/>
      <color rgb="FF000000"/>
      <name val="HY신명조"/>
      <family val="2"/>
    </font>
    <font>
      <sz val="11"/>
      <name val="HY울릉도M"/>
      <family val="1"/>
      <charset val="129"/>
    </font>
    <font>
      <sz val="11"/>
      <name val="HY울릉도M"/>
      <family val="1"/>
    </font>
    <font>
      <sz val="10.5"/>
      <color rgb="FF000000"/>
      <name val="맑은 고딕"/>
      <family val="3"/>
      <charset val="129"/>
      <scheme val="minor"/>
    </font>
    <font>
      <sz val="10.5"/>
      <color rgb="FF000000"/>
      <name val="-윤고딕130"/>
      <family val="3"/>
      <charset val="129"/>
    </font>
    <font>
      <sz val="10"/>
      <color rgb="FF000000"/>
      <name val="-윤고딕120"/>
      <family val="3"/>
      <charset val="129"/>
    </font>
    <font>
      <sz val="9"/>
      <color rgb="FF000000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vertAlign val="superscript"/>
      <sz val="7.65"/>
      <color rgb="FF000000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AEAEAE"/>
      </patternFill>
    </fill>
    <fill>
      <patternFill patternType="solid">
        <fgColor rgb="FFE7E7E7"/>
      </patternFill>
    </fill>
    <fill>
      <patternFill patternType="solid">
        <fgColor rgb="FFDFDFDF"/>
        <bgColor indexed="64"/>
      </patternFill>
    </fill>
    <fill>
      <patternFill patternType="solid">
        <fgColor theme="2" tint="-9.9978637043366805E-2"/>
        <bgColor indexed="64"/>
      </patternFill>
    </fill>
  </fills>
  <borders count="1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>
      <left style="thin">
        <color rgb="FF666666"/>
      </left>
      <right style="thin">
        <color rgb="FF666666"/>
      </right>
      <top style="thin">
        <color rgb="FF666666"/>
      </top>
      <bottom style="thick">
        <color rgb="FF666666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343434"/>
      </left>
      <right/>
      <top style="thin">
        <color rgb="FF343434"/>
      </top>
      <bottom style="thin">
        <color rgb="FF000000"/>
      </bottom>
      <diagonal/>
    </border>
    <border>
      <left/>
      <right/>
      <top style="thin">
        <color rgb="FF343434"/>
      </top>
      <bottom style="thin">
        <color rgb="FF000000"/>
      </bottom>
      <diagonal/>
    </border>
    <border>
      <left/>
      <right style="thin">
        <color rgb="FF000000"/>
      </right>
      <top style="thin">
        <color rgb="FF34343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343434"/>
      </top>
      <bottom style="thin">
        <color rgb="FF000000"/>
      </bottom>
      <diagonal/>
    </border>
    <border>
      <left style="thin">
        <color rgb="FF000000"/>
      </left>
      <right style="thin">
        <color rgb="FF343434"/>
      </right>
      <top style="thin">
        <color rgb="FF343434"/>
      </top>
      <bottom style="thin">
        <color rgb="FF000000"/>
      </bottom>
      <diagonal/>
    </border>
    <border>
      <left style="thin">
        <color rgb="FF34343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343434"/>
      </right>
      <top style="thin">
        <color rgb="FF000000"/>
      </top>
      <bottom style="thin">
        <color rgb="FF000000"/>
      </bottom>
      <diagonal/>
    </border>
    <border>
      <left style="thin">
        <color rgb="FF343434"/>
      </left>
      <right style="thin">
        <color rgb="FF000000"/>
      </right>
      <top/>
      <bottom/>
      <diagonal/>
    </border>
    <border>
      <left style="thin">
        <color rgb="FF343434"/>
      </left>
      <right style="thin">
        <color rgb="FF000000"/>
      </right>
      <top/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34343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343434"/>
      </left>
      <right/>
      <top style="thin">
        <color rgb="FF000000"/>
      </top>
      <bottom style="thin">
        <color rgb="FF343434"/>
      </bottom>
      <diagonal/>
    </border>
    <border>
      <left/>
      <right/>
      <top style="thin">
        <color rgb="FF000000"/>
      </top>
      <bottom style="thin">
        <color rgb="FF343434"/>
      </bottom>
      <diagonal/>
    </border>
    <border>
      <left/>
      <right style="thin">
        <color rgb="FF000000"/>
      </right>
      <top style="thin">
        <color rgb="FF000000"/>
      </top>
      <bottom style="thin">
        <color rgb="FF34343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343434"/>
      </bottom>
      <diagonal/>
    </border>
    <border>
      <left style="thin">
        <color rgb="FF000000"/>
      </left>
      <right/>
      <top style="thin">
        <color rgb="FF000000"/>
      </top>
      <bottom style="thin">
        <color rgb="FF343434"/>
      </bottom>
      <diagonal/>
    </border>
    <border>
      <left style="thin">
        <color rgb="FF000000"/>
      </left>
      <right style="thin">
        <color rgb="FF343434"/>
      </right>
      <top style="thin">
        <color rgb="FF000000"/>
      </top>
      <bottom style="thin">
        <color rgb="FF34343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0" borderId="0"/>
    <xf numFmtId="0" fontId="10" fillId="0" borderId="0">
      <alignment vertical="center"/>
    </xf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</cellStyleXfs>
  <cellXfs count="1013">
    <xf numFmtId="0" fontId="0" fillId="0" borderId="0" xfId="0">
      <alignment vertical="center"/>
    </xf>
    <xf numFmtId="0" fontId="3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0" fontId="6" fillId="0" borderId="0" xfId="3" applyFont="1" applyAlignment="1">
      <alignment horizontal="center" vertical="center"/>
    </xf>
    <xf numFmtId="0" fontId="7" fillId="0" borderId="0" xfId="0" quotePrefix="1" applyFont="1" applyAlignment="1">
      <alignment horizontal="left" vertical="center"/>
    </xf>
    <xf numFmtId="0" fontId="9" fillId="0" borderId="0" xfId="3" applyFont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41" fontId="11" fillId="0" borderId="1" xfId="1" applyFont="1" applyBorder="1" applyAlignment="1">
      <alignment horizontal="center" vertical="center"/>
    </xf>
    <xf numFmtId="0" fontId="6" fillId="0" borderId="0" xfId="3" applyFont="1" applyAlignment="1">
      <alignment horizontal="right" vertical="center"/>
    </xf>
    <xf numFmtId="0" fontId="6" fillId="0" borderId="0" xfId="3" applyFont="1" applyBorder="1" applyAlignment="1">
      <alignment vertical="center"/>
    </xf>
    <xf numFmtId="41" fontId="6" fillId="0" borderId="1" xfId="1" applyFont="1" applyBorder="1" applyAlignment="1">
      <alignment horizontal="center" vertical="center"/>
    </xf>
    <xf numFmtId="41" fontId="6" fillId="0" borderId="1" xfId="1" applyFont="1" applyBorder="1" applyAlignment="1">
      <alignment vertical="center"/>
    </xf>
    <xf numFmtId="0" fontId="14" fillId="0" borderId="0" xfId="3" applyFont="1" applyAlignment="1">
      <alignment vertical="center"/>
    </xf>
    <xf numFmtId="41" fontId="6" fillId="0" borderId="0" xfId="3" applyNumberFormat="1" applyFont="1" applyAlignment="1">
      <alignment vertical="center"/>
    </xf>
    <xf numFmtId="0" fontId="11" fillId="0" borderId="0" xfId="4" quotePrefix="1" applyFont="1" applyAlignment="1">
      <alignment horizontal="left" vertical="center"/>
    </xf>
    <xf numFmtId="0" fontId="11" fillId="0" borderId="0" xfId="4" applyFont="1" applyAlignment="1">
      <alignment horizontal="left" vertical="center"/>
    </xf>
    <xf numFmtId="0" fontId="9" fillId="0" borderId="0" xfId="3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0" fontId="6" fillId="0" borderId="1" xfId="2" applyNumberFormat="1" applyFont="1" applyBorder="1" applyAlignment="1">
      <alignment vertical="center"/>
    </xf>
    <xf numFmtId="10" fontId="6" fillId="0" borderId="0" xfId="2" applyNumberFormat="1" applyFont="1" applyAlignment="1">
      <alignment vertical="center"/>
    </xf>
    <xf numFmtId="0" fontId="11" fillId="0" borderId="0" xfId="4" applyFont="1" applyBorder="1" applyAlignment="1">
      <alignment horizontal="center" vertical="center"/>
    </xf>
    <xf numFmtId="41" fontId="11" fillId="0" borderId="0" xfId="1" applyFont="1" applyBorder="1" applyAlignment="1">
      <alignment horizontal="center" vertical="center"/>
    </xf>
    <xf numFmtId="41" fontId="6" fillId="0" borderId="0" xfId="1" applyFont="1" applyBorder="1" applyAlignment="1">
      <alignment vertical="center"/>
    </xf>
    <xf numFmtId="0" fontId="11" fillId="0" borderId="0" xfId="4" applyFont="1" applyBorder="1" applyAlignment="1">
      <alignment horizontal="left" vertical="center"/>
    </xf>
    <xf numFmtId="3" fontId="7" fillId="0" borderId="0" xfId="3" applyNumberFormat="1" applyFont="1" applyBorder="1" applyAlignment="1">
      <alignment horizontal="center" vertical="center" wrapText="1"/>
    </xf>
    <xf numFmtId="0" fontId="7" fillId="0" borderId="0" xfId="3" applyFont="1" applyBorder="1" applyAlignment="1">
      <alignment horizontal="center" vertical="center" wrapText="1"/>
    </xf>
    <xf numFmtId="0" fontId="9" fillId="0" borderId="0" xfId="3" applyFont="1" applyBorder="1" applyAlignment="1">
      <alignment vertical="center"/>
    </xf>
    <xf numFmtId="0" fontId="11" fillId="0" borderId="0" xfId="4" applyFont="1" applyAlignment="1">
      <alignment horizontal="center" vertical="center"/>
    </xf>
    <xf numFmtId="0" fontId="6" fillId="0" borderId="0" xfId="3" applyFont="1" applyBorder="1" applyAlignment="1">
      <alignment horizontal="center" vertical="center" wrapText="1"/>
    </xf>
    <xf numFmtId="0" fontId="11" fillId="0" borderId="0" xfId="4" applyFont="1" applyFill="1" applyBorder="1" applyAlignment="1">
      <alignment horizontal="center" vertical="center"/>
    </xf>
    <xf numFmtId="41" fontId="11" fillId="0" borderId="0" xfId="4" applyNumberFormat="1" applyFont="1" applyAlignment="1">
      <alignment horizontal="center" vertical="center"/>
    </xf>
    <xf numFmtId="10" fontId="15" fillId="0" borderId="0" xfId="5" applyNumberFormat="1" applyFont="1" applyAlignment="1">
      <alignment horizontal="center" vertical="center"/>
    </xf>
    <xf numFmtId="41" fontId="11" fillId="0" borderId="0" xfId="6" applyNumberFormat="1" applyFont="1" applyAlignment="1">
      <alignment horizontal="center" vertical="center"/>
    </xf>
    <xf numFmtId="178" fontId="7" fillId="0" borderId="1" xfId="0" applyNumberFormat="1" applyFont="1" applyBorder="1" applyAlignment="1">
      <alignment horizontal="center" vertical="center" wrapText="1"/>
    </xf>
    <xf numFmtId="41" fontId="6" fillId="0" borderId="0" xfId="3" applyNumberFormat="1" applyFont="1" applyBorder="1" applyAlignment="1">
      <alignment horizontal="center" vertical="center"/>
    </xf>
    <xf numFmtId="41" fontId="14" fillId="0" borderId="0" xfId="3" applyNumberFormat="1" applyFont="1" applyBorder="1" applyAlignment="1">
      <alignment horizontal="center" vertical="center"/>
    </xf>
    <xf numFmtId="3" fontId="14" fillId="0" borderId="0" xfId="3" applyNumberFormat="1" applyFont="1" applyBorder="1" applyAlignment="1">
      <alignment vertical="center"/>
    </xf>
    <xf numFmtId="0" fontId="16" fillId="0" borderId="0" xfId="3" applyFont="1" applyAlignment="1">
      <alignment vertical="center"/>
    </xf>
    <xf numFmtId="41" fontId="6" fillId="0" borderId="0" xfId="3" applyNumberFormat="1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1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0" fontId="6" fillId="0" borderId="0" xfId="3" applyNumberFormat="1" applyFont="1" applyBorder="1" applyAlignment="1">
      <alignment horizontal="center" vertical="center"/>
    </xf>
    <xf numFmtId="41" fontId="6" fillId="0" borderId="4" xfId="1" applyFont="1" applyBorder="1" applyAlignment="1">
      <alignment horizontal="center" vertical="center"/>
    </xf>
    <xf numFmtId="0" fontId="6" fillId="0" borderId="1" xfId="3" applyFont="1" applyBorder="1" applyAlignment="1">
      <alignment vertical="center"/>
    </xf>
    <xf numFmtId="41" fontId="6" fillId="0" borderId="1" xfId="3" applyNumberFormat="1" applyFont="1" applyBorder="1" applyAlignment="1">
      <alignment vertical="center"/>
    </xf>
    <xf numFmtId="0" fontId="1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9" fillId="0" borderId="0" xfId="0" applyFont="1" applyFill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41" fontId="22" fillId="3" borderId="1" xfId="1" applyFont="1" applyFill="1" applyBorder="1" applyAlignment="1">
      <alignment vertical="center"/>
    </xf>
    <xf numFmtId="0" fontId="20" fillId="3" borderId="1" xfId="0" applyFont="1" applyFill="1" applyBorder="1" applyAlignment="1">
      <alignment horizontal="center" vertical="center"/>
    </xf>
    <xf numFmtId="179" fontId="0" fillId="3" borderId="1" xfId="0" applyNumberFormat="1" applyFont="1" applyFill="1" applyBorder="1" applyAlignment="1">
      <alignment vertical="center"/>
    </xf>
    <xf numFmtId="2" fontId="0" fillId="3" borderId="1" xfId="0" applyNumberFormat="1" applyFont="1" applyFill="1" applyBorder="1" applyAlignment="1">
      <alignment vertical="center"/>
    </xf>
    <xf numFmtId="0" fontId="20" fillId="3" borderId="1" xfId="0" applyFont="1" applyFill="1" applyBorder="1" applyAlignment="1">
      <alignment vertical="center"/>
    </xf>
    <xf numFmtId="41" fontId="20" fillId="3" borderId="1" xfId="1" applyFont="1" applyFill="1" applyBorder="1" applyAlignment="1">
      <alignment vertical="center"/>
    </xf>
    <xf numFmtId="0" fontId="23" fillId="0" borderId="1" xfId="0" applyFont="1" applyBorder="1" applyAlignment="1">
      <alignment horizontal="justify" vertical="center"/>
    </xf>
    <xf numFmtId="2" fontId="17" fillId="3" borderId="1" xfId="0" applyNumberFormat="1" applyFont="1" applyFill="1" applyBorder="1" applyAlignment="1">
      <alignment vertical="center"/>
    </xf>
    <xf numFmtId="41" fontId="6" fillId="0" borderId="0" xfId="1" applyFont="1" applyAlignment="1">
      <alignment vertical="center"/>
    </xf>
    <xf numFmtId="0" fontId="3" fillId="0" borderId="0" xfId="3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1" fontId="24" fillId="0" borderId="1" xfId="1" applyFont="1" applyBorder="1" applyAlignment="1">
      <alignment horizontal="center" vertical="center"/>
    </xf>
    <xf numFmtId="0" fontId="6" fillId="0" borderId="0" xfId="3" applyFont="1" applyBorder="1" applyAlignment="1">
      <alignment horizontal="center" vertical="center"/>
    </xf>
    <xf numFmtId="0" fontId="7" fillId="0" borderId="0" xfId="0" quotePrefix="1" applyFont="1" applyBorder="1" applyAlignment="1">
      <alignment horizontal="center" vertical="center"/>
    </xf>
    <xf numFmtId="0" fontId="7" fillId="0" borderId="0" xfId="0" quotePrefix="1" applyFont="1" applyBorder="1" applyAlignment="1">
      <alignment vertical="center"/>
    </xf>
    <xf numFmtId="181" fontId="6" fillId="0" borderId="1" xfId="2" applyNumberFormat="1" applyFont="1" applyBorder="1" applyAlignment="1">
      <alignment horizontal="center" vertical="center"/>
    </xf>
    <xf numFmtId="181" fontId="6" fillId="0" borderId="1" xfId="1" applyNumberFormat="1" applyFont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3" fontId="14" fillId="0" borderId="0" xfId="3" applyNumberFormat="1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41" fontId="14" fillId="0" borderId="1" xfId="1" applyFont="1" applyBorder="1" applyAlignment="1">
      <alignment horizontal="center" vertical="center"/>
    </xf>
    <xf numFmtId="0" fontId="6" fillId="0" borderId="0" xfId="3" quotePrefix="1" applyFont="1" applyAlignment="1">
      <alignment vertical="center"/>
    </xf>
    <xf numFmtId="0" fontId="6" fillId="0" borderId="29" xfId="3" applyFont="1" applyFill="1" applyBorder="1" applyAlignment="1">
      <alignment horizontal="center" vertical="center"/>
    </xf>
    <xf numFmtId="0" fontId="6" fillId="0" borderId="27" xfId="3" applyFont="1" applyFill="1" applyBorder="1" applyAlignment="1">
      <alignment horizontal="center" vertical="center"/>
    </xf>
    <xf numFmtId="0" fontId="6" fillId="0" borderId="28" xfId="3" applyFont="1" applyFill="1" applyBorder="1" applyAlignment="1">
      <alignment horizontal="center" vertical="center"/>
    </xf>
    <xf numFmtId="41" fontId="7" fillId="0" borderId="14" xfId="1" quotePrefix="1" applyFont="1" applyFill="1" applyBorder="1" applyAlignment="1">
      <alignment horizontal="center" vertical="center"/>
    </xf>
    <xf numFmtId="41" fontId="7" fillId="0" borderId="15" xfId="1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41" fontId="25" fillId="0" borderId="17" xfId="1" quotePrefix="1" applyFont="1" applyFill="1" applyBorder="1" applyAlignment="1">
      <alignment horizontal="center" vertical="center"/>
    </xf>
    <xf numFmtId="41" fontId="25" fillId="0" borderId="18" xfId="1" quotePrefix="1" applyFont="1" applyFill="1" applyBorder="1" applyAlignment="1">
      <alignment horizontal="center" vertical="center"/>
    </xf>
    <xf numFmtId="41" fontId="7" fillId="0" borderId="23" xfId="1" quotePrefix="1" applyFont="1" applyFill="1" applyBorder="1" applyAlignment="1">
      <alignment horizontal="center" vertical="center"/>
    </xf>
    <xf numFmtId="41" fontId="7" fillId="0" borderId="24" xfId="1" quotePrefix="1" applyFont="1" applyFill="1" applyBorder="1" applyAlignment="1">
      <alignment horizontal="center" vertical="center"/>
    </xf>
    <xf numFmtId="41" fontId="7" fillId="0" borderId="25" xfId="1" quotePrefix="1" applyFont="1" applyFill="1" applyBorder="1" applyAlignment="1">
      <alignment horizontal="center" vertical="center"/>
    </xf>
    <xf numFmtId="41" fontId="7" fillId="0" borderId="20" xfId="1" quotePrefix="1" applyFont="1" applyFill="1" applyBorder="1" applyAlignment="1">
      <alignment horizontal="center" vertical="center"/>
    </xf>
    <xf numFmtId="41" fontId="25" fillId="0" borderId="21" xfId="1" quotePrefix="1" applyFont="1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/>
    </xf>
    <xf numFmtId="41" fontId="6" fillId="0" borderId="15" xfId="1" applyFont="1" applyBorder="1" applyAlignment="1">
      <alignment vertical="center"/>
    </xf>
    <xf numFmtId="41" fontId="6" fillId="0" borderId="14" xfId="1" applyFont="1" applyBorder="1" applyAlignment="1">
      <alignment vertical="center"/>
    </xf>
    <xf numFmtId="41" fontId="11" fillId="2" borderId="17" xfId="1" applyFont="1" applyFill="1" applyBorder="1" applyAlignment="1">
      <alignment horizontal="center" vertical="center"/>
    </xf>
    <xf numFmtId="41" fontId="6" fillId="2" borderId="17" xfId="1" applyFont="1" applyFill="1" applyBorder="1" applyAlignment="1">
      <alignment vertical="center"/>
    </xf>
    <xf numFmtId="41" fontId="6" fillId="2" borderId="18" xfId="1" applyFont="1" applyFill="1" applyBorder="1" applyAlignment="1">
      <alignment vertical="center"/>
    </xf>
    <xf numFmtId="0" fontId="6" fillId="0" borderId="22" xfId="3" applyFont="1" applyBorder="1" applyAlignment="1">
      <alignment horizontal="center" vertical="center"/>
    </xf>
    <xf numFmtId="41" fontId="6" fillId="0" borderId="23" xfId="1" applyFont="1" applyBorder="1" applyAlignment="1">
      <alignment horizontal="center" vertical="center"/>
    </xf>
    <xf numFmtId="41" fontId="6" fillId="0" borderId="24" xfId="1" applyFont="1" applyBorder="1" applyAlignment="1">
      <alignment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41" fontId="6" fillId="0" borderId="25" xfId="1" applyFont="1" applyBorder="1" applyAlignment="1">
      <alignment horizontal="center" vertical="center"/>
    </xf>
    <xf numFmtId="41" fontId="6" fillId="0" borderId="20" xfId="1" applyFont="1" applyBorder="1" applyAlignment="1">
      <alignment vertical="center"/>
    </xf>
    <xf numFmtId="41" fontId="11" fillId="2" borderId="21" xfId="1" applyFont="1" applyFill="1" applyBorder="1" applyAlignment="1">
      <alignment horizontal="center" vertical="center"/>
    </xf>
    <xf numFmtId="0" fontId="6" fillId="0" borderId="30" xfId="3" applyFont="1" applyBorder="1" applyAlignment="1">
      <alignment horizontal="center" vertical="center"/>
    </xf>
    <xf numFmtId="0" fontId="11" fillId="0" borderId="31" xfId="4" applyFont="1" applyBorder="1" applyAlignment="1">
      <alignment horizontal="center" vertical="center"/>
    </xf>
    <xf numFmtId="0" fontId="11" fillId="2" borderId="32" xfId="4" applyFont="1" applyFill="1" applyBorder="1" applyAlignment="1">
      <alignment horizontal="center" vertical="center"/>
    </xf>
    <xf numFmtId="41" fontId="11" fillId="0" borderId="14" xfId="1" applyFont="1" applyBorder="1" applyAlignment="1">
      <alignment horizontal="center" vertical="center"/>
    </xf>
    <xf numFmtId="0" fontId="11" fillId="0" borderId="15" xfId="4" applyFont="1" applyBorder="1" applyAlignment="1">
      <alignment horizontal="left" vertical="center"/>
    </xf>
    <xf numFmtId="0" fontId="11" fillId="2" borderId="18" xfId="4" applyFont="1" applyFill="1" applyBorder="1" applyAlignment="1">
      <alignment horizontal="left" vertical="center"/>
    </xf>
    <xf numFmtId="41" fontId="11" fillId="0" borderId="23" xfId="1" applyFont="1" applyBorder="1" applyAlignment="1">
      <alignment horizontal="center" vertical="center"/>
    </xf>
    <xf numFmtId="0" fontId="11" fillId="0" borderId="24" xfId="4" applyFont="1" applyBorder="1" applyAlignment="1">
      <alignment horizontal="left" vertical="center"/>
    </xf>
    <xf numFmtId="41" fontId="11" fillId="0" borderId="25" xfId="1" applyFont="1" applyBorder="1" applyAlignment="1">
      <alignment horizontal="center" vertical="center"/>
    </xf>
    <xf numFmtId="41" fontId="11" fillId="0" borderId="20" xfId="1" applyFont="1" applyBorder="1" applyAlignment="1">
      <alignment horizontal="center" vertical="center"/>
    </xf>
    <xf numFmtId="177" fontId="11" fillId="0" borderId="20" xfId="2" applyNumberFormat="1" applyFont="1" applyBorder="1" applyAlignment="1">
      <alignment horizontal="center" vertical="center"/>
    </xf>
    <xf numFmtId="0" fontId="11" fillId="0" borderId="30" xfId="4" applyFont="1" applyBorder="1" applyAlignment="1">
      <alignment horizontal="center" vertical="center"/>
    </xf>
    <xf numFmtId="41" fontId="11" fillId="3" borderId="14" xfId="1" applyFont="1" applyFill="1" applyBorder="1" applyAlignment="1">
      <alignment horizontal="center" vertical="center"/>
    </xf>
    <xf numFmtId="0" fontId="11" fillId="3" borderId="15" xfId="4" applyFont="1" applyFill="1" applyBorder="1" applyAlignment="1">
      <alignment horizontal="left" vertical="center"/>
    </xf>
    <xf numFmtId="41" fontId="6" fillId="2" borderId="17" xfId="3" applyNumberFormat="1" applyFont="1" applyFill="1" applyBorder="1" applyAlignment="1">
      <alignment horizontal="center" vertical="center"/>
    </xf>
    <xf numFmtId="0" fontId="6" fillId="2" borderId="17" xfId="3" applyFont="1" applyFill="1" applyBorder="1" applyAlignment="1">
      <alignment horizontal="center" vertical="center"/>
    </xf>
    <xf numFmtId="0" fontId="6" fillId="2" borderId="18" xfId="3" applyFont="1" applyFill="1" applyBorder="1" applyAlignment="1">
      <alignment horizontal="center" vertical="center"/>
    </xf>
    <xf numFmtId="41" fontId="11" fillId="3" borderId="23" xfId="1" applyFont="1" applyFill="1" applyBorder="1" applyAlignment="1">
      <alignment horizontal="center" vertical="center"/>
    </xf>
    <xf numFmtId="41" fontId="6" fillId="3" borderId="24" xfId="1" applyFont="1" applyFill="1" applyBorder="1" applyAlignment="1">
      <alignment vertical="center"/>
    </xf>
    <xf numFmtId="41" fontId="11" fillId="3" borderId="25" xfId="1" applyFont="1" applyFill="1" applyBorder="1" applyAlignment="1">
      <alignment horizontal="center" vertical="center"/>
    </xf>
    <xf numFmtId="41" fontId="11" fillId="3" borderId="20" xfId="1" applyFont="1" applyFill="1" applyBorder="1" applyAlignment="1">
      <alignment horizontal="center" vertical="center"/>
    </xf>
    <xf numFmtId="41" fontId="6" fillId="2" borderId="21" xfId="3" applyNumberFormat="1" applyFont="1" applyFill="1" applyBorder="1" applyAlignment="1">
      <alignment horizontal="center" vertical="center"/>
    </xf>
    <xf numFmtId="0" fontId="11" fillId="3" borderId="30" xfId="4" applyFont="1" applyFill="1" applyBorder="1" applyAlignment="1">
      <alignment horizontal="center" vertical="center"/>
    </xf>
    <xf numFmtId="0" fontId="11" fillId="3" borderId="31" xfId="4" applyFont="1" applyFill="1" applyBorder="1" applyAlignment="1">
      <alignment horizontal="center" vertical="center"/>
    </xf>
    <xf numFmtId="0" fontId="6" fillId="2" borderId="32" xfId="3" applyFont="1" applyFill="1" applyBorder="1" applyAlignment="1">
      <alignment horizontal="center" vertical="center"/>
    </xf>
    <xf numFmtId="0" fontId="6" fillId="0" borderId="15" xfId="3" applyFont="1" applyBorder="1" applyAlignment="1">
      <alignment vertical="center"/>
    </xf>
    <xf numFmtId="177" fontId="11" fillId="0" borderId="14" xfId="2" applyNumberFormat="1" applyFont="1" applyBorder="1" applyAlignment="1">
      <alignment horizontal="right" vertical="center"/>
    </xf>
    <xf numFmtId="0" fontId="6" fillId="0" borderId="16" xfId="3" applyFont="1" applyBorder="1" applyAlignment="1">
      <alignment horizontal="center" vertical="center"/>
    </xf>
    <xf numFmtId="41" fontId="6" fillId="0" borderId="17" xfId="1" applyFont="1" applyBorder="1" applyAlignment="1">
      <alignment vertical="center"/>
    </xf>
    <xf numFmtId="0" fontId="6" fillId="0" borderId="18" xfId="3" applyFont="1" applyBorder="1" applyAlignment="1">
      <alignment vertical="center"/>
    </xf>
    <xf numFmtId="41" fontId="6" fillId="0" borderId="20" xfId="1" applyFont="1" applyBorder="1" applyAlignment="1">
      <alignment horizontal="center" vertical="center"/>
    </xf>
    <xf numFmtId="0" fontId="6" fillId="0" borderId="31" xfId="3" applyFont="1" applyBorder="1" applyAlignment="1">
      <alignment horizontal="center" vertical="center"/>
    </xf>
    <xf numFmtId="177" fontId="11" fillId="0" borderId="20" xfId="2" applyNumberFormat="1" applyFont="1" applyBorder="1" applyAlignment="1">
      <alignment horizontal="right" vertical="center"/>
    </xf>
    <xf numFmtId="41" fontId="6" fillId="0" borderId="21" xfId="1" applyFont="1" applyBorder="1" applyAlignment="1">
      <alignment vertical="center"/>
    </xf>
    <xf numFmtId="0" fontId="6" fillId="0" borderId="32" xfId="3" applyFont="1" applyBorder="1" applyAlignment="1">
      <alignment horizontal="center" vertical="center"/>
    </xf>
    <xf numFmtId="0" fontId="6" fillId="0" borderId="24" xfId="3" applyFont="1" applyBorder="1" applyAlignment="1">
      <alignment vertical="center"/>
    </xf>
    <xf numFmtId="41" fontId="6" fillId="0" borderId="25" xfId="1" applyFont="1" applyBorder="1" applyAlignment="1">
      <alignment vertical="center"/>
    </xf>
    <xf numFmtId="41" fontId="6" fillId="0" borderId="23" xfId="1" applyFont="1" applyBorder="1" applyAlignment="1">
      <alignment vertical="center"/>
    </xf>
    <xf numFmtId="0" fontId="11" fillId="3" borderId="33" xfId="4" applyFont="1" applyFill="1" applyBorder="1" applyAlignment="1">
      <alignment horizontal="center" vertical="center"/>
    </xf>
    <xf numFmtId="41" fontId="11" fillId="3" borderId="19" xfId="1" applyFont="1" applyFill="1" applyBorder="1" applyAlignment="1">
      <alignment horizontal="center" vertical="center"/>
    </xf>
    <xf numFmtId="41" fontId="11" fillId="3" borderId="11" xfId="1" applyFont="1" applyFill="1" applyBorder="1" applyAlignment="1">
      <alignment horizontal="center" vertical="center"/>
    </xf>
    <xf numFmtId="41" fontId="6" fillId="3" borderId="12" xfId="1" applyFont="1" applyFill="1" applyBorder="1" applyAlignment="1">
      <alignment vertical="center"/>
    </xf>
    <xf numFmtId="0" fontId="6" fillId="0" borderId="15" xfId="3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41" fontId="6" fillId="0" borderId="15" xfId="1" applyFont="1" applyBorder="1" applyAlignment="1">
      <alignment horizontal="center" vertical="center"/>
    </xf>
    <xf numFmtId="41" fontId="6" fillId="0" borderId="18" xfId="1" applyFont="1" applyBorder="1" applyAlignment="1">
      <alignment vertical="center"/>
    </xf>
    <xf numFmtId="0" fontId="13" fillId="0" borderId="23" xfId="0" applyFont="1" applyBorder="1" applyAlignment="1">
      <alignment horizontal="center" vertical="center" wrapText="1"/>
    </xf>
    <xf numFmtId="41" fontId="6" fillId="0" borderId="24" xfId="1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21" xfId="3" applyFont="1" applyBorder="1" applyAlignment="1">
      <alignment horizontal="center" vertical="center" wrapText="1"/>
    </xf>
    <xf numFmtId="41" fontId="6" fillId="0" borderId="17" xfId="3" applyNumberFormat="1" applyFont="1" applyBorder="1" applyAlignment="1">
      <alignment vertical="center"/>
    </xf>
    <xf numFmtId="41" fontId="6" fillId="0" borderId="18" xfId="3" applyNumberFormat="1" applyFont="1" applyBorder="1" applyAlignment="1">
      <alignment vertical="center"/>
    </xf>
    <xf numFmtId="41" fontId="6" fillId="0" borderId="21" xfId="3" applyNumberFormat="1" applyFont="1" applyBorder="1" applyAlignment="1">
      <alignment vertical="center"/>
    </xf>
    <xf numFmtId="41" fontId="6" fillId="0" borderId="17" xfId="1" applyFont="1" applyBorder="1" applyAlignment="1">
      <alignment horizontal="center" vertical="center"/>
    </xf>
    <xf numFmtId="41" fontId="6" fillId="0" borderId="18" xfId="1" applyFont="1" applyBorder="1" applyAlignment="1">
      <alignment horizontal="center" vertical="center"/>
    </xf>
    <xf numFmtId="41" fontId="6" fillId="0" borderId="21" xfId="1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41" fontId="6" fillId="0" borderId="20" xfId="1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80" fontId="6" fillId="0" borderId="20" xfId="1" applyNumberFormat="1" applyFont="1" applyBorder="1" applyAlignment="1">
      <alignment horizontal="center" vertical="center"/>
    </xf>
    <xf numFmtId="180" fontId="6" fillId="0" borderId="21" xfId="1" applyNumberFormat="1" applyFont="1" applyBorder="1" applyAlignment="1">
      <alignment horizontal="center" vertical="center"/>
    </xf>
    <xf numFmtId="0" fontId="6" fillId="0" borderId="24" xfId="3" applyFont="1" applyBorder="1" applyAlignment="1">
      <alignment horizontal="center" vertical="center"/>
    </xf>
    <xf numFmtId="180" fontId="6" fillId="0" borderId="25" xfId="1" applyNumberFormat="1" applyFont="1" applyBorder="1" applyAlignment="1">
      <alignment horizontal="center" vertical="center"/>
    </xf>
    <xf numFmtId="10" fontId="6" fillId="0" borderId="14" xfId="1" applyNumberFormat="1" applyFont="1" applyBorder="1" applyAlignment="1">
      <alignment vertical="center"/>
    </xf>
    <xf numFmtId="177" fontId="6" fillId="0" borderId="14" xfId="1" applyNumberFormat="1" applyFont="1" applyBorder="1" applyAlignment="1">
      <alignment vertical="center"/>
    </xf>
    <xf numFmtId="41" fontId="27" fillId="0" borderId="14" xfId="1" applyFont="1" applyBorder="1" applyAlignment="1">
      <alignment horizontal="center" vertical="center"/>
    </xf>
    <xf numFmtId="41" fontId="27" fillId="0" borderId="23" xfId="1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 wrapText="1"/>
    </xf>
    <xf numFmtId="41" fontId="27" fillId="0" borderId="15" xfId="1" applyFont="1" applyBorder="1" applyAlignment="1">
      <alignment horizontal="center" vertical="center"/>
    </xf>
    <xf numFmtId="41" fontId="27" fillId="0" borderId="17" xfId="3" applyNumberFormat="1" applyFont="1" applyBorder="1" applyAlignment="1">
      <alignment vertical="center"/>
    </xf>
    <xf numFmtId="41" fontId="27" fillId="0" borderId="18" xfId="3" applyNumberFormat="1" applyFont="1" applyBorder="1" applyAlignment="1">
      <alignment vertical="center"/>
    </xf>
    <xf numFmtId="41" fontId="27" fillId="0" borderId="20" xfId="1" applyFont="1" applyBorder="1" applyAlignment="1">
      <alignment horizontal="center" vertical="center"/>
    </xf>
    <xf numFmtId="41" fontId="27" fillId="0" borderId="21" xfId="3" applyNumberFormat="1" applyFont="1" applyBorder="1" applyAlignment="1">
      <alignment vertical="center"/>
    </xf>
    <xf numFmtId="0" fontId="28" fillId="0" borderId="23" xfId="0" applyFont="1" applyBorder="1" applyAlignment="1">
      <alignment horizontal="center" vertical="center" wrapText="1"/>
    </xf>
    <xf numFmtId="41" fontId="27" fillId="0" borderId="24" xfId="1" applyFont="1" applyBorder="1" applyAlignment="1">
      <alignment horizontal="center" vertical="center"/>
    </xf>
    <xf numFmtId="41" fontId="27" fillId="0" borderId="25" xfId="1" applyFont="1" applyBorder="1" applyAlignment="1">
      <alignment horizontal="center" vertical="center"/>
    </xf>
    <xf numFmtId="0" fontId="11" fillId="0" borderId="18" xfId="4" applyFont="1" applyBorder="1" applyAlignment="1">
      <alignment horizontal="left" vertical="center"/>
    </xf>
    <xf numFmtId="41" fontId="11" fillId="0" borderId="21" xfId="1" applyFont="1" applyBorder="1" applyAlignment="1">
      <alignment horizontal="center" vertical="center"/>
    </xf>
    <xf numFmtId="0" fontId="11" fillId="0" borderId="32" xfId="4" applyFont="1" applyBorder="1" applyAlignment="1">
      <alignment horizontal="center" vertical="center"/>
    </xf>
    <xf numFmtId="41" fontId="11" fillId="0" borderId="25" xfId="1" applyNumberFormat="1" applyFont="1" applyBorder="1" applyAlignment="1">
      <alignment horizontal="center" vertical="center"/>
    </xf>
    <xf numFmtId="41" fontId="6" fillId="0" borderId="38" xfId="1" applyFont="1" applyBorder="1" applyAlignment="1">
      <alignment horizontal="center" vertical="center"/>
    </xf>
    <xf numFmtId="41" fontId="6" fillId="0" borderId="37" xfId="1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41" fontId="6" fillId="0" borderId="11" xfId="1" applyFont="1" applyBorder="1" applyAlignment="1">
      <alignment horizontal="center" vertical="center" wrapText="1"/>
    </xf>
    <xf numFmtId="41" fontId="6" fillId="0" borderId="11" xfId="1" applyFont="1" applyBorder="1" applyAlignment="1">
      <alignment horizontal="center" vertical="center"/>
    </xf>
    <xf numFmtId="41" fontId="6" fillId="0" borderId="14" xfId="1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 wrapText="1"/>
    </xf>
    <xf numFmtId="3" fontId="31" fillId="0" borderId="40" xfId="0" applyNumberFormat="1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42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41" fontId="6" fillId="0" borderId="17" xfId="1" applyNumberFormat="1" applyFont="1" applyBorder="1" applyAlignment="1">
      <alignment vertical="center"/>
    </xf>
    <xf numFmtId="41" fontId="11" fillId="0" borderId="2" xfId="1" applyFont="1" applyBorder="1" applyAlignment="1">
      <alignment horizontal="center" vertical="center"/>
    </xf>
    <xf numFmtId="41" fontId="11" fillId="0" borderId="3" xfId="1" applyFont="1" applyBorder="1" applyAlignment="1">
      <alignment horizontal="center" vertical="center"/>
    </xf>
    <xf numFmtId="0" fontId="34" fillId="4" borderId="46" xfId="0" applyFont="1" applyFill="1" applyBorder="1" applyAlignment="1">
      <alignment horizontal="center" vertical="center" wrapText="1"/>
    </xf>
    <xf numFmtId="0" fontId="35" fillId="4" borderId="47" xfId="0" applyFont="1" applyFill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5" fillId="4" borderId="50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5" borderId="44" xfId="0" applyFont="1" applyFill="1" applyBorder="1" applyAlignment="1">
      <alignment horizontal="center" vertical="center" wrapText="1"/>
    </xf>
    <xf numFmtId="3" fontId="36" fillId="0" borderId="43" xfId="0" applyNumberFormat="1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52" xfId="0" applyFont="1" applyBorder="1" applyAlignment="1">
      <alignment horizontal="center" vertical="center" wrapText="1"/>
    </xf>
    <xf numFmtId="0" fontId="35" fillId="5" borderId="53" xfId="0" applyFont="1" applyFill="1" applyBorder="1" applyAlignment="1">
      <alignment horizontal="center"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3" fontId="36" fillId="0" borderId="54" xfId="0" applyNumberFormat="1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3" fontId="35" fillId="5" borderId="53" xfId="0" applyNumberFormat="1" applyFont="1" applyFill="1" applyBorder="1" applyAlignment="1">
      <alignment horizontal="center" vertical="center" wrapText="1"/>
    </xf>
    <xf numFmtId="3" fontId="35" fillId="5" borderId="55" xfId="0" applyNumberFormat="1" applyFont="1" applyFill="1" applyBorder="1" applyAlignment="1">
      <alignment horizontal="center" vertical="center" wrapText="1"/>
    </xf>
    <xf numFmtId="3" fontId="36" fillId="0" borderId="45" xfId="0" applyNumberFormat="1" applyFont="1" applyBorder="1" applyAlignment="1">
      <alignment horizontal="center" vertical="center" wrapText="1"/>
    </xf>
    <xf numFmtId="0" fontId="36" fillId="0" borderId="45" xfId="0" applyFont="1" applyBorder="1" applyAlignment="1">
      <alignment horizontal="center" vertical="center" wrapText="1"/>
    </xf>
    <xf numFmtId="3" fontId="36" fillId="0" borderId="56" xfId="0" applyNumberFormat="1" applyFont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3" fillId="0" borderId="52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56" xfId="0" applyFont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/>
    </xf>
    <xf numFmtId="0" fontId="47" fillId="0" borderId="0" xfId="0" applyFont="1" applyFill="1" applyBorder="1" applyAlignment="1">
      <alignment horizontal="left" vertical="top"/>
    </xf>
    <xf numFmtId="0" fontId="48" fillId="0" borderId="0" xfId="0" applyFont="1" applyFill="1" applyBorder="1" applyAlignment="1">
      <alignment horizontal="left" vertical="center"/>
    </xf>
    <xf numFmtId="0" fontId="37" fillId="6" borderId="40" xfId="0" applyFont="1" applyFill="1" applyBorder="1" applyAlignment="1">
      <alignment horizontal="center" vertical="center" wrapText="1"/>
    </xf>
    <xf numFmtId="0" fontId="37" fillId="6" borderId="54" xfId="0" applyFont="1" applyFill="1" applyBorder="1" applyAlignment="1">
      <alignment horizontal="center" vertical="center" wrapText="1"/>
    </xf>
    <xf numFmtId="0" fontId="39" fillId="7" borderId="40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 wrapText="1"/>
    </xf>
    <xf numFmtId="3" fontId="41" fillId="0" borderId="54" xfId="0" applyNumberFormat="1" applyFont="1" applyFill="1" applyBorder="1" applyAlignment="1">
      <alignment horizontal="center" vertical="center" shrinkToFit="1"/>
    </xf>
    <xf numFmtId="3" fontId="41" fillId="0" borderId="40" xfId="0" applyNumberFormat="1" applyFont="1" applyFill="1" applyBorder="1" applyAlignment="1">
      <alignment horizontal="center" vertical="center" shrinkToFit="1"/>
    </xf>
    <xf numFmtId="0" fontId="42" fillId="6" borderId="54" xfId="0" applyFont="1" applyFill="1" applyBorder="1" applyAlignment="1">
      <alignment horizontal="center" vertical="center" wrapText="1"/>
    </xf>
    <xf numFmtId="0" fontId="44" fillId="7" borderId="40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shrinkToFit="1"/>
    </xf>
    <xf numFmtId="0" fontId="44" fillId="7" borderId="67" xfId="0" applyFont="1" applyFill="1" applyBorder="1" applyAlignment="1">
      <alignment horizontal="center" vertical="center" wrapText="1"/>
    </xf>
    <xf numFmtId="0" fontId="44" fillId="7" borderId="68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top"/>
    </xf>
    <xf numFmtId="0" fontId="42" fillId="6" borderId="75" xfId="0" applyFont="1" applyFill="1" applyBorder="1" applyAlignment="1">
      <alignment horizontal="center" vertical="center" wrapText="1"/>
    </xf>
    <xf numFmtId="0" fontId="0" fillId="6" borderId="75" xfId="0" applyFill="1" applyBorder="1" applyAlignment="1">
      <alignment horizontal="center" vertical="center" wrapText="1"/>
    </xf>
    <xf numFmtId="0" fontId="42" fillId="6" borderId="76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2" fontId="46" fillId="0" borderId="40" xfId="0" applyNumberFormat="1" applyFont="1" applyFill="1" applyBorder="1" applyAlignment="1">
      <alignment horizontal="center" vertical="center" shrinkToFit="1"/>
    </xf>
    <xf numFmtId="0" fontId="0" fillId="0" borderId="78" xfId="0" applyFill="1" applyBorder="1" applyAlignment="1">
      <alignment horizontal="center" vertical="center" wrapText="1"/>
    </xf>
    <xf numFmtId="3" fontId="46" fillId="0" borderId="40" xfId="0" applyNumberFormat="1" applyFont="1" applyFill="1" applyBorder="1" applyAlignment="1">
      <alignment horizontal="center" vertical="center" shrinkToFit="1"/>
    </xf>
    <xf numFmtId="0" fontId="0" fillId="0" borderId="40" xfId="0" applyFill="1" applyBorder="1" applyAlignment="1">
      <alignment horizontal="center" vertical="center" wrapText="1"/>
    </xf>
    <xf numFmtId="179" fontId="46" fillId="0" borderId="40" xfId="0" applyNumberFormat="1" applyFont="1" applyFill="1" applyBorder="1" applyAlignment="1">
      <alignment horizontal="center" vertical="center" shrinkToFit="1"/>
    </xf>
    <xf numFmtId="0" fontId="44" fillId="7" borderId="81" xfId="0" applyFont="1" applyFill="1" applyBorder="1" applyAlignment="1">
      <alignment horizontal="center" vertical="center" wrapText="1"/>
    </xf>
    <xf numFmtId="0" fontId="0" fillId="7" borderId="58" xfId="0" applyFill="1" applyBorder="1" applyAlignment="1">
      <alignment horizontal="center" vertical="center" wrapText="1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7" xfId="0" applyFont="1" applyFill="1" applyBorder="1" applyAlignment="1">
      <alignment horizontal="center" vertical="center" wrapText="1"/>
    </xf>
    <xf numFmtId="0" fontId="44" fillId="7" borderId="88" xfId="0" applyFont="1" applyFill="1" applyBorder="1" applyAlignment="1">
      <alignment horizontal="center" vertical="center" wrapText="1"/>
    </xf>
    <xf numFmtId="0" fontId="44" fillId="7" borderId="89" xfId="0" applyFont="1" applyFill="1" applyBorder="1" applyAlignment="1">
      <alignment horizontal="center" vertical="center" wrapText="1"/>
    </xf>
    <xf numFmtId="0" fontId="44" fillId="0" borderId="90" xfId="0" applyFont="1" applyFill="1" applyBorder="1" applyAlignment="1">
      <alignment horizontal="center" vertical="center" wrapText="1"/>
    </xf>
    <xf numFmtId="0" fontId="0" fillId="0" borderId="92" xfId="0" applyFill="1" applyBorder="1" applyAlignment="1">
      <alignment horizontal="center" vertical="center" wrapText="1"/>
    </xf>
    <xf numFmtId="3" fontId="6" fillId="0" borderId="0" xfId="3" applyNumberFormat="1" applyFont="1" applyAlignment="1">
      <alignment horizontal="center" vertical="center"/>
    </xf>
    <xf numFmtId="10" fontId="6" fillId="0" borderId="0" xfId="2" applyNumberFormat="1" applyFont="1" applyAlignment="1">
      <alignment horizontal="center" vertical="center"/>
    </xf>
    <xf numFmtId="10" fontId="6" fillId="0" borderId="1" xfId="2" applyNumberFormat="1" applyFont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shrinkToFit="1"/>
    </xf>
    <xf numFmtId="0" fontId="42" fillId="6" borderId="54" xfId="0" applyFont="1" applyFill="1" applyBorder="1" applyAlignment="1">
      <alignment horizontal="center" vertical="center" wrapText="1"/>
    </xf>
    <xf numFmtId="0" fontId="37" fillId="6" borderId="5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6" fillId="0" borderId="22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1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13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0" fontId="6" fillId="0" borderId="37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29" xfId="3" applyFont="1" applyBorder="1" applyAlignment="1">
      <alignment horizontal="center" vertical="center"/>
    </xf>
    <xf numFmtId="0" fontId="6" fillId="0" borderId="27" xfId="3" applyFont="1" applyBorder="1" applyAlignment="1">
      <alignment horizontal="center" vertical="center"/>
    </xf>
    <xf numFmtId="0" fontId="6" fillId="0" borderId="28" xfId="3" applyFont="1" applyBorder="1" applyAlignment="1">
      <alignment horizontal="center" vertical="center"/>
    </xf>
    <xf numFmtId="41" fontId="6" fillId="0" borderId="93" xfId="1" applyFont="1" applyBorder="1" applyAlignment="1">
      <alignment horizontal="center" vertical="center"/>
    </xf>
    <xf numFmtId="0" fontId="6" fillId="0" borderId="95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7" xfId="3" applyFont="1" applyBorder="1" applyAlignment="1">
      <alignment horizontal="center" vertical="center"/>
    </xf>
    <xf numFmtId="41" fontId="6" fillId="0" borderId="39" xfId="1" applyFont="1" applyBorder="1" applyAlignment="1">
      <alignment horizontal="center" vertical="center"/>
    </xf>
    <xf numFmtId="0" fontId="6" fillId="0" borderId="98" xfId="3" applyFont="1" applyFill="1" applyBorder="1" applyAlignment="1">
      <alignment vertical="center"/>
    </xf>
    <xf numFmtId="41" fontId="27" fillId="0" borderId="99" xfId="1" applyFont="1" applyFill="1" applyBorder="1" applyAlignment="1">
      <alignment horizontal="center" vertical="center"/>
    </xf>
    <xf numFmtId="0" fontId="6" fillId="0" borderId="99" xfId="3" applyFont="1" applyFill="1" applyBorder="1" applyAlignment="1">
      <alignment vertical="center"/>
    </xf>
    <xf numFmtId="41" fontId="24" fillId="0" borderId="99" xfId="1" applyFont="1" applyFill="1" applyBorder="1" applyAlignment="1">
      <alignment horizontal="center" vertical="center"/>
    </xf>
    <xf numFmtId="41" fontId="24" fillId="0" borderId="100" xfId="1" applyFont="1" applyFill="1" applyBorder="1" applyAlignment="1">
      <alignment horizontal="center" vertical="center"/>
    </xf>
    <xf numFmtId="0" fontId="6" fillId="0" borderId="101" xfId="3" applyFont="1" applyFill="1" applyBorder="1" applyAlignment="1">
      <alignment vertical="center"/>
    </xf>
    <xf numFmtId="41" fontId="27" fillId="0" borderId="102" xfId="1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vertical="center"/>
    </xf>
    <xf numFmtId="41" fontId="24" fillId="0" borderId="102" xfId="1" applyFont="1" applyFill="1" applyBorder="1" applyAlignment="1">
      <alignment horizontal="center" vertical="center"/>
    </xf>
    <xf numFmtId="41" fontId="24" fillId="0" borderId="103" xfId="1" applyFont="1" applyFill="1" applyBorder="1" applyAlignment="1">
      <alignment horizontal="center" vertical="center"/>
    </xf>
    <xf numFmtId="41" fontId="6" fillId="0" borderId="102" xfId="1" applyFont="1" applyFill="1" applyBorder="1" applyAlignment="1">
      <alignment horizontal="center" vertical="center"/>
    </xf>
    <xf numFmtId="41" fontId="6" fillId="0" borderId="103" xfId="1" applyFont="1" applyFill="1" applyBorder="1" applyAlignment="1">
      <alignment horizontal="center" vertical="center"/>
    </xf>
    <xf numFmtId="41" fontId="6" fillId="0" borderId="101" xfId="1" applyFont="1" applyFill="1" applyBorder="1" applyAlignment="1">
      <alignment horizontal="center" vertical="center"/>
    </xf>
    <xf numFmtId="41" fontId="6" fillId="0" borderId="105" xfId="1" applyFont="1" applyFill="1" applyBorder="1" applyAlignment="1">
      <alignment horizontal="center" vertical="center"/>
    </xf>
    <xf numFmtId="41" fontId="6" fillId="0" borderId="106" xfId="1" applyFont="1" applyFill="1" applyBorder="1" applyAlignment="1">
      <alignment horizontal="center" vertical="center"/>
    </xf>
    <xf numFmtId="0" fontId="6" fillId="0" borderId="107" xfId="3" applyFont="1" applyFill="1" applyBorder="1" applyAlignment="1">
      <alignment vertical="center"/>
    </xf>
    <xf numFmtId="0" fontId="6" fillId="0" borderId="108" xfId="3" applyFont="1" applyFill="1" applyBorder="1" applyAlignment="1">
      <alignment vertical="center"/>
    </xf>
    <xf numFmtId="41" fontId="6" fillId="0" borderId="108" xfId="1" applyFont="1" applyFill="1" applyBorder="1" applyAlignment="1">
      <alignment horizontal="center" vertical="center"/>
    </xf>
    <xf numFmtId="41" fontId="6" fillId="0" borderId="109" xfId="1" applyFont="1" applyFill="1" applyBorder="1" applyAlignment="1">
      <alignment horizontal="center" vertical="center"/>
    </xf>
    <xf numFmtId="41" fontId="6" fillId="0" borderId="37" xfId="1" applyFont="1" applyBorder="1" applyAlignment="1">
      <alignment vertical="center"/>
    </xf>
    <xf numFmtId="0" fontId="13" fillId="0" borderId="37" xfId="0" applyFont="1" applyBorder="1" applyAlignment="1">
      <alignment horizontal="center" vertical="center" wrapText="1"/>
    </xf>
    <xf numFmtId="0" fontId="27" fillId="0" borderId="99" xfId="3" applyFont="1" applyFill="1" applyBorder="1" applyAlignment="1">
      <alignment horizontal="center" vertical="center" wrapText="1"/>
    </xf>
    <xf numFmtId="41" fontId="27" fillId="0" borderId="112" xfId="1" applyFont="1" applyFill="1" applyBorder="1" applyAlignment="1">
      <alignment horizontal="center" vertical="center" wrapText="1"/>
    </xf>
    <xf numFmtId="0" fontId="27" fillId="0" borderId="102" xfId="3" applyFont="1" applyFill="1" applyBorder="1" applyAlignment="1">
      <alignment horizontal="center" vertical="center" wrapText="1"/>
    </xf>
    <xf numFmtId="41" fontId="27" fillId="0" borderId="114" xfId="1" applyFont="1" applyFill="1" applyBorder="1" applyAlignment="1">
      <alignment horizontal="center" vertical="center" wrapText="1"/>
    </xf>
    <xf numFmtId="0" fontId="6" fillId="0" borderId="102" xfId="3" applyFont="1" applyFill="1" applyBorder="1" applyAlignment="1">
      <alignment horizontal="center" vertical="center"/>
    </xf>
    <xf numFmtId="0" fontId="13" fillId="0" borderId="102" xfId="0" applyFont="1" applyFill="1" applyBorder="1" applyAlignment="1">
      <alignment horizontal="center" vertical="center" wrapText="1"/>
    </xf>
    <xf numFmtId="41" fontId="6" fillId="0" borderId="102" xfId="1" applyFont="1" applyFill="1" applyBorder="1" applyAlignment="1">
      <alignment vertical="center"/>
    </xf>
    <xf numFmtId="0" fontId="6" fillId="0" borderId="113" xfId="3" applyFont="1" applyFill="1" applyBorder="1" applyAlignment="1">
      <alignment horizontal="center" vertical="center"/>
    </xf>
    <xf numFmtId="41" fontId="6" fillId="0" borderId="114" xfId="1" applyFont="1" applyFill="1" applyBorder="1" applyAlignment="1">
      <alignment horizontal="center" vertical="center"/>
    </xf>
    <xf numFmtId="0" fontId="6" fillId="0" borderId="115" xfId="3" applyFont="1" applyFill="1" applyBorder="1" applyAlignment="1">
      <alignment horizontal="center" vertical="center"/>
    </xf>
    <xf numFmtId="41" fontId="6" fillId="0" borderId="105" xfId="1" applyFont="1" applyFill="1" applyBorder="1" applyAlignment="1">
      <alignment vertical="center"/>
    </xf>
    <xf numFmtId="41" fontId="6" fillId="0" borderId="99" xfId="1" applyFont="1" applyFill="1" applyBorder="1" applyAlignment="1">
      <alignment horizontal="center" vertical="center"/>
    </xf>
    <xf numFmtId="0" fontId="6" fillId="0" borderId="99" xfId="3" applyFont="1" applyFill="1" applyBorder="1" applyAlignment="1">
      <alignment horizontal="center" vertical="center" wrapText="1"/>
    </xf>
    <xf numFmtId="0" fontId="6" fillId="0" borderId="99" xfId="3" applyFont="1" applyFill="1" applyBorder="1" applyAlignment="1">
      <alignment horizontal="center" vertical="center"/>
    </xf>
    <xf numFmtId="0" fontId="6" fillId="0" borderId="100" xfId="3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horizontal="center" vertical="center" wrapText="1"/>
    </xf>
    <xf numFmtId="0" fontId="6" fillId="0" borderId="103" xfId="3" applyFont="1" applyFill="1" applyBorder="1" applyAlignment="1">
      <alignment horizontal="center" vertical="center"/>
    </xf>
    <xf numFmtId="41" fontId="6" fillId="0" borderId="107" xfId="1" applyFont="1" applyFill="1" applyBorder="1" applyAlignment="1">
      <alignment horizontal="center" vertical="center"/>
    </xf>
    <xf numFmtId="41" fontId="6" fillId="0" borderId="108" xfId="1" applyFont="1" applyFill="1" applyBorder="1" applyAlignment="1">
      <alignment horizontal="center" vertical="center" wrapText="1"/>
    </xf>
    <xf numFmtId="0" fontId="6" fillId="0" borderId="116" xfId="3" applyFont="1" applyFill="1" applyBorder="1" applyAlignment="1">
      <alignment horizontal="center" vertical="center"/>
    </xf>
    <xf numFmtId="41" fontId="6" fillId="0" borderId="117" xfId="1" applyFont="1" applyFill="1" applyBorder="1" applyAlignment="1">
      <alignment horizontal="center" vertical="center" wrapText="1"/>
    </xf>
    <xf numFmtId="41" fontId="6" fillId="0" borderId="103" xfId="1" applyFont="1" applyFill="1" applyBorder="1" applyAlignment="1">
      <alignment horizontal="center" vertical="center" wrapText="1"/>
    </xf>
    <xf numFmtId="41" fontId="27" fillId="0" borderId="100" xfId="1" applyFont="1" applyFill="1" applyBorder="1" applyAlignment="1">
      <alignment horizontal="center" vertical="center"/>
    </xf>
    <xf numFmtId="41" fontId="27" fillId="0" borderId="103" xfId="1" applyFont="1" applyFill="1" applyBorder="1" applyAlignment="1">
      <alignment horizontal="center" vertical="center"/>
    </xf>
    <xf numFmtId="41" fontId="27" fillId="0" borderId="105" xfId="1" applyFont="1" applyFill="1" applyBorder="1" applyAlignment="1">
      <alignment vertical="center"/>
    </xf>
    <xf numFmtId="41" fontId="27" fillId="0" borderId="106" xfId="1" applyFont="1" applyFill="1" applyBorder="1" applyAlignment="1">
      <alignment vertical="center"/>
    </xf>
    <xf numFmtId="1" fontId="6" fillId="0" borderId="0" xfId="3" applyNumberFormat="1" applyFont="1" applyAlignment="1">
      <alignment vertical="center"/>
    </xf>
    <xf numFmtId="41" fontId="27" fillId="0" borderId="118" xfId="1" applyFont="1" applyFill="1" applyBorder="1" applyAlignment="1">
      <alignment horizontal="center" vertical="center"/>
    </xf>
    <xf numFmtId="0" fontId="6" fillId="0" borderId="118" xfId="3" applyFont="1" applyFill="1" applyBorder="1" applyAlignment="1">
      <alignment vertical="center"/>
    </xf>
    <xf numFmtId="41" fontId="27" fillId="0" borderId="117" xfId="1" applyFont="1" applyFill="1" applyBorder="1" applyAlignment="1">
      <alignment horizontal="center" vertical="center"/>
    </xf>
    <xf numFmtId="0" fontId="6" fillId="0" borderId="113" xfId="3" applyFont="1" applyFill="1" applyBorder="1" applyAlignment="1">
      <alignment vertical="center"/>
    </xf>
    <xf numFmtId="41" fontId="27" fillId="0" borderId="113" xfId="1" applyFont="1" applyFill="1" applyBorder="1" applyAlignment="1">
      <alignment horizontal="center" vertical="center"/>
    </xf>
    <xf numFmtId="41" fontId="27" fillId="0" borderId="115" xfId="1" applyFont="1" applyFill="1" applyBorder="1" applyAlignment="1">
      <alignment vertical="center"/>
    </xf>
    <xf numFmtId="0" fontId="50" fillId="8" borderId="119" xfId="0" applyFont="1" applyFill="1" applyBorder="1" applyAlignment="1">
      <alignment horizontal="center" vertical="center" wrapText="1"/>
    </xf>
    <xf numFmtId="0" fontId="51" fillId="0" borderId="119" xfId="0" applyFont="1" applyBorder="1" applyAlignment="1">
      <alignment horizontal="center" vertical="center" wrapText="1"/>
    </xf>
    <xf numFmtId="4" fontId="51" fillId="0" borderId="119" xfId="0" applyNumberFormat="1" applyFont="1" applyBorder="1" applyAlignment="1">
      <alignment horizontal="right" vertical="center" wrapText="1"/>
    </xf>
    <xf numFmtId="0" fontId="51" fillId="0" borderId="119" xfId="0" applyFont="1" applyBorder="1" applyAlignment="1">
      <alignment horizontal="right" vertical="center" wrapText="1"/>
    </xf>
    <xf numFmtId="0" fontId="49" fillId="8" borderId="120" xfId="0" applyFont="1" applyFill="1" applyBorder="1" applyAlignment="1">
      <alignment horizontal="center" vertical="center" wrapText="1"/>
    </xf>
    <xf numFmtId="4" fontId="51" fillId="0" borderId="121" xfId="0" applyNumberFormat="1" applyFont="1" applyBorder="1" applyAlignment="1">
      <alignment horizontal="right" vertical="center" wrapText="1"/>
    </xf>
    <xf numFmtId="0" fontId="49" fillId="8" borderId="122" xfId="0" applyFont="1" applyFill="1" applyBorder="1" applyAlignment="1">
      <alignment horizontal="center" vertical="center" wrapText="1"/>
    </xf>
    <xf numFmtId="0" fontId="51" fillId="0" borderId="125" xfId="0" applyFont="1" applyBorder="1" applyAlignment="1">
      <alignment horizontal="center" vertical="center" wrapText="1"/>
    </xf>
    <xf numFmtId="4" fontId="51" fillId="0" borderId="125" xfId="0" applyNumberFormat="1" applyFont="1" applyBorder="1" applyAlignment="1">
      <alignment horizontal="right" vertical="center" wrapText="1"/>
    </xf>
    <xf numFmtId="0" fontId="51" fillId="0" borderId="125" xfId="0" applyFont="1" applyBorder="1" applyAlignment="1">
      <alignment horizontal="right" vertical="center" wrapText="1"/>
    </xf>
    <xf numFmtId="4" fontId="51" fillId="0" borderId="126" xfId="0" applyNumberFormat="1" applyFont="1" applyBorder="1" applyAlignment="1">
      <alignment horizontal="right" vertical="center" wrapText="1"/>
    </xf>
    <xf numFmtId="2" fontId="6" fillId="0" borderId="0" xfId="3" applyNumberFormat="1" applyFont="1" applyAlignment="1">
      <alignment vertical="center"/>
    </xf>
    <xf numFmtId="41" fontId="24" fillId="0" borderId="99" xfId="1" applyFont="1" applyFill="1" applyBorder="1" applyAlignment="1">
      <alignment horizontal="center" vertical="center" wrapText="1"/>
    </xf>
    <xf numFmtId="41" fontId="24" fillId="0" borderId="102" xfId="1" applyFont="1" applyFill="1" applyBorder="1" applyAlignment="1">
      <alignment horizontal="center" vertical="center" wrapText="1"/>
    </xf>
    <xf numFmtId="41" fontId="27" fillId="0" borderId="107" xfId="1" applyFont="1" applyFill="1" applyBorder="1" applyAlignment="1">
      <alignment horizontal="center" vertical="center" wrapText="1"/>
    </xf>
    <xf numFmtId="41" fontId="27" fillId="0" borderId="108" xfId="1" applyFont="1" applyFill="1" applyBorder="1" applyAlignment="1">
      <alignment horizontal="center" vertical="center" wrapText="1"/>
    </xf>
    <xf numFmtId="0" fontId="27" fillId="0" borderId="118" xfId="3" applyFont="1" applyFill="1" applyBorder="1" applyAlignment="1">
      <alignment horizontal="center" vertical="center" wrapText="1"/>
    </xf>
    <xf numFmtId="41" fontId="27" fillId="0" borderId="117" xfId="1" applyFont="1" applyFill="1" applyBorder="1" applyAlignment="1">
      <alignment horizontal="center" vertical="center" wrapText="1"/>
    </xf>
    <xf numFmtId="41" fontId="27" fillId="0" borderId="103" xfId="1" applyFont="1" applyFill="1" applyBorder="1" applyAlignment="1">
      <alignment horizontal="center" vertical="center" wrapText="1"/>
    </xf>
    <xf numFmtId="41" fontId="6" fillId="0" borderId="100" xfId="1" applyFont="1" applyFill="1" applyBorder="1" applyAlignment="1">
      <alignment horizontal="center" vertical="center"/>
    </xf>
    <xf numFmtId="41" fontId="6" fillId="0" borderId="104" xfId="1" applyFont="1" applyFill="1" applyBorder="1" applyAlignment="1">
      <alignment vertical="center"/>
    </xf>
    <xf numFmtId="41" fontId="6" fillId="0" borderId="106" xfId="1" applyFont="1" applyFill="1" applyBorder="1" applyAlignment="1">
      <alignment vertical="center"/>
    </xf>
    <xf numFmtId="0" fontId="13" fillId="0" borderId="99" xfId="0" applyFont="1" applyFill="1" applyBorder="1" applyAlignment="1">
      <alignment horizontal="center" vertical="center" wrapText="1"/>
    </xf>
    <xf numFmtId="0" fontId="6" fillId="0" borderId="127" xfId="3" applyFont="1" applyBorder="1" applyAlignment="1">
      <alignment horizontal="center" vertical="center"/>
    </xf>
    <xf numFmtId="41" fontId="6" fillId="0" borderId="95" xfId="1" applyFont="1" applyBorder="1" applyAlignment="1">
      <alignment horizontal="center" vertical="center"/>
    </xf>
    <xf numFmtId="41" fontId="6" fillId="0" borderId="96" xfId="1" applyFont="1" applyBorder="1" applyAlignment="1">
      <alignment horizontal="center" vertical="center"/>
    </xf>
    <xf numFmtId="41" fontId="6" fillId="0" borderId="97" xfId="1" applyFont="1" applyBorder="1" applyAlignment="1">
      <alignment vertical="center"/>
    </xf>
    <xf numFmtId="0" fontId="0" fillId="0" borderId="103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0" fillId="0" borderId="138" xfId="0" applyFill="1" applyBorder="1" applyAlignment="1">
      <alignment horizontal="center" vertical="center"/>
    </xf>
    <xf numFmtId="0" fontId="0" fillId="0" borderId="136" xfId="0" applyFill="1" applyBorder="1" applyAlignment="1">
      <alignment horizontal="center" vertical="center"/>
    </xf>
    <xf numFmtId="0" fontId="0" fillId="0" borderId="139" xfId="0" applyFill="1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178" fontId="0" fillId="0" borderId="113" xfId="0" applyNumberFormat="1" applyFill="1" applyBorder="1" applyAlignment="1">
      <alignment horizontal="right" vertical="center"/>
    </xf>
    <xf numFmtId="178" fontId="0" fillId="0" borderId="102" xfId="0" applyNumberFormat="1" applyFill="1" applyBorder="1" applyAlignment="1">
      <alignment horizontal="right" vertical="center"/>
    </xf>
    <xf numFmtId="178" fontId="0" fillId="0" borderId="103" xfId="0" applyNumberFormat="1" applyFill="1" applyBorder="1" applyAlignment="1">
      <alignment horizontal="right" vertical="center"/>
    </xf>
    <xf numFmtId="178" fontId="0" fillId="0" borderId="145" xfId="0" applyNumberFormat="1" applyFill="1" applyBorder="1" applyAlignment="1">
      <alignment horizontal="right" vertical="center"/>
    </xf>
    <xf numFmtId="178" fontId="0" fillId="0" borderId="146" xfId="0" applyNumberFormat="1" applyFill="1" applyBorder="1" applyAlignment="1">
      <alignment horizontal="right" vertical="center"/>
    </xf>
    <xf numFmtId="178" fontId="0" fillId="0" borderId="152" xfId="0" applyNumberFormat="1" applyFill="1" applyBorder="1" applyAlignment="1">
      <alignment horizontal="right" vertical="center"/>
    </xf>
    <xf numFmtId="178" fontId="0" fillId="0" borderId="108" xfId="0" applyNumberFormat="1" applyFill="1" applyBorder="1" applyAlignment="1">
      <alignment horizontal="right" vertical="center"/>
    </xf>
    <xf numFmtId="178" fontId="0" fillId="0" borderId="109" xfId="0" applyNumberFormat="1" applyFill="1" applyBorder="1" applyAlignment="1">
      <alignment horizontal="right" vertical="center"/>
    </xf>
    <xf numFmtId="178" fontId="0" fillId="0" borderId="105" xfId="0" applyNumberFormat="1" applyFill="1" applyBorder="1" applyAlignment="1">
      <alignment horizontal="right" vertical="center"/>
    </xf>
    <xf numFmtId="178" fontId="0" fillId="0" borderId="106" xfId="0" applyNumberFormat="1" applyFill="1" applyBorder="1" applyAlignment="1">
      <alignment horizontal="right" vertical="center"/>
    </xf>
    <xf numFmtId="178" fontId="0" fillId="9" borderId="144" xfId="0" applyNumberFormat="1" applyFill="1" applyBorder="1" applyAlignment="1">
      <alignment horizontal="right" vertical="center"/>
    </xf>
    <xf numFmtId="178" fontId="0" fillId="9" borderId="141" xfId="0" applyNumberFormat="1" applyFill="1" applyBorder="1" applyAlignment="1">
      <alignment horizontal="right" vertical="center"/>
    </xf>
    <xf numFmtId="178" fontId="0" fillId="9" borderId="142" xfId="0" applyNumberFormat="1" applyFill="1" applyBorder="1" applyAlignment="1">
      <alignment horizontal="right" vertical="center"/>
    </xf>
    <xf numFmtId="178" fontId="0" fillId="9" borderId="153" xfId="0" applyNumberFormat="1" applyFill="1" applyBorder="1" applyAlignment="1">
      <alignment horizontal="right" vertical="center"/>
    </xf>
    <xf numFmtId="178" fontId="0" fillId="9" borderId="154" xfId="0" applyNumberFormat="1" applyFill="1" applyBorder="1" applyAlignment="1">
      <alignment horizontal="right" vertical="center"/>
    </xf>
    <xf numFmtId="178" fontId="0" fillId="9" borderId="155" xfId="0" applyNumberFormat="1" applyFill="1" applyBorder="1" applyAlignment="1">
      <alignment horizontal="right" vertical="center"/>
    </xf>
    <xf numFmtId="178" fontId="0" fillId="9" borderId="157" xfId="0" applyNumberFormat="1" applyFill="1" applyBorder="1" applyAlignment="1">
      <alignment horizontal="right" vertical="center"/>
    </xf>
    <xf numFmtId="178" fontId="0" fillId="9" borderId="118" xfId="0" applyNumberFormat="1" applyFill="1" applyBorder="1" applyAlignment="1">
      <alignment horizontal="right" vertical="center"/>
    </xf>
    <xf numFmtId="178" fontId="0" fillId="9" borderId="117" xfId="0" applyNumberFormat="1" applyFill="1" applyBorder="1" applyAlignment="1">
      <alignment horizontal="right" vertical="center"/>
    </xf>
    <xf numFmtId="178" fontId="0" fillId="9" borderId="116" xfId="0" applyNumberFormat="1" applyFill="1" applyBorder="1" applyAlignment="1">
      <alignment horizontal="right" vertical="center"/>
    </xf>
    <xf numFmtId="178" fontId="0" fillId="9" borderId="113" xfId="0" applyNumberFormat="1" applyFill="1" applyBorder="1" applyAlignment="1">
      <alignment horizontal="right" vertical="center"/>
    </xf>
    <xf numFmtId="178" fontId="0" fillId="9" borderId="102" xfId="0" applyNumberFormat="1" applyFill="1" applyBorder="1" applyAlignment="1">
      <alignment horizontal="right" vertical="center"/>
    </xf>
    <xf numFmtId="178" fontId="0" fillId="9" borderId="103" xfId="0" applyNumberFormat="1" applyFill="1" applyBorder="1" applyAlignment="1">
      <alignment horizontal="right" vertical="center"/>
    </xf>
    <xf numFmtId="0" fontId="0" fillId="9" borderId="130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178" fontId="0" fillId="9" borderId="108" xfId="0" applyNumberFormat="1" applyFill="1" applyBorder="1" applyAlignment="1">
      <alignment horizontal="right" vertical="center"/>
    </xf>
    <xf numFmtId="0" fontId="0" fillId="0" borderId="152" xfId="0" applyFill="1" applyBorder="1" applyAlignment="1">
      <alignment horizontal="center" vertical="center"/>
    </xf>
    <xf numFmtId="178" fontId="0" fillId="0" borderId="159" xfId="0" applyNumberFormat="1" applyFill="1" applyBorder="1" applyAlignment="1">
      <alignment horizontal="right" vertical="center"/>
    </xf>
    <xf numFmtId="0" fontId="11" fillId="0" borderId="127" xfId="4" applyFont="1" applyBorder="1" applyAlignment="1">
      <alignment horizontal="center" vertical="center"/>
    </xf>
    <xf numFmtId="178" fontId="0" fillId="9" borderId="161" xfId="0" applyNumberFormat="1" applyFill="1" applyBorder="1" applyAlignment="1">
      <alignment horizontal="right" vertical="center"/>
    </xf>
    <xf numFmtId="178" fontId="0" fillId="9" borderId="150" xfId="0" applyNumberFormat="1" applyFill="1" applyBorder="1" applyAlignment="1">
      <alignment horizontal="right" vertical="center"/>
    </xf>
    <xf numFmtId="178" fontId="0" fillId="9" borderId="151" xfId="0" applyNumberFormat="1" applyFill="1" applyBorder="1" applyAlignment="1">
      <alignment horizontal="right" vertical="center"/>
    </xf>
    <xf numFmtId="178" fontId="0" fillId="9" borderId="164" xfId="0" applyNumberFormat="1" applyFill="1" applyBorder="1" applyAlignment="1">
      <alignment horizontal="right" vertical="center"/>
    </xf>
    <xf numFmtId="178" fontId="0" fillId="9" borderId="114" xfId="0" applyNumberFormat="1" applyFill="1" applyBorder="1" applyAlignment="1">
      <alignment horizontal="right" vertical="center"/>
    </xf>
    <xf numFmtId="178" fontId="0" fillId="0" borderId="114" xfId="0" applyNumberFormat="1" applyFill="1" applyBorder="1" applyAlignment="1">
      <alignment horizontal="right" vertical="center"/>
    </xf>
    <xf numFmtId="178" fontId="0" fillId="9" borderId="165" xfId="0" applyNumberFormat="1" applyFill="1" applyBorder="1" applyAlignment="1">
      <alignment horizontal="right" vertical="center"/>
    </xf>
    <xf numFmtId="178" fontId="0" fillId="0" borderId="115" xfId="0" applyNumberFormat="1" applyFill="1" applyBorder="1" applyAlignment="1">
      <alignment horizontal="right" vertical="center"/>
    </xf>
    <xf numFmtId="178" fontId="0" fillId="0" borderId="0" xfId="0" applyNumberFormat="1">
      <alignment vertical="center"/>
    </xf>
    <xf numFmtId="182" fontId="7" fillId="0" borderId="20" xfId="1" quotePrefix="1" applyNumberFormat="1" applyFont="1" applyFill="1" applyBorder="1" applyAlignment="1">
      <alignment horizontal="center" vertical="center"/>
    </xf>
    <xf numFmtId="182" fontId="7" fillId="0" borderId="14" xfId="1" quotePrefix="1" applyNumberFormat="1" applyFont="1" applyFill="1" applyBorder="1" applyAlignment="1">
      <alignment horizontal="center" vertical="center"/>
    </xf>
    <xf numFmtId="182" fontId="7" fillId="0" borderId="15" xfId="1" quotePrefix="1" applyNumberFormat="1" applyFont="1" applyFill="1" applyBorder="1" applyAlignment="1">
      <alignment horizontal="center" vertical="center"/>
    </xf>
    <xf numFmtId="182" fontId="7" fillId="0" borderId="25" xfId="1" quotePrefix="1" applyNumberFormat="1" applyFont="1" applyFill="1" applyBorder="1" applyAlignment="1">
      <alignment horizontal="center" vertical="center"/>
    </xf>
    <xf numFmtId="182" fontId="7" fillId="0" borderId="23" xfId="1" quotePrefix="1" applyNumberFormat="1" applyFont="1" applyFill="1" applyBorder="1" applyAlignment="1">
      <alignment horizontal="center" vertical="center"/>
    </xf>
    <xf numFmtId="182" fontId="7" fillId="0" borderId="24" xfId="1" quotePrefix="1" applyNumberFormat="1" applyFont="1" applyFill="1" applyBorder="1" applyAlignment="1">
      <alignment horizontal="center" vertical="center"/>
    </xf>
    <xf numFmtId="182" fontId="25" fillId="0" borderId="21" xfId="1" quotePrefix="1" applyNumberFormat="1" applyFont="1" applyFill="1" applyBorder="1" applyAlignment="1">
      <alignment horizontal="center" vertical="center"/>
    </xf>
    <xf numFmtId="182" fontId="25" fillId="0" borderId="17" xfId="1" quotePrefix="1" applyNumberFormat="1" applyFont="1" applyFill="1" applyBorder="1" applyAlignment="1">
      <alignment horizontal="center" vertical="center"/>
    </xf>
    <xf numFmtId="182" fontId="25" fillId="0" borderId="18" xfId="1" quotePrefix="1" applyNumberFormat="1" applyFont="1" applyFill="1" applyBorder="1" applyAlignment="1">
      <alignment horizontal="center" vertical="center"/>
    </xf>
    <xf numFmtId="182" fontId="7" fillId="0" borderId="96" xfId="1" quotePrefix="1" applyNumberFormat="1" applyFont="1" applyFill="1" applyBorder="1" applyAlignment="1">
      <alignment horizontal="center" vertical="center"/>
    </xf>
    <xf numFmtId="182" fontId="7" fillId="0" borderId="97" xfId="1" quotePrefix="1" applyNumberFormat="1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41" fontId="11" fillId="0" borderId="14" xfId="1" applyFont="1" applyFill="1" applyBorder="1" applyAlignment="1">
      <alignment horizontal="center" vertical="center"/>
    </xf>
    <xf numFmtId="0" fontId="52" fillId="0" borderId="14" xfId="0" applyFont="1" applyBorder="1" applyAlignment="1">
      <alignment horizontal="center" vertical="center" wrapText="1"/>
    </xf>
    <xf numFmtId="41" fontId="11" fillId="0" borderId="15" xfId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41" fontId="15" fillId="0" borderId="11" xfId="1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41" fontId="15" fillId="0" borderId="14" xfId="1" applyFont="1" applyBorder="1" applyAlignment="1">
      <alignment horizontal="center" vertical="center"/>
    </xf>
    <xf numFmtId="41" fontId="6" fillId="0" borderId="129" xfId="1" applyFont="1" applyBorder="1" applyAlignment="1">
      <alignment horizontal="center" vertical="center"/>
    </xf>
    <xf numFmtId="180" fontId="6" fillId="0" borderId="19" xfId="1" applyNumberFormat="1" applyFont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52" fillId="0" borderId="100" xfId="0" applyFont="1" applyFill="1" applyBorder="1" applyAlignment="1">
      <alignment horizontal="center" vertical="center" wrapText="1"/>
    </xf>
    <xf numFmtId="0" fontId="52" fillId="0" borderId="103" xfId="0" applyFont="1" applyFill="1" applyBorder="1" applyAlignment="1">
      <alignment horizontal="center" vertical="center" wrapText="1"/>
    </xf>
    <xf numFmtId="183" fontId="6" fillId="0" borderId="14" xfId="1" applyNumberFormat="1" applyFont="1" applyBorder="1" applyAlignment="1">
      <alignment horizontal="center" vertical="center"/>
    </xf>
    <xf numFmtId="41" fontId="11" fillId="0" borderId="17" xfId="1" applyFont="1" applyBorder="1" applyAlignment="1">
      <alignment vertical="center"/>
    </xf>
    <xf numFmtId="41" fontId="6" fillId="0" borderId="94" xfId="1" applyFont="1" applyBorder="1" applyAlignment="1">
      <alignment horizontal="center" vertical="center"/>
    </xf>
    <xf numFmtId="41" fontId="15" fillId="0" borderId="17" xfId="1" applyFont="1" applyBorder="1" applyAlignment="1">
      <alignment vertical="center"/>
    </xf>
    <xf numFmtId="41" fontId="15" fillId="0" borderId="18" xfId="1" applyFont="1" applyBorder="1" applyAlignment="1">
      <alignment vertical="center"/>
    </xf>
    <xf numFmtId="0" fontId="6" fillId="0" borderId="178" xfId="3" applyFont="1" applyBorder="1" applyAlignment="1">
      <alignment horizontal="center" vertical="center"/>
    </xf>
    <xf numFmtId="0" fontId="6" fillId="0" borderId="93" xfId="3" applyFont="1" applyBorder="1" applyAlignment="1">
      <alignment horizontal="center" vertical="center"/>
    </xf>
    <xf numFmtId="180" fontId="6" fillId="0" borderId="98" xfId="1" applyNumberFormat="1" applyFont="1" applyFill="1" applyBorder="1" applyAlignment="1">
      <alignment horizontal="center" vertical="center"/>
    </xf>
    <xf numFmtId="180" fontId="6" fillId="0" borderId="101" xfId="1" applyNumberFormat="1" applyFont="1" applyFill="1" applyBorder="1" applyAlignment="1">
      <alignment horizontal="center" vertical="center"/>
    </xf>
    <xf numFmtId="180" fontId="6" fillId="0" borderId="104" xfId="1" applyNumberFormat="1" applyFont="1" applyFill="1" applyBorder="1" applyAlignment="1">
      <alignment horizontal="center" vertical="center"/>
    </xf>
    <xf numFmtId="0" fontId="52" fillId="0" borderId="17" xfId="0" applyFont="1" applyBorder="1" applyAlignment="1">
      <alignment horizontal="center" vertical="center" wrapText="1"/>
    </xf>
    <xf numFmtId="41" fontId="11" fillId="0" borderId="18" xfId="1" applyFont="1" applyBorder="1" applyAlignment="1">
      <alignment horizontal="center" vertical="center"/>
    </xf>
    <xf numFmtId="41" fontId="6" fillId="0" borderId="104" xfId="1" applyFont="1" applyFill="1" applyBorder="1" applyAlignment="1">
      <alignment horizontal="center" vertical="center"/>
    </xf>
    <xf numFmtId="41" fontId="27" fillId="0" borderId="111" xfId="1" applyFont="1" applyFill="1" applyBorder="1" applyAlignment="1">
      <alignment horizontal="center" vertical="center"/>
    </xf>
    <xf numFmtId="41" fontId="15" fillId="0" borderId="99" xfId="1" applyFont="1" applyFill="1" applyBorder="1" applyAlignment="1">
      <alignment horizontal="center" vertical="center"/>
    </xf>
    <xf numFmtId="41" fontId="15" fillId="0" borderId="102" xfId="1" applyFont="1" applyFill="1" applyBorder="1" applyAlignment="1">
      <alignment horizontal="center" vertical="center"/>
    </xf>
    <xf numFmtId="0" fontId="53" fillId="0" borderId="0" xfId="3" applyFont="1" applyAlignment="1">
      <alignment vertical="center"/>
    </xf>
    <xf numFmtId="0" fontId="11" fillId="0" borderId="0" xfId="3" applyFont="1" applyAlignment="1">
      <alignment vertical="center"/>
    </xf>
    <xf numFmtId="0" fontId="52" fillId="0" borderId="0" xfId="0" applyFont="1" applyAlignment="1">
      <alignment horizontal="left" vertical="center"/>
    </xf>
    <xf numFmtId="0" fontId="11" fillId="0" borderId="0" xfId="3" applyFont="1" applyAlignment="1">
      <alignment horizontal="right" vertical="center"/>
    </xf>
    <xf numFmtId="0" fontId="11" fillId="0" borderId="0" xfId="3" applyFont="1" applyBorder="1" applyAlignment="1">
      <alignment vertical="center"/>
    </xf>
    <xf numFmtId="0" fontId="11" fillId="0" borderId="21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 wrapText="1"/>
    </xf>
    <xf numFmtId="41" fontId="11" fillId="0" borderId="24" xfId="1" applyFont="1" applyBorder="1" applyAlignment="1">
      <alignment horizontal="center" vertical="center"/>
    </xf>
    <xf numFmtId="41" fontId="11" fillId="0" borderId="20" xfId="1" applyFont="1" applyFill="1" applyBorder="1" applyAlignment="1">
      <alignment horizontal="center" vertical="center"/>
    </xf>
    <xf numFmtId="41" fontId="11" fillId="0" borderId="17" xfId="1" applyFont="1" applyBorder="1" applyAlignment="1">
      <alignment horizontal="center" vertical="center"/>
    </xf>
    <xf numFmtId="41" fontId="11" fillId="0" borderId="38" xfId="1" applyFont="1" applyBorder="1" applyAlignment="1">
      <alignment horizontal="center" vertical="center"/>
    </xf>
    <xf numFmtId="41" fontId="11" fillId="0" borderId="39" xfId="1" applyFont="1" applyFill="1" applyBorder="1" applyAlignment="1">
      <alignment horizontal="center" vertical="center"/>
    </xf>
    <xf numFmtId="41" fontId="11" fillId="0" borderId="37" xfId="1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 wrapText="1"/>
    </xf>
    <xf numFmtId="183" fontId="11" fillId="0" borderId="38" xfId="1" applyNumberFormat="1" applyFont="1" applyBorder="1" applyAlignment="1">
      <alignment horizontal="center" vertical="center"/>
    </xf>
    <xf numFmtId="0" fontId="11" fillId="0" borderId="0" xfId="3" applyNumberFormat="1" applyFont="1" applyBorder="1" applyAlignment="1">
      <alignment horizontal="center" vertical="center"/>
    </xf>
    <xf numFmtId="41" fontId="11" fillId="0" borderId="0" xfId="3" applyNumberFormat="1" applyFont="1" applyBorder="1" applyAlignment="1">
      <alignment horizontal="center" vertical="center"/>
    </xf>
    <xf numFmtId="41" fontId="55" fillId="0" borderId="0" xfId="3" applyNumberFormat="1" applyFont="1" applyBorder="1" applyAlignment="1">
      <alignment horizontal="center" vertical="center"/>
    </xf>
    <xf numFmtId="3" fontId="55" fillId="0" borderId="0" xfId="3" applyNumberFormat="1" applyFont="1" applyBorder="1" applyAlignment="1">
      <alignment vertical="center"/>
    </xf>
    <xf numFmtId="0" fontId="11" fillId="0" borderId="1" xfId="3" applyFont="1" applyBorder="1" applyAlignment="1">
      <alignment horizontal="center" vertical="center"/>
    </xf>
    <xf numFmtId="41" fontId="11" fillId="0" borderId="1" xfId="1" applyFont="1" applyBorder="1" applyAlignment="1">
      <alignment vertical="center"/>
    </xf>
    <xf numFmtId="41" fontId="11" fillId="0" borderId="1" xfId="3" applyNumberFormat="1" applyFont="1" applyBorder="1" applyAlignment="1">
      <alignment vertical="center"/>
    </xf>
    <xf numFmtId="0" fontId="11" fillId="0" borderId="1" xfId="3" applyFont="1" applyBorder="1" applyAlignment="1">
      <alignment vertical="center"/>
    </xf>
    <xf numFmtId="0" fontId="6" fillId="0" borderId="182" xfId="3" applyFont="1" applyBorder="1" applyAlignment="1">
      <alignment horizontal="center" vertical="center"/>
    </xf>
    <xf numFmtId="0" fontId="6" fillId="0" borderId="183" xfId="3" applyFont="1" applyBorder="1" applyAlignment="1">
      <alignment horizontal="center" vertical="center"/>
    </xf>
    <xf numFmtId="41" fontId="6" fillId="2" borderId="95" xfId="3" applyNumberFormat="1" applyFont="1" applyFill="1" applyBorder="1" applyAlignment="1">
      <alignment horizontal="center" vertical="center"/>
    </xf>
    <xf numFmtId="41" fontId="6" fillId="2" borderId="96" xfId="3" applyNumberFormat="1" applyFont="1" applyFill="1" applyBorder="1" applyAlignment="1">
      <alignment horizontal="center" vertical="center"/>
    </xf>
    <xf numFmtId="0" fontId="6" fillId="2" borderId="97" xfId="3" applyFont="1" applyFill="1" applyBorder="1" applyAlignment="1">
      <alignment horizontal="center" vertical="center"/>
    </xf>
    <xf numFmtId="41" fontId="6" fillId="0" borderId="98" xfId="1" applyFont="1" applyFill="1" applyBorder="1" applyAlignment="1">
      <alignment vertical="center"/>
    </xf>
    <xf numFmtId="41" fontId="6" fillId="0" borderId="99" xfId="1" applyFont="1" applyFill="1" applyBorder="1" applyAlignment="1">
      <alignment vertical="center"/>
    </xf>
    <xf numFmtId="0" fontId="6" fillId="0" borderId="100" xfId="3" applyFont="1" applyFill="1" applyBorder="1" applyAlignment="1">
      <alignment vertical="center"/>
    </xf>
    <xf numFmtId="0" fontId="6" fillId="0" borderId="106" xfId="3" applyFont="1" applyFill="1" applyBorder="1" applyAlignment="1">
      <alignment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6" fillId="0" borderId="113" xfId="3" applyFont="1" applyFill="1" applyBorder="1" applyAlignment="1">
      <alignment horizontal="center" vertical="center"/>
    </xf>
    <xf numFmtId="0" fontId="6" fillId="0" borderId="102" xfId="3" applyFont="1" applyFill="1" applyBorder="1" applyAlignment="1">
      <alignment horizontal="center" vertical="center"/>
    </xf>
    <xf numFmtId="0" fontId="6" fillId="0" borderId="115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15" fillId="0" borderId="118" xfId="0" applyFont="1" applyFill="1" applyBorder="1" applyAlignment="1">
      <alignment horizontal="center" vertical="center" wrapText="1"/>
    </xf>
    <xf numFmtId="41" fontId="15" fillId="0" borderId="117" xfId="1" applyFont="1" applyFill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41" fontId="15" fillId="0" borderId="103" xfId="1" applyFont="1" applyFill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0" fontId="15" fillId="0" borderId="99" xfId="0" applyFont="1" applyFill="1" applyBorder="1" applyAlignment="1">
      <alignment horizontal="center" vertical="center" wrapText="1"/>
    </xf>
    <xf numFmtId="41" fontId="15" fillId="0" borderId="184" xfId="1" applyFont="1" applyFill="1" applyBorder="1" applyAlignment="1">
      <alignment horizontal="center" vertical="center"/>
    </xf>
    <xf numFmtId="41" fontId="15" fillId="0" borderId="130" xfId="1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vertical="center"/>
    </xf>
    <xf numFmtId="41" fontId="15" fillId="0" borderId="19" xfId="1" applyFont="1" applyBorder="1" applyAlignment="1">
      <alignment horizontal="center" vertical="center"/>
    </xf>
    <xf numFmtId="41" fontId="15" fillId="0" borderId="20" xfId="1" applyFont="1" applyBorder="1" applyAlignment="1">
      <alignment horizontal="center" vertical="center"/>
    </xf>
    <xf numFmtId="41" fontId="27" fillId="0" borderId="108" xfId="1" applyFont="1" applyFill="1" applyBorder="1" applyAlignment="1">
      <alignment horizontal="center" vertical="center"/>
    </xf>
    <xf numFmtId="41" fontId="27" fillId="0" borderId="109" xfId="1" applyFont="1" applyFill="1" applyBorder="1" applyAlignment="1">
      <alignment vertical="center"/>
    </xf>
    <xf numFmtId="0" fontId="6" fillId="0" borderId="186" xfId="3" applyFont="1" applyFill="1" applyBorder="1" applyAlignment="1">
      <alignment horizontal="center" vertical="center"/>
    </xf>
    <xf numFmtId="0" fontId="6" fillId="0" borderId="187" xfId="3" applyFont="1" applyFill="1" applyBorder="1" applyAlignment="1">
      <alignment horizontal="center" vertical="center"/>
    </xf>
    <xf numFmtId="41" fontId="6" fillId="0" borderId="178" xfId="1" applyFont="1" applyBorder="1" applyAlignment="1">
      <alignment horizontal="center" vertical="center"/>
    </xf>
    <xf numFmtId="41" fontId="6" fillId="0" borderId="98" xfId="1" applyFont="1" applyFill="1" applyBorder="1" applyAlignment="1">
      <alignment horizontal="center" vertical="center"/>
    </xf>
    <xf numFmtId="41" fontId="6" fillId="0" borderId="101" xfId="1" applyNumberFormat="1" applyFont="1" applyFill="1" applyBorder="1" applyAlignment="1">
      <alignment horizontal="center" vertical="center"/>
    </xf>
    <xf numFmtId="41" fontId="15" fillId="0" borderId="21" xfId="1" applyFont="1" applyBorder="1" applyAlignment="1">
      <alignment vertical="center"/>
    </xf>
    <xf numFmtId="41" fontId="6" fillId="0" borderId="19" xfId="1" applyFont="1" applyBorder="1" applyAlignment="1">
      <alignment horizontal="center" vertical="center"/>
    </xf>
    <xf numFmtId="41" fontId="6" fillId="0" borderId="20" xfId="1" applyFont="1" applyBorder="1" applyAlignment="1">
      <alignment horizontal="center" vertical="center" wrapText="1"/>
    </xf>
    <xf numFmtId="41" fontId="6" fillId="0" borderId="100" xfId="1" applyFont="1" applyFill="1" applyBorder="1" applyAlignment="1">
      <alignment horizontal="center" vertical="center" wrapText="1"/>
    </xf>
    <xf numFmtId="41" fontId="6" fillId="0" borderId="184" xfId="1" applyFont="1" applyFill="1" applyBorder="1" applyAlignment="1">
      <alignment horizontal="center" vertical="center" wrapText="1"/>
    </xf>
    <xf numFmtId="41" fontId="6" fillId="0" borderId="130" xfId="1" applyFont="1" applyFill="1" applyBorder="1" applyAlignment="1">
      <alignment horizontal="center" vertical="center" wrapText="1"/>
    </xf>
    <xf numFmtId="41" fontId="6" fillId="0" borderId="177" xfId="1" applyFont="1" applyFill="1" applyBorder="1" applyAlignment="1">
      <alignment horizontal="center" vertical="center"/>
    </xf>
    <xf numFmtId="41" fontId="6" fillId="0" borderId="111" xfId="1" applyFont="1" applyFill="1" applyBorder="1" applyAlignment="1">
      <alignment horizontal="center" vertical="center"/>
    </xf>
    <xf numFmtId="41" fontId="6" fillId="0" borderId="113" xfId="1" applyFont="1" applyFill="1" applyBorder="1" applyAlignment="1">
      <alignment horizontal="center" vertical="center" wrapText="1"/>
    </xf>
    <xf numFmtId="41" fontId="6" fillId="0" borderId="115" xfId="1" applyFont="1" applyFill="1" applyBorder="1" applyAlignment="1">
      <alignment horizontal="center" vertical="center"/>
    </xf>
    <xf numFmtId="182" fontId="7" fillId="0" borderId="11" xfId="1" quotePrefix="1" applyNumberFormat="1" applyFont="1" applyFill="1" applyBorder="1" applyAlignment="1">
      <alignment horizontal="center" vertical="center"/>
    </xf>
    <xf numFmtId="182" fontId="7" fillId="0" borderId="12" xfId="1" quotePrefix="1" applyNumberFormat="1" applyFont="1" applyFill="1" applyBorder="1" applyAlignment="1">
      <alignment horizontal="center" vertical="center"/>
    </xf>
    <xf numFmtId="182" fontId="7" fillId="0" borderId="101" xfId="1" quotePrefix="1" applyNumberFormat="1" applyFont="1" applyFill="1" applyBorder="1" applyAlignment="1">
      <alignment horizontal="center" vertical="center"/>
    </xf>
    <xf numFmtId="182" fontId="7" fillId="0" borderId="102" xfId="1" quotePrefix="1" applyNumberFormat="1" applyFont="1" applyFill="1" applyBorder="1" applyAlignment="1">
      <alignment horizontal="center" vertical="center"/>
    </xf>
    <xf numFmtId="182" fontId="25" fillId="0" borderId="101" xfId="1" quotePrefix="1" applyNumberFormat="1" applyFont="1" applyFill="1" applyBorder="1" applyAlignment="1">
      <alignment horizontal="center" vertical="center"/>
    </xf>
    <xf numFmtId="182" fontId="25" fillId="0" borderId="102" xfId="1" quotePrefix="1" applyNumberFormat="1" applyFont="1" applyFill="1" applyBorder="1" applyAlignment="1">
      <alignment horizontal="center" vertical="center"/>
    </xf>
    <xf numFmtId="182" fontId="14" fillId="0" borderId="98" xfId="1" applyNumberFormat="1" applyFont="1" applyFill="1" applyBorder="1" applyAlignment="1">
      <alignment horizontal="center" vertical="center"/>
    </xf>
    <xf numFmtId="182" fontId="14" fillId="0" borderId="99" xfId="1" applyNumberFormat="1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41" fontId="6" fillId="0" borderId="15" xfId="1" applyFont="1" applyBorder="1" applyAlignment="1">
      <alignment horizontal="center" vertical="center" shrinkToFi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41" fontId="6" fillId="0" borderId="12" xfId="1" applyFont="1" applyFill="1" applyBorder="1" applyAlignment="1">
      <alignment horizontal="center" vertical="center"/>
    </xf>
    <xf numFmtId="41" fontId="6" fillId="0" borderId="15" xfId="1" applyFont="1" applyFill="1" applyBorder="1" applyAlignment="1">
      <alignment horizontal="center" vertical="center"/>
    </xf>
    <xf numFmtId="0" fontId="6" fillId="0" borderId="16" xfId="3" applyFont="1" applyBorder="1" applyAlignment="1">
      <alignment vertical="center"/>
    </xf>
    <xf numFmtId="41" fontId="6" fillId="0" borderId="24" xfId="1" applyFont="1" applyBorder="1" applyAlignment="1">
      <alignment horizontal="center" vertical="center" shrinkToFit="1"/>
    </xf>
    <xf numFmtId="41" fontId="27" fillId="0" borderId="114" xfId="1" applyNumberFormat="1" applyFont="1" applyFill="1" applyBorder="1" applyAlignment="1">
      <alignment horizontal="center" vertical="center" wrapText="1"/>
    </xf>
    <xf numFmtId="176" fontId="6" fillId="0" borderId="99" xfId="3" applyNumberFormat="1" applyFont="1" applyFill="1" applyBorder="1" applyAlignment="1">
      <alignment vertical="center"/>
    </xf>
    <xf numFmtId="176" fontId="6" fillId="0" borderId="102" xfId="3" applyNumberFormat="1" applyFont="1" applyFill="1" applyBorder="1" applyAlignment="1">
      <alignment vertical="center"/>
    </xf>
    <xf numFmtId="41" fontId="27" fillId="0" borderId="24" xfId="1" applyFont="1" applyBorder="1" applyAlignment="1">
      <alignment horizontal="center" vertical="center" shrinkToFit="1"/>
    </xf>
    <xf numFmtId="41" fontId="27" fillId="0" borderId="15" xfId="1" applyFont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15" fillId="0" borderId="102" xfId="0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11" fillId="0" borderId="16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 wrapText="1"/>
    </xf>
    <xf numFmtId="0" fontId="0" fillId="0" borderId="130" xfId="0" applyFill="1" applyBorder="1" applyAlignment="1">
      <alignment horizontal="center" vertical="center"/>
    </xf>
    <xf numFmtId="0" fontId="0" fillId="9" borderId="130" xfId="0" applyFill="1" applyBorder="1" applyAlignment="1">
      <alignment horizontal="center" vertical="center"/>
    </xf>
    <xf numFmtId="0" fontId="0" fillId="0" borderId="152" xfId="0" applyFill="1" applyBorder="1" applyAlignment="1">
      <alignment horizontal="center" vertical="center"/>
    </xf>
    <xf numFmtId="0" fontId="0" fillId="0" borderId="103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41" fontId="9" fillId="0" borderId="0" xfId="3" applyNumberFormat="1" applyFont="1" applyAlignment="1">
      <alignment horizontal="center" vertical="center"/>
    </xf>
    <xf numFmtId="3" fontId="52" fillId="0" borderId="1" xfId="0" applyNumberFormat="1" applyFont="1" applyBorder="1" applyAlignment="1">
      <alignment horizontal="center" vertical="center" wrapText="1"/>
    </xf>
    <xf numFmtId="178" fontId="0" fillId="0" borderId="167" xfId="0" applyNumberFormat="1" applyFill="1" applyBorder="1" applyAlignment="1">
      <alignment horizontal="right" vertical="center"/>
    </xf>
    <xf numFmtId="178" fontId="0" fillId="0" borderId="168" xfId="0" applyNumberFormat="1" applyFill="1" applyBorder="1" applyAlignment="1">
      <alignment horizontal="right" vertical="center"/>
    </xf>
    <xf numFmtId="178" fontId="0" fillId="0" borderId="189" xfId="0" applyNumberFormat="1" applyFill="1" applyBorder="1" applyAlignment="1">
      <alignment horizontal="right" vertical="center"/>
    </xf>
    <xf numFmtId="0" fontId="27" fillId="0" borderId="14" xfId="3" applyFont="1" applyFill="1" applyBorder="1" applyAlignment="1">
      <alignment horizontal="center" vertical="center"/>
    </xf>
    <xf numFmtId="41" fontId="27" fillId="0" borderId="14" xfId="1" applyFont="1" applyBorder="1" applyAlignment="1">
      <alignment horizontal="center" vertical="center" wrapText="1"/>
    </xf>
    <xf numFmtId="41" fontId="24" fillId="0" borderId="14" xfId="1" applyFont="1" applyFill="1" applyBorder="1" applyAlignment="1">
      <alignment horizontal="center" vertical="center"/>
    </xf>
    <xf numFmtId="41" fontId="24" fillId="0" borderId="15" xfId="1" applyFont="1" applyFill="1" applyBorder="1" applyAlignment="1">
      <alignment horizontal="center" vertical="center"/>
    </xf>
    <xf numFmtId="0" fontId="27" fillId="0" borderId="35" xfId="3" applyFont="1" applyBorder="1" applyAlignment="1">
      <alignment vertical="center"/>
    </xf>
    <xf numFmtId="41" fontId="15" fillId="0" borderId="191" xfId="1" applyFont="1" applyBorder="1" applyAlignment="1">
      <alignment horizontal="center" vertical="center"/>
    </xf>
    <xf numFmtId="41" fontId="15" fillId="0" borderId="192" xfId="1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 wrapText="1"/>
    </xf>
    <xf numFmtId="41" fontId="11" fillId="0" borderId="15" xfId="1" applyFont="1" applyFill="1" applyBorder="1" applyAlignment="1">
      <alignment horizontal="center" vertical="center"/>
    </xf>
    <xf numFmtId="41" fontId="11" fillId="0" borderId="17" xfId="1" applyFont="1" applyFill="1" applyBorder="1" applyAlignment="1">
      <alignment horizontal="center" vertical="center"/>
    </xf>
    <xf numFmtId="41" fontId="11" fillId="0" borderId="18" xfId="1" applyFont="1" applyFill="1" applyBorder="1" applyAlignment="1">
      <alignment horizontal="center" vertical="center"/>
    </xf>
    <xf numFmtId="0" fontId="27" fillId="0" borderId="36" xfId="3" applyFont="1" applyBorder="1" applyAlignment="1">
      <alignment vertical="center"/>
    </xf>
    <xf numFmtId="0" fontId="28" fillId="0" borderId="11" xfId="0" applyFont="1" applyBorder="1" applyAlignment="1">
      <alignment horizontal="center" vertical="center" wrapText="1"/>
    </xf>
    <xf numFmtId="41" fontId="27" fillId="0" borderId="11" xfId="1" applyFont="1" applyBorder="1" applyAlignment="1">
      <alignment horizontal="center" vertical="center"/>
    </xf>
    <xf numFmtId="41" fontId="27" fillId="0" borderId="12" xfId="1" applyFont="1" applyBorder="1" applyAlignment="1">
      <alignment horizontal="center" vertical="center"/>
    </xf>
    <xf numFmtId="41" fontId="27" fillId="0" borderId="14" xfId="1" applyFont="1" applyFill="1" applyBorder="1" applyAlignment="1">
      <alignment horizontal="center" vertical="center"/>
    </xf>
    <xf numFmtId="41" fontId="6" fillId="0" borderId="17" xfId="1" applyFont="1" applyFill="1" applyBorder="1" applyAlignment="1">
      <alignment horizontal="center" vertical="center"/>
    </xf>
    <xf numFmtId="41" fontId="6" fillId="0" borderId="18" xfId="1" applyFont="1" applyFill="1" applyBorder="1" applyAlignment="1">
      <alignment horizontal="center" vertical="center"/>
    </xf>
    <xf numFmtId="178" fontId="0" fillId="9" borderId="193" xfId="0" applyNumberFormat="1" applyFill="1" applyBorder="1" applyAlignment="1">
      <alignment horizontal="right" vertical="center"/>
    </xf>
    <xf numFmtId="178" fontId="0" fillId="9" borderId="194" xfId="0" applyNumberFormat="1" applyFill="1" applyBorder="1" applyAlignment="1">
      <alignment horizontal="right" vertical="center"/>
    </xf>
    <xf numFmtId="178" fontId="0" fillId="9" borderId="195" xfId="0" applyNumberFormat="1" applyFill="1" applyBorder="1" applyAlignment="1">
      <alignment horizontal="right" vertical="center"/>
    </xf>
    <xf numFmtId="0" fontId="7" fillId="0" borderId="12" xfId="0" quotePrefix="1" applyFont="1" applyFill="1" applyBorder="1" applyAlignment="1">
      <alignment horizontal="center" vertical="center"/>
    </xf>
    <xf numFmtId="182" fontId="7" fillId="0" borderId="19" xfId="1" quotePrefix="1" applyNumberFormat="1" applyFont="1" applyFill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4" xfId="3" applyFont="1" applyBorder="1" applyAlignment="1">
      <alignment horizontal="center" vertical="center"/>
    </xf>
    <xf numFmtId="41" fontId="11" fillId="0" borderId="14" xfId="1" applyFont="1" applyBorder="1" applyAlignment="1">
      <alignment vertical="center"/>
    </xf>
    <xf numFmtId="0" fontId="6" fillId="0" borderId="19" xfId="3" applyFont="1" applyBorder="1" applyAlignment="1">
      <alignment horizontal="center" vertical="center" wrapText="1"/>
    </xf>
    <xf numFmtId="0" fontId="6" fillId="0" borderId="20" xfId="3" applyFont="1" applyBorder="1" applyAlignment="1">
      <alignment horizontal="center" vertical="center" wrapText="1"/>
    </xf>
    <xf numFmtId="41" fontId="27" fillId="0" borderId="20" xfId="1" applyFont="1" applyBorder="1" applyAlignment="1">
      <alignment horizontal="center" vertical="center" wrapText="1"/>
    </xf>
    <xf numFmtId="41" fontId="27" fillId="0" borderId="12" xfId="1" applyFont="1" applyFill="1" applyBorder="1" applyAlignment="1">
      <alignment horizontal="center" vertical="center" wrapText="1"/>
    </xf>
    <xf numFmtId="41" fontId="27" fillId="0" borderId="15" xfId="1" applyFont="1" applyFill="1" applyBorder="1" applyAlignment="1">
      <alignment horizontal="center" vertical="center" wrapText="1"/>
    </xf>
    <xf numFmtId="178" fontId="0" fillId="9" borderId="131" xfId="0" applyNumberFormat="1" applyFill="1" applyBorder="1" applyAlignment="1">
      <alignment horizontal="right" vertical="center"/>
    </xf>
    <xf numFmtId="178" fontId="0" fillId="9" borderId="132" xfId="0" applyNumberFormat="1" applyFill="1" applyBorder="1" applyAlignment="1">
      <alignment horizontal="right" vertical="center"/>
    </xf>
    <xf numFmtId="178" fontId="0" fillId="9" borderId="134" xfId="0" applyNumberFormat="1" applyFill="1" applyBorder="1" applyAlignment="1">
      <alignment horizontal="right" vertical="center"/>
    </xf>
    <xf numFmtId="178" fontId="0" fillId="9" borderId="135" xfId="0" applyNumberFormat="1" applyFill="1" applyBorder="1" applyAlignment="1">
      <alignment horizontal="right" vertical="center"/>
    </xf>
    <xf numFmtId="178" fontId="0" fillId="9" borderId="136" xfId="0" applyNumberFormat="1" applyFill="1" applyBorder="1" applyAlignment="1">
      <alignment horizontal="right" vertical="center"/>
    </xf>
    <xf numFmtId="178" fontId="0" fillId="9" borderId="139" xfId="0" applyNumberFormat="1" applyFill="1" applyBorder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0" fillId="0" borderId="0" xfId="3" applyFont="1" applyAlignment="1">
      <alignment vertical="center"/>
    </xf>
    <xf numFmtId="0" fontId="7" fillId="0" borderId="15" xfId="0" quotePrefix="1" applyFont="1" applyFill="1" applyBorder="1" applyAlignment="1">
      <alignment horizontal="center" vertical="center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7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/>
    </xf>
    <xf numFmtId="0" fontId="44" fillId="7" borderId="53" xfId="0" applyFont="1" applyFill="1" applyBorder="1" applyAlignment="1">
      <alignment horizontal="center" vertical="center" wrapText="1"/>
    </xf>
    <xf numFmtId="0" fontId="44" fillId="7" borderId="81" xfId="0" applyFont="1" applyFill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15" fillId="0" borderId="102" xfId="0" applyFont="1" applyFill="1" applyBorder="1" applyAlignment="1">
      <alignment horizontal="center" vertical="center" wrapText="1"/>
    </xf>
    <xf numFmtId="41" fontId="6" fillId="0" borderId="97" xfId="1" applyFont="1" applyBorder="1" applyAlignment="1">
      <alignment horizontal="center" vertical="center"/>
    </xf>
    <xf numFmtId="41" fontId="6" fillId="0" borderId="95" xfId="1" applyNumberFormat="1" applyFont="1" applyBorder="1" applyAlignment="1">
      <alignment horizontal="center" vertical="center"/>
    </xf>
    <xf numFmtId="0" fontId="15" fillId="0" borderId="132" xfId="0" applyFont="1" applyFill="1" applyBorder="1" applyAlignment="1">
      <alignment horizontal="center" vertical="center" wrapText="1"/>
    </xf>
    <xf numFmtId="41" fontId="15" fillId="0" borderId="112" xfId="1" applyFont="1" applyFill="1" applyBorder="1" applyAlignment="1">
      <alignment horizontal="center" vertical="center"/>
    </xf>
    <xf numFmtId="41" fontId="15" fillId="0" borderId="114" xfId="1" applyFont="1" applyFill="1" applyBorder="1" applyAlignment="1">
      <alignment horizontal="center" vertical="center"/>
    </xf>
    <xf numFmtId="0" fontId="27" fillId="0" borderId="197" xfId="3" applyFont="1" applyFill="1" applyBorder="1" applyAlignment="1">
      <alignment horizontal="center" vertical="center" wrapText="1"/>
    </xf>
    <xf numFmtId="41" fontId="27" fillId="0" borderId="98" xfId="1" applyFont="1" applyFill="1" applyBorder="1" applyAlignment="1">
      <alignment horizontal="center" vertical="center"/>
    </xf>
    <xf numFmtId="41" fontId="27" fillId="0" borderId="112" xfId="1" applyFont="1" applyFill="1" applyBorder="1" applyAlignment="1">
      <alignment horizontal="center" vertical="center"/>
    </xf>
    <xf numFmtId="41" fontId="27" fillId="0" borderId="101" xfId="1" applyFont="1" applyFill="1" applyBorder="1" applyAlignment="1">
      <alignment horizontal="center" vertical="center"/>
    </xf>
    <xf numFmtId="41" fontId="27" fillId="0" borderId="114" xfId="1" applyFont="1" applyFill="1" applyBorder="1" applyAlignment="1">
      <alignment horizontal="center" vertical="center"/>
    </xf>
    <xf numFmtId="41" fontId="27" fillId="0" borderId="197" xfId="1" applyFont="1" applyFill="1" applyBorder="1" applyAlignment="1">
      <alignment vertical="center"/>
    </xf>
    <xf numFmtId="41" fontId="27" fillId="0" borderId="168" xfId="1" applyFont="1" applyFill="1" applyBorder="1" applyAlignment="1">
      <alignment vertical="center"/>
    </xf>
    <xf numFmtId="41" fontId="27" fillId="0" borderId="189" xfId="1" applyFont="1" applyFill="1" applyBorder="1" applyAlignment="1">
      <alignment vertical="center"/>
    </xf>
    <xf numFmtId="41" fontId="6" fillId="0" borderId="198" xfId="1" applyNumberFormat="1" applyFont="1" applyBorder="1" applyAlignment="1">
      <alignment horizontal="center" vertical="center"/>
    </xf>
    <xf numFmtId="0" fontId="7" fillId="0" borderId="93" xfId="0" quotePrefix="1" applyFont="1" applyBorder="1" applyAlignment="1">
      <alignment horizontal="center" vertical="center"/>
    </xf>
    <xf numFmtId="0" fontId="6" fillId="0" borderId="173" xfId="3" applyFont="1" applyFill="1" applyBorder="1" applyAlignment="1">
      <alignment horizontal="center" vertical="center"/>
    </xf>
    <xf numFmtId="182" fontId="14" fillId="0" borderId="112" xfId="1" applyNumberFormat="1" applyFont="1" applyFill="1" applyBorder="1" applyAlignment="1">
      <alignment horizontal="center" vertical="center"/>
    </xf>
    <xf numFmtId="182" fontId="7" fillId="0" borderId="114" xfId="1" quotePrefix="1" applyNumberFormat="1" applyFont="1" applyFill="1" applyBorder="1" applyAlignment="1">
      <alignment horizontal="center" vertical="center"/>
    </xf>
    <xf numFmtId="182" fontId="25" fillId="0" borderId="114" xfId="1" quotePrefix="1" applyNumberFormat="1" applyFont="1" applyFill="1" applyBorder="1" applyAlignment="1">
      <alignment horizontal="center" vertical="center"/>
    </xf>
    <xf numFmtId="182" fontId="25" fillId="0" borderId="197" xfId="1" quotePrefix="1" applyNumberFormat="1" applyFont="1" applyFill="1" applyBorder="1" applyAlignment="1">
      <alignment horizontal="center" vertical="center"/>
    </xf>
    <xf numFmtId="182" fontId="25" fillId="0" borderId="168" xfId="1" quotePrefix="1" applyNumberFormat="1" applyFont="1" applyFill="1" applyBorder="1" applyAlignment="1">
      <alignment horizontal="center" vertical="center"/>
    </xf>
    <xf numFmtId="182" fontId="25" fillId="0" borderId="189" xfId="1" quotePrefix="1" applyNumberFormat="1" applyFont="1" applyFill="1" applyBorder="1" applyAlignment="1">
      <alignment horizontal="center" vertical="center"/>
    </xf>
    <xf numFmtId="182" fontId="7" fillId="0" borderId="95" xfId="1" quotePrefix="1" applyNumberFormat="1" applyFont="1" applyFill="1" applyBorder="1" applyAlignment="1">
      <alignment horizontal="center" vertical="center"/>
    </xf>
    <xf numFmtId="182" fontId="7" fillId="0" borderId="26" xfId="0" quotePrefix="1" applyNumberFormat="1" applyFont="1" applyFill="1" applyBorder="1" applyAlignment="1">
      <alignment horizontal="center" vertical="center"/>
    </xf>
    <xf numFmtId="182" fontId="7" fillId="0" borderId="27" xfId="0" quotePrefix="1" applyNumberFormat="1" applyFont="1" applyFill="1" applyBorder="1" applyAlignment="1">
      <alignment horizontal="center" vertical="center"/>
    </xf>
    <xf numFmtId="182" fontId="7" fillId="0" borderId="28" xfId="0" quotePrefix="1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41" fontId="6" fillId="0" borderId="12" xfId="1" applyFont="1" applyBorder="1" applyAlignment="1">
      <alignment horizontal="center" vertical="center"/>
    </xf>
    <xf numFmtId="0" fontId="0" fillId="0" borderId="162" xfId="0" applyBorder="1" applyAlignment="1">
      <alignment horizontal="center" vertical="center" wrapText="1"/>
    </xf>
    <xf numFmtId="0" fontId="0" fillId="0" borderId="163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9" borderId="135" xfId="0" applyFill="1" applyBorder="1" applyAlignment="1">
      <alignment horizontal="left" vertical="center"/>
    </xf>
    <xf numFmtId="0" fontId="0" fillId="9" borderId="136" xfId="0" applyFill="1" applyBorder="1" applyAlignment="1">
      <alignment horizontal="left" vertical="center"/>
    </xf>
    <xf numFmtId="0" fontId="0" fillId="9" borderId="139" xfId="0" applyFill="1" applyBorder="1" applyAlignment="1">
      <alignment horizontal="left" vertical="center"/>
    </xf>
    <xf numFmtId="0" fontId="0" fillId="0" borderId="102" xfId="0" applyFill="1" applyBorder="1" applyAlignment="1">
      <alignment horizontal="center" vertical="center"/>
    </xf>
    <xf numFmtId="0" fontId="0" fillId="0" borderId="103" xfId="0" applyFill="1" applyBorder="1" applyAlignment="1">
      <alignment horizontal="center" vertical="center"/>
    </xf>
    <xf numFmtId="0" fontId="0" fillId="0" borderId="131" xfId="0" applyFill="1" applyBorder="1" applyAlignment="1">
      <alignment horizontal="left" vertical="center"/>
    </xf>
    <xf numFmtId="0" fontId="0" fillId="0" borderId="113" xfId="0" applyFill="1" applyBorder="1" applyAlignment="1">
      <alignment horizontal="left" vertical="center"/>
    </xf>
    <xf numFmtId="0" fontId="0" fillId="0" borderId="145" xfId="0" applyFill="1" applyBorder="1" applyAlignment="1">
      <alignment horizontal="left" vertical="center"/>
    </xf>
    <xf numFmtId="0" fontId="0" fillId="9" borderId="132" xfId="0" applyFill="1" applyBorder="1" applyAlignment="1">
      <alignment horizontal="center" vertical="center"/>
    </xf>
    <xf numFmtId="0" fontId="0" fillId="9" borderId="134" xfId="0" applyFill="1" applyBorder="1" applyAlignment="1">
      <alignment horizontal="center" vertical="center"/>
    </xf>
    <xf numFmtId="0" fontId="0" fillId="0" borderId="102" xfId="0" applyFill="1" applyBorder="1" applyAlignment="1">
      <alignment horizontal="center" vertical="center" wrapText="1"/>
    </xf>
    <xf numFmtId="0" fontId="0" fillId="9" borderId="102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0" fillId="0" borderId="105" xfId="0" applyFill="1" applyBorder="1" applyAlignment="1">
      <alignment horizontal="center" vertical="center"/>
    </xf>
    <xf numFmtId="0" fontId="0" fillId="9" borderId="130" xfId="0" applyFill="1" applyBorder="1" applyAlignment="1">
      <alignment horizontal="center" vertical="center"/>
    </xf>
    <xf numFmtId="0" fontId="0" fillId="0" borderId="130" xfId="0" applyFill="1" applyBorder="1" applyAlignment="1">
      <alignment horizontal="center" vertical="center"/>
    </xf>
    <xf numFmtId="0" fontId="0" fillId="0" borderId="170" xfId="0" applyFill="1" applyBorder="1" applyAlignment="1">
      <alignment horizontal="center" vertical="center"/>
    </xf>
    <xf numFmtId="0" fontId="0" fillId="0" borderId="169" xfId="0" applyFill="1" applyBorder="1" applyAlignment="1">
      <alignment horizontal="center" vertical="center"/>
    </xf>
    <xf numFmtId="0" fontId="0" fillId="0" borderId="171" xfId="0" applyFill="1" applyBorder="1" applyAlignment="1">
      <alignment horizontal="center" vertical="center"/>
    </xf>
    <xf numFmtId="0" fontId="0" fillId="0" borderId="160" xfId="0" applyFill="1" applyBorder="1" applyAlignment="1">
      <alignment horizontal="center" vertical="center"/>
    </xf>
    <xf numFmtId="0" fontId="0" fillId="0" borderId="146" xfId="0" applyFill="1" applyBorder="1" applyAlignment="1">
      <alignment horizontal="center" vertical="center"/>
    </xf>
    <xf numFmtId="0" fontId="0" fillId="0" borderId="152" xfId="0" applyFill="1" applyBorder="1" applyAlignment="1">
      <alignment horizontal="center" vertical="center"/>
    </xf>
    <xf numFmtId="0" fontId="0" fillId="0" borderId="132" xfId="0" applyFill="1" applyBorder="1" applyAlignment="1">
      <alignment horizontal="left" vertical="center"/>
    </xf>
    <xf numFmtId="0" fontId="0" fillId="0" borderId="102" xfId="0" applyFill="1" applyBorder="1" applyAlignment="1">
      <alignment horizontal="left" vertical="center"/>
    </xf>
    <xf numFmtId="0" fontId="0" fillId="0" borderId="167" xfId="0" applyFill="1" applyBorder="1" applyAlignment="1">
      <alignment horizontal="left" vertical="center"/>
    </xf>
    <xf numFmtId="0" fontId="0" fillId="0" borderId="168" xfId="0" applyFill="1" applyBorder="1" applyAlignment="1">
      <alignment horizontal="left" vertical="center"/>
    </xf>
    <xf numFmtId="0" fontId="0" fillId="9" borderId="133" xfId="0" applyFill="1" applyBorder="1" applyAlignment="1">
      <alignment horizontal="center" vertical="center"/>
    </xf>
    <xf numFmtId="0" fontId="0" fillId="0" borderId="148" xfId="0" applyFill="1" applyBorder="1" applyAlignment="1">
      <alignment horizontal="center" vertical="center"/>
    </xf>
    <xf numFmtId="0" fontId="0" fillId="9" borderId="149" xfId="0" applyFill="1" applyBorder="1" applyAlignment="1">
      <alignment horizontal="left" vertical="center"/>
    </xf>
    <xf numFmtId="0" fontId="0" fillId="9" borderId="150" xfId="0" applyFill="1" applyBorder="1" applyAlignment="1">
      <alignment horizontal="left" vertical="center"/>
    </xf>
    <xf numFmtId="0" fontId="0" fillId="9" borderId="158" xfId="0" applyFill="1" applyBorder="1" applyAlignment="1">
      <alignment horizontal="left" vertical="center"/>
    </xf>
    <xf numFmtId="0" fontId="0" fillId="0" borderId="111" xfId="0" applyFill="1" applyBorder="1" applyAlignment="1">
      <alignment horizontal="left" vertical="center"/>
    </xf>
    <xf numFmtId="0" fontId="0" fillId="0" borderId="99" xfId="0" applyFill="1" applyBorder="1" applyAlignment="1">
      <alignment horizontal="left" vertical="center"/>
    </xf>
    <xf numFmtId="0" fontId="0" fillId="0" borderId="115" xfId="0" applyFill="1" applyBorder="1" applyAlignment="1">
      <alignment horizontal="left" vertical="center"/>
    </xf>
    <xf numFmtId="0" fontId="0" fillId="0" borderId="105" xfId="0" applyFill="1" applyBorder="1" applyAlignment="1">
      <alignment horizontal="left" vertical="center"/>
    </xf>
    <xf numFmtId="0" fontId="0" fillId="9" borderId="99" xfId="0" applyFill="1" applyBorder="1" applyAlignment="1">
      <alignment horizontal="center" vertical="center"/>
    </xf>
    <xf numFmtId="0" fontId="0" fillId="9" borderId="100" xfId="0" applyFill="1" applyBorder="1" applyAlignment="1">
      <alignment horizontal="center" vertical="center"/>
    </xf>
    <xf numFmtId="0" fontId="0" fillId="0" borderId="54" xfId="0" applyFill="1" applyBorder="1" applyAlignment="1">
      <alignment horizontal="center" vertical="center"/>
    </xf>
    <xf numFmtId="0" fontId="0" fillId="0" borderId="146" xfId="0" applyFill="1" applyBorder="1" applyAlignment="1">
      <alignment horizontal="left" vertical="center"/>
    </xf>
    <xf numFmtId="0" fontId="0" fillId="0" borderId="147" xfId="0" applyFill="1" applyBorder="1" applyAlignment="1">
      <alignment horizontal="center" vertical="center"/>
    </xf>
    <xf numFmtId="0" fontId="0" fillId="0" borderId="140" xfId="0" applyFill="1" applyBorder="1" applyAlignment="1">
      <alignment horizontal="center" vertical="center"/>
    </xf>
    <xf numFmtId="0" fontId="0" fillId="0" borderId="156" xfId="0" applyFill="1" applyBorder="1" applyAlignment="1">
      <alignment horizontal="center" vertical="center"/>
    </xf>
    <xf numFmtId="0" fontId="0" fillId="0" borderId="143" xfId="0" applyFill="1" applyBorder="1" applyAlignment="1">
      <alignment horizontal="center" vertical="center"/>
    </xf>
    <xf numFmtId="0" fontId="0" fillId="0" borderId="135" xfId="0" applyFill="1" applyBorder="1" applyAlignment="1">
      <alignment horizontal="center" vertical="center"/>
    </xf>
    <xf numFmtId="0" fontId="0" fillId="0" borderId="136" xfId="0" applyFill="1" applyBorder="1" applyAlignment="1">
      <alignment horizontal="center" vertical="center"/>
    </xf>
    <xf numFmtId="0" fontId="0" fillId="0" borderId="137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96" xfId="0" applyFill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0" fontId="3" fillId="0" borderId="27" xfId="3" applyFont="1" applyFill="1" applyBorder="1" applyAlignment="1">
      <alignment horizontal="center" vertical="center"/>
    </xf>
    <xf numFmtId="0" fontId="3" fillId="0" borderId="28" xfId="3" applyFont="1" applyFill="1" applyBorder="1" applyAlignment="1">
      <alignment horizontal="center" vertical="center"/>
    </xf>
    <xf numFmtId="0" fontId="7" fillId="0" borderId="14" xfId="0" quotePrefix="1" applyFont="1" applyBorder="1" applyAlignment="1">
      <alignment horizontal="center" vertical="center"/>
    </xf>
    <xf numFmtId="0" fontId="7" fillId="0" borderId="93" xfId="0" quotePrefix="1" applyFont="1" applyBorder="1" applyAlignment="1">
      <alignment horizontal="center" vertical="center"/>
    </xf>
    <xf numFmtId="0" fontId="7" fillId="0" borderId="96" xfId="0" quotePrefix="1" applyFont="1" applyBorder="1" applyAlignment="1">
      <alignment horizontal="center" vertical="center"/>
    </xf>
    <xf numFmtId="0" fontId="7" fillId="0" borderId="23" xfId="0" quotePrefix="1" applyFont="1" applyBorder="1" applyAlignment="1">
      <alignment horizontal="center" vertical="center"/>
    </xf>
    <xf numFmtId="0" fontId="7" fillId="0" borderId="93" xfId="0" quotePrefix="1" applyFont="1" applyFill="1" applyBorder="1" applyAlignment="1">
      <alignment horizontal="center" vertical="center"/>
    </xf>
    <xf numFmtId="0" fontId="7" fillId="0" borderId="185" xfId="0" quotePrefix="1" applyFont="1" applyFill="1" applyBorder="1" applyAlignment="1">
      <alignment horizontal="center" vertical="center"/>
    </xf>
    <xf numFmtId="0" fontId="7" fillId="0" borderId="14" xfId="0" quotePrefix="1" applyFont="1" applyBorder="1" applyAlignment="1">
      <alignment horizontal="center" vertical="center" wrapText="1"/>
    </xf>
    <xf numFmtId="0" fontId="7" fillId="0" borderId="13" xfId="0" quotePrefix="1" applyFont="1" applyBorder="1" applyAlignment="1">
      <alignment horizontal="center" vertical="center" wrapText="1"/>
    </xf>
    <xf numFmtId="0" fontId="7" fillId="0" borderId="13" xfId="0" quotePrefix="1" applyFont="1" applyBorder="1" applyAlignment="1">
      <alignment horizontal="center" vertical="center"/>
    </xf>
    <xf numFmtId="0" fontId="25" fillId="0" borderId="14" xfId="0" quotePrefix="1" applyFont="1" applyBorder="1" applyAlignment="1">
      <alignment horizontal="center" vertical="center"/>
    </xf>
    <xf numFmtId="0" fontId="25" fillId="0" borderId="93" xfId="0" quotePrefix="1" applyFont="1" applyBorder="1" applyAlignment="1">
      <alignment horizontal="center" vertical="center"/>
    </xf>
    <xf numFmtId="0" fontId="25" fillId="0" borderId="94" xfId="0" quotePrefix="1" applyFont="1" applyBorder="1" applyAlignment="1">
      <alignment horizontal="center" vertical="center"/>
    </xf>
    <xf numFmtId="0" fontId="25" fillId="0" borderId="128" xfId="0" quotePrefix="1" applyFont="1" applyBorder="1" applyAlignment="1">
      <alignment horizontal="center" vertical="center"/>
    </xf>
    <xf numFmtId="0" fontId="3" fillId="0" borderId="22" xfId="3" applyFont="1" applyFill="1" applyBorder="1" applyAlignment="1">
      <alignment horizontal="center" vertical="center"/>
    </xf>
    <xf numFmtId="0" fontId="3" fillId="0" borderId="23" xfId="3" applyFont="1" applyFill="1" applyBorder="1" applyAlignment="1">
      <alignment horizontal="center" vertical="center"/>
    </xf>
    <xf numFmtId="0" fontId="3" fillId="0" borderId="178" xfId="3" applyFont="1" applyFill="1" applyBorder="1" applyAlignment="1">
      <alignment horizontal="center" vertical="center"/>
    </xf>
    <xf numFmtId="0" fontId="7" fillId="0" borderId="110" xfId="0" quotePrefix="1" applyFont="1" applyBorder="1" applyAlignment="1">
      <alignment horizontal="center" vertical="center"/>
    </xf>
    <xf numFmtId="0" fontId="7" fillId="0" borderId="16" xfId="0" quotePrefix="1" applyFont="1" applyBorder="1" applyAlignment="1">
      <alignment horizontal="center" vertical="center"/>
    </xf>
    <xf numFmtId="0" fontId="7" fillId="0" borderId="15" xfId="0" quotePrefix="1" applyFont="1" applyBorder="1" applyAlignment="1">
      <alignment horizontal="center" vertical="center"/>
    </xf>
    <xf numFmtId="0" fontId="25" fillId="0" borderId="16" xfId="0" quotePrefix="1" applyFont="1" applyFill="1" applyBorder="1" applyAlignment="1">
      <alignment horizontal="center" vertical="center"/>
    </xf>
    <xf numFmtId="0" fontId="25" fillId="0" borderId="17" xfId="0" quotePrefix="1" applyFont="1" applyFill="1" applyBorder="1" applyAlignment="1">
      <alignment horizontal="center" vertical="center"/>
    </xf>
    <xf numFmtId="0" fontId="25" fillId="0" borderId="18" xfId="0" quotePrefix="1" applyFont="1" applyFill="1" applyBorder="1" applyAlignment="1">
      <alignment horizontal="center" vertical="center"/>
    </xf>
    <xf numFmtId="0" fontId="7" fillId="0" borderId="14" xfId="0" quotePrefix="1" applyFont="1" applyFill="1" applyBorder="1" applyAlignment="1">
      <alignment horizontal="center" vertical="center"/>
    </xf>
    <xf numFmtId="0" fontId="7" fillId="0" borderId="15" xfId="0" quotePrefix="1" applyFont="1" applyFill="1" applyBorder="1" applyAlignment="1">
      <alignment horizontal="center" vertical="center"/>
    </xf>
    <xf numFmtId="0" fontId="7" fillId="0" borderId="13" xfId="0" quotePrefix="1" applyFont="1" applyFill="1" applyBorder="1" applyAlignment="1">
      <alignment horizontal="center" vertical="center" wrapText="1"/>
    </xf>
    <xf numFmtId="0" fontId="7" fillId="0" borderId="13" xfId="0" quotePrefix="1" applyFont="1" applyFill="1" applyBorder="1" applyAlignment="1">
      <alignment horizontal="center" vertical="center"/>
    </xf>
    <xf numFmtId="0" fontId="7" fillId="0" borderId="22" xfId="0" quotePrefix="1" applyFont="1" applyFill="1" applyBorder="1" applyAlignment="1">
      <alignment horizontal="center" vertical="center"/>
    </xf>
    <xf numFmtId="0" fontId="7" fillId="0" borderId="23" xfId="0" quotePrefix="1" applyFont="1" applyFill="1" applyBorder="1" applyAlignment="1">
      <alignment horizontal="center" vertical="center"/>
    </xf>
    <xf numFmtId="0" fontId="7" fillId="0" borderId="24" xfId="0" quotePrefix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/>
    </xf>
    <xf numFmtId="0" fontId="6" fillId="0" borderId="18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 wrapText="1"/>
    </xf>
    <xf numFmtId="0" fontId="6" fillId="0" borderId="13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/>
    </xf>
    <xf numFmtId="0" fontId="6" fillId="0" borderId="12" xfId="3" applyFont="1" applyBorder="1" applyAlignment="1">
      <alignment horizontal="center" vertical="center"/>
    </xf>
    <xf numFmtId="0" fontId="6" fillId="0" borderId="10" xfId="3" applyFont="1" applyBorder="1" applyAlignment="1">
      <alignment horizontal="center" vertical="center"/>
    </xf>
    <xf numFmtId="0" fontId="6" fillId="0" borderId="16" xfId="3" applyFont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7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6" fillId="0" borderId="18" xfId="3" applyFont="1" applyBorder="1" applyAlignment="1">
      <alignment horizontal="center" vertical="center" wrapText="1"/>
    </xf>
    <xf numFmtId="0" fontId="6" fillId="0" borderId="19" xfId="3" applyFont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 wrapText="1"/>
    </xf>
    <xf numFmtId="0" fontId="6" fillId="0" borderId="9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/>
    </xf>
    <xf numFmtId="0" fontId="6" fillId="0" borderId="8" xfId="3" applyFont="1" applyBorder="1" applyAlignment="1">
      <alignment horizontal="center" vertical="center"/>
    </xf>
    <xf numFmtId="0" fontId="6" fillId="0" borderId="4" xfId="3" applyFont="1" applyBorder="1" applyAlignment="1">
      <alignment horizontal="center" vertical="center"/>
    </xf>
    <xf numFmtId="0" fontId="6" fillId="0" borderId="2" xfId="3" applyFont="1" applyBorder="1" applyAlignment="1">
      <alignment horizontal="center" vertical="center"/>
    </xf>
    <xf numFmtId="0" fontId="6" fillId="0" borderId="3" xfId="3" applyFont="1" applyBorder="1" applyAlignment="1">
      <alignment horizontal="center" vertical="center" wrapText="1"/>
    </xf>
    <xf numFmtId="0" fontId="34" fillId="4" borderId="48" xfId="0" applyFont="1" applyFill="1" applyBorder="1" applyAlignment="1">
      <alignment horizontal="center" vertical="center" wrapText="1"/>
    </xf>
    <xf numFmtId="0" fontId="34" fillId="4" borderId="49" xfId="0" applyFont="1" applyFill="1" applyBorder="1" applyAlignment="1">
      <alignment horizontal="center" vertical="center" wrapText="1"/>
    </xf>
    <xf numFmtId="0" fontId="34" fillId="4" borderId="50" xfId="0" applyFont="1" applyFill="1" applyBorder="1" applyAlignment="1">
      <alignment horizontal="center" vertical="center" wrapText="1"/>
    </xf>
    <xf numFmtId="0" fontId="34" fillId="4" borderId="51" xfId="0" applyFont="1" applyFill="1" applyBorder="1" applyAlignment="1">
      <alignment horizontal="center" vertical="center" wrapText="1"/>
    </xf>
    <xf numFmtId="0" fontId="35" fillId="4" borderId="48" xfId="0" applyFont="1" applyFill="1" applyBorder="1" applyAlignment="1">
      <alignment horizontal="center" vertical="center" wrapText="1"/>
    </xf>
    <xf numFmtId="0" fontId="35" fillId="4" borderId="49" xfId="0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shrinkToFit="1"/>
    </xf>
    <xf numFmtId="3" fontId="46" fillId="0" borderId="53" xfId="0" applyNumberFormat="1" applyFont="1" applyFill="1" applyBorder="1" applyAlignment="1">
      <alignment horizontal="center" vertical="center" shrinkToFit="1"/>
    </xf>
    <xf numFmtId="3" fontId="46" fillId="0" borderId="66" xfId="0" applyNumberFormat="1" applyFont="1" applyFill="1" applyBorder="1" applyAlignment="1">
      <alignment horizontal="center" vertical="center" shrinkToFit="1"/>
    </xf>
    <xf numFmtId="0" fontId="43" fillId="6" borderId="61" xfId="0" applyFont="1" applyFill="1" applyBorder="1" applyAlignment="1">
      <alignment horizontal="center" vertical="center" wrapText="1"/>
    </xf>
    <xf numFmtId="0" fontId="42" fillId="6" borderId="65" xfId="0" applyFont="1" applyFill="1" applyBorder="1" applyAlignment="1">
      <alignment horizontal="center" vertical="center" wrapText="1"/>
    </xf>
    <xf numFmtId="0" fontId="42" fillId="6" borderId="57" xfId="0" applyFont="1" applyFill="1" applyBorder="1" applyAlignment="1">
      <alignment horizontal="center" vertical="center" wrapText="1"/>
    </xf>
    <xf numFmtId="0" fontId="42" fillId="6" borderId="59" xfId="0" applyFont="1" applyFill="1" applyBorder="1" applyAlignment="1">
      <alignment horizontal="center" vertical="center" wrapText="1"/>
    </xf>
    <xf numFmtId="0" fontId="37" fillId="6" borderId="57" xfId="0" applyFont="1" applyFill="1" applyBorder="1" applyAlignment="1">
      <alignment horizontal="center" vertical="center" wrapText="1"/>
    </xf>
    <xf numFmtId="0" fontId="37" fillId="6" borderId="59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9" fontId="13" fillId="0" borderId="2" xfId="2" applyFont="1" applyBorder="1" applyAlignment="1">
      <alignment horizontal="center" vertical="center" wrapText="1"/>
    </xf>
    <xf numFmtId="9" fontId="13" fillId="0" borderId="9" xfId="2" applyFont="1" applyBorder="1" applyAlignment="1">
      <alignment horizontal="center" vertical="center" wrapText="1"/>
    </xf>
    <xf numFmtId="9" fontId="13" fillId="0" borderId="3" xfId="2" applyFont="1" applyBorder="1" applyAlignment="1">
      <alignment horizontal="center" vertical="center" wrapText="1"/>
    </xf>
    <xf numFmtId="0" fontId="6" fillId="0" borderId="34" xfId="3" applyFont="1" applyBorder="1" applyAlignment="1">
      <alignment horizontal="center" vertical="center" wrapText="1"/>
    </xf>
    <xf numFmtId="0" fontId="6" fillId="0" borderId="35" xfId="3" applyFont="1" applyBorder="1" applyAlignment="1">
      <alignment horizontal="center" vertical="center" wrapText="1"/>
    </xf>
    <xf numFmtId="0" fontId="6" fillId="0" borderId="36" xfId="3" applyFont="1" applyBorder="1" applyAlignment="1">
      <alignment horizontal="center" vertical="center" wrapText="1"/>
    </xf>
    <xf numFmtId="3" fontId="46" fillId="0" borderId="69" xfId="0" applyNumberFormat="1" applyFont="1" applyFill="1" applyBorder="1" applyAlignment="1">
      <alignment horizontal="center" vertical="center" shrinkToFit="1"/>
    </xf>
    <xf numFmtId="3" fontId="46" fillId="0" borderId="70" xfId="0" applyNumberFormat="1" applyFont="1" applyFill="1" applyBorder="1" applyAlignment="1">
      <alignment horizontal="center" vertical="center" shrinkToFit="1"/>
    </xf>
    <xf numFmtId="3" fontId="46" fillId="0" borderId="71" xfId="0" applyNumberFormat="1" applyFont="1" applyFill="1" applyBorder="1" applyAlignment="1">
      <alignment horizontal="center" vertical="center" shrinkToFit="1"/>
    </xf>
    <xf numFmtId="0" fontId="42" fillId="6" borderId="62" xfId="0" applyFont="1" applyFill="1" applyBorder="1" applyAlignment="1">
      <alignment horizontal="center" vertical="center" wrapText="1"/>
    </xf>
    <xf numFmtId="0" fontId="42" fillId="6" borderId="63" xfId="0" applyFont="1" applyFill="1" applyBorder="1" applyAlignment="1">
      <alignment horizontal="center" vertical="center" wrapText="1"/>
    </xf>
    <xf numFmtId="0" fontId="42" fillId="6" borderId="64" xfId="0" applyFont="1" applyFill="1" applyBorder="1" applyAlignment="1">
      <alignment horizontal="center" vertical="center" wrapText="1"/>
    </xf>
    <xf numFmtId="0" fontId="42" fillId="6" borderId="54" xfId="0" applyFont="1" applyFill="1" applyBorder="1" applyAlignment="1">
      <alignment horizontal="center" vertical="center" wrapText="1"/>
    </xf>
    <xf numFmtId="0" fontId="42" fillId="6" borderId="53" xfId="0" applyFont="1" applyFill="1" applyBorder="1" applyAlignment="1">
      <alignment horizontal="center" vertical="center" wrapText="1"/>
    </xf>
    <xf numFmtId="0" fontId="42" fillId="6" borderId="66" xfId="0" applyFont="1" applyFill="1" applyBorder="1" applyAlignment="1">
      <alignment horizontal="center" vertical="center" wrapText="1"/>
    </xf>
    <xf numFmtId="0" fontId="37" fillId="6" borderId="54" xfId="0" applyFont="1" applyFill="1" applyBorder="1" applyAlignment="1">
      <alignment horizontal="center" vertical="center" wrapText="1"/>
    </xf>
    <xf numFmtId="0" fontId="37" fillId="6" borderId="58" xfId="0" applyFont="1" applyFill="1" applyBorder="1" applyAlignment="1">
      <alignment horizontal="center" vertical="center" wrapText="1"/>
    </xf>
    <xf numFmtId="0" fontId="37" fillId="6" borderId="53" xfId="0" applyFont="1" applyFill="1" applyBorder="1" applyAlignment="1">
      <alignment horizontal="center" vertical="center" wrapText="1"/>
    </xf>
    <xf numFmtId="0" fontId="42" fillId="6" borderId="58" xfId="0" applyFont="1" applyFill="1" applyBorder="1" applyAlignment="1">
      <alignment horizontal="center" vertical="center" wrapText="1"/>
    </xf>
    <xf numFmtId="0" fontId="37" fillId="6" borderId="62" xfId="0" applyFont="1" applyFill="1" applyBorder="1" applyAlignment="1">
      <alignment horizontal="center" vertical="center" wrapText="1"/>
    </xf>
    <xf numFmtId="0" fontId="37" fillId="6" borderId="63" xfId="0" applyFont="1" applyFill="1" applyBorder="1" applyAlignment="1">
      <alignment horizontal="center" vertical="center" wrapText="1"/>
    </xf>
    <xf numFmtId="0" fontId="37" fillId="6" borderId="64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6" fillId="0" borderId="110" xfId="3" applyFont="1" applyBorder="1" applyAlignment="1">
      <alignment horizontal="center" vertical="center"/>
    </xf>
    <xf numFmtId="0" fontId="6" fillId="0" borderId="97" xfId="3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6" fillId="0" borderId="22" xfId="3" applyFont="1" applyBorder="1" applyAlignment="1">
      <alignment horizontal="center" vertical="center"/>
    </xf>
    <xf numFmtId="0" fontId="6" fillId="0" borderId="35" xfId="3" applyFont="1" applyBorder="1" applyAlignment="1">
      <alignment horizontal="center" vertical="center"/>
    </xf>
    <xf numFmtId="0" fontId="6" fillId="0" borderId="36" xfId="3" applyFont="1" applyBorder="1" applyAlignment="1">
      <alignment horizontal="center" vertical="center"/>
    </xf>
    <xf numFmtId="0" fontId="6" fillId="0" borderId="23" xfId="3" applyFont="1" applyBorder="1" applyAlignment="1">
      <alignment horizontal="center" vertical="center"/>
    </xf>
    <xf numFmtId="0" fontId="6" fillId="0" borderId="14" xfId="3" applyFont="1" applyBorder="1" applyAlignment="1">
      <alignment horizontal="center" vertical="center"/>
    </xf>
    <xf numFmtId="0" fontId="42" fillId="6" borderId="72" xfId="0" applyFont="1" applyFill="1" applyBorder="1" applyAlignment="1">
      <alignment horizontal="center" vertical="center" wrapText="1"/>
    </xf>
    <xf numFmtId="0" fontId="42" fillId="6" borderId="73" xfId="0" applyFont="1" applyFill="1" applyBorder="1" applyAlignment="1">
      <alignment horizontal="center" vertical="center" wrapText="1"/>
    </xf>
    <xf numFmtId="0" fontId="42" fillId="6" borderId="74" xfId="0" applyFont="1" applyFill="1" applyBorder="1" applyAlignment="1">
      <alignment horizontal="center" vertical="center" wrapText="1"/>
    </xf>
    <xf numFmtId="0" fontId="44" fillId="7" borderId="77" xfId="0" applyFont="1" applyFill="1" applyBorder="1" applyAlignment="1">
      <alignment horizontal="center" vertical="center" wrapText="1"/>
    </xf>
    <xf numFmtId="0" fontId="44" fillId="7" borderId="79" xfId="0" applyFont="1" applyFill="1" applyBorder="1" applyAlignment="1">
      <alignment horizontal="center" vertical="center" wrapText="1"/>
    </xf>
    <xf numFmtId="0" fontId="44" fillId="7" borderId="80" xfId="0" applyFont="1" applyFill="1" applyBorder="1" applyAlignment="1">
      <alignment horizontal="center" vertical="center" wrapText="1"/>
    </xf>
    <xf numFmtId="0" fontId="44" fillId="7" borderId="54" xfId="0" applyFont="1" applyFill="1" applyBorder="1" applyAlignment="1">
      <alignment horizontal="center" vertical="center" wrapText="1"/>
    </xf>
    <xf numFmtId="0" fontId="44" fillId="7" borderId="53" xfId="0" applyFont="1" applyFill="1" applyBorder="1" applyAlignment="1">
      <alignment horizontal="center" vertical="center" wrapText="1"/>
    </xf>
    <xf numFmtId="0" fontId="44" fillId="7" borderId="57" xfId="0" applyFont="1" applyFill="1" applyBorder="1" applyAlignment="1">
      <alignment horizontal="center" vertical="center" wrapText="1"/>
    </xf>
    <xf numFmtId="0" fontId="44" fillId="7" borderId="59" xfId="0" applyFont="1" applyFill="1" applyBorder="1" applyAlignment="1">
      <alignment horizontal="center" vertical="center" wrapText="1"/>
    </xf>
    <xf numFmtId="3" fontId="46" fillId="0" borderId="58" xfId="0" applyNumberFormat="1" applyFont="1" applyFill="1" applyBorder="1" applyAlignment="1">
      <alignment horizontal="center" vertical="center" shrinkToFit="1"/>
    </xf>
    <xf numFmtId="0" fontId="44" fillId="7" borderId="81" xfId="0" applyFont="1" applyFill="1" applyBorder="1" applyAlignment="1">
      <alignment horizontal="center" vertical="center" wrapText="1"/>
    </xf>
    <xf numFmtId="0" fontId="44" fillId="7" borderId="58" xfId="0" applyFont="1" applyFill="1" applyBorder="1" applyAlignment="1">
      <alignment horizontal="center" vertical="center" wrapText="1"/>
    </xf>
    <xf numFmtId="0" fontId="44" fillId="0" borderId="54" xfId="0" applyFont="1" applyFill="1" applyBorder="1" applyAlignment="1">
      <alignment horizontal="center" vertical="center" wrapText="1"/>
    </xf>
    <xf numFmtId="0" fontId="44" fillId="0" borderId="58" xfId="0" applyFont="1" applyFill="1" applyBorder="1" applyAlignment="1">
      <alignment horizontal="center" vertical="center" wrapText="1"/>
    </xf>
    <xf numFmtId="0" fontId="44" fillId="0" borderId="53" xfId="0" applyFont="1" applyFill="1" applyBorder="1" applyAlignment="1">
      <alignment horizontal="center" vertical="center" wrapText="1"/>
    </xf>
    <xf numFmtId="0" fontId="44" fillId="7" borderId="82" xfId="0" applyFont="1" applyFill="1" applyBorder="1" applyAlignment="1">
      <alignment horizontal="center" vertical="center" wrapText="1"/>
    </xf>
    <xf numFmtId="0" fontId="44" fillId="7" borderId="84" xfId="0" applyFont="1" applyFill="1" applyBorder="1" applyAlignment="1">
      <alignment horizontal="center" vertical="center" wrapText="1"/>
    </xf>
    <xf numFmtId="0" fontId="44" fillId="7" borderId="60" xfId="0" applyFont="1" applyFill="1" applyBorder="1" applyAlignment="1">
      <alignment horizontal="center" vertical="center" wrapText="1"/>
    </xf>
    <xf numFmtId="0" fontId="44" fillId="7" borderId="85" xfId="0" applyFont="1" applyFill="1" applyBorder="1" applyAlignment="1">
      <alignment horizontal="center" vertical="center" wrapText="1"/>
    </xf>
    <xf numFmtId="0" fontId="44" fillId="7" borderId="83" xfId="0" applyFont="1" applyFill="1" applyBorder="1" applyAlignment="1">
      <alignment horizontal="center" vertical="center" wrapText="1"/>
    </xf>
    <xf numFmtId="0" fontId="44" fillId="7" borderId="86" xfId="0" applyFont="1" applyFill="1" applyBorder="1" applyAlignment="1">
      <alignment horizontal="center" vertical="center" wrapText="1"/>
    </xf>
    <xf numFmtId="9" fontId="46" fillId="0" borderId="54" xfId="0" applyNumberFormat="1" applyFont="1" applyFill="1" applyBorder="1" applyAlignment="1">
      <alignment horizontal="center" vertical="center" shrinkToFit="1"/>
    </xf>
    <xf numFmtId="9" fontId="46" fillId="0" borderId="58" xfId="0" applyNumberFormat="1" applyFont="1" applyFill="1" applyBorder="1" applyAlignment="1">
      <alignment horizontal="center" vertical="center" shrinkToFit="1"/>
    </xf>
    <xf numFmtId="9" fontId="46" fillId="0" borderId="53" xfId="0" applyNumberFormat="1" applyFont="1" applyFill="1" applyBorder="1" applyAlignment="1">
      <alignment horizontal="center" vertical="center" shrinkToFit="1"/>
    </xf>
    <xf numFmtId="3" fontId="46" fillId="0" borderId="91" xfId="0" applyNumberFormat="1" applyFont="1" applyFill="1" applyBorder="1" applyAlignment="1">
      <alignment horizontal="center" vertical="center" shrinkToFit="1"/>
    </xf>
    <xf numFmtId="3" fontId="46" fillId="0" borderId="88" xfId="0" applyNumberFormat="1" applyFont="1" applyFill="1" applyBorder="1" applyAlignment="1">
      <alignment horizontal="center" vertical="center" shrinkToFit="1"/>
    </xf>
    <xf numFmtId="3" fontId="46" fillId="0" borderId="89" xfId="0" applyNumberFormat="1" applyFont="1" applyFill="1" applyBorder="1" applyAlignment="1">
      <alignment horizontal="center" vertical="center" shrinkToFit="1"/>
    </xf>
    <xf numFmtId="0" fontId="6" fillId="0" borderId="94" xfId="3" applyFont="1" applyBorder="1" applyAlignment="1">
      <alignment horizontal="center" vertical="center"/>
    </xf>
    <xf numFmtId="0" fontId="27" fillId="0" borderId="175" xfId="3" applyFont="1" applyFill="1" applyBorder="1" applyAlignment="1">
      <alignment horizontal="center" vertical="center"/>
    </xf>
    <xf numFmtId="0" fontId="27" fillId="0" borderId="176" xfId="3" applyFont="1" applyFill="1" applyBorder="1" applyAlignment="1">
      <alignment horizontal="center" vertical="center"/>
    </xf>
    <xf numFmtId="0" fontId="27" fillId="0" borderId="131" xfId="3" applyFont="1" applyFill="1" applyBorder="1" applyAlignment="1">
      <alignment horizontal="center" vertical="center"/>
    </xf>
    <xf numFmtId="0" fontId="27" fillId="0" borderId="150" xfId="3" applyFont="1" applyFill="1" applyBorder="1" applyAlignment="1">
      <alignment horizontal="center" vertical="center"/>
    </xf>
    <xf numFmtId="0" fontId="27" fillId="0" borderId="141" xfId="3" applyFont="1" applyFill="1" applyBorder="1" applyAlignment="1">
      <alignment horizontal="center" vertical="center"/>
    </xf>
    <xf numFmtId="0" fontId="27" fillId="0" borderId="132" xfId="3" applyFont="1" applyFill="1" applyBorder="1" applyAlignment="1">
      <alignment horizontal="center" vertical="center"/>
    </xf>
    <xf numFmtId="0" fontId="6" fillId="0" borderId="96" xfId="3" applyFont="1" applyBorder="1" applyAlignment="1">
      <alignment horizontal="center" vertical="center" wrapText="1"/>
    </xf>
    <xf numFmtId="0" fontId="6" fillId="0" borderId="96" xfId="3" applyFont="1" applyBorder="1" applyAlignment="1">
      <alignment horizontal="center" vertical="center"/>
    </xf>
    <xf numFmtId="0" fontId="27" fillId="0" borderId="150" xfId="3" applyFont="1" applyFill="1" applyBorder="1" applyAlignment="1">
      <alignment horizontal="center" vertical="center" wrapText="1"/>
    </xf>
    <xf numFmtId="0" fontId="27" fillId="0" borderId="141" xfId="3" applyFont="1" applyFill="1" applyBorder="1" applyAlignment="1">
      <alignment horizontal="center" vertical="center" wrapText="1"/>
    </xf>
    <xf numFmtId="0" fontId="27" fillId="0" borderId="132" xfId="3" applyFont="1" applyFill="1" applyBorder="1" applyAlignment="1">
      <alignment horizontal="center" vertical="center" wrapText="1"/>
    </xf>
    <xf numFmtId="0" fontId="27" fillId="0" borderId="34" xfId="3" applyFont="1" applyBorder="1" applyAlignment="1">
      <alignment horizontal="center" vertical="center"/>
    </xf>
    <xf numFmtId="0" fontId="27" fillId="0" borderId="35" xfId="3" applyFont="1" applyBorder="1" applyAlignment="1">
      <alignment horizontal="center" vertical="center"/>
    </xf>
    <xf numFmtId="0" fontId="27" fillId="0" borderId="36" xfId="3" applyFont="1" applyBorder="1" applyAlignment="1">
      <alignment horizontal="center" vertical="center"/>
    </xf>
    <xf numFmtId="0" fontId="27" fillId="0" borderId="17" xfId="3" applyFont="1" applyBorder="1" applyAlignment="1">
      <alignment horizontal="center" vertical="center"/>
    </xf>
    <xf numFmtId="0" fontId="27" fillId="0" borderId="18" xfId="3" applyFont="1" applyBorder="1" applyAlignment="1">
      <alignment horizontal="center" vertical="center"/>
    </xf>
    <xf numFmtId="0" fontId="6" fillId="0" borderId="34" xfId="3" applyFont="1" applyBorder="1" applyAlignment="1">
      <alignment horizontal="center" vertical="center"/>
    </xf>
    <xf numFmtId="0" fontId="27" fillId="0" borderId="168" xfId="3" applyFont="1" applyFill="1" applyBorder="1" applyAlignment="1">
      <alignment horizontal="center" vertical="center"/>
    </xf>
    <xf numFmtId="0" fontId="27" fillId="0" borderId="189" xfId="3" applyFont="1" applyFill="1" applyBorder="1" applyAlignment="1">
      <alignment horizontal="center" vertical="center"/>
    </xf>
    <xf numFmtId="0" fontId="27" fillId="0" borderId="98" xfId="3" applyFont="1" applyFill="1" applyBorder="1" applyAlignment="1">
      <alignment horizontal="center" vertical="center" wrapText="1"/>
    </xf>
    <xf numFmtId="0" fontId="27" fillId="0" borderId="101" xfId="3" applyFont="1" applyFill="1" applyBorder="1" applyAlignment="1">
      <alignment horizontal="center" vertical="center" wrapText="1"/>
    </xf>
    <xf numFmtId="0" fontId="15" fillId="0" borderId="102" xfId="0" applyFont="1" applyFill="1" applyBorder="1" applyAlignment="1">
      <alignment horizontal="center" vertical="center" wrapText="1"/>
    </xf>
    <xf numFmtId="0" fontId="15" fillId="0" borderId="114" xfId="0" applyFont="1" applyFill="1" applyBorder="1" applyAlignment="1">
      <alignment horizontal="center" vertical="center" wrapText="1"/>
    </xf>
    <xf numFmtId="0" fontId="7" fillId="0" borderId="110" xfId="0" quotePrefix="1" applyFont="1" applyFill="1" applyBorder="1" applyAlignment="1">
      <alignment horizontal="center" vertical="center"/>
    </xf>
    <xf numFmtId="0" fontId="7" fillId="0" borderId="172" xfId="0" quotePrefix="1" applyFont="1" applyFill="1" applyBorder="1" applyAlignment="1">
      <alignment horizontal="center" vertical="center"/>
    </xf>
    <xf numFmtId="0" fontId="6" fillId="0" borderId="22" xfId="3" applyFont="1" applyBorder="1" applyAlignment="1">
      <alignment horizontal="center" vertical="center" wrapText="1"/>
    </xf>
    <xf numFmtId="0" fontId="13" fillId="0" borderId="93" xfId="0" applyFont="1" applyBorder="1" applyAlignment="1">
      <alignment horizontal="center" vertical="center" wrapText="1"/>
    </xf>
    <xf numFmtId="0" fontId="13" fillId="0" borderId="172" xfId="0" applyFont="1" applyBorder="1" applyAlignment="1">
      <alignment horizontal="center" vertical="center" wrapText="1"/>
    </xf>
    <xf numFmtId="0" fontId="6" fillId="0" borderId="115" xfId="3" applyFont="1" applyFill="1" applyBorder="1" applyAlignment="1">
      <alignment horizontal="center" vertical="center"/>
    </xf>
    <xf numFmtId="0" fontId="6" fillId="0" borderId="106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/>
    </xf>
    <xf numFmtId="0" fontId="6" fillId="0" borderId="113" xfId="3" applyFont="1" applyFill="1" applyBorder="1" applyAlignment="1">
      <alignment horizontal="center" vertical="center"/>
    </xf>
    <xf numFmtId="0" fontId="6" fillId="0" borderId="97" xfId="3" applyFont="1" applyBorder="1" applyAlignment="1">
      <alignment horizontal="center" vertical="center"/>
    </xf>
    <xf numFmtId="0" fontId="15" fillId="0" borderId="10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1" xfId="3" applyFont="1" applyBorder="1" applyAlignment="1">
      <alignment horizontal="center" vertical="center"/>
    </xf>
    <xf numFmtId="0" fontId="15" fillId="0" borderId="14" xfId="3" applyFont="1" applyBorder="1" applyAlignment="1">
      <alignment horizontal="center" vertical="center"/>
    </xf>
    <xf numFmtId="0" fontId="27" fillId="0" borderId="105" xfId="3" applyFont="1" applyFill="1" applyBorder="1" applyAlignment="1">
      <alignment horizontal="center" vertical="center"/>
    </xf>
    <xf numFmtId="0" fontId="27" fillId="0" borderId="106" xfId="3" applyFont="1" applyFill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 wrapText="1"/>
    </xf>
    <xf numFmtId="0" fontId="27" fillId="0" borderId="188" xfId="3" applyFont="1" applyFill="1" applyBorder="1" applyAlignment="1">
      <alignment horizontal="center" vertical="center" wrapText="1"/>
    </xf>
    <xf numFmtId="0" fontId="27" fillId="0" borderId="176" xfId="3" applyFont="1" applyFill="1" applyBorder="1" applyAlignment="1">
      <alignment horizontal="center" vertical="center" wrapText="1"/>
    </xf>
    <xf numFmtId="0" fontId="27" fillId="0" borderId="190" xfId="3" applyFont="1" applyFill="1" applyBorder="1" applyAlignment="1">
      <alignment horizontal="center" vertical="center" wrapText="1"/>
    </xf>
    <xf numFmtId="0" fontId="49" fillId="8" borderId="120" xfId="0" applyFont="1" applyFill="1" applyBorder="1" applyAlignment="1">
      <alignment horizontal="center" vertical="center" wrapText="1"/>
    </xf>
    <xf numFmtId="0" fontId="49" fillId="8" borderId="122" xfId="0" applyFont="1" applyFill="1" applyBorder="1" applyAlignment="1">
      <alignment horizontal="center" vertical="center" wrapText="1"/>
    </xf>
    <xf numFmtId="0" fontId="49" fillId="8" borderId="123" xfId="0" applyFont="1" applyFill="1" applyBorder="1" applyAlignment="1">
      <alignment horizontal="center" vertical="center" wrapText="1"/>
    </xf>
    <xf numFmtId="0" fontId="49" fillId="8" borderId="124" xfId="0" applyFont="1" applyFill="1" applyBorder="1" applyAlignment="1">
      <alignment horizontal="center" vertical="center" wrapText="1"/>
    </xf>
    <xf numFmtId="0" fontId="27" fillId="0" borderId="118" xfId="3" applyFont="1" applyFill="1" applyBorder="1" applyAlignment="1">
      <alignment horizontal="center" vertical="center"/>
    </xf>
    <xf numFmtId="0" fontId="27" fillId="0" borderId="102" xfId="3" applyFont="1" applyFill="1" applyBorder="1" applyAlignment="1">
      <alignment horizontal="center" vertical="center"/>
    </xf>
    <xf numFmtId="0" fontId="27" fillId="0" borderId="188" xfId="3" applyFont="1" applyFill="1" applyBorder="1" applyAlignment="1">
      <alignment horizontal="center" vertical="center"/>
    </xf>
    <xf numFmtId="0" fontId="27" fillId="0" borderId="154" xfId="3" applyFont="1" applyFill="1" applyBorder="1" applyAlignment="1">
      <alignment horizontal="center" vertical="center"/>
    </xf>
    <xf numFmtId="0" fontId="27" fillId="0" borderId="177" xfId="3" applyFont="1" applyFill="1" applyBorder="1" applyAlignment="1">
      <alignment horizontal="center" vertical="center"/>
    </xf>
    <xf numFmtId="0" fontId="15" fillId="0" borderId="130" xfId="0" applyFont="1" applyFill="1" applyBorder="1" applyAlignment="1">
      <alignment horizontal="center" vertical="center" wrapText="1"/>
    </xf>
    <xf numFmtId="0" fontId="27" fillId="0" borderId="111" xfId="3" applyFont="1" applyFill="1" applyBorder="1" applyAlignment="1">
      <alignment horizontal="center" vertical="center" wrapText="1"/>
    </xf>
    <xf numFmtId="0" fontId="27" fillId="0" borderId="113" xfId="3" applyFont="1" applyFill="1" applyBorder="1" applyAlignment="1">
      <alignment horizontal="center" vertical="center" wrapText="1"/>
    </xf>
    <xf numFmtId="0" fontId="27" fillId="0" borderId="115" xfId="3" applyFont="1" applyFill="1" applyBorder="1" applyAlignment="1">
      <alignment horizontal="center" vertical="center" wrapText="1"/>
    </xf>
    <xf numFmtId="0" fontId="27" fillId="0" borderId="10" xfId="3" applyFont="1" applyBorder="1" applyAlignment="1">
      <alignment horizontal="center" vertical="center"/>
    </xf>
    <xf numFmtId="0" fontId="27" fillId="0" borderId="13" xfId="3" applyFont="1" applyBorder="1" applyAlignment="1">
      <alignment horizontal="center" vertical="center"/>
    </xf>
    <xf numFmtId="0" fontId="27" fillId="0" borderId="16" xfId="3" applyFont="1" applyBorder="1" applyAlignment="1">
      <alignment horizontal="center" vertical="center"/>
    </xf>
    <xf numFmtId="0" fontId="27" fillId="0" borderId="116" xfId="3" applyFont="1" applyFill="1" applyBorder="1" applyAlignment="1">
      <alignment horizontal="center" vertical="center" wrapText="1"/>
    </xf>
    <xf numFmtId="0" fontId="6" fillId="0" borderId="105" xfId="3" applyFont="1" applyFill="1" applyBorder="1" applyAlignment="1">
      <alignment horizontal="center" vertical="center"/>
    </xf>
    <xf numFmtId="0" fontId="6" fillId="0" borderId="111" xfId="3" applyFont="1" applyFill="1" applyBorder="1" applyAlignment="1">
      <alignment horizontal="center" vertical="center" wrapText="1"/>
    </xf>
    <xf numFmtId="0" fontId="6" fillId="0" borderId="11" xfId="3" applyFont="1" applyFill="1" applyBorder="1" applyAlignment="1">
      <alignment horizontal="center" vertical="center" wrapText="1"/>
    </xf>
    <xf numFmtId="0" fontId="6" fillId="0" borderId="17" xfId="3" applyFont="1" applyFill="1" applyBorder="1" applyAlignment="1">
      <alignment horizontal="center" vertical="center" wrapText="1"/>
    </xf>
    <xf numFmtId="0" fontId="15" fillId="0" borderId="34" xfId="3" applyFont="1" applyBorder="1" applyAlignment="1">
      <alignment horizontal="center" vertical="center"/>
    </xf>
    <xf numFmtId="0" fontId="15" fillId="0" borderId="35" xfId="3" applyFont="1" applyBorder="1" applyAlignment="1">
      <alignment horizontal="center" vertical="center"/>
    </xf>
    <xf numFmtId="0" fontId="15" fillId="0" borderId="22" xfId="3" applyFont="1" applyBorder="1" applyAlignment="1">
      <alignment horizontal="center" vertical="center"/>
    </xf>
    <xf numFmtId="0" fontId="6" fillId="0" borderId="11" xfId="3" applyFont="1" applyFill="1" applyBorder="1" applyAlignment="1">
      <alignment horizontal="center" vertical="center"/>
    </xf>
    <xf numFmtId="0" fontId="6" fillId="0" borderId="17" xfId="3" applyFont="1" applyFill="1" applyBorder="1" applyAlignment="1">
      <alignment horizontal="center" vertical="center"/>
    </xf>
    <xf numFmtId="0" fontId="15" fillId="0" borderId="173" xfId="3" applyFont="1" applyBorder="1" applyAlignment="1">
      <alignment horizontal="center" vertical="center"/>
    </xf>
    <xf numFmtId="0" fontId="15" fillId="0" borderId="174" xfId="3" applyFont="1" applyBorder="1" applyAlignment="1">
      <alignment horizontal="center" vertical="center"/>
    </xf>
    <xf numFmtId="0" fontId="15" fillId="0" borderId="23" xfId="3" applyFont="1" applyBorder="1" applyAlignment="1">
      <alignment horizontal="center" vertical="center"/>
    </xf>
    <xf numFmtId="0" fontId="6" fillId="0" borderId="173" xfId="3" applyFont="1" applyFill="1" applyBorder="1" applyAlignment="1">
      <alignment horizontal="center" vertical="center"/>
    </xf>
    <xf numFmtId="0" fontId="6" fillId="0" borderId="174" xfId="3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27" fillId="0" borderId="179" xfId="3" applyFont="1" applyBorder="1" applyAlignment="1">
      <alignment horizontal="center" vertical="center" wrapText="1"/>
    </xf>
    <xf numFmtId="0" fontId="27" fillId="0" borderId="180" xfId="3" applyFont="1" applyBorder="1" applyAlignment="1">
      <alignment horizontal="center" vertical="center" wrapText="1"/>
    </xf>
    <xf numFmtId="0" fontId="27" fillId="0" borderId="181" xfId="3" applyFont="1" applyBorder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7" fillId="0" borderId="10" xfId="0" quotePrefix="1" applyFont="1" applyFill="1" applyBorder="1" applyAlignment="1">
      <alignment horizontal="center" vertical="center" wrapText="1"/>
    </xf>
    <xf numFmtId="0" fontId="7" fillId="0" borderId="11" xfId="0" quotePrefix="1" applyFont="1" applyFill="1" applyBorder="1" applyAlignment="1">
      <alignment horizontal="center" vertical="center"/>
    </xf>
    <xf numFmtId="0" fontId="30" fillId="0" borderId="26" xfId="3" applyFont="1" applyFill="1" applyBorder="1" applyAlignment="1">
      <alignment horizontal="center" vertical="center"/>
    </xf>
    <xf numFmtId="0" fontId="30" fillId="0" borderId="27" xfId="3" applyFont="1" applyFill="1" applyBorder="1" applyAlignment="1">
      <alignment horizontal="center" vertical="center"/>
    </xf>
    <xf numFmtId="0" fontId="30" fillId="0" borderId="28" xfId="3" applyFont="1" applyFill="1" applyBorder="1" applyAlignment="1">
      <alignment horizontal="center" vertical="center"/>
    </xf>
    <xf numFmtId="0" fontId="7" fillId="0" borderId="17" xfId="0" quotePrefix="1" applyFont="1" applyFill="1" applyBorder="1" applyAlignment="1">
      <alignment horizontal="center" vertical="center"/>
    </xf>
    <xf numFmtId="0" fontId="7" fillId="0" borderId="18" xfId="0" quotePrefix="1" applyFont="1" applyFill="1" applyBorder="1" applyAlignment="1">
      <alignment horizontal="center" vertical="center"/>
    </xf>
    <xf numFmtId="0" fontId="6" fillId="0" borderId="14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/>
    </xf>
    <xf numFmtId="0" fontId="7" fillId="0" borderId="26" xfId="0" quotePrefix="1" applyFont="1" applyFill="1" applyBorder="1" applyAlignment="1">
      <alignment horizontal="center" vertical="center"/>
    </xf>
    <xf numFmtId="0" fontId="7" fillId="0" borderId="27" xfId="0" quotePrefix="1" applyFont="1" applyFill="1" applyBorder="1" applyAlignment="1">
      <alignment horizontal="center" vertical="center"/>
    </xf>
    <xf numFmtId="0" fontId="7" fillId="0" borderId="28" xfId="0" quotePrefix="1" applyFont="1" applyFill="1" applyBorder="1" applyAlignment="1">
      <alignment horizontal="center" vertical="center"/>
    </xf>
    <xf numFmtId="0" fontId="7" fillId="0" borderId="10" xfId="0" quotePrefix="1" applyFont="1" applyFill="1" applyBorder="1" applyAlignment="1">
      <alignment horizontal="center" vertical="center"/>
    </xf>
    <xf numFmtId="0" fontId="7" fillId="0" borderId="16" xfId="0" quotePrefix="1" applyFont="1" applyFill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11" fillId="0" borderId="37" xfId="3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/>
    </xf>
    <xf numFmtId="0" fontId="11" fillId="0" borderId="16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12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19" xfId="3" applyFont="1" applyBorder="1" applyAlignment="1">
      <alignment horizontal="center" vertical="center"/>
    </xf>
    <xf numFmtId="0" fontId="11" fillId="0" borderId="12" xfId="3" applyFont="1" applyBorder="1" applyAlignment="1">
      <alignment horizontal="center" vertical="center"/>
    </xf>
    <xf numFmtId="41" fontId="52" fillId="0" borderId="17" xfId="1" applyFont="1" applyBorder="1" applyAlignment="1">
      <alignment horizontal="center" vertical="center"/>
    </xf>
    <xf numFmtId="41" fontId="52" fillId="0" borderId="18" xfId="1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 wrapText="1"/>
    </xf>
    <xf numFmtId="0" fontId="11" fillId="0" borderId="17" xfId="3" applyFont="1" applyBorder="1" applyAlignment="1">
      <alignment horizontal="center" vertical="center" wrapText="1"/>
    </xf>
    <xf numFmtId="0" fontId="11" fillId="0" borderId="22" xfId="3" applyFont="1" applyBorder="1" applyAlignment="1">
      <alignment horizontal="center" vertical="center"/>
    </xf>
    <xf numFmtId="0" fontId="11" fillId="0" borderId="13" xfId="3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 wrapText="1"/>
    </xf>
    <xf numFmtId="0" fontId="52" fillId="0" borderId="6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0" borderId="26" xfId="0" applyFont="1" applyBorder="1" applyAlignment="1">
      <alignment horizontal="center" vertical="center"/>
    </xf>
    <xf numFmtId="0" fontId="52" fillId="0" borderId="27" xfId="0" applyFont="1" applyBorder="1" applyAlignment="1">
      <alignment horizontal="center" vertical="center"/>
    </xf>
    <xf numFmtId="0" fontId="52" fillId="0" borderId="28" xfId="0" applyFont="1" applyBorder="1" applyAlignment="1">
      <alignment horizontal="center" vertical="center"/>
    </xf>
    <xf numFmtId="0" fontId="11" fillId="0" borderId="29" xfId="3" applyFont="1" applyBorder="1" applyAlignment="1">
      <alignment horizontal="center" vertical="center"/>
    </xf>
    <xf numFmtId="0" fontId="11" fillId="0" borderId="27" xfId="3" applyFont="1" applyBorder="1" applyAlignment="1">
      <alignment horizontal="center" vertical="center"/>
    </xf>
    <xf numFmtId="0" fontId="11" fillId="0" borderId="28" xfId="3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41" fontId="52" fillId="0" borderId="25" xfId="1" applyFont="1" applyBorder="1" applyAlignment="1">
      <alignment horizontal="center" vertical="center"/>
    </xf>
    <xf numFmtId="41" fontId="52" fillId="0" borderId="23" xfId="1" applyFont="1" applyBorder="1" applyAlignment="1">
      <alignment horizontal="center" vertical="center"/>
    </xf>
    <xf numFmtId="41" fontId="52" fillId="0" borderId="24" xfId="1" applyFont="1" applyBorder="1" applyAlignment="1">
      <alignment horizontal="center" vertical="center"/>
    </xf>
    <xf numFmtId="0" fontId="52" fillId="0" borderId="16" xfId="0" applyFont="1" applyBorder="1" applyAlignment="1">
      <alignment horizontal="center" vertical="center"/>
    </xf>
    <xf numFmtId="0" fontId="52" fillId="0" borderId="17" xfId="0" applyFont="1" applyBorder="1" applyAlignment="1">
      <alignment horizontal="center" vertical="center"/>
    </xf>
    <xf numFmtId="0" fontId="52" fillId="0" borderId="18" xfId="0" applyFont="1" applyBorder="1" applyAlignment="1">
      <alignment horizontal="center" vertical="center"/>
    </xf>
    <xf numFmtId="41" fontId="52" fillId="0" borderId="21" xfId="1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</cellXfs>
  <cellStyles count="7">
    <cellStyle name="백분율" xfId="2" builtinId="5"/>
    <cellStyle name="백분율 2" xfId="5"/>
    <cellStyle name="쉼표 [0]" xfId="1" builtinId="6"/>
    <cellStyle name="쉼표 [0] 2" xfId="6"/>
    <cellStyle name="표준" xfId="0" builtinId="0"/>
    <cellStyle name="표준 2" xfId="4"/>
    <cellStyle name="표준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3"/>
  <sheetViews>
    <sheetView tabSelected="1" view="pageBreakPreview" topLeftCell="A112" zoomScaleNormal="100" zoomScaleSheetLayoutView="100" workbookViewId="0">
      <selection activeCell="H123" sqref="H123"/>
    </sheetView>
    <sheetView workbookViewId="1">
      <selection sqref="A1:E1"/>
    </sheetView>
  </sheetViews>
  <sheetFormatPr defaultRowHeight="16.5"/>
  <sheetData>
    <row r="1" spans="1:15" ht="24.95" customHeight="1">
      <c r="A1" s="738" t="s">
        <v>865</v>
      </c>
      <c r="B1" s="739"/>
      <c r="C1" s="739"/>
      <c r="D1" s="739"/>
      <c r="E1" s="740"/>
      <c r="F1" s="404" t="s">
        <v>863</v>
      </c>
      <c r="G1" s="405" t="s">
        <v>862</v>
      </c>
      <c r="H1" s="405" t="s">
        <v>864</v>
      </c>
      <c r="I1" s="405" t="s">
        <v>172</v>
      </c>
      <c r="J1" s="406" t="s">
        <v>173</v>
      </c>
    </row>
    <row r="2" spans="1:15">
      <c r="A2" s="734" t="s">
        <v>903</v>
      </c>
      <c r="B2" s="695" t="s">
        <v>902</v>
      </c>
      <c r="C2" s="696"/>
      <c r="D2" s="696"/>
      <c r="E2" s="697"/>
      <c r="F2" s="650">
        <f>F40+F78+F116+F154+F192+F268+F230</f>
        <v>223473.9</v>
      </c>
      <c r="G2" s="651">
        <f t="shared" ref="G2:I2" si="0">G40+G78+G116+G154+G192+G268+G230</f>
        <v>143708.5</v>
      </c>
      <c r="H2" s="651">
        <f t="shared" si="0"/>
        <v>31064.400000000001</v>
      </c>
      <c r="I2" s="651">
        <f t="shared" si="0"/>
        <v>11395</v>
      </c>
      <c r="J2" s="652">
        <f>J40+J78+J116+J154+J192+J268</f>
        <v>30099.5</v>
      </c>
      <c r="K2" s="445">
        <f>F40+F78+F116+F154+F192</f>
        <v>174625</v>
      </c>
      <c r="L2" s="445">
        <f>G40+G78+G116+G154+G192</f>
        <v>104375.5</v>
      </c>
      <c r="M2" s="445">
        <f>H40+H78+H116+H154+H192</f>
        <v>28755</v>
      </c>
      <c r="N2" s="445">
        <f>I40+I78+I116+I154+I192</f>
        <v>11395</v>
      </c>
      <c r="O2" s="445">
        <f>J40+J78+J116+J154+J192</f>
        <v>30099.5</v>
      </c>
    </row>
    <row r="3" spans="1:15">
      <c r="A3" s="735"/>
      <c r="B3" s="700" t="s">
        <v>901</v>
      </c>
      <c r="C3" s="703" t="s">
        <v>860</v>
      </c>
      <c r="D3" s="703"/>
      <c r="E3" s="721"/>
      <c r="F3" s="647">
        <f>F41+F79+F117+F155+F193+F231</f>
        <v>168448.9</v>
      </c>
      <c r="G3" s="648">
        <f t="shared" ref="G3:J3" si="1">G41+G79+G117+G155+G193+G231</f>
        <v>98702.5</v>
      </c>
      <c r="H3" s="648">
        <f t="shared" si="1"/>
        <v>27177.4</v>
      </c>
      <c r="I3" s="648">
        <f t="shared" si="1"/>
        <v>9928</v>
      </c>
      <c r="J3" s="649">
        <f t="shared" si="1"/>
        <v>32641</v>
      </c>
    </row>
    <row r="4" spans="1:15">
      <c r="A4" s="735"/>
      <c r="B4" s="701"/>
      <c r="C4" s="705" t="s">
        <v>858</v>
      </c>
      <c r="D4" s="706" t="s">
        <v>842</v>
      </c>
      <c r="E4" s="709"/>
      <c r="F4" s="428">
        <f t="shared" ref="F4:J4" si="2">F42+F80+F118+F156+F194+F232</f>
        <v>69312.899999999994</v>
      </c>
      <c r="G4" s="429">
        <f t="shared" si="2"/>
        <v>37236.5</v>
      </c>
      <c r="H4" s="429">
        <f t="shared" si="2"/>
        <v>2014.3999999999999</v>
      </c>
      <c r="I4" s="429">
        <f t="shared" si="2"/>
        <v>0</v>
      </c>
      <c r="J4" s="430">
        <f t="shared" si="2"/>
        <v>30062</v>
      </c>
    </row>
    <row r="5" spans="1:15">
      <c r="A5" s="735"/>
      <c r="B5" s="701"/>
      <c r="C5" s="698"/>
      <c r="D5" s="698" t="s">
        <v>183</v>
      </c>
      <c r="E5" s="710"/>
      <c r="F5" s="408">
        <f t="shared" ref="F5" si="3">F43+F81+F119+F157+F195+F233</f>
        <v>3253</v>
      </c>
      <c r="G5" s="409">
        <f t="shared" ref="G5:J5" si="4">G43+G81+G119+G157+G195+G233</f>
        <v>3253</v>
      </c>
      <c r="H5" s="409">
        <f t="shared" si="4"/>
        <v>0</v>
      </c>
      <c r="I5" s="409">
        <f t="shared" si="4"/>
        <v>0</v>
      </c>
      <c r="J5" s="410">
        <f t="shared" si="4"/>
        <v>0</v>
      </c>
    </row>
    <row r="6" spans="1:15">
      <c r="A6" s="735"/>
      <c r="B6" s="701"/>
      <c r="C6" s="698"/>
      <c r="D6" s="698" t="s">
        <v>843</v>
      </c>
      <c r="E6" s="710"/>
      <c r="F6" s="408">
        <f t="shared" ref="F6:J6" si="5">F44+F82+F120+F158+F196+F234</f>
        <v>66059.899999999994</v>
      </c>
      <c r="G6" s="409">
        <f t="shared" si="5"/>
        <v>33983.5</v>
      </c>
      <c r="H6" s="409">
        <f t="shared" si="5"/>
        <v>2014.3999999999999</v>
      </c>
      <c r="I6" s="409">
        <f t="shared" si="5"/>
        <v>0</v>
      </c>
      <c r="J6" s="410">
        <f t="shared" si="5"/>
        <v>30062</v>
      </c>
    </row>
    <row r="7" spans="1:15">
      <c r="A7" s="735"/>
      <c r="B7" s="701"/>
      <c r="C7" s="698"/>
      <c r="D7" s="698" t="s">
        <v>844</v>
      </c>
      <c r="E7" s="710"/>
      <c r="F7" s="408">
        <f t="shared" ref="F7:J7" si="6">F45+F83+F121+F159+F197+F235</f>
        <v>0</v>
      </c>
      <c r="G7" s="409">
        <f t="shared" si="6"/>
        <v>0</v>
      </c>
      <c r="H7" s="409">
        <f t="shared" si="6"/>
        <v>0</v>
      </c>
      <c r="I7" s="409">
        <f t="shared" si="6"/>
        <v>0</v>
      </c>
      <c r="J7" s="410">
        <f t="shared" si="6"/>
        <v>0</v>
      </c>
    </row>
    <row r="8" spans="1:15">
      <c r="A8" s="735"/>
      <c r="B8" s="701"/>
      <c r="C8" s="705" t="s">
        <v>859</v>
      </c>
      <c r="D8" s="706" t="s">
        <v>861</v>
      </c>
      <c r="E8" s="709"/>
      <c r="F8" s="428">
        <f t="shared" ref="F8:J8" si="7">F46+F84+F122+F160+F198+F236</f>
        <v>94051</v>
      </c>
      <c r="G8" s="429">
        <f t="shared" si="7"/>
        <v>56381</v>
      </c>
      <c r="H8" s="429">
        <f t="shared" si="7"/>
        <v>25163</v>
      </c>
      <c r="I8" s="429">
        <f t="shared" si="7"/>
        <v>9928</v>
      </c>
      <c r="J8" s="430">
        <f t="shared" si="7"/>
        <v>2579</v>
      </c>
    </row>
    <row r="9" spans="1:15">
      <c r="A9" s="735"/>
      <c r="B9" s="701"/>
      <c r="C9" s="698"/>
      <c r="D9" s="698" t="s">
        <v>845</v>
      </c>
      <c r="E9" s="431" t="s">
        <v>842</v>
      </c>
      <c r="F9" s="428">
        <f t="shared" ref="F9:J9" si="8">F47+F85+F123+F161+F199+F237</f>
        <v>0</v>
      </c>
      <c r="G9" s="429">
        <f t="shared" si="8"/>
        <v>0</v>
      </c>
      <c r="H9" s="429">
        <f t="shared" si="8"/>
        <v>0</v>
      </c>
      <c r="I9" s="429">
        <f t="shared" si="8"/>
        <v>0</v>
      </c>
      <c r="J9" s="430">
        <f t="shared" si="8"/>
        <v>0</v>
      </c>
    </row>
    <row r="10" spans="1:15">
      <c r="A10" s="735"/>
      <c r="B10" s="701"/>
      <c r="C10" s="698"/>
      <c r="D10" s="698"/>
      <c r="E10" s="403" t="s">
        <v>846</v>
      </c>
      <c r="F10" s="408">
        <f t="shared" ref="F10:J10" si="9">F48+F86+F124+F162+F200+F238</f>
        <v>0</v>
      </c>
      <c r="G10" s="409">
        <f t="shared" si="9"/>
        <v>0</v>
      </c>
      <c r="H10" s="409">
        <f t="shared" si="9"/>
        <v>0</v>
      </c>
      <c r="I10" s="409">
        <f t="shared" si="9"/>
        <v>0</v>
      </c>
      <c r="J10" s="410">
        <f t="shared" si="9"/>
        <v>0</v>
      </c>
    </row>
    <row r="11" spans="1:15">
      <c r="A11" s="735"/>
      <c r="B11" s="701"/>
      <c r="C11" s="698"/>
      <c r="D11" s="698"/>
      <c r="E11" s="403" t="s">
        <v>847</v>
      </c>
      <c r="F11" s="408">
        <f t="shared" ref="F11:J11" si="10">F49+F87+F125+F163+F201+F239</f>
        <v>0</v>
      </c>
      <c r="G11" s="409">
        <f t="shared" si="10"/>
        <v>0</v>
      </c>
      <c r="H11" s="409">
        <f t="shared" si="10"/>
        <v>0</v>
      </c>
      <c r="I11" s="409">
        <f t="shared" si="10"/>
        <v>0</v>
      </c>
      <c r="J11" s="410">
        <f t="shared" si="10"/>
        <v>0</v>
      </c>
    </row>
    <row r="12" spans="1:15">
      <c r="A12" s="735"/>
      <c r="B12" s="701"/>
      <c r="C12" s="698"/>
      <c r="D12" s="698" t="s">
        <v>848</v>
      </c>
      <c r="E12" s="431" t="s">
        <v>842</v>
      </c>
      <c r="F12" s="428">
        <f t="shared" ref="F12:J12" si="11">F50+F88+F126+F164+F202+F240</f>
        <v>56584</v>
      </c>
      <c r="G12" s="429">
        <f t="shared" si="11"/>
        <v>38522</v>
      </c>
      <c r="H12" s="429">
        <f t="shared" si="11"/>
        <v>14054</v>
      </c>
      <c r="I12" s="429">
        <f t="shared" si="11"/>
        <v>4008</v>
      </c>
      <c r="J12" s="430">
        <f t="shared" si="11"/>
        <v>0</v>
      </c>
    </row>
    <row r="13" spans="1:15">
      <c r="A13" s="735"/>
      <c r="B13" s="701"/>
      <c r="C13" s="698"/>
      <c r="D13" s="698"/>
      <c r="E13" s="403" t="s">
        <v>846</v>
      </c>
      <c r="F13" s="408">
        <f t="shared" ref="F13:J13" si="12">F51+F89+F127+F165+F203+F241</f>
        <v>54403</v>
      </c>
      <c r="G13" s="409">
        <f t="shared" si="12"/>
        <v>38522</v>
      </c>
      <c r="H13" s="409">
        <f t="shared" si="12"/>
        <v>11873</v>
      </c>
      <c r="I13" s="409">
        <f t="shared" si="12"/>
        <v>4008</v>
      </c>
      <c r="J13" s="410">
        <f t="shared" si="12"/>
        <v>0</v>
      </c>
    </row>
    <row r="14" spans="1:15">
      <c r="A14" s="735"/>
      <c r="B14" s="701"/>
      <c r="C14" s="698"/>
      <c r="D14" s="698"/>
      <c r="E14" s="403" t="s">
        <v>847</v>
      </c>
      <c r="F14" s="408">
        <f t="shared" ref="F14:J14" si="13">F52+F90+F128+F166+F204+F242</f>
        <v>2181</v>
      </c>
      <c r="G14" s="409">
        <f t="shared" si="13"/>
        <v>0</v>
      </c>
      <c r="H14" s="409">
        <f t="shared" si="13"/>
        <v>2181</v>
      </c>
      <c r="I14" s="409">
        <f t="shared" si="13"/>
        <v>0</v>
      </c>
      <c r="J14" s="410">
        <f t="shared" si="13"/>
        <v>0</v>
      </c>
    </row>
    <row r="15" spans="1:15">
      <c r="A15" s="735"/>
      <c r="B15" s="701"/>
      <c r="C15" s="698"/>
      <c r="D15" s="698" t="s">
        <v>849</v>
      </c>
      <c r="E15" s="431" t="s">
        <v>842</v>
      </c>
      <c r="F15" s="428">
        <f t="shared" ref="F15:J15" si="14">F53+F91+F129+F167+F205+F243</f>
        <v>25897</v>
      </c>
      <c r="G15" s="429">
        <f t="shared" si="14"/>
        <v>9161</v>
      </c>
      <c r="H15" s="429">
        <f t="shared" si="14"/>
        <v>8811</v>
      </c>
      <c r="I15" s="429">
        <f t="shared" si="14"/>
        <v>5346</v>
      </c>
      <c r="J15" s="430">
        <f t="shared" si="14"/>
        <v>2579</v>
      </c>
    </row>
    <row r="16" spans="1:15">
      <c r="A16" s="735"/>
      <c r="B16" s="701"/>
      <c r="C16" s="698"/>
      <c r="D16" s="698"/>
      <c r="E16" s="403" t="s">
        <v>846</v>
      </c>
      <c r="F16" s="408">
        <f t="shared" ref="F16:J16" si="15">F54+F92+F130+F168+F206+F244</f>
        <v>960</v>
      </c>
      <c r="G16" s="409">
        <f t="shared" si="15"/>
        <v>960</v>
      </c>
      <c r="H16" s="409">
        <f t="shared" si="15"/>
        <v>0</v>
      </c>
      <c r="I16" s="409">
        <f t="shared" si="15"/>
        <v>0</v>
      </c>
      <c r="J16" s="410">
        <f t="shared" si="15"/>
        <v>0</v>
      </c>
    </row>
    <row r="17" spans="1:10">
      <c r="A17" s="735"/>
      <c r="B17" s="701"/>
      <c r="C17" s="698"/>
      <c r="D17" s="698"/>
      <c r="E17" s="403" t="s">
        <v>847</v>
      </c>
      <c r="F17" s="408">
        <f t="shared" ref="F17:J17" si="16">F55+F93+F131+F169+F207+F245</f>
        <v>24937</v>
      </c>
      <c r="G17" s="409">
        <f t="shared" si="16"/>
        <v>8201</v>
      </c>
      <c r="H17" s="409">
        <f t="shared" si="16"/>
        <v>8811</v>
      </c>
      <c r="I17" s="409">
        <f t="shared" si="16"/>
        <v>5346</v>
      </c>
      <c r="J17" s="410">
        <f t="shared" si="16"/>
        <v>2579</v>
      </c>
    </row>
    <row r="18" spans="1:10">
      <c r="A18" s="735"/>
      <c r="B18" s="701"/>
      <c r="C18" s="698"/>
      <c r="D18" s="698" t="s">
        <v>850</v>
      </c>
      <c r="E18" s="710"/>
      <c r="F18" s="408">
        <f t="shared" ref="F18:J18" si="17">F56+F94+F132+F170+F208+F246</f>
        <v>3056</v>
      </c>
      <c r="G18" s="409">
        <f t="shared" si="17"/>
        <v>2876</v>
      </c>
      <c r="H18" s="409">
        <f t="shared" si="17"/>
        <v>92</v>
      </c>
      <c r="I18" s="409">
        <f t="shared" si="17"/>
        <v>88</v>
      </c>
      <c r="J18" s="410">
        <f t="shared" si="17"/>
        <v>0</v>
      </c>
    </row>
    <row r="19" spans="1:10">
      <c r="A19" s="735"/>
      <c r="B19" s="701"/>
      <c r="C19" s="698"/>
      <c r="D19" s="698" t="s">
        <v>851</v>
      </c>
      <c r="E19" s="710"/>
      <c r="F19" s="408">
        <f t="shared" ref="F19:J19" si="18">F57+F95+F133+F171+F209+F247</f>
        <v>8514</v>
      </c>
      <c r="G19" s="409">
        <f t="shared" si="18"/>
        <v>5822</v>
      </c>
      <c r="H19" s="409">
        <f t="shared" si="18"/>
        <v>2206</v>
      </c>
      <c r="I19" s="409">
        <f t="shared" si="18"/>
        <v>486</v>
      </c>
      <c r="J19" s="410">
        <f t="shared" si="18"/>
        <v>0</v>
      </c>
    </row>
    <row r="20" spans="1:10">
      <c r="A20" s="735"/>
      <c r="B20" s="701"/>
      <c r="C20" s="698" t="s">
        <v>852</v>
      </c>
      <c r="D20" s="698"/>
      <c r="E20" s="710"/>
      <c r="F20" s="408">
        <f t="shared" ref="F20:J20" si="19">F58+F96+F134+F172+F210+F248</f>
        <v>0</v>
      </c>
      <c r="G20" s="409">
        <f t="shared" si="19"/>
        <v>0</v>
      </c>
      <c r="H20" s="409">
        <f t="shared" si="19"/>
        <v>0</v>
      </c>
      <c r="I20" s="409">
        <f t="shared" si="19"/>
        <v>0</v>
      </c>
      <c r="J20" s="410">
        <f t="shared" si="19"/>
        <v>0</v>
      </c>
    </row>
    <row r="21" spans="1:10">
      <c r="A21" s="735"/>
      <c r="B21" s="701"/>
      <c r="C21" s="698" t="s">
        <v>853</v>
      </c>
      <c r="D21" s="698"/>
      <c r="E21" s="710"/>
      <c r="F21" s="408">
        <f t="shared" ref="F21:J21" si="20">F59+F97+F135+F173+F211+F249</f>
        <v>5085</v>
      </c>
      <c r="G21" s="409">
        <f t="shared" si="20"/>
        <v>5085</v>
      </c>
      <c r="H21" s="409">
        <f t="shared" si="20"/>
        <v>0</v>
      </c>
      <c r="I21" s="409">
        <f t="shared" si="20"/>
        <v>0</v>
      </c>
      <c r="J21" s="410">
        <f t="shared" si="20"/>
        <v>0</v>
      </c>
    </row>
    <row r="22" spans="1:10">
      <c r="A22" s="735"/>
      <c r="B22" s="702"/>
      <c r="C22" s="715" t="s">
        <v>854</v>
      </c>
      <c r="D22" s="715"/>
      <c r="E22" s="722"/>
      <c r="F22" s="411">
        <f t="shared" ref="F22:J22" si="21">F60+F98+F136+F174+F212+F250</f>
        <v>0</v>
      </c>
      <c r="G22" s="412">
        <f t="shared" si="21"/>
        <v>0</v>
      </c>
      <c r="H22" s="412">
        <f t="shared" si="21"/>
        <v>0</v>
      </c>
      <c r="I22" s="412">
        <f t="shared" si="21"/>
        <v>0</v>
      </c>
      <c r="J22" s="413">
        <f t="shared" si="21"/>
        <v>0</v>
      </c>
    </row>
    <row r="23" spans="1:10">
      <c r="A23" s="735"/>
      <c r="B23" s="723" t="s">
        <v>900</v>
      </c>
      <c r="C23" s="724"/>
      <c r="D23" s="724"/>
      <c r="E23" s="725"/>
      <c r="F23" s="421">
        <f t="shared" ref="F23:J23" si="22">F61+F99+F137+F175+F213+F251</f>
        <v>0</v>
      </c>
      <c r="G23" s="422">
        <f t="shared" si="22"/>
        <v>0</v>
      </c>
      <c r="H23" s="422">
        <f t="shared" si="22"/>
        <v>0</v>
      </c>
      <c r="I23" s="422">
        <f t="shared" si="22"/>
        <v>0</v>
      </c>
      <c r="J23" s="423">
        <f t="shared" si="22"/>
        <v>0</v>
      </c>
    </row>
    <row r="24" spans="1:10">
      <c r="A24" s="735"/>
      <c r="B24" s="726" t="s">
        <v>899</v>
      </c>
      <c r="C24" s="727"/>
      <c r="D24" s="730" t="s">
        <v>861</v>
      </c>
      <c r="E24" s="731"/>
      <c r="F24" s="424">
        <f t="shared" ref="F24:J24" si="23">F62+F100+F138+F176+F214+F252</f>
        <v>23402</v>
      </c>
      <c r="G24" s="425">
        <f t="shared" si="23"/>
        <v>13383</v>
      </c>
      <c r="H24" s="425">
        <f t="shared" si="23"/>
        <v>3887</v>
      </c>
      <c r="I24" s="425">
        <f t="shared" si="23"/>
        <v>1467</v>
      </c>
      <c r="J24" s="426">
        <f t="shared" si="23"/>
        <v>4665</v>
      </c>
    </row>
    <row r="25" spans="1:10">
      <c r="A25" s="735"/>
      <c r="B25" s="701"/>
      <c r="C25" s="718"/>
      <c r="D25" s="698" t="s">
        <v>855</v>
      </c>
      <c r="E25" s="432" t="s">
        <v>866</v>
      </c>
      <c r="F25" s="433">
        <f t="shared" ref="F25:J25" si="24">F63+F101+F139+F177+F215+F253</f>
        <v>7886</v>
      </c>
      <c r="G25" s="429">
        <f t="shared" si="24"/>
        <v>4574</v>
      </c>
      <c r="H25" s="429">
        <f t="shared" si="24"/>
        <v>1303</v>
      </c>
      <c r="I25" s="429">
        <f t="shared" si="24"/>
        <v>496</v>
      </c>
      <c r="J25" s="430">
        <f t="shared" si="24"/>
        <v>1513</v>
      </c>
    </row>
    <row r="26" spans="1:10">
      <c r="A26" s="735"/>
      <c r="B26" s="701"/>
      <c r="C26" s="718"/>
      <c r="D26" s="698"/>
      <c r="E26" s="402" t="s">
        <v>867</v>
      </c>
      <c r="F26" s="414">
        <f t="shared" ref="F26:J26" si="25">F64+F102+F140+F178+F216+F254</f>
        <v>3139</v>
      </c>
      <c r="G26" s="409">
        <f t="shared" si="25"/>
        <v>1668</v>
      </c>
      <c r="H26" s="409">
        <f t="shared" si="25"/>
        <v>99</v>
      </c>
      <c r="I26" s="409">
        <f t="shared" si="25"/>
        <v>0</v>
      </c>
      <c r="J26" s="410">
        <f t="shared" si="25"/>
        <v>1372</v>
      </c>
    </row>
    <row r="27" spans="1:10">
      <c r="A27" s="735"/>
      <c r="B27" s="701"/>
      <c r="C27" s="718"/>
      <c r="D27" s="698"/>
      <c r="E27" s="402" t="s">
        <v>868</v>
      </c>
      <c r="F27" s="414">
        <f t="shared" ref="F27:J27" si="26">F65+F103+F141+F179+F217+F255</f>
        <v>4436</v>
      </c>
      <c r="G27" s="409">
        <f t="shared" si="26"/>
        <v>2595</v>
      </c>
      <c r="H27" s="409">
        <f t="shared" si="26"/>
        <v>1204</v>
      </c>
      <c r="I27" s="409">
        <f t="shared" si="26"/>
        <v>496</v>
      </c>
      <c r="J27" s="410">
        <f t="shared" si="26"/>
        <v>141</v>
      </c>
    </row>
    <row r="28" spans="1:10">
      <c r="A28" s="735"/>
      <c r="B28" s="701"/>
      <c r="C28" s="718"/>
      <c r="D28" s="698"/>
      <c r="E28" s="402" t="s">
        <v>869</v>
      </c>
      <c r="F28" s="414">
        <f t="shared" ref="F28:J28" si="27">F66+F104+F142+F180+F218+F256</f>
        <v>0</v>
      </c>
      <c r="G28" s="409">
        <f t="shared" si="27"/>
        <v>0</v>
      </c>
      <c r="H28" s="409">
        <f t="shared" si="27"/>
        <v>0</v>
      </c>
      <c r="I28" s="409">
        <f t="shared" si="27"/>
        <v>0</v>
      </c>
      <c r="J28" s="410">
        <f t="shared" si="27"/>
        <v>0</v>
      </c>
    </row>
    <row r="29" spans="1:10">
      <c r="A29" s="735"/>
      <c r="B29" s="701"/>
      <c r="C29" s="718"/>
      <c r="D29" s="698"/>
      <c r="E29" s="402" t="s">
        <v>870</v>
      </c>
      <c r="F29" s="414">
        <f t="shared" ref="F29:J29" si="28">F67+F105+F143+F181+F219+F257</f>
        <v>311</v>
      </c>
      <c r="G29" s="409">
        <f t="shared" si="28"/>
        <v>311</v>
      </c>
      <c r="H29" s="409">
        <f t="shared" si="28"/>
        <v>0</v>
      </c>
      <c r="I29" s="409">
        <f t="shared" si="28"/>
        <v>0</v>
      </c>
      <c r="J29" s="410">
        <f t="shared" si="28"/>
        <v>0</v>
      </c>
    </row>
    <row r="30" spans="1:10">
      <c r="A30" s="735"/>
      <c r="B30" s="701"/>
      <c r="C30" s="718"/>
      <c r="D30" s="698" t="s">
        <v>856</v>
      </c>
      <c r="E30" s="432" t="s">
        <v>866</v>
      </c>
      <c r="F30" s="433">
        <f t="shared" ref="F30:J30" si="29">F68+F106+F144+F182+F220+F258</f>
        <v>15009</v>
      </c>
      <c r="G30" s="429">
        <f t="shared" si="29"/>
        <v>8533</v>
      </c>
      <c r="H30" s="429">
        <f t="shared" si="29"/>
        <v>2488</v>
      </c>
      <c r="I30" s="429">
        <f t="shared" si="29"/>
        <v>929</v>
      </c>
      <c r="J30" s="430">
        <f t="shared" si="29"/>
        <v>3059</v>
      </c>
    </row>
    <row r="31" spans="1:10">
      <c r="A31" s="736"/>
      <c r="B31" s="701"/>
      <c r="C31" s="718"/>
      <c r="D31" s="698"/>
      <c r="E31" s="402" t="s">
        <v>867</v>
      </c>
      <c r="F31" s="414">
        <f t="shared" ref="F31:J31" si="30">F69+F107+F145+F183+F221+F259</f>
        <v>6132</v>
      </c>
      <c r="G31" s="409">
        <f t="shared" si="30"/>
        <v>3126</v>
      </c>
      <c r="H31" s="409">
        <f t="shared" si="30"/>
        <v>189</v>
      </c>
      <c r="I31" s="409">
        <f t="shared" si="30"/>
        <v>0</v>
      </c>
      <c r="J31" s="410">
        <f t="shared" si="30"/>
        <v>2817</v>
      </c>
    </row>
    <row r="32" spans="1:10">
      <c r="A32" s="736"/>
      <c r="B32" s="701"/>
      <c r="C32" s="718"/>
      <c r="D32" s="698"/>
      <c r="E32" s="402" t="s">
        <v>868</v>
      </c>
      <c r="F32" s="414">
        <f t="shared" ref="F32:J32" si="31">F70+F108+F146+F184+F222+F260</f>
        <v>8447</v>
      </c>
      <c r="G32" s="409">
        <f t="shared" si="31"/>
        <v>4977</v>
      </c>
      <c r="H32" s="409">
        <f t="shared" si="31"/>
        <v>2299</v>
      </c>
      <c r="I32" s="409">
        <f t="shared" si="31"/>
        <v>929</v>
      </c>
      <c r="J32" s="410">
        <f t="shared" si="31"/>
        <v>242</v>
      </c>
    </row>
    <row r="33" spans="1:10">
      <c r="A33" s="736"/>
      <c r="B33" s="701"/>
      <c r="C33" s="718"/>
      <c r="D33" s="698"/>
      <c r="E33" s="402" t="s">
        <v>869</v>
      </c>
      <c r="F33" s="414">
        <f t="shared" ref="F33:J33" si="32">F71+F109+F147+F185+F223+F261</f>
        <v>0</v>
      </c>
      <c r="G33" s="409">
        <f t="shared" si="32"/>
        <v>0</v>
      </c>
      <c r="H33" s="409">
        <f t="shared" si="32"/>
        <v>0</v>
      </c>
      <c r="I33" s="409">
        <f t="shared" si="32"/>
        <v>0</v>
      </c>
      <c r="J33" s="410">
        <f t="shared" si="32"/>
        <v>0</v>
      </c>
    </row>
    <row r="34" spans="1:10">
      <c r="A34" s="736"/>
      <c r="B34" s="701"/>
      <c r="C34" s="718"/>
      <c r="D34" s="698"/>
      <c r="E34" s="402" t="s">
        <v>870</v>
      </c>
      <c r="F34" s="414">
        <f t="shared" ref="F34:J34" si="33">F72+F110+F148+F186+F224+F262</f>
        <v>430</v>
      </c>
      <c r="G34" s="409">
        <f t="shared" si="33"/>
        <v>430</v>
      </c>
      <c r="H34" s="409">
        <f t="shared" si="33"/>
        <v>0</v>
      </c>
      <c r="I34" s="409">
        <f t="shared" si="33"/>
        <v>0</v>
      </c>
      <c r="J34" s="410">
        <f t="shared" si="33"/>
        <v>0</v>
      </c>
    </row>
    <row r="35" spans="1:10">
      <c r="A35" s="736"/>
      <c r="B35" s="701"/>
      <c r="C35" s="718"/>
      <c r="D35" s="698" t="s">
        <v>857</v>
      </c>
      <c r="E35" s="432" t="s">
        <v>866</v>
      </c>
      <c r="F35" s="433">
        <f t="shared" ref="F35:J35" si="34">F73+F111+F149+F187+F225+F263</f>
        <v>507</v>
      </c>
      <c r="G35" s="429">
        <f t="shared" si="34"/>
        <v>276</v>
      </c>
      <c r="H35" s="429">
        <f t="shared" si="34"/>
        <v>96</v>
      </c>
      <c r="I35" s="429">
        <f t="shared" si="34"/>
        <v>42</v>
      </c>
      <c r="J35" s="430">
        <f t="shared" si="34"/>
        <v>93</v>
      </c>
    </row>
    <row r="36" spans="1:10">
      <c r="A36" s="736"/>
      <c r="B36" s="701"/>
      <c r="C36" s="718"/>
      <c r="D36" s="698"/>
      <c r="E36" s="402" t="s">
        <v>867</v>
      </c>
      <c r="F36" s="414">
        <f t="shared" ref="F36:J36" si="35">F74+F112+F150+F188+F226+F264</f>
        <v>179</v>
      </c>
      <c r="G36" s="409">
        <f t="shared" si="35"/>
        <v>94</v>
      </c>
      <c r="H36" s="409">
        <f t="shared" si="35"/>
        <v>7</v>
      </c>
      <c r="I36" s="409">
        <f t="shared" si="35"/>
        <v>0</v>
      </c>
      <c r="J36" s="410">
        <f t="shared" si="35"/>
        <v>78</v>
      </c>
    </row>
    <row r="37" spans="1:10">
      <c r="A37" s="736"/>
      <c r="B37" s="701"/>
      <c r="C37" s="718"/>
      <c r="D37" s="698"/>
      <c r="E37" s="402" t="s">
        <v>868</v>
      </c>
      <c r="F37" s="414">
        <f t="shared" ref="F37:J37" si="36">F75+F113+F151+F189+F227+F265</f>
        <v>312</v>
      </c>
      <c r="G37" s="409">
        <f t="shared" si="36"/>
        <v>166</v>
      </c>
      <c r="H37" s="409">
        <f t="shared" si="36"/>
        <v>89</v>
      </c>
      <c r="I37" s="409">
        <f t="shared" si="36"/>
        <v>42</v>
      </c>
      <c r="J37" s="410">
        <f t="shared" si="36"/>
        <v>15</v>
      </c>
    </row>
    <row r="38" spans="1:10">
      <c r="A38" s="736"/>
      <c r="B38" s="701"/>
      <c r="C38" s="718"/>
      <c r="D38" s="698"/>
      <c r="E38" s="402" t="s">
        <v>869</v>
      </c>
      <c r="F38" s="414">
        <f t="shared" ref="F38:J38" si="37">F76+F114+F152+F190+F228+F266</f>
        <v>0</v>
      </c>
      <c r="G38" s="409">
        <f t="shared" si="37"/>
        <v>0</v>
      </c>
      <c r="H38" s="409">
        <f t="shared" si="37"/>
        <v>0</v>
      </c>
      <c r="I38" s="409">
        <f t="shared" si="37"/>
        <v>0</v>
      </c>
      <c r="J38" s="410">
        <f t="shared" si="37"/>
        <v>0</v>
      </c>
    </row>
    <row r="39" spans="1:10">
      <c r="A39" s="737"/>
      <c r="B39" s="728"/>
      <c r="C39" s="729"/>
      <c r="D39" s="708"/>
      <c r="E39" s="407" t="s">
        <v>870</v>
      </c>
      <c r="F39" s="415">
        <f t="shared" ref="F39:J39" si="38">F77+F115+F153+F191+F229+F267</f>
        <v>16</v>
      </c>
      <c r="G39" s="416">
        <f t="shared" si="38"/>
        <v>16</v>
      </c>
      <c r="H39" s="416">
        <f t="shared" si="38"/>
        <v>0</v>
      </c>
      <c r="I39" s="416">
        <f t="shared" si="38"/>
        <v>0</v>
      </c>
      <c r="J39" s="417">
        <f t="shared" si="38"/>
        <v>0</v>
      </c>
    </row>
    <row r="40" spans="1:10">
      <c r="A40" s="734" t="s">
        <v>841</v>
      </c>
      <c r="B40" s="695" t="s">
        <v>902</v>
      </c>
      <c r="C40" s="696"/>
      <c r="D40" s="696"/>
      <c r="E40" s="697"/>
      <c r="F40" s="418">
        <f>SUM(F41,F61,F62)</f>
        <v>18388</v>
      </c>
      <c r="G40" s="419">
        <f>SUM(G41,G61,G62)</f>
        <v>7992</v>
      </c>
      <c r="H40" s="419">
        <f>SUM(H41,H61,H62)</f>
        <v>8361</v>
      </c>
      <c r="I40" s="419">
        <f>SUM(I41,I61,I62)</f>
        <v>2035</v>
      </c>
      <c r="J40" s="420">
        <f>SUM(J41,J61,J62)</f>
        <v>0</v>
      </c>
    </row>
    <row r="41" spans="1:10">
      <c r="A41" s="735"/>
      <c r="B41" s="700" t="s">
        <v>901</v>
      </c>
      <c r="C41" s="703" t="s">
        <v>860</v>
      </c>
      <c r="D41" s="703"/>
      <c r="E41" s="721"/>
      <c r="F41" s="427">
        <f>SUM(F42,F46,F58,F59,F60)</f>
        <v>16100</v>
      </c>
      <c r="G41" s="425">
        <f>SUM(G42,G46,G58,G59,G60)</f>
        <v>6975</v>
      </c>
      <c r="H41" s="425">
        <f>SUM(H42,H46,H58,H59,H60)</f>
        <v>7352</v>
      </c>
      <c r="I41" s="425">
        <f>SUM(I42,I46,I58,I59,I60)</f>
        <v>1773</v>
      </c>
      <c r="J41" s="426">
        <f>SUM(J42,J46,J58,J59,J60)</f>
        <v>0</v>
      </c>
    </row>
    <row r="42" spans="1:10">
      <c r="A42" s="735"/>
      <c r="B42" s="701"/>
      <c r="C42" s="705" t="s">
        <v>858</v>
      </c>
      <c r="D42" s="706" t="s">
        <v>842</v>
      </c>
      <c r="E42" s="709"/>
      <c r="F42" s="428">
        <f>SUM(F43:F45)</f>
        <v>0</v>
      </c>
      <c r="G42" s="429">
        <f>SUM(G43:G45)</f>
        <v>0</v>
      </c>
      <c r="H42" s="429">
        <f>SUM(H43:H45)</f>
        <v>0</v>
      </c>
      <c r="I42" s="429">
        <f>SUM(I43:I45)</f>
        <v>0</v>
      </c>
      <c r="J42" s="430">
        <f>SUM(J43:J45)</f>
        <v>0</v>
      </c>
    </row>
    <row r="43" spans="1:10">
      <c r="A43" s="735"/>
      <c r="B43" s="701"/>
      <c r="C43" s="698"/>
      <c r="D43" s="698" t="s">
        <v>183</v>
      </c>
      <c r="E43" s="710"/>
      <c r="F43" s="408">
        <f>SUM(G43:J43)</f>
        <v>0</v>
      </c>
      <c r="G43" s="409"/>
      <c r="H43" s="409"/>
      <c r="I43" s="409"/>
      <c r="J43" s="410"/>
    </row>
    <row r="44" spans="1:10">
      <c r="A44" s="735"/>
      <c r="B44" s="701"/>
      <c r="C44" s="698"/>
      <c r="D44" s="698" t="s">
        <v>843</v>
      </c>
      <c r="E44" s="710"/>
      <c r="F44" s="408">
        <f>SUM(G44:J44)</f>
        <v>0</v>
      </c>
      <c r="G44" s="409">
        <f>'1.2.2 공공하수처리시설 신증설'!B52</f>
        <v>0</v>
      </c>
      <c r="H44" s="409">
        <f>'1.2.2 공공하수처리시설 신증설'!C52</f>
        <v>0</v>
      </c>
      <c r="I44" s="409">
        <f>'1.2.2 공공하수처리시설 신증설'!D52</f>
        <v>0</v>
      </c>
      <c r="J44" s="410">
        <f>'1.2.2 공공하수처리시설 신증설'!E52</f>
        <v>0</v>
      </c>
    </row>
    <row r="45" spans="1:10">
      <c r="A45" s="735"/>
      <c r="B45" s="701"/>
      <c r="C45" s="698"/>
      <c r="D45" s="698" t="s">
        <v>844</v>
      </c>
      <c r="E45" s="710"/>
      <c r="F45" s="408">
        <f>SUM(G45:J45)</f>
        <v>0</v>
      </c>
      <c r="G45" s="409"/>
      <c r="H45" s="409"/>
      <c r="I45" s="409"/>
      <c r="J45" s="410"/>
    </row>
    <row r="46" spans="1:10">
      <c r="A46" s="735"/>
      <c r="B46" s="701"/>
      <c r="C46" s="705" t="s">
        <v>859</v>
      </c>
      <c r="D46" s="706" t="s">
        <v>861</v>
      </c>
      <c r="E46" s="709"/>
      <c r="F46" s="428">
        <f>SUM(F47,F50,F53,F56:F57)</f>
        <v>16100</v>
      </c>
      <c r="G46" s="429">
        <f>SUM(G47,G50,G53,G56:G57)</f>
        <v>6975</v>
      </c>
      <c r="H46" s="429">
        <f>SUM(H47,H50,H53,H56:H57)</f>
        <v>7352</v>
      </c>
      <c r="I46" s="429">
        <f>SUM(I47,I50,I53,I56:I57)</f>
        <v>1773</v>
      </c>
      <c r="J46" s="430">
        <f>SUM(J47,J50,J53,J56:J57)</f>
        <v>0</v>
      </c>
    </row>
    <row r="47" spans="1:10">
      <c r="A47" s="735"/>
      <c r="B47" s="701"/>
      <c r="C47" s="698"/>
      <c r="D47" s="698" t="s">
        <v>845</v>
      </c>
      <c r="E47" s="431" t="s">
        <v>842</v>
      </c>
      <c r="F47" s="428">
        <f>SUM(F48:F49)</f>
        <v>0</v>
      </c>
      <c r="G47" s="429">
        <f>SUM(G48:G49)</f>
        <v>0</v>
      </c>
      <c r="H47" s="429">
        <f>SUM(H48:H49)</f>
        <v>0</v>
      </c>
      <c r="I47" s="429">
        <f>SUM(I48:I49)</f>
        <v>0</v>
      </c>
      <c r="J47" s="430">
        <f>SUM(J48:J49)</f>
        <v>0</v>
      </c>
    </row>
    <row r="48" spans="1:10">
      <c r="A48" s="735"/>
      <c r="B48" s="701"/>
      <c r="C48" s="698"/>
      <c r="D48" s="698"/>
      <c r="E48" s="403" t="s">
        <v>846</v>
      </c>
      <c r="F48" s="408">
        <f>SUM(G48:J48)</f>
        <v>0</v>
      </c>
      <c r="G48" s="409"/>
      <c r="H48" s="409"/>
      <c r="I48" s="409"/>
      <c r="J48" s="410"/>
    </row>
    <row r="49" spans="1:10">
      <c r="A49" s="735"/>
      <c r="B49" s="701"/>
      <c r="C49" s="698"/>
      <c r="D49" s="698"/>
      <c r="E49" s="403" t="s">
        <v>847</v>
      </c>
      <c r="F49" s="408">
        <f>SUM(G49:J49)</f>
        <v>0</v>
      </c>
      <c r="G49" s="409">
        <f>'1.2.4 오수간선및차집관로 교체및보수'!B51</f>
        <v>0</v>
      </c>
      <c r="H49" s="409">
        <f>'1.2.4 오수간선및차집관로 교체및보수'!C51</f>
        <v>0</v>
      </c>
      <c r="I49" s="409">
        <f>'1.2.4 오수간선및차집관로 교체및보수'!D51</f>
        <v>0</v>
      </c>
      <c r="J49" s="410">
        <f>'1.2.4 오수간선및차집관로 교체및보수'!E51</f>
        <v>0</v>
      </c>
    </row>
    <row r="50" spans="1:10">
      <c r="A50" s="735"/>
      <c r="B50" s="701"/>
      <c r="C50" s="698"/>
      <c r="D50" s="698" t="s">
        <v>848</v>
      </c>
      <c r="E50" s="431" t="s">
        <v>842</v>
      </c>
      <c r="F50" s="428">
        <f>SUM(F51:F52)</f>
        <v>8899</v>
      </c>
      <c r="G50" s="429">
        <f>SUM(G51:G52)</f>
        <v>4211</v>
      </c>
      <c r="H50" s="429">
        <f>SUM(H51:H52)</f>
        <v>4688</v>
      </c>
      <c r="I50" s="429">
        <f>SUM(I51:I52)</f>
        <v>0</v>
      </c>
      <c r="J50" s="430">
        <f>SUM(J51:J52)</f>
        <v>0</v>
      </c>
    </row>
    <row r="51" spans="1:10">
      <c r="A51" s="735"/>
      <c r="B51" s="701"/>
      <c r="C51" s="698"/>
      <c r="D51" s="698"/>
      <c r="E51" s="403" t="s">
        <v>846</v>
      </c>
      <c r="F51" s="408">
        <f>SUM(G51:J51)</f>
        <v>6718</v>
      </c>
      <c r="G51" s="409">
        <f>'1.2.5 오수관로신설'!B5</f>
        <v>4211</v>
      </c>
      <c r="H51" s="409">
        <f>'1.2.5 오수관로신설'!C5</f>
        <v>2507</v>
      </c>
      <c r="I51" s="409">
        <f>'1.2.5 오수관로신설'!D5</f>
        <v>0</v>
      </c>
      <c r="J51" s="410">
        <f>'1.2.5 오수관로신설'!E5</f>
        <v>0</v>
      </c>
    </row>
    <row r="52" spans="1:10">
      <c r="A52" s="735"/>
      <c r="B52" s="701"/>
      <c r="C52" s="698"/>
      <c r="D52" s="698"/>
      <c r="E52" s="403" t="s">
        <v>847</v>
      </c>
      <c r="F52" s="408">
        <f>SUM(G52:J52)</f>
        <v>2181</v>
      </c>
      <c r="G52" s="409">
        <f>'1.2.6 오수관로 교체및보수'!B52</f>
        <v>0</v>
      </c>
      <c r="H52" s="409">
        <f>'1.2.6 오수관로 교체및보수'!C52</f>
        <v>2181</v>
      </c>
      <c r="I52" s="409">
        <f>'1.2.6 오수관로 교체및보수'!D52</f>
        <v>0</v>
      </c>
      <c r="J52" s="410">
        <f>'1.2.6 오수관로 교체및보수'!E52</f>
        <v>0</v>
      </c>
    </row>
    <row r="53" spans="1:10">
      <c r="A53" s="735"/>
      <c r="B53" s="701"/>
      <c r="C53" s="698"/>
      <c r="D53" s="698" t="s">
        <v>849</v>
      </c>
      <c r="E53" s="431" t="s">
        <v>842</v>
      </c>
      <c r="F53" s="428">
        <f>SUM(F54:F55)</f>
        <v>5685</v>
      </c>
      <c r="G53" s="429">
        <f>SUM(G54:G55)</f>
        <v>1867</v>
      </c>
      <c r="H53" s="429">
        <f>SUM(H54:H55)</f>
        <v>2045</v>
      </c>
      <c r="I53" s="429">
        <f>SUM(I54:I55)</f>
        <v>1773</v>
      </c>
      <c r="J53" s="430">
        <f>SUM(J54:J55)</f>
        <v>0</v>
      </c>
    </row>
    <row r="54" spans="1:10">
      <c r="A54" s="735"/>
      <c r="B54" s="701"/>
      <c r="C54" s="698"/>
      <c r="D54" s="698"/>
      <c r="E54" s="403" t="s">
        <v>846</v>
      </c>
      <c r="F54" s="408">
        <f t="shared" ref="F54:F61" si="39">SUM(G54:J54)</f>
        <v>960</v>
      </c>
      <c r="G54" s="409">
        <f>'1.2.7 우수관로신설'!B52</f>
        <v>960</v>
      </c>
      <c r="H54" s="409">
        <f>'1.2.7 우수관로신설'!C52</f>
        <v>0</v>
      </c>
      <c r="I54" s="409">
        <f>'1.2.7 우수관로신설'!D52</f>
        <v>0</v>
      </c>
      <c r="J54" s="410">
        <f>'1.2.7 우수관로신설'!E52</f>
        <v>0</v>
      </c>
    </row>
    <row r="55" spans="1:10">
      <c r="A55" s="735"/>
      <c r="B55" s="701"/>
      <c r="C55" s="698"/>
      <c r="D55" s="698"/>
      <c r="E55" s="403" t="s">
        <v>847</v>
      </c>
      <c r="F55" s="408">
        <f t="shared" si="39"/>
        <v>4725</v>
      </c>
      <c r="G55" s="409">
        <f>'1.2.8 우수관로 교체 및 보수'!B44</f>
        <v>907</v>
      </c>
      <c r="H55" s="409">
        <f>'1.2.8 우수관로 교체 및 보수'!C44</f>
        <v>2045</v>
      </c>
      <c r="I55" s="409">
        <f>'1.2.8 우수관로 교체 및 보수'!D44</f>
        <v>1773</v>
      </c>
      <c r="J55" s="410">
        <f>'1.2.8 우수관로 교체 및 보수'!E44</f>
        <v>0</v>
      </c>
    </row>
    <row r="56" spans="1:10">
      <c r="A56" s="735"/>
      <c r="B56" s="701"/>
      <c r="C56" s="698"/>
      <c r="D56" s="698" t="s">
        <v>850</v>
      </c>
      <c r="E56" s="710"/>
      <c r="F56" s="408">
        <f t="shared" si="39"/>
        <v>0</v>
      </c>
      <c r="G56" s="409">
        <f>'1.2.5 오수관로신설'!B7</f>
        <v>0</v>
      </c>
      <c r="H56" s="409">
        <f>'1.2.5 오수관로신설'!C7</f>
        <v>0</v>
      </c>
      <c r="I56" s="409">
        <f>'1.2.5 오수관로신설'!D7</f>
        <v>0</v>
      </c>
      <c r="J56" s="410">
        <f>'1.2.5 오수관로신설'!E7</f>
        <v>0</v>
      </c>
    </row>
    <row r="57" spans="1:10">
      <c r="A57" s="735"/>
      <c r="B57" s="701"/>
      <c r="C57" s="698"/>
      <c r="D57" s="698" t="s">
        <v>851</v>
      </c>
      <c r="E57" s="710"/>
      <c r="F57" s="408">
        <f t="shared" si="39"/>
        <v>1516</v>
      </c>
      <c r="G57" s="409">
        <f>'1.2.5 오수관로신설'!B6</f>
        <v>897</v>
      </c>
      <c r="H57" s="409">
        <f>'1.2.5 오수관로신설'!C6</f>
        <v>619</v>
      </c>
      <c r="I57" s="409">
        <f>'1.2.5 오수관로신설'!D6</f>
        <v>0</v>
      </c>
      <c r="J57" s="410">
        <f>'1.2.5 오수관로신설'!E6</f>
        <v>0</v>
      </c>
    </row>
    <row r="58" spans="1:10">
      <c r="A58" s="735"/>
      <c r="B58" s="701"/>
      <c r="C58" s="698" t="s">
        <v>852</v>
      </c>
      <c r="D58" s="698"/>
      <c r="E58" s="710"/>
      <c r="F58" s="408">
        <f t="shared" si="39"/>
        <v>0</v>
      </c>
      <c r="G58" s="409">
        <f>'1.2.9 하수저류시설'!B11</f>
        <v>0</v>
      </c>
      <c r="H58" s="409">
        <f>'1.2.9 하수저류시설'!C11</f>
        <v>0</v>
      </c>
      <c r="I58" s="409">
        <f>'1.2.9 하수저류시설'!D11</f>
        <v>0</v>
      </c>
      <c r="J58" s="410">
        <f>'1.2.9 하수저류시설'!E11</f>
        <v>0</v>
      </c>
    </row>
    <row r="59" spans="1:10">
      <c r="A59" s="735"/>
      <c r="B59" s="701"/>
      <c r="C59" s="698" t="s">
        <v>853</v>
      </c>
      <c r="D59" s="698"/>
      <c r="E59" s="710"/>
      <c r="F59" s="408">
        <f t="shared" si="39"/>
        <v>0</v>
      </c>
      <c r="G59" s="409"/>
      <c r="H59" s="409"/>
      <c r="I59" s="409"/>
      <c r="J59" s="410"/>
    </row>
    <row r="60" spans="1:10">
      <c r="A60" s="735"/>
      <c r="B60" s="702"/>
      <c r="C60" s="715" t="s">
        <v>854</v>
      </c>
      <c r="D60" s="715"/>
      <c r="E60" s="722"/>
      <c r="F60" s="411">
        <f t="shared" si="39"/>
        <v>0</v>
      </c>
      <c r="G60" s="412"/>
      <c r="H60" s="412"/>
      <c r="I60" s="412"/>
      <c r="J60" s="413"/>
    </row>
    <row r="61" spans="1:10">
      <c r="A61" s="735"/>
      <c r="B61" s="723" t="s">
        <v>900</v>
      </c>
      <c r="C61" s="724"/>
      <c r="D61" s="724"/>
      <c r="E61" s="725"/>
      <c r="F61" s="421">
        <f t="shared" si="39"/>
        <v>0</v>
      </c>
      <c r="G61" s="422"/>
      <c r="H61" s="422"/>
      <c r="I61" s="422"/>
      <c r="J61" s="423"/>
    </row>
    <row r="62" spans="1:10">
      <c r="A62" s="735"/>
      <c r="B62" s="726" t="s">
        <v>899</v>
      </c>
      <c r="C62" s="727"/>
      <c r="D62" s="730" t="s">
        <v>861</v>
      </c>
      <c r="E62" s="731"/>
      <c r="F62" s="424">
        <f>SUM(F63,F68,F73)</f>
        <v>2288</v>
      </c>
      <c r="G62" s="425">
        <f>SUM(G63,G68,G73)</f>
        <v>1017</v>
      </c>
      <c r="H62" s="425">
        <f>SUM(H63,H68,H73)</f>
        <v>1009</v>
      </c>
      <c r="I62" s="425">
        <f>SUM(I63,I68,I73)</f>
        <v>262</v>
      </c>
      <c r="J62" s="426">
        <f>SUM(J63,J68,J73)</f>
        <v>0</v>
      </c>
    </row>
    <row r="63" spans="1:10">
      <c r="A63" s="735"/>
      <c r="B63" s="701"/>
      <c r="C63" s="718"/>
      <c r="D63" s="698" t="s">
        <v>855</v>
      </c>
      <c r="E63" s="432" t="s">
        <v>866</v>
      </c>
      <c r="F63" s="433">
        <f t="shared" ref="F63:F68" si="40">SUM(G63:J63)</f>
        <v>779</v>
      </c>
      <c r="G63" s="429">
        <f>SUM(G64:G67)</f>
        <v>337</v>
      </c>
      <c r="H63" s="429">
        <f>SUM(H64:H67)</f>
        <v>353</v>
      </c>
      <c r="I63" s="429">
        <f>SUM(I64:I67)</f>
        <v>89</v>
      </c>
      <c r="J63" s="430">
        <f>SUM(J64:J67)</f>
        <v>0</v>
      </c>
    </row>
    <row r="64" spans="1:10">
      <c r="A64" s="735"/>
      <c r="B64" s="701"/>
      <c r="C64" s="718"/>
      <c r="D64" s="698"/>
      <c r="E64" s="402" t="s">
        <v>867</v>
      </c>
      <c r="F64" s="414">
        <f t="shared" si="40"/>
        <v>0</v>
      </c>
      <c r="G64" s="409">
        <f>'1.2.2 공공하수처리시설 신증설'!B53</f>
        <v>0</v>
      </c>
      <c r="H64" s="409">
        <f>'1.2.2 공공하수처리시설 신증설'!C53</f>
        <v>0</v>
      </c>
      <c r="I64" s="409">
        <f>'1.2.2 공공하수처리시설 신증설'!D53</f>
        <v>0</v>
      </c>
      <c r="J64" s="410">
        <f>'1.2.2 공공하수처리시설 신증설'!E53</f>
        <v>0</v>
      </c>
    </row>
    <row r="65" spans="1:10">
      <c r="A65" s="735"/>
      <c r="B65" s="701"/>
      <c r="C65" s="718"/>
      <c r="D65" s="698"/>
      <c r="E65" s="402" t="s">
        <v>868</v>
      </c>
      <c r="F65" s="414">
        <f t="shared" si="40"/>
        <v>779</v>
      </c>
      <c r="G65" s="409">
        <f>'1.2.4 오수간선및차집관로 교체및보수'!B52+'1.2.5 오수관로신설'!B52+'1.2.6 오수관로 교체및보수'!B53+'1.2.7 우수관로신설'!B53+'1.2.8 우수관로 교체 및 보수'!B45</f>
        <v>337</v>
      </c>
      <c r="H65" s="409">
        <f>'1.2.4 오수간선및차집관로 교체및보수'!C52+'1.2.5 오수관로신설'!C52+'1.2.6 오수관로 교체및보수'!C53+'1.2.7 우수관로신설'!C53+'1.2.8 우수관로 교체 및 보수'!C45</f>
        <v>353</v>
      </c>
      <c r="I65" s="409">
        <f>'1.2.4 오수간선및차집관로 교체및보수'!D52+'1.2.5 오수관로신설'!D52+'1.2.6 오수관로 교체및보수'!D53+'1.2.7 우수관로신설'!D53+'1.2.8 우수관로 교체 및 보수'!D45</f>
        <v>89</v>
      </c>
      <c r="J65" s="410">
        <f>'1.2.4 오수간선및차집관로 교체및보수'!E52+'1.2.5 오수관로신설'!E52+'1.2.6 오수관로 교체및보수'!E53+'1.2.7 우수관로신설'!E53+'1.2.8 우수관로 교체 및 보수'!E45</f>
        <v>0</v>
      </c>
    </row>
    <row r="66" spans="1:10">
      <c r="A66" s="735"/>
      <c r="B66" s="701"/>
      <c r="C66" s="718"/>
      <c r="D66" s="698"/>
      <c r="E66" s="402" t="s">
        <v>869</v>
      </c>
      <c r="F66" s="414">
        <f t="shared" si="40"/>
        <v>0</v>
      </c>
      <c r="G66" s="409"/>
      <c r="H66" s="409"/>
      <c r="I66" s="409"/>
      <c r="J66" s="410"/>
    </row>
    <row r="67" spans="1:10">
      <c r="A67" s="735"/>
      <c r="B67" s="701"/>
      <c r="C67" s="718"/>
      <c r="D67" s="698"/>
      <c r="E67" s="402" t="s">
        <v>870</v>
      </c>
      <c r="F67" s="414">
        <f t="shared" si="40"/>
        <v>0</v>
      </c>
      <c r="G67" s="409"/>
      <c r="H67" s="409"/>
      <c r="I67" s="409"/>
      <c r="J67" s="410"/>
    </row>
    <row r="68" spans="1:10">
      <c r="A68" s="735"/>
      <c r="B68" s="701"/>
      <c r="C68" s="718"/>
      <c r="D68" s="698" t="s">
        <v>856</v>
      </c>
      <c r="E68" s="432" t="s">
        <v>866</v>
      </c>
      <c r="F68" s="433">
        <f t="shared" si="40"/>
        <v>1450</v>
      </c>
      <c r="G68" s="429">
        <f>SUM(G69:G72)</f>
        <v>654</v>
      </c>
      <c r="H68" s="429">
        <f>SUM(H69:H72)</f>
        <v>630</v>
      </c>
      <c r="I68" s="429">
        <f>SUM(I69:I72)</f>
        <v>166</v>
      </c>
      <c r="J68" s="430">
        <f>SUM(J69:J72)</f>
        <v>0</v>
      </c>
    </row>
    <row r="69" spans="1:10">
      <c r="A69" s="736"/>
      <c r="B69" s="701"/>
      <c r="C69" s="718"/>
      <c r="D69" s="698"/>
      <c r="E69" s="402" t="s">
        <v>867</v>
      </c>
      <c r="F69" s="414">
        <f t="shared" ref="F69:F76" si="41">SUM(G69:J69)</f>
        <v>0</v>
      </c>
      <c r="G69" s="409">
        <f>'1.2.2 공공하수처리시설 신증설'!B54</f>
        <v>0</v>
      </c>
      <c r="H69" s="409">
        <f>'1.2.2 공공하수처리시설 신증설'!C54</f>
        <v>0</v>
      </c>
      <c r="I69" s="409">
        <f>'1.2.2 공공하수처리시설 신증설'!D54</f>
        <v>0</v>
      </c>
      <c r="J69" s="410">
        <f>'1.2.2 공공하수처리시설 신증설'!E54</f>
        <v>0</v>
      </c>
    </row>
    <row r="70" spans="1:10">
      <c r="A70" s="736"/>
      <c r="B70" s="701"/>
      <c r="C70" s="718"/>
      <c r="D70" s="698"/>
      <c r="E70" s="402" t="s">
        <v>868</v>
      </c>
      <c r="F70" s="414">
        <f t="shared" si="41"/>
        <v>1450</v>
      </c>
      <c r="G70" s="409">
        <f>'1.2.4 오수간선및차집관로 교체및보수'!B53+'1.2.5 오수관로신설'!B53+'1.2.6 오수관로 교체및보수'!B54+'1.2.7 우수관로신설'!B54+'1.2.8 우수관로 교체 및 보수'!B46</f>
        <v>654</v>
      </c>
      <c r="H70" s="409">
        <f>'1.2.4 오수간선및차집관로 교체및보수'!C53+'1.2.5 오수관로신설'!C53+'1.2.6 오수관로 교체및보수'!C54+'1.2.7 우수관로신설'!C54+'1.2.8 우수관로 교체 및 보수'!C46</f>
        <v>630</v>
      </c>
      <c r="I70" s="409">
        <f>'1.2.4 오수간선및차집관로 교체및보수'!D53+'1.2.5 오수관로신설'!D53+'1.2.6 오수관로 교체및보수'!D54+'1.2.7 우수관로신설'!D54+'1.2.8 우수관로 교체 및 보수'!D46</f>
        <v>166</v>
      </c>
      <c r="J70" s="410">
        <f>'1.2.4 오수간선및차집관로 교체및보수'!E53+'1.2.5 오수관로신설'!E53+'1.2.6 오수관로 교체및보수'!E54+'1.2.7 우수관로신설'!E54+'1.2.8 우수관로 교체 및 보수'!E46</f>
        <v>0</v>
      </c>
    </row>
    <row r="71" spans="1:10">
      <c r="A71" s="736"/>
      <c r="B71" s="701"/>
      <c r="C71" s="718"/>
      <c r="D71" s="698"/>
      <c r="E71" s="402" t="s">
        <v>869</v>
      </c>
      <c r="F71" s="414">
        <f t="shared" si="41"/>
        <v>0</v>
      </c>
      <c r="G71" s="409"/>
      <c r="H71" s="409"/>
      <c r="I71" s="409"/>
      <c r="J71" s="410"/>
    </row>
    <row r="72" spans="1:10">
      <c r="A72" s="736"/>
      <c r="B72" s="701"/>
      <c r="C72" s="718"/>
      <c r="D72" s="698"/>
      <c r="E72" s="402" t="s">
        <v>870</v>
      </c>
      <c r="F72" s="414">
        <f t="shared" si="41"/>
        <v>0</v>
      </c>
      <c r="G72" s="409"/>
      <c r="H72" s="409"/>
      <c r="I72" s="409"/>
      <c r="J72" s="410"/>
    </row>
    <row r="73" spans="1:10">
      <c r="A73" s="736"/>
      <c r="B73" s="701"/>
      <c r="C73" s="718"/>
      <c r="D73" s="698" t="s">
        <v>857</v>
      </c>
      <c r="E73" s="432" t="s">
        <v>866</v>
      </c>
      <c r="F73" s="433">
        <f t="shared" si="41"/>
        <v>59</v>
      </c>
      <c r="G73" s="429">
        <f>SUM(G74:G77)</f>
        <v>26</v>
      </c>
      <c r="H73" s="429">
        <f>SUM(H74:H77)</f>
        <v>26</v>
      </c>
      <c r="I73" s="429">
        <f>SUM(I74:I77)</f>
        <v>7</v>
      </c>
      <c r="J73" s="430">
        <f>SUM(J74:J77)</f>
        <v>0</v>
      </c>
    </row>
    <row r="74" spans="1:10">
      <c r="A74" s="736"/>
      <c r="B74" s="701"/>
      <c r="C74" s="718"/>
      <c r="D74" s="698"/>
      <c r="E74" s="402" t="s">
        <v>867</v>
      </c>
      <c r="F74" s="414">
        <f t="shared" si="41"/>
        <v>0</v>
      </c>
      <c r="G74" s="409">
        <f>'1.2.2 공공하수처리시설 신증설'!B55</f>
        <v>0</v>
      </c>
      <c r="H74" s="409">
        <f>'1.2.2 공공하수처리시설 신증설'!C55</f>
        <v>0</v>
      </c>
      <c r="I74" s="409">
        <f>'1.2.2 공공하수처리시설 신증설'!D55</f>
        <v>0</v>
      </c>
      <c r="J74" s="410">
        <f>'1.2.2 공공하수처리시설 신증설'!E55</f>
        <v>0</v>
      </c>
    </row>
    <row r="75" spans="1:10">
      <c r="A75" s="736"/>
      <c r="B75" s="701"/>
      <c r="C75" s="718"/>
      <c r="D75" s="698"/>
      <c r="E75" s="402" t="s">
        <v>868</v>
      </c>
      <c r="F75" s="414">
        <f t="shared" si="41"/>
        <v>59</v>
      </c>
      <c r="G75" s="409">
        <f>'1.2.4 오수간선및차집관로 교체및보수'!B54+'1.2.5 오수관로신설'!B54+'1.2.6 오수관로 교체및보수'!B55+'1.2.7 우수관로신설'!B55+'1.2.8 우수관로 교체 및 보수'!B47</f>
        <v>26</v>
      </c>
      <c r="H75" s="409">
        <f>'1.2.4 오수간선및차집관로 교체및보수'!C54+'1.2.5 오수관로신설'!C54+'1.2.6 오수관로 교체및보수'!C55+'1.2.7 우수관로신설'!C55+'1.2.8 우수관로 교체 및 보수'!C47</f>
        <v>26</v>
      </c>
      <c r="I75" s="409">
        <f>'1.2.4 오수간선및차집관로 교체및보수'!D54+'1.2.5 오수관로신설'!D54+'1.2.6 오수관로 교체및보수'!D55+'1.2.7 우수관로신설'!D55+'1.2.8 우수관로 교체 및 보수'!D47</f>
        <v>7</v>
      </c>
      <c r="J75" s="410">
        <f>'1.2.4 오수간선및차집관로 교체및보수'!E54+'1.2.5 오수관로신설'!E54+'1.2.6 오수관로 교체및보수'!E55+'1.2.7 우수관로신설'!E55+'1.2.8 우수관로 교체 및 보수'!E47</f>
        <v>0</v>
      </c>
    </row>
    <row r="76" spans="1:10">
      <c r="A76" s="736"/>
      <c r="B76" s="701"/>
      <c r="C76" s="718"/>
      <c r="D76" s="698"/>
      <c r="E76" s="402" t="s">
        <v>869</v>
      </c>
      <c r="F76" s="414">
        <f t="shared" si="41"/>
        <v>0</v>
      </c>
      <c r="G76" s="409"/>
      <c r="H76" s="409"/>
      <c r="I76" s="409"/>
      <c r="J76" s="410"/>
    </row>
    <row r="77" spans="1:10">
      <c r="A77" s="737"/>
      <c r="B77" s="728"/>
      <c r="C77" s="729"/>
      <c r="D77" s="708"/>
      <c r="E77" s="407" t="s">
        <v>870</v>
      </c>
      <c r="F77" s="415">
        <f>SUM(G77:J77)</f>
        <v>0</v>
      </c>
      <c r="G77" s="416"/>
      <c r="H77" s="416"/>
      <c r="I77" s="416"/>
      <c r="J77" s="417"/>
    </row>
    <row r="78" spans="1:10">
      <c r="A78" s="734" t="s">
        <v>815</v>
      </c>
      <c r="B78" s="695" t="s">
        <v>902</v>
      </c>
      <c r="C78" s="696"/>
      <c r="D78" s="696"/>
      <c r="E78" s="697"/>
      <c r="F78" s="418">
        <f>SUM(F79,F99,F100)</f>
        <v>61049.5</v>
      </c>
      <c r="G78" s="419">
        <f>SUM(G79,G99,G100)</f>
        <v>40726</v>
      </c>
      <c r="H78" s="419">
        <f>SUM(H79,H99,H100)</f>
        <v>8786</v>
      </c>
      <c r="I78" s="419">
        <f>SUM(I79,I99,I100)</f>
        <v>1087</v>
      </c>
      <c r="J78" s="420">
        <f>SUM(J79,J99,J100)</f>
        <v>10450.5</v>
      </c>
    </row>
    <row r="79" spans="1:10">
      <c r="A79" s="735"/>
      <c r="B79" s="700" t="s">
        <v>901</v>
      </c>
      <c r="C79" s="703" t="s">
        <v>871</v>
      </c>
      <c r="D79" s="703"/>
      <c r="E79" s="721"/>
      <c r="F79" s="427">
        <f>SUM(F80,F84,F96,F97,F98)</f>
        <v>53725.5</v>
      </c>
      <c r="G79" s="425">
        <f>SUM(G80,G84,G96,G97,G98)</f>
        <v>35957</v>
      </c>
      <c r="H79" s="425">
        <f>SUM(H80,H84,H96,H97,H98)</f>
        <v>7684</v>
      </c>
      <c r="I79" s="425">
        <f>SUM(I80,I84,I96,I97,I98)</f>
        <v>942</v>
      </c>
      <c r="J79" s="426">
        <f>SUM(J80,J84,J96,J97,J98)</f>
        <v>9142.5</v>
      </c>
    </row>
    <row r="80" spans="1:10" ht="16.5" customHeight="1">
      <c r="A80" s="735"/>
      <c r="B80" s="701"/>
      <c r="C80" s="705" t="s">
        <v>872</v>
      </c>
      <c r="D80" s="706" t="s">
        <v>873</v>
      </c>
      <c r="E80" s="709"/>
      <c r="F80" s="428">
        <f>SUM(F81:F83)</f>
        <v>17116.5</v>
      </c>
      <c r="G80" s="429">
        <f>SUM(G81:G83)</f>
        <v>8884</v>
      </c>
      <c r="H80" s="429">
        <f>SUM(H81:H83)</f>
        <v>0</v>
      </c>
      <c r="I80" s="429">
        <f>SUM(I81:I83)</f>
        <v>0</v>
      </c>
      <c r="J80" s="430">
        <f>SUM(J81:J83)</f>
        <v>8232.5</v>
      </c>
    </row>
    <row r="81" spans="1:10">
      <c r="A81" s="735"/>
      <c r="B81" s="701"/>
      <c r="C81" s="698"/>
      <c r="D81" s="698" t="s">
        <v>874</v>
      </c>
      <c r="E81" s="710"/>
      <c r="F81" s="408">
        <f>SUM(G81:J81)</f>
        <v>0</v>
      </c>
      <c r="G81" s="409"/>
      <c r="H81" s="409"/>
      <c r="I81" s="409"/>
      <c r="J81" s="410"/>
    </row>
    <row r="82" spans="1:10">
      <c r="A82" s="735"/>
      <c r="B82" s="701"/>
      <c r="C82" s="698"/>
      <c r="D82" s="698" t="s">
        <v>875</v>
      </c>
      <c r="E82" s="710"/>
      <c r="F82" s="408">
        <f>SUM(G82:J82)</f>
        <v>17116.5</v>
      </c>
      <c r="G82" s="409">
        <f>'1.3.2 공공하수처리시설 신증설'!B52</f>
        <v>8884</v>
      </c>
      <c r="H82" s="409">
        <f>'1.3.2 공공하수처리시설 신증설'!C52</f>
        <v>0</v>
      </c>
      <c r="I82" s="409">
        <f>'1.3.2 공공하수처리시설 신증설'!D52</f>
        <v>0</v>
      </c>
      <c r="J82" s="410">
        <f>'1.3.2 공공하수처리시설 신증설'!E52</f>
        <v>8232.5</v>
      </c>
    </row>
    <row r="83" spans="1:10">
      <c r="A83" s="735"/>
      <c r="B83" s="701"/>
      <c r="C83" s="698"/>
      <c r="D83" s="698" t="s">
        <v>876</v>
      </c>
      <c r="E83" s="710"/>
      <c r="F83" s="408">
        <f>SUM(G83:J83)</f>
        <v>0</v>
      </c>
      <c r="G83" s="409"/>
      <c r="H83" s="409"/>
      <c r="I83" s="409"/>
      <c r="J83" s="410"/>
    </row>
    <row r="84" spans="1:10" ht="16.5" customHeight="1">
      <c r="A84" s="735"/>
      <c r="B84" s="701"/>
      <c r="C84" s="705" t="s">
        <v>877</v>
      </c>
      <c r="D84" s="706" t="s">
        <v>878</v>
      </c>
      <c r="E84" s="709"/>
      <c r="F84" s="428">
        <f>SUM(F85,F88,F91,F94:F95)</f>
        <v>31524</v>
      </c>
      <c r="G84" s="429">
        <f>SUM(G85,G88,G91,G94:G95)</f>
        <v>21988</v>
      </c>
      <c r="H84" s="429">
        <f>SUM(H85,H88,H91,H94:H95)</f>
        <v>7684</v>
      </c>
      <c r="I84" s="429">
        <f>SUM(I85,I88,I91,I94:I95)</f>
        <v>942</v>
      </c>
      <c r="J84" s="430">
        <f>SUM(J85,J88,J91,J94:J95)</f>
        <v>910</v>
      </c>
    </row>
    <row r="85" spans="1:10">
      <c r="A85" s="735"/>
      <c r="B85" s="701"/>
      <c r="C85" s="698"/>
      <c r="D85" s="698" t="s">
        <v>879</v>
      </c>
      <c r="E85" s="431" t="s">
        <v>880</v>
      </c>
      <c r="F85" s="428">
        <f>SUM(F86:F87)</f>
        <v>0</v>
      </c>
      <c r="G85" s="429">
        <f>SUM(G86:G87)</f>
        <v>0</v>
      </c>
      <c r="H85" s="429">
        <f>SUM(H86:H87)</f>
        <v>0</v>
      </c>
      <c r="I85" s="429">
        <f>SUM(I86:I87)</f>
        <v>0</v>
      </c>
      <c r="J85" s="430">
        <f>SUM(J86:J87)</f>
        <v>0</v>
      </c>
    </row>
    <row r="86" spans="1:10">
      <c r="A86" s="735"/>
      <c r="B86" s="701"/>
      <c r="C86" s="698"/>
      <c r="D86" s="698"/>
      <c r="E86" s="403" t="s">
        <v>881</v>
      </c>
      <c r="F86" s="408">
        <f>SUM(G86:J86)</f>
        <v>0</v>
      </c>
      <c r="G86" s="409"/>
      <c r="H86" s="409"/>
      <c r="I86" s="409"/>
      <c r="J86" s="410"/>
    </row>
    <row r="87" spans="1:10">
      <c r="A87" s="735"/>
      <c r="B87" s="701"/>
      <c r="C87" s="698"/>
      <c r="D87" s="698"/>
      <c r="E87" s="403" t="s">
        <v>876</v>
      </c>
      <c r="F87" s="408">
        <f>SUM(G87:J87)</f>
        <v>0</v>
      </c>
      <c r="G87" s="409">
        <f>'1.3.4 오수간선및차집관로 교체및보수'!B51</f>
        <v>0</v>
      </c>
      <c r="H87" s="409">
        <f>'1.3.4 오수간선및차집관로 교체및보수'!C51</f>
        <v>0</v>
      </c>
      <c r="I87" s="409">
        <f>'1.3.4 오수간선및차집관로 교체및보수'!D51</f>
        <v>0</v>
      </c>
      <c r="J87" s="410">
        <f>'1.3.4 오수간선및차집관로 교체및보수'!E51</f>
        <v>0</v>
      </c>
    </row>
    <row r="88" spans="1:10">
      <c r="A88" s="735"/>
      <c r="B88" s="701"/>
      <c r="C88" s="698"/>
      <c r="D88" s="698" t="s">
        <v>882</v>
      </c>
      <c r="E88" s="431" t="s">
        <v>880</v>
      </c>
      <c r="F88" s="428">
        <f>SUM(F89:F90)</f>
        <v>21212</v>
      </c>
      <c r="G88" s="429">
        <f>SUM(G89:G90)</f>
        <v>16313</v>
      </c>
      <c r="H88" s="429">
        <f>SUM(H89:H90)</f>
        <v>4899</v>
      </c>
      <c r="I88" s="429">
        <f>SUM(I89:I90)</f>
        <v>0</v>
      </c>
      <c r="J88" s="430">
        <f>SUM(J89:J90)</f>
        <v>0</v>
      </c>
    </row>
    <row r="89" spans="1:10">
      <c r="A89" s="735"/>
      <c r="B89" s="701"/>
      <c r="C89" s="698"/>
      <c r="D89" s="698"/>
      <c r="E89" s="403" t="s">
        <v>881</v>
      </c>
      <c r="F89" s="408">
        <f>SUM(G89:J89)</f>
        <v>21212</v>
      </c>
      <c r="G89" s="409">
        <f>'1.3.5 오수관로신설'!B5</f>
        <v>16313</v>
      </c>
      <c r="H89" s="409">
        <f>'1.3.5 오수관로신설'!C5</f>
        <v>4899</v>
      </c>
      <c r="I89" s="409">
        <f>'1.3.5 오수관로신설'!D5</f>
        <v>0</v>
      </c>
      <c r="J89" s="410">
        <f>'1.3.5 오수관로신설'!E5</f>
        <v>0</v>
      </c>
    </row>
    <row r="90" spans="1:10">
      <c r="A90" s="735"/>
      <c r="B90" s="701"/>
      <c r="C90" s="698"/>
      <c r="D90" s="698"/>
      <c r="E90" s="403" t="s">
        <v>876</v>
      </c>
      <c r="F90" s="408">
        <f>SUM(G90:J90)</f>
        <v>0</v>
      </c>
      <c r="G90" s="409">
        <f>'1.3.6 오수관로 교체및보수'!B51</f>
        <v>0</v>
      </c>
      <c r="H90" s="409">
        <f>'1.3.6 오수관로 교체및보수'!C51</f>
        <v>0</v>
      </c>
      <c r="I90" s="409">
        <f>'1.3.6 오수관로 교체및보수'!D51</f>
        <v>0</v>
      </c>
      <c r="J90" s="410">
        <f>'1.3.6 오수관로 교체및보수'!E51</f>
        <v>0</v>
      </c>
    </row>
    <row r="91" spans="1:10">
      <c r="A91" s="735"/>
      <c r="B91" s="701"/>
      <c r="C91" s="698"/>
      <c r="D91" s="698" t="s">
        <v>883</v>
      </c>
      <c r="E91" s="431" t="s">
        <v>880</v>
      </c>
      <c r="F91" s="428">
        <f>SUM(F92:F93)</f>
        <v>7281</v>
      </c>
      <c r="G91" s="429">
        <f>SUM(G92:G93)</f>
        <v>2676</v>
      </c>
      <c r="H91" s="429">
        <f>SUM(H92:H93)</f>
        <v>2753</v>
      </c>
      <c r="I91" s="429">
        <f>SUM(I92:I93)</f>
        <v>942</v>
      </c>
      <c r="J91" s="430">
        <f>SUM(J92:J93)</f>
        <v>910</v>
      </c>
    </row>
    <row r="92" spans="1:10">
      <c r="A92" s="735"/>
      <c r="B92" s="701"/>
      <c r="C92" s="698"/>
      <c r="D92" s="698"/>
      <c r="E92" s="403" t="s">
        <v>881</v>
      </c>
      <c r="F92" s="408">
        <f t="shared" ref="F92:F99" si="42">SUM(G92:J92)</f>
        <v>0</v>
      </c>
      <c r="G92" s="409"/>
      <c r="H92" s="409"/>
      <c r="I92" s="409"/>
      <c r="J92" s="410"/>
    </row>
    <row r="93" spans="1:10">
      <c r="A93" s="735"/>
      <c r="B93" s="701"/>
      <c r="C93" s="698"/>
      <c r="D93" s="698"/>
      <c r="E93" s="403" t="s">
        <v>876</v>
      </c>
      <c r="F93" s="408">
        <f t="shared" si="42"/>
        <v>7281</v>
      </c>
      <c r="G93" s="409">
        <f>'1.3.7 우수관로 교체 및 보수'!B44</f>
        <v>2676</v>
      </c>
      <c r="H93" s="409">
        <f>'1.3.7 우수관로 교체 및 보수'!C44</f>
        <v>2753</v>
      </c>
      <c r="I93" s="409">
        <f>'1.3.7 우수관로 교체 및 보수'!D44</f>
        <v>942</v>
      </c>
      <c r="J93" s="410">
        <f>'1.3.7 우수관로 교체 및 보수'!E44</f>
        <v>910</v>
      </c>
    </row>
    <row r="94" spans="1:10">
      <c r="A94" s="735"/>
      <c r="B94" s="701"/>
      <c r="C94" s="698"/>
      <c r="D94" s="698" t="s">
        <v>884</v>
      </c>
      <c r="E94" s="710"/>
      <c r="F94" s="408">
        <f t="shared" si="42"/>
        <v>1559</v>
      </c>
      <c r="G94" s="409">
        <f>'1.3.5 오수관로신설'!B7</f>
        <v>1559</v>
      </c>
      <c r="H94" s="409">
        <f>'1.3.5 오수관로신설'!C7</f>
        <v>0</v>
      </c>
      <c r="I94" s="409">
        <f>'1.3.5 오수관로신설'!D7</f>
        <v>0</v>
      </c>
      <c r="J94" s="410">
        <f>'1.3.5 오수관로신설'!E7</f>
        <v>0</v>
      </c>
    </row>
    <row r="95" spans="1:10">
      <c r="A95" s="735"/>
      <c r="B95" s="701"/>
      <c r="C95" s="698"/>
      <c r="D95" s="698" t="s">
        <v>885</v>
      </c>
      <c r="E95" s="710"/>
      <c r="F95" s="408">
        <f t="shared" si="42"/>
        <v>1472</v>
      </c>
      <c r="G95" s="409">
        <f>'1.3.5 오수관로신설'!B6</f>
        <v>1440</v>
      </c>
      <c r="H95" s="409">
        <f>'1.3.5 오수관로신설'!C6</f>
        <v>32</v>
      </c>
      <c r="I95" s="409">
        <f>'1.3.5 오수관로신설'!D6</f>
        <v>0</v>
      </c>
      <c r="J95" s="410">
        <f>'1.3.5 오수관로신설'!E6</f>
        <v>0</v>
      </c>
    </row>
    <row r="96" spans="1:10">
      <c r="A96" s="735"/>
      <c r="B96" s="701"/>
      <c r="C96" s="698" t="s">
        <v>886</v>
      </c>
      <c r="D96" s="698"/>
      <c r="E96" s="710"/>
      <c r="F96" s="408">
        <f t="shared" si="42"/>
        <v>0</v>
      </c>
      <c r="G96" s="409">
        <f>'1.3.8 하수저류시설'!B11</f>
        <v>0</v>
      </c>
      <c r="H96" s="409">
        <f>'1.3.8 하수저류시설'!C11</f>
        <v>0</v>
      </c>
      <c r="I96" s="409">
        <f>'1.3.8 하수저류시설'!D11</f>
        <v>0</v>
      </c>
      <c r="J96" s="410">
        <f>'1.3.8 하수저류시설'!E11</f>
        <v>0</v>
      </c>
    </row>
    <row r="97" spans="1:10">
      <c r="A97" s="735"/>
      <c r="B97" s="701"/>
      <c r="C97" s="698" t="s">
        <v>887</v>
      </c>
      <c r="D97" s="698"/>
      <c r="E97" s="710"/>
      <c r="F97" s="408">
        <f t="shared" si="42"/>
        <v>5085</v>
      </c>
      <c r="G97" s="409">
        <f>'1.3.9 하수찌꺼지 처리시설'!B51</f>
        <v>5085</v>
      </c>
      <c r="H97" s="409"/>
      <c r="I97" s="409"/>
      <c r="J97" s="410"/>
    </row>
    <row r="98" spans="1:10">
      <c r="A98" s="735"/>
      <c r="B98" s="702"/>
      <c r="C98" s="715" t="s">
        <v>888</v>
      </c>
      <c r="D98" s="715"/>
      <c r="E98" s="722"/>
      <c r="F98" s="411">
        <f t="shared" si="42"/>
        <v>0</v>
      </c>
      <c r="G98" s="412"/>
      <c r="H98" s="412"/>
      <c r="I98" s="412"/>
      <c r="J98" s="413"/>
    </row>
    <row r="99" spans="1:10">
      <c r="A99" s="735"/>
      <c r="B99" s="723" t="s">
        <v>900</v>
      </c>
      <c r="C99" s="724"/>
      <c r="D99" s="724"/>
      <c r="E99" s="725"/>
      <c r="F99" s="421">
        <f t="shared" si="42"/>
        <v>0</v>
      </c>
      <c r="G99" s="422"/>
      <c r="H99" s="422"/>
      <c r="I99" s="422"/>
      <c r="J99" s="423"/>
    </row>
    <row r="100" spans="1:10">
      <c r="A100" s="735"/>
      <c r="B100" s="726" t="s">
        <v>899</v>
      </c>
      <c r="C100" s="727"/>
      <c r="D100" s="730" t="s">
        <v>878</v>
      </c>
      <c r="E100" s="731"/>
      <c r="F100" s="424">
        <f>SUM(F101,F106,F111)</f>
        <v>7324</v>
      </c>
      <c r="G100" s="425">
        <f>SUM(G101,G106,G111)</f>
        <v>4769</v>
      </c>
      <c r="H100" s="425">
        <f>SUM(H101,H106,H111)</f>
        <v>1102</v>
      </c>
      <c r="I100" s="425">
        <f>SUM(I101,I106,I111)</f>
        <v>145</v>
      </c>
      <c r="J100" s="426">
        <f>SUM(J101,J106,J111)</f>
        <v>1308</v>
      </c>
    </row>
    <row r="101" spans="1:10">
      <c r="A101" s="735"/>
      <c r="B101" s="701"/>
      <c r="C101" s="718"/>
      <c r="D101" s="698" t="s">
        <v>889</v>
      </c>
      <c r="E101" s="432" t="s">
        <v>880</v>
      </c>
      <c r="F101" s="433">
        <f t="shared" ref="F101:F106" si="43">SUM(G101:J101)</f>
        <v>2524</v>
      </c>
      <c r="G101" s="429">
        <f>SUM(G102:G105)</f>
        <v>1689</v>
      </c>
      <c r="H101" s="429">
        <f>SUM(H102:H105)</f>
        <v>359</v>
      </c>
      <c r="I101" s="429">
        <f>SUM(I102:I105)</f>
        <v>51</v>
      </c>
      <c r="J101" s="430">
        <f>SUM(J102:J105)</f>
        <v>425</v>
      </c>
    </row>
    <row r="102" spans="1:10">
      <c r="A102" s="735"/>
      <c r="B102" s="701"/>
      <c r="C102" s="718"/>
      <c r="D102" s="698"/>
      <c r="E102" s="402" t="s">
        <v>890</v>
      </c>
      <c r="F102" s="414">
        <f t="shared" si="43"/>
        <v>779</v>
      </c>
      <c r="G102" s="409">
        <f>'1.3.2 공공하수처리시설 신증설'!B53</f>
        <v>404</v>
      </c>
      <c r="H102" s="409">
        <f>'1.3.2 공공하수처리시설 신증설'!C53</f>
        <v>0</v>
      </c>
      <c r="I102" s="409">
        <f>'1.3.2 공공하수처리시설 신증설'!D53</f>
        <v>0</v>
      </c>
      <c r="J102" s="410">
        <f>'1.3.2 공공하수처리시설 신증설'!E53</f>
        <v>375</v>
      </c>
    </row>
    <row r="103" spans="1:10">
      <c r="A103" s="735"/>
      <c r="B103" s="701"/>
      <c r="C103" s="718"/>
      <c r="D103" s="698"/>
      <c r="E103" s="402" t="s">
        <v>891</v>
      </c>
      <c r="F103" s="414">
        <f t="shared" si="43"/>
        <v>1434</v>
      </c>
      <c r="G103" s="409">
        <f>'1.3.4 오수간선및차집관로 교체및보수'!B52+'1.3.5 오수관로신설'!B52+'1.3.6 오수관로 교체및보수'!B52+'1.3.7 우수관로 교체 및 보수'!B45</f>
        <v>974</v>
      </c>
      <c r="H103" s="409">
        <f>'1.3.4 오수간선및차집관로 교체및보수'!C52+'1.3.5 오수관로신설'!C52+'1.3.6 오수관로 교체및보수'!C52+'1.3.7 우수관로 교체 및 보수'!C45</f>
        <v>359</v>
      </c>
      <c r="I103" s="409">
        <f>'1.3.4 오수간선및차집관로 교체및보수'!D52+'1.3.5 오수관로신설'!D52+'1.3.6 오수관로 교체및보수'!D52+'1.3.7 우수관로 교체 및 보수'!D45</f>
        <v>51</v>
      </c>
      <c r="J103" s="410">
        <f>'1.3.4 오수간선및차집관로 교체및보수'!E52+'1.3.5 오수관로신설'!E52+'1.3.6 오수관로 교체및보수'!E52+'1.3.7 우수관로 교체 및 보수'!E45</f>
        <v>50</v>
      </c>
    </row>
    <row r="104" spans="1:10">
      <c r="A104" s="735"/>
      <c r="B104" s="701"/>
      <c r="C104" s="718"/>
      <c r="D104" s="698"/>
      <c r="E104" s="402" t="s">
        <v>892</v>
      </c>
      <c r="F104" s="414">
        <f t="shared" si="43"/>
        <v>0</v>
      </c>
      <c r="G104" s="409">
        <f>'1.3.8 하수저류시설'!B52</f>
        <v>0</v>
      </c>
      <c r="H104" s="409">
        <f>'1.3.8 하수저류시설'!C52</f>
        <v>0</v>
      </c>
      <c r="I104" s="409">
        <f>'1.3.8 하수저류시설'!D52</f>
        <v>0</v>
      </c>
      <c r="J104" s="410">
        <f>'1.3.8 하수저류시설'!E52</f>
        <v>0</v>
      </c>
    </row>
    <row r="105" spans="1:10">
      <c r="A105" s="735"/>
      <c r="B105" s="701"/>
      <c r="C105" s="718"/>
      <c r="D105" s="698"/>
      <c r="E105" s="402" t="s">
        <v>893</v>
      </c>
      <c r="F105" s="414">
        <f t="shared" si="43"/>
        <v>311</v>
      </c>
      <c r="G105" s="409">
        <f>'1.3.9 하수찌꺼지 처리시설'!B52</f>
        <v>311</v>
      </c>
      <c r="H105" s="409"/>
      <c r="I105" s="409"/>
      <c r="J105" s="410"/>
    </row>
    <row r="106" spans="1:10">
      <c r="A106" s="735"/>
      <c r="B106" s="701"/>
      <c r="C106" s="718"/>
      <c r="D106" s="698" t="s">
        <v>894</v>
      </c>
      <c r="E106" s="432" t="s">
        <v>880</v>
      </c>
      <c r="F106" s="433">
        <f t="shared" si="43"/>
        <v>4650</v>
      </c>
      <c r="G106" s="429">
        <f>SUM(G107:G110)</f>
        <v>2986</v>
      </c>
      <c r="H106" s="429">
        <f>SUM(H107:H110)</f>
        <v>720</v>
      </c>
      <c r="I106" s="429">
        <f>SUM(I107:I110)</f>
        <v>88</v>
      </c>
      <c r="J106" s="430">
        <f>SUM(J107:J110)</f>
        <v>856</v>
      </c>
    </row>
    <row r="107" spans="1:10">
      <c r="A107" s="736"/>
      <c r="B107" s="701"/>
      <c r="C107" s="718"/>
      <c r="D107" s="698"/>
      <c r="E107" s="402" t="s">
        <v>890</v>
      </c>
      <c r="F107" s="414">
        <f t="shared" ref="F107:F114" si="44">SUM(G107:J107)</f>
        <v>1603</v>
      </c>
      <c r="G107" s="409">
        <f>'1.3.2 공공하수처리시설 신증설'!B54</f>
        <v>832</v>
      </c>
      <c r="H107" s="409">
        <f>'1.3.2 공공하수처리시설 신증설'!C54</f>
        <v>0</v>
      </c>
      <c r="I107" s="409">
        <f>'1.3.2 공공하수처리시설 신증설'!D54</f>
        <v>0</v>
      </c>
      <c r="J107" s="410">
        <f>'1.3.2 공공하수처리시설 신증설'!E54</f>
        <v>771</v>
      </c>
    </row>
    <row r="108" spans="1:10">
      <c r="A108" s="736"/>
      <c r="B108" s="701"/>
      <c r="C108" s="718"/>
      <c r="D108" s="698"/>
      <c r="E108" s="402" t="s">
        <v>891</v>
      </c>
      <c r="F108" s="414">
        <f t="shared" si="44"/>
        <v>2617</v>
      </c>
      <c r="G108" s="409">
        <f>'1.3.4 오수간선및차집관로 교체및보수'!B53+'1.3.5 오수관로신설'!B53+'1.3.6 오수관로 교체및보수'!B53+'1.3.7 우수관로 교체 및 보수'!B46</f>
        <v>1724</v>
      </c>
      <c r="H108" s="409">
        <f>'1.3.4 오수간선및차집관로 교체및보수'!C53+'1.3.5 오수관로신설'!C53+'1.3.6 오수관로 교체및보수'!C53+'1.3.7 우수관로 교체 및 보수'!C46</f>
        <v>720</v>
      </c>
      <c r="I108" s="409">
        <f>'1.3.4 오수간선및차집관로 교체및보수'!D53+'1.3.5 오수관로신설'!D53+'1.3.6 오수관로 교체및보수'!D53+'1.3.7 우수관로 교체 및 보수'!D46</f>
        <v>88</v>
      </c>
      <c r="J108" s="410">
        <f>'1.3.4 오수간선및차집관로 교체및보수'!E53+'1.3.5 오수관로신설'!E53+'1.3.6 오수관로 교체및보수'!E53+'1.3.7 우수관로 교체 및 보수'!E46</f>
        <v>85</v>
      </c>
    </row>
    <row r="109" spans="1:10">
      <c r="A109" s="736"/>
      <c r="B109" s="701"/>
      <c r="C109" s="718"/>
      <c r="D109" s="698"/>
      <c r="E109" s="402" t="s">
        <v>892</v>
      </c>
      <c r="F109" s="414">
        <f t="shared" si="44"/>
        <v>0</v>
      </c>
      <c r="G109" s="409">
        <f>'1.3.8 하수저류시설'!B53</f>
        <v>0</v>
      </c>
      <c r="H109" s="409">
        <f>'1.3.8 하수저류시설'!C53</f>
        <v>0</v>
      </c>
      <c r="I109" s="409">
        <f>'1.3.8 하수저류시설'!D53</f>
        <v>0</v>
      </c>
      <c r="J109" s="410">
        <f>'1.3.8 하수저류시설'!E53</f>
        <v>0</v>
      </c>
    </row>
    <row r="110" spans="1:10">
      <c r="A110" s="736"/>
      <c r="B110" s="701"/>
      <c r="C110" s="718"/>
      <c r="D110" s="698"/>
      <c r="E110" s="402" t="s">
        <v>893</v>
      </c>
      <c r="F110" s="414">
        <f t="shared" si="44"/>
        <v>430</v>
      </c>
      <c r="G110" s="409">
        <f>'1.3.9 하수찌꺼지 처리시설'!B53</f>
        <v>430</v>
      </c>
      <c r="H110" s="409"/>
      <c r="I110" s="409"/>
      <c r="J110" s="410"/>
    </row>
    <row r="111" spans="1:10">
      <c r="A111" s="736"/>
      <c r="B111" s="701"/>
      <c r="C111" s="718"/>
      <c r="D111" s="698" t="s">
        <v>895</v>
      </c>
      <c r="E111" s="432" t="s">
        <v>880</v>
      </c>
      <c r="F111" s="433">
        <f t="shared" si="44"/>
        <v>150</v>
      </c>
      <c r="G111" s="429">
        <f>SUM(G112:G115)</f>
        <v>94</v>
      </c>
      <c r="H111" s="429">
        <f>SUM(H112:H115)</f>
        <v>23</v>
      </c>
      <c r="I111" s="429">
        <f>SUM(I112:I115)</f>
        <v>6</v>
      </c>
      <c r="J111" s="430">
        <f>SUM(J112:J115)</f>
        <v>27</v>
      </c>
    </row>
    <row r="112" spans="1:10">
      <c r="A112" s="736"/>
      <c r="B112" s="701"/>
      <c r="C112" s="718"/>
      <c r="D112" s="698"/>
      <c r="E112" s="402" t="s">
        <v>890</v>
      </c>
      <c r="F112" s="414">
        <f t="shared" si="44"/>
        <v>44</v>
      </c>
      <c r="G112" s="409">
        <f>'1.3.2 공공하수처리시설 신증설'!B55</f>
        <v>23</v>
      </c>
      <c r="H112" s="409">
        <f>'1.3.2 공공하수처리시설 신증설'!C55</f>
        <v>0</v>
      </c>
      <c r="I112" s="409">
        <f>'1.3.2 공공하수처리시설 신증설'!D55</f>
        <v>0</v>
      </c>
      <c r="J112" s="410">
        <f>'1.3.2 공공하수처리시설 신증설'!E55</f>
        <v>21</v>
      </c>
    </row>
    <row r="113" spans="1:10">
      <c r="A113" s="736"/>
      <c r="B113" s="701"/>
      <c r="C113" s="718"/>
      <c r="D113" s="698"/>
      <c r="E113" s="402" t="s">
        <v>891</v>
      </c>
      <c r="F113" s="414">
        <f t="shared" si="44"/>
        <v>90</v>
      </c>
      <c r="G113" s="409">
        <f>'1.3.4 오수간선및차집관로 교체및보수'!B54+'1.3.5 오수관로신설'!B54+'1.3.6 오수관로 교체및보수'!B54+'1.3.7 우수관로 교체 및 보수'!B47</f>
        <v>55</v>
      </c>
      <c r="H113" s="409">
        <f>'1.3.4 오수간선및차집관로 교체및보수'!C54+'1.3.5 오수관로신설'!C54+'1.3.6 오수관로 교체및보수'!C54+'1.3.7 우수관로 교체 및 보수'!C47</f>
        <v>23</v>
      </c>
      <c r="I113" s="409">
        <f>'1.3.4 오수간선및차집관로 교체및보수'!D54+'1.3.5 오수관로신설'!D54+'1.3.6 오수관로 교체및보수'!D54+'1.3.7 우수관로 교체 및 보수'!D47</f>
        <v>6</v>
      </c>
      <c r="J113" s="410">
        <f>'1.3.4 오수간선및차집관로 교체및보수'!E54+'1.3.5 오수관로신설'!E54+'1.3.6 오수관로 교체및보수'!E54+'1.3.7 우수관로 교체 및 보수'!E47</f>
        <v>6</v>
      </c>
    </row>
    <row r="114" spans="1:10">
      <c r="A114" s="736"/>
      <c r="B114" s="701"/>
      <c r="C114" s="718"/>
      <c r="D114" s="698"/>
      <c r="E114" s="402" t="s">
        <v>892</v>
      </c>
      <c r="F114" s="414">
        <f t="shared" si="44"/>
        <v>0</v>
      </c>
      <c r="G114" s="409">
        <f>'1.3.8 하수저류시설'!B54</f>
        <v>0</v>
      </c>
      <c r="H114" s="409">
        <f>'1.3.8 하수저류시설'!C54</f>
        <v>0</v>
      </c>
      <c r="I114" s="409">
        <f>'1.3.8 하수저류시설'!D54</f>
        <v>0</v>
      </c>
      <c r="J114" s="410">
        <f>'1.3.8 하수저류시설'!E54</f>
        <v>0</v>
      </c>
    </row>
    <row r="115" spans="1:10">
      <c r="A115" s="737"/>
      <c r="B115" s="728"/>
      <c r="C115" s="729"/>
      <c r="D115" s="708"/>
      <c r="E115" s="407" t="s">
        <v>893</v>
      </c>
      <c r="F115" s="415">
        <f>SUM(G115:J115)</f>
        <v>16</v>
      </c>
      <c r="G115" s="416">
        <f>'1.3.9 하수찌꺼지 처리시설'!B54</f>
        <v>16</v>
      </c>
      <c r="H115" s="416"/>
      <c r="I115" s="416"/>
      <c r="J115" s="417"/>
    </row>
    <row r="116" spans="1:10">
      <c r="A116" s="734" t="s">
        <v>896</v>
      </c>
      <c r="B116" s="695" t="s">
        <v>902</v>
      </c>
      <c r="C116" s="696"/>
      <c r="D116" s="696"/>
      <c r="E116" s="697"/>
      <c r="F116" s="418">
        <f>SUM(F117,F137,F138)</f>
        <v>53719</v>
      </c>
      <c r="G116" s="419">
        <f>SUM(G117,G137,G138)</f>
        <v>34605</v>
      </c>
      <c r="H116" s="419">
        <f>SUM(H117,H137,H138)</f>
        <v>7058</v>
      </c>
      <c r="I116" s="419">
        <f>SUM(I117,I137,I138)</f>
        <v>669</v>
      </c>
      <c r="J116" s="420">
        <f>SUM(J117,J137,J138)</f>
        <v>11387</v>
      </c>
    </row>
    <row r="117" spans="1:10">
      <c r="A117" s="735"/>
      <c r="B117" s="700" t="s">
        <v>901</v>
      </c>
      <c r="C117" s="703" t="s">
        <v>871</v>
      </c>
      <c r="D117" s="703"/>
      <c r="E117" s="721"/>
      <c r="F117" s="427">
        <f>SUM(F118,F122,F134,F135,F136)</f>
        <v>47347</v>
      </c>
      <c r="G117" s="425">
        <f>SUM(G118,G122,G134,G135,G136)</f>
        <v>30627</v>
      </c>
      <c r="H117" s="425">
        <f>SUM(H118,H122,H134,H135,H136)</f>
        <v>6167</v>
      </c>
      <c r="I117" s="425">
        <f>SUM(I118,I122,I134,I135,I136)</f>
        <v>577</v>
      </c>
      <c r="J117" s="426">
        <f>SUM(J118,J122,J134,J135,J136)</f>
        <v>9976</v>
      </c>
    </row>
    <row r="118" spans="1:10" ht="16.5" customHeight="1">
      <c r="A118" s="735"/>
      <c r="B118" s="701"/>
      <c r="C118" s="705" t="s">
        <v>872</v>
      </c>
      <c r="D118" s="706" t="s">
        <v>873</v>
      </c>
      <c r="E118" s="709"/>
      <c r="F118" s="428">
        <f>SUM(F119:F121)</f>
        <v>29785</v>
      </c>
      <c r="G118" s="429">
        <f>SUM(G119:G121)</f>
        <v>19809</v>
      </c>
      <c r="H118" s="429">
        <f>SUM(H119:H121)</f>
        <v>0</v>
      </c>
      <c r="I118" s="429">
        <f>SUM(I119:I121)</f>
        <v>0</v>
      </c>
      <c r="J118" s="430">
        <f>SUM(J119:J121)</f>
        <v>9976</v>
      </c>
    </row>
    <row r="119" spans="1:10">
      <c r="A119" s="735"/>
      <c r="B119" s="701"/>
      <c r="C119" s="698"/>
      <c r="D119" s="698" t="s">
        <v>874</v>
      </c>
      <c r="E119" s="710"/>
      <c r="F119" s="408">
        <f>SUM(G119:J119)</f>
        <v>0</v>
      </c>
      <c r="G119" s="409"/>
      <c r="H119" s="409"/>
      <c r="I119" s="409"/>
      <c r="J119" s="410"/>
    </row>
    <row r="120" spans="1:10">
      <c r="A120" s="735"/>
      <c r="B120" s="701"/>
      <c r="C120" s="698"/>
      <c r="D120" s="698" t="s">
        <v>875</v>
      </c>
      <c r="E120" s="710"/>
      <c r="F120" s="408">
        <f>SUM(G120:J120)</f>
        <v>29785</v>
      </c>
      <c r="G120" s="409">
        <f>'1.4.2 공공하수처리시설 신증설'!B52</f>
        <v>19809</v>
      </c>
      <c r="H120" s="409">
        <f>'1.4.2 공공하수처리시설 신증설'!C52</f>
        <v>0</v>
      </c>
      <c r="I120" s="409">
        <f>'1.4.2 공공하수처리시설 신증설'!D52</f>
        <v>0</v>
      </c>
      <c r="J120" s="410">
        <f>'1.4.2 공공하수처리시설 신증설'!E52</f>
        <v>9976</v>
      </c>
    </row>
    <row r="121" spans="1:10">
      <c r="A121" s="735"/>
      <c r="B121" s="701"/>
      <c r="C121" s="698"/>
      <c r="D121" s="698" t="s">
        <v>876</v>
      </c>
      <c r="E121" s="710"/>
      <c r="F121" s="408">
        <f>SUM(G121:J121)</f>
        <v>0</v>
      </c>
      <c r="G121" s="409"/>
      <c r="H121" s="409"/>
      <c r="I121" s="409"/>
      <c r="J121" s="410"/>
    </row>
    <row r="122" spans="1:10" ht="16.5" customHeight="1">
      <c r="A122" s="735"/>
      <c r="B122" s="701"/>
      <c r="C122" s="705" t="s">
        <v>877</v>
      </c>
      <c r="D122" s="706" t="s">
        <v>878</v>
      </c>
      <c r="E122" s="709"/>
      <c r="F122" s="428">
        <f>SUM(F123,F126,F129,F132:F133)</f>
        <v>17562</v>
      </c>
      <c r="G122" s="429">
        <f>SUM(G123,G126,G129,G132:G133)</f>
        <v>10818</v>
      </c>
      <c r="H122" s="429">
        <f>SUM(H123,H126,H129,H132:H133)</f>
        <v>6167</v>
      </c>
      <c r="I122" s="429">
        <f>SUM(I123,I126,I129,I132:I133)</f>
        <v>577</v>
      </c>
      <c r="J122" s="430">
        <f>SUM(J123,J126,J129,J132:J133)</f>
        <v>0</v>
      </c>
    </row>
    <row r="123" spans="1:10">
      <c r="A123" s="735"/>
      <c r="B123" s="701"/>
      <c r="C123" s="698"/>
      <c r="D123" s="698" t="s">
        <v>879</v>
      </c>
      <c r="E123" s="431" t="s">
        <v>880</v>
      </c>
      <c r="F123" s="428">
        <f>SUM(F124:F125)</f>
        <v>0</v>
      </c>
      <c r="G123" s="429">
        <f>SUM(G124:G125)</f>
        <v>0</v>
      </c>
      <c r="H123" s="429">
        <f>SUM(H124:H125)</f>
        <v>0</v>
      </c>
      <c r="I123" s="429">
        <f>SUM(I124:I125)</f>
        <v>0</v>
      </c>
      <c r="J123" s="430">
        <f>SUM(J124:J125)</f>
        <v>0</v>
      </c>
    </row>
    <row r="124" spans="1:10">
      <c r="A124" s="735"/>
      <c r="B124" s="701"/>
      <c r="C124" s="698"/>
      <c r="D124" s="698"/>
      <c r="E124" s="403" t="s">
        <v>881</v>
      </c>
      <c r="F124" s="408">
        <f>SUM(G124:J124)</f>
        <v>0</v>
      </c>
      <c r="G124" s="409"/>
      <c r="H124" s="409"/>
      <c r="I124" s="409"/>
      <c r="J124" s="410"/>
    </row>
    <row r="125" spans="1:10">
      <c r="A125" s="735"/>
      <c r="B125" s="701"/>
      <c r="C125" s="698"/>
      <c r="D125" s="698"/>
      <c r="E125" s="403" t="s">
        <v>876</v>
      </c>
      <c r="F125" s="408">
        <f>SUM(G125:J125)</f>
        <v>0</v>
      </c>
      <c r="G125" s="409">
        <f>'1.4.4 오수간선및차집관로 교체및보수'!B51</f>
        <v>0</v>
      </c>
      <c r="H125" s="409">
        <f>'1.4.4 오수간선및차집관로 교체및보수'!C51</f>
        <v>0</v>
      </c>
      <c r="I125" s="409">
        <f>'1.4.4 오수간선및차집관로 교체및보수'!D51</f>
        <v>0</v>
      </c>
      <c r="J125" s="410">
        <f>'1.4.4 오수간선및차집관로 교체및보수'!E51</f>
        <v>0</v>
      </c>
    </row>
    <row r="126" spans="1:10">
      <c r="A126" s="735"/>
      <c r="B126" s="701"/>
      <c r="C126" s="698"/>
      <c r="D126" s="698" t="s">
        <v>882</v>
      </c>
      <c r="E126" s="431" t="s">
        <v>880</v>
      </c>
      <c r="F126" s="428">
        <f>SUM(F127:F128)</f>
        <v>8831</v>
      </c>
      <c r="G126" s="429">
        <f>SUM(G127:G128)</f>
        <v>5190</v>
      </c>
      <c r="H126" s="429">
        <f>SUM(H127:H128)</f>
        <v>3641</v>
      </c>
      <c r="I126" s="429">
        <f>SUM(I127:I128)</f>
        <v>0</v>
      </c>
      <c r="J126" s="430">
        <f>SUM(J127:J128)</f>
        <v>0</v>
      </c>
    </row>
    <row r="127" spans="1:10">
      <c r="A127" s="735"/>
      <c r="B127" s="701"/>
      <c r="C127" s="698"/>
      <c r="D127" s="698"/>
      <c r="E127" s="403" t="s">
        <v>881</v>
      </c>
      <c r="F127" s="408">
        <f>SUM(G127:J127)</f>
        <v>8831</v>
      </c>
      <c r="G127" s="409">
        <f>'1.4.5 오수관로신설'!B5</f>
        <v>5190</v>
      </c>
      <c r="H127" s="409">
        <f>'1.4.5 오수관로신설'!C5</f>
        <v>3641</v>
      </c>
      <c r="I127" s="409">
        <f>'1.4.5 오수관로신설'!D5</f>
        <v>0</v>
      </c>
      <c r="J127" s="410">
        <f>'1.4.5 오수관로신설'!E5</f>
        <v>0</v>
      </c>
    </row>
    <row r="128" spans="1:10">
      <c r="A128" s="735"/>
      <c r="B128" s="701"/>
      <c r="C128" s="698"/>
      <c r="D128" s="698"/>
      <c r="E128" s="403" t="s">
        <v>876</v>
      </c>
      <c r="F128" s="408">
        <f>SUM(G128:J128)</f>
        <v>0</v>
      </c>
      <c r="G128" s="409">
        <f>'1.4.6 오수관로 교체및보수'!B52</f>
        <v>0</v>
      </c>
      <c r="H128" s="409">
        <v>0</v>
      </c>
      <c r="I128" s="409">
        <f>'1.4.6 오수관로 교체및보수'!D52</f>
        <v>0</v>
      </c>
      <c r="J128" s="410">
        <f>'1.4.6 오수관로 교체및보수'!E52</f>
        <v>0</v>
      </c>
    </row>
    <row r="129" spans="1:10">
      <c r="A129" s="735"/>
      <c r="B129" s="701"/>
      <c r="C129" s="698"/>
      <c r="D129" s="698" t="s">
        <v>883</v>
      </c>
      <c r="E129" s="431" t="s">
        <v>880</v>
      </c>
      <c r="F129" s="428">
        <f>SUM(F130:F131)</f>
        <v>4394</v>
      </c>
      <c r="G129" s="429">
        <f>SUM(G130:G131)</f>
        <v>2751</v>
      </c>
      <c r="H129" s="429">
        <f>SUM(H130:H131)</f>
        <v>1066</v>
      </c>
      <c r="I129" s="429">
        <f>SUM(I130:I131)</f>
        <v>577</v>
      </c>
      <c r="J129" s="430">
        <f>SUM(J130:J131)</f>
        <v>0</v>
      </c>
    </row>
    <row r="130" spans="1:10">
      <c r="A130" s="735"/>
      <c r="B130" s="701"/>
      <c r="C130" s="698"/>
      <c r="D130" s="698"/>
      <c r="E130" s="403" t="s">
        <v>881</v>
      </c>
      <c r="F130" s="408">
        <f t="shared" ref="F130:F137" si="45">SUM(G130:J130)</f>
        <v>0</v>
      </c>
      <c r="G130" s="409"/>
      <c r="H130" s="409"/>
      <c r="I130" s="409"/>
      <c r="J130" s="410"/>
    </row>
    <row r="131" spans="1:10">
      <c r="A131" s="735"/>
      <c r="B131" s="701"/>
      <c r="C131" s="698"/>
      <c r="D131" s="698"/>
      <c r="E131" s="403" t="s">
        <v>876</v>
      </c>
      <c r="F131" s="408">
        <f t="shared" si="45"/>
        <v>4394</v>
      </c>
      <c r="G131" s="409">
        <f>'1.4.7 우수관로 교체 및 보수'!B44</f>
        <v>2751</v>
      </c>
      <c r="H131" s="409">
        <f>'1.4.7 우수관로 교체 및 보수'!C44</f>
        <v>1066</v>
      </c>
      <c r="I131" s="409">
        <f>'1.4.7 우수관로 교체 및 보수'!D44</f>
        <v>577</v>
      </c>
      <c r="J131" s="410">
        <f>'1.4.7 우수관로 교체 및 보수'!E44</f>
        <v>0</v>
      </c>
    </row>
    <row r="132" spans="1:10">
      <c r="A132" s="735"/>
      <c r="B132" s="701"/>
      <c r="C132" s="698"/>
      <c r="D132" s="698" t="s">
        <v>884</v>
      </c>
      <c r="E132" s="710"/>
      <c r="F132" s="408">
        <f t="shared" si="45"/>
        <v>1133</v>
      </c>
      <c r="G132" s="409">
        <f>'1.4.5 오수관로신설'!B7</f>
        <v>1041</v>
      </c>
      <c r="H132" s="409">
        <f>'1.4.5 오수관로신설'!C7</f>
        <v>92</v>
      </c>
      <c r="I132" s="409">
        <f>'1.4.5 오수관로신설'!D7</f>
        <v>0</v>
      </c>
      <c r="J132" s="410">
        <f>'1.4.5 오수관로신설'!E7</f>
        <v>0</v>
      </c>
    </row>
    <row r="133" spans="1:10">
      <c r="A133" s="735"/>
      <c r="B133" s="701"/>
      <c r="C133" s="698"/>
      <c r="D133" s="698" t="s">
        <v>885</v>
      </c>
      <c r="E133" s="710"/>
      <c r="F133" s="408">
        <f t="shared" si="45"/>
        <v>3204</v>
      </c>
      <c r="G133" s="409">
        <f>'1.4.5 오수관로신설'!B6</f>
        <v>1836</v>
      </c>
      <c r="H133" s="409">
        <f>'1.4.5 오수관로신설'!C6</f>
        <v>1368</v>
      </c>
      <c r="I133" s="409">
        <f>'1.4.5 오수관로신설'!D6</f>
        <v>0</v>
      </c>
      <c r="J133" s="410">
        <f>'1.4.5 오수관로신설'!E6</f>
        <v>0</v>
      </c>
    </row>
    <row r="134" spans="1:10">
      <c r="A134" s="735"/>
      <c r="B134" s="701"/>
      <c r="C134" s="698" t="s">
        <v>886</v>
      </c>
      <c r="D134" s="698"/>
      <c r="E134" s="710"/>
      <c r="F134" s="408">
        <f t="shared" si="45"/>
        <v>0</v>
      </c>
      <c r="G134" s="409">
        <f>'1.4.8 하수저류시설'!B11</f>
        <v>0</v>
      </c>
      <c r="H134" s="409">
        <f>'1.4.8 하수저류시설'!C11</f>
        <v>0</v>
      </c>
      <c r="I134" s="409">
        <f>'1.4.8 하수저류시설'!D11</f>
        <v>0</v>
      </c>
      <c r="J134" s="410">
        <f>'1.4.8 하수저류시설'!E11</f>
        <v>0</v>
      </c>
    </row>
    <row r="135" spans="1:10">
      <c r="A135" s="735"/>
      <c r="B135" s="701"/>
      <c r="C135" s="698" t="s">
        <v>887</v>
      </c>
      <c r="D135" s="698"/>
      <c r="E135" s="710"/>
      <c r="F135" s="408">
        <f t="shared" si="45"/>
        <v>0</v>
      </c>
      <c r="G135" s="409"/>
      <c r="H135" s="409"/>
      <c r="I135" s="409"/>
      <c r="J135" s="410"/>
    </row>
    <row r="136" spans="1:10">
      <c r="A136" s="735"/>
      <c r="B136" s="702"/>
      <c r="C136" s="715" t="s">
        <v>888</v>
      </c>
      <c r="D136" s="715"/>
      <c r="E136" s="722"/>
      <c r="F136" s="411">
        <f t="shared" si="45"/>
        <v>0</v>
      </c>
      <c r="G136" s="412"/>
      <c r="H136" s="412"/>
      <c r="I136" s="412"/>
      <c r="J136" s="413"/>
    </row>
    <row r="137" spans="1:10">
      <c r="A137" s="735"/>
      <c r="B137" s="723" t="s">
        <v>900</v>
      </c>
      <c r="C137" s="724"/>
      <c r="D137" s="724"/>
      <c r="E137" s="725"/>
      <c r="F137" s="421">
        <f t="shared" si="45"/>
        <v>0</v>
      </c>
      <c r="G137" s="422"/>
      <c r="H137" s="422"/>
      <c r="I137" s="422"/>
      <c r="J137" s="423"/>
    </row>
    <row r="138" spans="1:10">
      <c r="A138" s="735"/>
      <c r="B138" s="726" t="s">
        <v>899</v>
      </c>
      <c r="C138" s="727"/>
      <c r="D138" s="730" t="s">
        <v>878</v>
      </c>
      <c r="E138" s="731"/>
      <c r="F138" s="424">
        <f>SUM(F139,F144,F149)</f>
        <v>6372</v>
      </c>
      <c r="G138" s="425">
        <f>SUM(G139,G144,G149)</f>
        <v>3978</v>
      </c>
      <c r="H138" s="425">
        <f>SUM(H139,H144,H149)</f>
        <v>891</v>
      </c>
      <c r="I138" s="425">
        <f>SUM(I139,I144,I149)</f>
        <v>92</v>
      </c>
      <c r="J138" s="426">
        <f>SUM(J139,J144,J149)</f>
        <v>1411</v>
      </c>
    </row>
    <row r="139" spans="1:10">
      <c r="A139" s="735"/>
      <c r="B139" s="701"/>
      <c r="C139" s="718"/>
      <c r="D139" s="698" t="s">
        <v>889</v>
      </c>
      <c r="E139" s="432" t="s">
        <v>880</v>
      </c>
      <c r="F139" s="433">
        <f t="shared" ref="F139:F144" si="46">SUM(G139:J139)</f>
        <v>2142</v>
      </c>
      <c r="G139" s="429">
        <f>SUM(G140:G143)</f>
        <v>1365</v>
      </c>
      <c r="H139" s="429">
        <f>SUM(H140:H143)</f>
        <v>292</v>
      </c>
      <c r="I139" s="429">
        <f>SUM(I140:I143)</f>
        <v>34</v>
      </c>
      <c r="J139" s="430">
        <f>SUM(J140:J143)</f>
        <v>451</v>
      </c>
    </row>
    <row r="140" spans="1:10">
      <c r="A140" s="735"/>
      <c r="B140" s="701"/>
      <c r="C140" s="718"/>
      <c r="D140" s="698"/>
      <c r="E140" s="402" t="s">
        <v>890</v>
      </c>
      <c r="F140" s="414">
        <f t="shared" si="46"/>
        <v>1317</v>
      </c>
      <c r="G140" s="409">
        <f>'1.4.2 공공하수처리시설 신증설'!B53</f>
        <v>866</v>
      </c>
      <c r="H140" s="409">
        <f>'1.4.2 공공하수처리시설 신증설'!C53</f>
        <v>0</v>
      </c>
      <c r="I140" s="409">
        <f>'1.4.2 공공하수처리시설 신증설'!D53</f>
        <v>0</v>
      </c>
      <c r="J140" s="410">
        <f>'1.4.2 공공하수처리시설 신증설'!E53</f>
        <v>451</v>
      </c>
    </row>
    <row r="141" spans="1:10">
      <c r="A141" s="735"/>
      <c r="B141" s="701"/>
      <c r="C141" s="718"/>
      <c r="D141" s="698"/>
      <c r="E141" s="402" t="s">
        <v>891</v>
      </c>
      <c r="F141" s="414">
        <f t="shared" si="46"/>
        <v>825</v>
      </c>
      <c r="G141" s="409">
        <f>'1.4.4 오수간선및차집관로 교체및보수'!B52+'1.4.5 오수관로신설'!B52+'1.4.6 오수관로 교체및보수'!B53+'1.4.7 우수관로 교체 및 보수'!B45</f>
        <v>499</v>
      </c>
      <c r="H141" s="409">
        <f>'1.4.4 오수간선및차집관로 교체및보수'!C52+'1.4.5 오수관로신설'!C52+'1.4.6 오수관로 교체및보수'!C53+'1.4.7 우수관로 교체 및 보수'!C45</f>
        <v>292</v>
      </c>
      <c r="I141" s="409">
        <f>'1.4.4 오수간선및차집관로 교체및보수'!D52+'1.4.5 오수관로신설'!D52+'1.4.6 오수관로 교체및보수'!D53+'1.4.7 우수관로 교체 및 보수'!D45</f>
        <v>34</v>
      </c>
      <c r="J141" s="410">
        <f>'1.4.4 오수간선및차집관로 교체및보수'!E52+'1.4.5 오수관로신설'!E52+'1.4.6 오수관로 교체및보수'!E53+'1.4.7 우수관로 교체 및 보수'!E45</f>
        <v>0</v>
      </c>
    </row>
    <row r="142" spans="1:10">
      <c r="A142" s="735"/>
      <c r="B142" s="701"/>
      <c r="C142" s="718"/>
      <c r="D142" s="698"/>
      <c r="E142" s="402" t="s">
        <v>892</v>
      </c>
      <c r="F142" s="414">
        <f t="shared" si="46"/>
        <v>0</v>
      </c>
      <c r="G142" s="409"/>
      <c r="H142" s="409"/>
      <c r="I142" s="409"/>
      <c r="J142" s="410"/>
    </row>
    <row r="143" spans="1:10">
      <c r="A143" s="735"/>
      <c r="B143" s="701"/>
      <c r="C143" s="718"/>
      <c r="D143" s="698"/>
      <c r="E143" s="402" t="s">
        <v>893</v>
      </c>
      <c r="F143" s="414">
        <f t="shared" si="46"/>
        <v>0</v>
      </c>
      <c r="G143" s="409"/>
      <c r="H143" s="409"/>
      <c r="I143" s="409"/>
      <c r="J143" s="410"/>
    </row>
    <row r="144" spans="1:10">
      <c r="A144" s="735"/>
      <c r="B144" s="701"/>
      <c r="C144" s="718"/>
      <c r="D144" s="698" t="s">
        <v>894</v>
      </c>
      <c r="E144" s="432" t="s">
        <v>880</v>
      </c>
      <c r="F144" s="433">
        <f t="shared" si="46"/>
        <v>4103</v>
      </c>
      <c r="G144" s="429">
        <f>SUM(G145:G148)</f>
        <v>2536</v>
      </c>
      <c r="H144" s="429">
        <f>SUM(H145:H148)</f>
        <v>578</v>
      </c>
      <c r="I144" s="429">
        <f>SUM(I145:I148)</f>
        <v>54</v>
      </c>
      <c r="J144" s="430">
        <f>SUM(J145:J148)</f>
        <v>935</v>
      </c>
    </row>
    <row r="145" spans="1:10">
      <c r="A145" s="736"/>
      <c r="B145" s="701"/>
      <c r="C145" s="718"/>
      <c r="D145" s="698"/>
      <c r="E145" s="402" t="s">
        <v>890</v>
      </c>
      <c r="F145" s="414">
        <f t="shared" ref="F145:F152" si="47">SUM(G145:J145)</f>
        <v>2428</v>
      </c>
      <c r="G145" s="409">
        <f>'1.4.2 공공하수처리시설 신증설'!B54</f>
        <v>1493</v>
      </c>
      <c r="H145" s="409">
        <f>'1.4.2 공공하수처리시설 신증설'!C54</f>
        <v>0</v>
      </c>
      <c r="I145" s="409">
        <f>'1.4.2 공공하수처리시설 신증설'!D54</f>
        <v>0</v>
      </c>
      <c r="J145" s="410">
        <f>'1.4.2 공공하수처리시설 신증설'!E54</f>
        <v>935</v>
      </c>
    </row>
    <row r="146" spans="1:10">
      <c r="A146" s="736"/>
      <c r="B146" s="701"/>
      <c r="C146" s="718"/>
      <c r="D146" s="698"/>
      <c r="E146" s="402" t="s">
        <v>891</v>
      </c>
      <c r="F146" s="414">
        <f t="shared" si="47"/>
        <v>1675</v>
      </c>
      <c r="G146" s="409">
        <f>'1.4.4 오수간선및차집관로 교체및보수'!B53+'1.4.5 오수관로신설'!B53+'1.4.6 오수관로 교체및보수'!B54+'1.4.7 우수관로 교체 및 보수'!B46</f>
        <v>1043</v>
      </c>
      <c r="H146" s="409">
        <f>'1.4.4 오수간선및차집관로 교체및보수'!C53+'1.4.5 오수관로신설'!C53+'1.4.6 오수관로 교체및보수'!C54+'1.4.7 우수관로 교체 및 보수'!C46</f>
        <v>578</v>
      </c>
      <c r="I146" s="409">
        <f>'1.4.4 오수간선및차집관로 교체및보수'!D53+'1.4.5 오수관로신설'!D53+'1.4.6 오수관로 교체및보수'!D54+'1.4.7 우수관로 교체 및 보수'!D46</f>
        <v>54</v>
      </c>
      <c r="J146" s="410">
        <f>'1.4.4 오수간선및차집관로 교체및보수'!E53+'1.4.5 오수관로신설'!E53+'1.4.6 오수관로 교체및보수'!E54+'1.4.7 우수관로 교체 및 보수'!E46</f>
        <v>0</v>
      </c>
    </row>
    <row r="147" spans="1:10">
      <c r="A147" s="736"/>
      <c r="B147" s="701"/>
      <c r="C147" s="718"/>
      <c r="D147" s="698"/>
      <c r="E147" s="402" t="s">
        <v>892</v>
      </c>
      <c r="F147" s="414">
        <f t="shared" si="47"/>
        <v>0</v>
      </c>
      <c r="G147" s="409"/>
      <c r="H147" s="409"/>
      <c r="I147" s="409"/>
      <c r="J147" s="410"/>
    </row>
    <row r="148" spans="1:10">
      <c r="A148" s="736"/>
      <c r="B148" s="701"/>
      <c r="C148" s="718"/>
      <c r="D148" s="698"/>
      <c r="E148" s="402" t="s">
        <v>893</v>
      </c>
      <c r="F148" s="414">
        <f t="shared" si="47"/>
        <v>0</v>
      </c>
      <c r="G148" s="409"/>
      <c r="H148" s="409"/>
      <c r="I148" s="409"/>
      <c r="J148" s="410"/>
    </row>
    <row r="149" spans="1:10">
      <c r="A149" s="736"/>
      <c r="B149" s="701"/>
      <c r="C149" s="718"/>
      <c r="D149" s="698" t="s">
        <v>895</v>
      </c>
      <c r="E149" s="432" t="s">
        <v>880</v>
      </c>
      <c r="F149" s="433">
        <f t="shared" si="47"/>
        <v>127</v>
      </c>
      <c r="G149" s="429">
        <f>SUM(G150:G153)</f>
        <v>77</v>
      </c>
      <c r="H149" s="429">
        <f>SUM(H150:H153)</f>
        <v>21</v>
      </c>
      <c r="I149" s="429">
        <f>SUM(I150:I153)</f>
        <v>4</v>
      </c>
      <c r="J149" s="430">
        <f>SUM(J150:J153)</f>
        <v>25</v>
      </c>
    </row>
    <row r="150" spans="1:10">
      <c r="A150" s="736"/>
      <c r="B150" s="701"/>
      <c r="C150" s="718"/>
      <c r="D150" s="698"/>
      <c r="E150" s="402" t="s">
        <v>890</v>
      </c>
      <c r="F150" s="414">
        <f t="shared" si="47"/>
        <v>71</v>
      </c>
      <c r="G150" s="409">
        <f>'1.4.2 공공하수처리시설 신증설'!B55</f>
        <v>46</v>
      </c>
      <c r="H150" s="409">
        <f>'1.4.2 공공하수처리시설 신증설'!C55</f>
        <v>0</v>
      </c>
      <c r="I150" s="409">
        <f>'1.4.2 공공하수처리시설 신증설'!D55</f>
        <v>0</v>
      </c>
      <c r="J150" s="410">
        <f>'1.4.2 공공하수처리시설 신증설'!E55</f>
        <v>25</v>
      </c>
    </row>
    <row r="151" spans="1:10">
      <c r="A151" s="736"/>
      <c r="B151" s="701"/>
      <c r="C151" s="718"/>
      <c r="D151" s="698"/>
      <c r="E151" s="402" t="s">
        <v>891</v>
      </c>
      <c r="F151" s="414">
        <f t="shared" si="47"/>
        <v>56</v>
      </c>
      <c r="G151" s="409">
        <f>'1.4.4 오수간선및차집관로 교체및보수'!B54+'1.4.5 오수관로신설'!B54+'1.4.6 오수관로 교체및보수'!B55+'1.4.7 우수관로 교체 및 보수'!B47</f>
        <v>31</v>
      </c>
      <c r="H151" s="409">
        <f>'1.4.4 오수간선및차집관로 교체및보수'!C54+'1.4.5 오수관로신설'!C54+'1.4.6 오수관로 교체및보수'!C55+'1.4.7 우수관로 교체 및 보수'!C47</f>
        <v>21</v>
      </c>
      <c r="I151" s="409">
        <f>'1.4.4 오수간선및차집관로 교체및보수'!D54+'1.4.5 오수관로신설'!D54+'1.4.6 오수관로 교체및보수'!D55+'1.4.7 우수관로 교체 및 보수'!D47</f>
        <v>4</v>
      </c>
      <c r="J151" s="410">
        <f>'1.4.4 오수간선및차집관로 교체및보수'!E54+'1.4.5 오수관로신설'!E54+'1.4.6 오수관로 교체및보수'!E55+'1.4.7 우수관로 교체 및 보수'!E47</f>
        <v>0</v>
      </c>
    </row>
    <row r="152" spans="1:10">
      <c r="A152" s="736"/>
      <c r="B152" s="701"/>
      <c r="C152" s="718"/>
      <c r="D152" s="698"/>
      <c r="E152" s="402" t="s">
        <v>892</v>
      </c>
      <c r="F152" s="414">
        <f t="shared" si="47"/>
        <v>0</v>
      </c>
      <c r="G152" s="409"/>
      <c r="H152" s="409"/>
      <c r="I152" s="409"/>
      <c r="J152" s="410"/>
    </row>
    <row r="153" spans="1:10">
      <c r="A153" s="737"/>
      <c r="B153" s="728"/>
      <c r="C153" s="729"/>
      <c r="D153" s="708"/>
      <c r="E153" s="407" t="s">
        <v>893</v>
      </c>
      <c r="F153" s="415">
        <f>SUM(G153:J153)</f>
        <v>0</v>
      </c>
      <c r="G153" s="416"/>
      <c r="H153" s="416"/>
      <c r="I153" s="416"/>
      <c r="J153" s="417"/>
    </row>
    <row r="154" spans="1:10">
      <c r="A154" s="734" t="s">
        <v>897</v>
      </c>
      <c r="B154" s="695" t="s">
        <v>902</v>
      </c>
      <c r="C154" s="696"/>
      <c r="D154" s="696"/>
      <c r="E154" s="697"/>
      <c r="F154" s="418">
        <f>SUM(F155,F175,F176)</f>
        <v>25524.5</v>
      </c>
      <c r="G154" s="419">
        <f>SUM(G155,G175,G176)</f>
        <v>13709.5</v>
      </c>
      <c r="H154" s="419">
        <f>SUM(H155,H175,H176)</f>
        <v>586</v>
      </c>
      <c r="I154" s="419">
        <f>SUM(I155,I175,I176)</f>
        <v>3362</v>
      </c>
      <c r="J154" s="420">
        <f>SUM(J155,J175,J176)</f>
        <v>7867</v>
      </c>
    </row>
    <row r="155" spans="1:10">
      <c r="A155" s="735"/>
      <c r="B155" s="700" t="s">
        <v>901</v>
      </c>
      <c r="C155" s="703" t="s">
        <v>871</v>
      </c>
      <c r="D155" s="703"/>
      <c r="E155" s="721"/>
      <c r="F155" s="427">
        <f>SUM(F156,F160,F172,F173,F174)</f>
        <v>22304.5</v>
      </c>
      <c r="G155" s="425">
        <f>SUM(G156,G160,G172,G173,G174)</f>
        <v>11987.5</v>
      </c>
      <c r="H155" s="425">
        <f>SUM(H156,H160,H172,H173,H174)</f>
        <v>505</v>
      </c>
      <c r="I155" s="425">
        <f>SUM(I156,I160,I172,I173,I174)</f>
        <v>2937</v>
      </c>
      <c r="J155" s="426">
        <f>SUM(J156,J160,J172,J173,J174)</f>
        <v>6875</v>
      </c>
    </row>
    <row r="156" spans="1:10" ht="16.5" customHeight="1">
      <c r="A156" s="735"/>
      <c r="B156" s="701"/>
      <c r="C156" s="705" t="s">
        <v>872</v>
      </c>
      <c r="D156" s="706" t="s">
        <v>873</v>
      </c>
      <c r="E156" s="709"/>
      <c r="F156" s="428">
        <f>SUM(F157:F159)</f>
        <v>10835.5</v>
      </c>
      <c r="G156" s="429">
        <f>SUM(G157:G159)</f>
        <v>5290.5</v>
      </c>
      <c r="H156" s="429">
        <f>SUM(H157:H159)</f>
        <v>0</v>
      </c>
      <c r="I156" s="429">
        <f>SUM(I157:I159)</f>
        <v>0</v>
      </c>
      <c r="J156" s="430">
        <f>SUM(J157:J159)</f>
        <v>5545</v>
      </c>
    </row>
    <row r="157" spans="1:10">
      <c r="A157" s="735"/>
      <c r="B157" s="701"/>
      <c r="C157" s="698"/>
      <c r="D157" s="698" t="s">
        <v>874</v>
      </c>
      <c r="E157" s="710"/>
      <c r="F157" s="408">
        <f>SUM(G157:J157)</f>
        <v>0</v>
      </c>
      <c r="G157" s="409"/>
      <c r="H157" s="409"/>
      <c r="I157" s="409"/>
      <c r="J157" s="410"/>
    </row>
    <row r="158" spans="1:10">
      <c r="A158" s="735"/>
      <c r="B158" s="701"/>
      <c r="C158" s="698"/>
      <c r="D158" s="698" t="s">
        <v>875</v>
      </c>
      <c r="E158" s="710"/>
      <c r="F158" s="408">
        <f>SUM(G158:J158)</f>
        <v>10835.5</v>
      </c>
      <c r="G158" s="409">
        <f>'1.5.2 공공하수처리시설 신증설'!B52</f>
        <v>5290.5</v>
      </c>
      <c r="H158" s="409">
        <f>'1.5.2 공공하수처리시설 신증설'!C52</f>
        <v>0</v>
      </c>
      <c r="I158" s="409">
        <f>'1.5.2 공공하수처리시설 신증설'!D52</f>
        <v>0</v>
      </c>
      <c r="J158" s="410">
        <f>'1.5.2 공공하수처리시설 신증설'!E52</f>
        <v>5545</v>
      </c>
    </row>
    <row r="159" spans="1:10">
      <c r="A159" s="735"/>
      <c r="B159" s="701"/>
      <c r="C159" s="698"/>
      <c r="D159" s="698" t="s">
        <v>876</v>
      </c>
      <c r="E159" s="710"/>
      <c r="F159" s="408">
        <f>SUM(G159:J159)</f>
        <v>0</v>
      </c>
      <c r="G159" s="409"/>
      <c r="H159" s="409"/>
      <c r="I159" s="409"/>
      <c r="J159" s="410"/>
    </row>
    <row r="160" spans="1:10" ht="16.5" customHeight="1">
      <c r="A160" s="735"/>
      <c r="B160" s="701"/>
      <c r="C160" s="705" t="s">
        <v>877</v>
      </c>
      <c r="D160" s="706" t="s">
        <v>878</v>
      </c>
      <c r="E160" s="709"/>
      <c r="F160" s="428">
        <f>SUM(F161,F164,F167,F170:F171)</f>
        <v>11469</v>
      </c>
      <c r="G160" s="429">
        <f>SUM(G161,G164,G167,G170:G171)</f>
        <v>6697</v>
      </c>
      <c r="H160" s="429">
        <f>SUM(H161,H164,H167,H170:H171)</f>
        <v>505</v>
      </c>
      <c r="I160" s="429">
        <f>SUM(I161,I164,I167,I170:I171)</f>
        <v>2937</v>
      </c>
      <c r="J160" s="430">
        <f>SUM(J161,J164,J167,J170:J171)</f>
        <v>1330</v>
      </c>
    </row>
    <row r="161" spans="1:10">
      <c r="A161" s="735"/>
      <c r="B161" s="701"/>
      <c r="C161" s="698"/>
      <c r="D161" s="698" t="s">
        <v>879</v>
      </c>
      <c r="E161" s="431" t="s">
        <v>880</v>
      </c>
      <c r="F161" s="428">
        <f>SUM(F162:F163)</f>
        <v>0</v>
      </c>
      <c r="G161" s="429">
        <f>SUM(G162:G163)</f>
        <v>0</v>
      </c>
      <c r="H161" s="429">
        <f>SUM(H162:H163)</f>
        <v>0</v>
      </c>
      <c r="I161" s="429">
        <f>SUM(I162:I163)</f>
        <v>0</v>
      </c>
      <c r="J161" s="430">
        <f>SUM(J162:J163)</f>
        <v>0</v>
      </c>
    </row>
    <row r="162" spans="1:10">
      <c r="A162" s="735"/>
      <c r="B162" s="701"/>
      <c r="C162" s="698"/>
      <c r="D162" s="698"/>
      <c r="E162" s="403" t="s">
        <v>881</v>
      </c>
      <c r="F162" s="408">
        <f>SUM(G162:J162)</f>
        <v>0</v>
      </c>
      <c r="G162" s="409"/>
      <c r="H162" s="409"/>
      <c r="I162" s="409"/>
      <c r="J162" s="410"/>
    </row>
    <row r="163" spans="1:10">
      <c r="A163" s="735"/>
      <c r="B163" s="701"/>
      <c r="C163" s="698"/>
      <c r="D163" s="698"/>
      <c r="E163" s="403" t="s">
        <v>876</v>
      </c>
      <c r="F163" s="408">
        <f>SUM(G163:J163)</f>
        <v>0</v>
      </c>
      <c r="G163" s="409">
        <f>'1.5.4 오수간선및차집관로 교체및보수'!B51</f>
        <v>0</v>
      </c>
      <c r="H163" s="409">
        <f>'1.5.4 오수간선및차집관로 교체및보수'!C51</f>
        <v>0</v>
      </c>
      <c r="I163" s="409">
        <f>'1.5.4 오수간선및차집관로 교체및보수'!D51</f>
        <v>0</v>
      </c>
      <c r="J163" s="410">
        <f>'1.5.4 오수간선및차집관로 교체및보수'!E51</f>
        <v>0</v>
      </c>
    </row>
    <row r="164" spans="1:10">
      <c r="A164" s="735"/>
      <c r="B164" s="701"/>
      <c r="C164" s="698"/>
      <c r="D164" s="698" t="s">
        <v>882</v>
      </c>
      <c r="E164" s="431" t="s">
        <v>880</v>
      </c>
      <c r="F164" s="428">
        <f>SUM(F165:F166)</f>
        <v>7309</v>
      </c>
      <c r="G164" s="429">
        <f>SUM(G165:G166)</f>
        <v>4484</v>
      </c>
      <c r="H164" s="429">
        <f>SUM(H165:H166)</f>
        <v>401</v>
      </c>
      <c r="I164" s="429">
        <f>SUM(I165:I166)</f>
        <v>2424</v>
      </c>
      <c r="J164" s="430">
        <f>SUM(J165:J166)</f>
        <v>0</v>
      </c>
    </row>
    <row r="165" spans="1:10">
      <c r="A165" s="735"/>
      <c r="B165" s="701"/>
      <c r="C165" s="698"/>
      <c r="D165" s="698"/>
      <c r="E165" s="403" t="s">
        <v>881</v>
      </c>
      <c r="F165" s="408">
        <f>SUM(G165:J165)</f>
        <v>7309</v>
      </c>
      <c r="G165" s="409">
        <f>'1.5.5 오수관로신설'!B5</f>
        <v>4484</v>
      </c>
      <c r="H165" s="409">
        <f>'1.5.5 오수관로신설'!C5</f>
        <v>401</v>
      </c>
      <c r="I165" s="409">
        <f>'1.5.5 오수관로신설'!D5</f>
        <v>2424</v>
      </c>
      <c r="J165" s="410">
        <f>'1.5.5 오수관로신설'!E5</f>
        <v>0</v>
      </c>
    </row>
    <row r="166" spans="1:10">
      <c r="A166" s="735"/>
      <c r="B166" s="701"/>
      <c r="C166" s="698"/>
      <c r="D166" s="698"/>
      <c r="E166" s="403" t="s">
        <v>876</v>
      </c>
      <c r="F166" s="408">
        <f>SUM(G166:J166)</f>
        <v>0</v>
      </c>
      <c r="G166" s="409">
        <f>'1.5.6 오수관로 교체및보수'!B52</f>
        <v>0</v>
      </c>
      <c r="H166" s="409">
        <f>'1.5.6 오수관로 교체및보수'!C52</f>
        <v>0</v>
      </c>
      <c r="I166" s="409">
        <f>'1.5.6 오수관로 교체및보수'!D52</f>
        <v>0</v>
      </c>
      <c r="J166" s="410">
        <f>'1.5.6 오수관로 교체및보수'!E52</f>
        <v>0</v>
      </c>
    </row>
    <row r="167" spans="1:10">
      <c r="A167" s="735"/>
      <c r="B167" s="701"/>
      <c r="C167" s="698"/>
      <c r="D167" s="698" t="s">
        <v>883</v>
      </c>
      <c r="E167" s="431" t="s">
        <v>880</v>
      </c>
      <c r="F167" s="428">
        <f>SUM(F168:F169)</f>
        <v>2524</v>
      </c>
      <c r="G167" s="429">
        <f>SUM(G168:G169)</f>
        <v>1194</v>
      </c>
      <c r="H167" s="429">
        <f>SUM(H168:H169)</f>
        <v>0</v>
      </c>
      <c r="I167" s="429">
        <f>SUM(I168:I169)</f>
        <v>0</v>
      </c>
      <c r="J167" s="430">
        <f>SUM(J168:J169)</f>
        <v>1330</v>
      </c>
    </row>
    <row r="168" spans="1:10">
      <c r="A168" s="735"/>
      <c r="B168" s="701"/>
      <c r="C168" s="698"/>
      <c r="D168" s="698"/>
      <c r="E168" s="403" t="s">
        <v>881</v>
      </c>
      <c r="F168" s="408">
        <f t="shared" ref="F168:F175" si="48">SUM(G168:J168)</f>
        <v>0</v>
      </c>
      <c r="G168" s="409"/>
      <c r="H168" s="409"/>
      <c r="I168" s="409"/>
      <c r="J168" s="410"/>
    </row>
    <row r="169" spans="1:10">
      <c r="A169" s="735"/>
      <c r="B169" s="701"/>
      <c r="C169" s="698"/>
      <c r="D169" s="698"/>
      <c r="E169" s="403" t="s">
        <v>876</v>
      </c>
      <c r="F169" s="408">
        <f t="shared" si="48"/>
        <v>2524</v>
      </c>
      <c r="G169" s="409">
        <f>'1.5.7 우수관로 교체 및 보수'!B44</f>
        <v>1194</v>
      </c>
      <c r="H169" s="409">
        <f>'1.5.7 우수관로 교체 및 보수'!C44</f>
        <v>0</v>
      </c>
      <c r="I169" s="409">
        <f>'1.5.7 우수관로 교체 및 보수'!D44</f>
        <v>0</v>
      </c>
      <c r="J169" s="410">
        <f>'1.5.7 우수관로 교체 및 보수'!E44</f>
        <v>1330</v>
      </c>
    </row>
    <row r="170" spans="1:10">
      <c r="A170" s="735"/>
      <c r="B170" s="701"/>
      <c r="C170" s="698"/>
      <c r="D170" s="698" t="s">
        <v>884</v>
      </c>
      <c r="E170" s="710"/>
      <c r="F170" s="408">
        <f t="shared" si="48"/>
        <v>268</v>
      </c>
      <c r="G170" s="409">
        <f>'1.5.5 오수관로신설'!B7</f>
        <v>180</v>
      </c>
      <c r="H170" s="409">
        <f>'1.5.5 오수관로신설'!C7</f>
        <v>0</v>
      </c>
      <c r="I170" s="409">
        <f>'1.5.5 오수관로신설'!D7</f>
        <v>88</v>
      </c>
      <c r="J170" s="410">
        <f>'1.5.5 오수관로신설'!E7</f>
        <v>0</v>
      </c>
    </row>
    <row r="171" spans="1:10">
      <c r="A171" s="735"/>
      <c r="B171" s="701"/>
      <c r="C171" s="698"/>
      <c r="D171" s="698" t="s">
        <v>885</v>
      </c>
      <c r="E171" s="710"/>
      <c r="F171" s="408">
        <f t="shared" si="48"/>
        <v>1368</v>
      </c>
      <c r="G171" s="409">
        <f>'1.5.5 오수관로신설'!B6</f>
        <v>839</v>
      </c>
      <c r="H171" s="409">
        <f>'1.5.5 오수관로신설'!C6</f>
        <v>104</v>
      </c>
      <c r="I171" s="409">
        <f>'1.5.5 오수관로신설'!D6</f>
        <v>425</v>
      </c>
      <c r="J171" s="410">
        <f>'1.5.5 오수관로신설'!E6</f>
        <v>0</v>
      </c>
    </row>
    <row r="172" spans="1:10">
      <c r="A172" s="735"/>
      <c r="B172" s="701"/>
      <c r="C172" s="698" t="s">
        <v>886</v>
      </c>
      <c r="D172" s="698"/>
      <c r="E172" s="710"/>
      <c r="F172" s="408">
        <f t="shared" si="48"/>
        <v>0</v>
      </c>
      <c r="G172" s="409">
        <f>'1.5.8 하수저류시설'!B11</f>
        <v>0</v>
      </c>
      <c r="H172" s="409">
        <f>'1.5.8 하수저류시설'!C11</f>
        <v>0</v>
      </c>
      <c r="I172" s="409">
        <f>'1.5.8 하수저류시설'!D11</f>
        <v>0</v>
      </c>
      <c r="J172" s="410">
        <f>'1.5.8 하수저류시설'!E11</f>
        <v>0</v>
      </c>
    </row>
    <row r="173" spans="1:10">
      <c r="A173" s="735"/>
      <c r="B173" s="701"/>
      <c r="C173" s="698" t="s">
        <v>887</v>
      </c>
      <c r="D173" s="698"/>
      <c r="E173" s="710"/>
      <c r="F173" s="408">
        <f t="shared" si="48"/>
        <v>0</v>
      </c>
      <c r="G173" s="409"/>
      <c r="H173" s="409"/>
      <c r="I173" s="409"/>
      <c r="J173" s="410"/>
    </row>
    <row r="174" spans="1:10">
      <c r="A174" s="735"/>
      <c r="B174" s="702"/>
      <c r="C174" s="715" t="s">
        <v>888</v>
      </c>
      <c r="D174" s="715"/>
      <c r="E174" s="722"/>
      <c r="F174" s="411">
        <f t="shared" si="48"/>
        <v>0</v>
      </c>
      <c r="G174" s="412"/>
      <c r="H174" s="412"/>
      <c r="I174" s="412"/>
      <c r="J174" s="413"/>
    </row>
    <row r="175" spans="1:10">
      <c r="A175" s="735"/>
      <c r="B175" s="723" t="s">
        <v>900</v>
      </c>
      <c r="C175" s="724"/>
      <c r="D175" s="724"/>
      <c r="E175" s="725"/>
      <c r="F175" s="421">
        <f t="shared" si="48"/>
        <v>0</v>
      </c>
      <c r="G175" s="422"/>
      <c r="H175" s="422"/>
      <c r="I175" s="422"/>
      <c r="J175" s="423"/>
    </row>
    <row r="176" spans="1:10">
      <c r="A176" s="735"/>
      <c r="B176" s="726" t="s">
        <v>899</v>
      </c>
      <c r="C176" s="727"/>
      <c r="D176" s="730" t="s">
        <v>878</v>
      </c>
      <c r="E176" s="731"/>
      <c r="F176" s="424">
        <f>SUM(F177,F182,F187)</f>
        <v>3220</v>
      </c>
      <c r="G176" s="425">
        <f>SUM(G177,G182,G187)</f>
        <v>1722</v>
      </c>
      <c r="H176" s="425">
        <f>SUM(H177,H182,H187)</f>
        <v>81</v>
      </c>
      <c r="I176" s="425">
        <f>SUM(I177,I182,I187)</f>
        <v>425</v>
      </c>
      <c r="J176" s="426">
        <f>SUM(J177,J182,J187)</f>
        <v>992</v>
      </c>
    </row>
    <row r="177" spans="1:10">
      <c r="A177" s="735"/>
      <c r="B177" s="701"/>
      <c r="C177" s="718"/>
      <c r="D177" s="698" t="s">
        <v>889</v>
      </c>
      <c r="E177" s="432" t="s">
        <v>880</v>
      </c>
      <c r="F177" s="433">
        <f t="shared" ref="F177:F182" si="49">SUM(G177:J177)</f>
        <v>1056</v>
      </c>
      <c r="G177" s="429">
        <f>SUM(G178:G181)</f>
        <v>562</v>
      </c>
      <c r="H177" s="429">
        <f>SUM(H178:H181)</f>
        <v>30</v>
      </c>
      <c r="I177" s="429">
        <f>SUM(I178:I181)</f>
        <v>139</v>
      </c>
      <c r="J177" s="430">
        <f>SUM(J178:J181)</f>
        <v>325</v>
      </c>
    </row>
    <row r="178" spans="1:10">
      <c r="A178" s="735"/>
      <c r="B178" s="701"/>
      <c r="C178" s="718"/>
      <c r="D178" s="698"/>
      <c r="E178" s="402" t="s">
        <v>890</v>
      </c>
      <c r="F178" s="414">
        <f t="shared" si="49"/>
        <v>501</v>
      </c>
      <c r="G178" s="409">
        <f>'1.5.2 공공하수처리시설 신증설'!B53</f>
        <v>245</v>
      </c>
      <c r="H178" s="409">
        <f>'1.5.2 공공하수처리시설 신증설'!C53</f>
        <v>0</v>
      </c>
      <c r="I178" s="409">
        <f>'1.5.2 공공하수처리시설 신증설'!D53</f>
        <v>0</v>
      </c>
      <c r="J178" s="410">
        <f>'1.5.2 공공하수처리시설 신증설'!E53</f>
        <v>256</v>
      </c>
    </row>
    <row r="179" spans="1:10">
      <c r="A179" s="735"/>
      <c r="B179" s="701"/>
      <c r="C179" s="718"/>
      <c r="D179" s="698"/>
      <c r="E179" s="402" t="s">
        <v>891</v>
      </c>
      <c r="F179" s="414">
        <f t="shared" si="49"/>
        <v>555</v>
      </c>
      <c r="G179" s="409">
        <f>'1.5.4 오수간선및차집관로 교체및보수'!B52+'1.5.5 오수관로신설'!B52+'1.5.6 오수관로 교체및보수'!B53+'1.5.7 우수관로 교체 및 보수'!B45</f>
        <v>317</v>
      </c>
      <c r="H179" s="409">
        <f>'1.5.4 오수간선및차집관로 교체및보수'!C52+'1.5.5 오수관로신설'!C52+'1.5.6 오수관로 교체및보수'!C53+'1.5.7 우수관로 교체 및 보수'!C45</f>
        <v>30</v>
      </c>
      <c r="I179" s="409">
        <f>'1.5.4 오수간선및차집관로 교체및보수'!D52+'1.5.5 오수관로신설'!D52+'1.5.6 오수관로 교체및보수'!D53+'1.5.7 우수관로 교체 및 보수'!D45</f>
        <v>139</v>
      </c>
      <c r="J179" s="410">
        <f>'1.5.4 오수간선및차집관로 교체및보수'!E52+'1.5.5 오수관로신설'!E52+'1.5.6 오수관로 교체및보수'!E53+'1.5.7 우수관로 교체 및 보수'!E45</f>
        <v>69</v>
      </c>
    </row>
    <row r="180" spans="1:10">
      <c r="A180" s="735"/>
      <c r="B180" s="701"/>
      <c r="C180" s="718"/>
      <c r="D180" s="698"/>
      <c r="E180" s="402" t="s">
        <v>892</v>
      </c>
      <c r="F180" s="414">
        <f t="shared" si="49"/>
        <v>0</v>
      </c>
      <c r="G180" s="409"/>
      <c r="H180" s="409">
        <f>'1.5.8 하수저류시설'!C52</f>
        <v>0</v>
      </c>
      <c r="I180" s="409"/>
      <c r="J180" s="410"/>
    </row>
    <row r="181" spans="1:10">
      <c r="A181" s="735"/>
      <c r="B181" s="701"/>
      <c r="C181" s="718"/>
      <c r="D181" s="698"/>
      <c r="E181" s="402" t="s">
        <v>893</v>
      </c>
      <c r="F181" s="414">
        <f t="shared" si="49"/>
        <v>0</v>
      </c>
      <c r="G181" s="409"/>
      <c r="H181" s="409"/>
      <c r="I181" s="409"/>
      <c r="J181" s="410"/>
    </row>
    <row r="182" spans="1:10">
      <c r="A182" s="735"/>
      <c r="B182" s="701"/>
      <c r="C182" s="718"/>
      <c r="D182" s="698" t="s">
        <v>894</v>
      </c>
      <c r="E182" s="432" t="s">
        <v>880</v>
      </c>
      <c r="F182" s="433">
        <f t="shared" si="49"/>
        <v>2091</v>
      </c>
      <c r="G182" s="429">
        <f>SUM(G183:G186)</f>
        <v>1124</v>
      </c>
      <c r="H182" s="429">
        <f>SUM(H183:H186)</f>
        <v>47</v>
      </c>
      <c r="I182" s="429">
        <f>SUM(I183:I186)</f>
        <v>275</v>
      </c>
      <c r="J182" s="430">
        <f>SUM(J183:J186)</f>
        <v>645</v>
      </c>
    </row>
    <row r="183" spans="1:10">
      <c r="A183" s="736"/>
      <c r="B183" s="701"/>
      <c r="C183" s="718"/>
      <c r="D183" s="698"/>
      <c r="E183" s="402" t="s">
        <v>890</v>
      </c>
      <c r="F183" s="414">
        <f t="shared" ref="F183:F190" si="50">SUM(G183:J183)</f>
        <v>1016</v>
      </c>
      <c r="G183" s="409">
        <f>'1.5.2 공공하수처리시설 신증설'!B54</f>
        <v>496</v>
      </c>
      <c r="H183" s="409">
        <f>'1.5.2 공공하수처리시설 신증설'!C54</f>
        <v>0</v>
      </c>
      <c r="I183" s="409">
        <f>'1.5.2 공공하수처리시설 신증설'!D54</f>
        <v>0</v>
      </c>
      <c r="J183" s="410">
        <f>'1.5.2 공공하수처리시설 신증설'!E54</f>
        <v>520</v>
      </c>
    </row>
    <row r="184" spans="1:10">
      <c r="A184" s="736"/>
      <c r="B184" s="701"/>
      <c r="C184" s="718"/>
      <c r="D184" s="698"/>
      <c r="E184" s="402" t="s">
        <v>891</v>
      </c>
      <c r="F184" s="414">
        <f t="shared" si="50"/>
        <v>1075</v>
      </c>
      <c r="G184" s="409">
        <f>'1.5.4 오수간선및차집관로 교체및보수'!B53+'1.5.5 오수관로신설'!B53+'1.5.6 오수관로 교체및보수'!B54+'1.5.7 우수관로 교체 및 보수'!B46</f>
        <v>628</v>
      </c>
      <c r="H184" s="409">
        <f>'1.5.4 오수간선및차집관로 교체및보수'!C53+'1.5.5 오수관로신설'!C53+'1.5.6 오수관로 교체및보수'!C54+'1.5.7 우수관로 교체 및 보수'!C46</f>
        <v>47</v>
      </c>
      <c r="I184" s="409">
        <f>'1.5.4 오수간선및차집관로 교체및보수'!D53+'1.5.5 오수관로신설'!D53+'1.5.6 오수관로 교체및보수'!D54+'1.5.7 우수관로 교체 및 보수'!D46</f>
        <v>275</v>
      </c>
      <c r="J184" s="410">
        <f>'1.5.4 오수간선및차집관로 교체및보수'!E53+'1.5.5 오수관로신설'!E53+'1.5.6 오수관로 교체및보수'!E54+'1.5.7 우수관로 교체 및 보수'!E46</f>
        <v>125</v>
      </c>
    </row>
    <row r="185" spans="1:10">
      <c r="A185" s="736"/>
      <c r="B185" s="701"/>
      <c r="C185" s="718"/>
      <c r="D185" s="698"/>
      <c r="E185" s="402" t="s">
        <v>892</v>
      </c>
      <c r="F185" s="414">
        <f t="shared" si="50"/>
        <v>0</v>
      </c>
      <c r="G185" s="409"/>
      <c r="H185" s="409">
        <f>'1.5.8 하수저류시설'!C53</f>
        <v>0</v>
      </c>
      <c r="I185" s="409"/>
      <c r="J185" s="410"/>
    </row>
    <row r="186" spans="1:10">
      <c r="A186" s="736"/>
      <c r="B186" s="701"/>
      <c r="C186" s="718"/>
      <c r="D186" s="698"/>
      <c r="E186" s="402" t="s">
        <v>893</v>
      </c>
      <c r="F186" s="414">
        <f t="shared" si="50"/>
        <v>0</v>
      </c>
      <c r="G186" s="409"/>
      <c r="H186" s="409"/>
      <c r="I186" s="409"/>
      <c r="J186" s="410"/>
    </row>
    <row r="187" spans="1:10">
      <c r="A187" s="736"/>
      <c r="B187" s="701"/>
      <c r="C187" s="718"/>
      <c r="D187" s="698" t="s">
        <v>895</v>
      </c>
      <c r="E187" s="432" t="s">
        <v>880</v>
      </c>
      <c r="F187" s="433">
        <f t="shared" si="50"/>
        <v>73</v>
      </c>
      <c r="G187" s="429">
        <f>SUM(G188:G191)</f>
        <v>36</v>
      </c>
      <c r="H187" s="429">
        <f>SUM(H188:H191)</f>
        <v>4</v>
      </c>
      <c r="I187" s="429">
        <f>SUM(I188:I191)</f>
        <v>11</v>
      </c>
      <c r="J187" s="430">
        <f>SUM(J188:J191)</f>
        <v>22</v>
      </c>
    </row>
    <row r="188" spans="1:10">
      <c r="A188" s="736"/>
      <c r="B188" s="701"/>
      <c r="C188" s="718"/>
      <c r="D188" s="698"/>
      <c r="E188" s="402" t="s">
        <v>890</v>
      </c>
      <c r="F188" s="414">
        <f t="shared" si="50"/>
        <v>29</v>
      </c>
      <c r="G188" s="409">
        <f>'1.5.2 공공하수처리시설 신증설'!B55</f>
        <v>14</v>
      </c>
      <c r="H188" s="409">
        <f>'1.5.2 공공하수처리시설 신증설'!C55</f>
        <v>0</v>
      </c>
      <c r="I188" s="409">
        <f>'1.5.2 공공하수처리시설 신증설'!D55</f>
        <v>0</v>
      </c>
      <c r="J188" s="410">
        <f>'1.5.2 공공하수처리시설 신증설'!E55</f>
        <v>15</v>
      </c>
    </row>
    <row r="189" spans="1:10">
      <c r="A189" s="736"/>
      <c r="B189" s="701"/>
      <c r="C189" s="718"/>
      <c r="D189" s="698"/>
      <c r="E189" s="402" t="s">
        <v>891</v>
      </c>
      <c r="F189" s="414">
        <f t="shared" si="50"/>
        <v>44</v>
      </c>
      <c r="G189" s="409">
        <f>'1.5.4 오수간선및차집관로 교체및보수'!B54+'1.5.5 오수관로신설'!B54+'1.5.6 오수관로 교체및보수'!B55+'1.5.7 우수관로 교체 및 보수'!B47</f>
        <v>22</v>
      </c>
      <c r="H189" s="409">
        <f>'1.5.4 오수간선및차집관로 교체및보수'!C54+'1.5.5 오수관로신설'!C54+'1.5.6 오수관로 교체및보수'!C55+'1.5.7 우수관로 교체 및 보수'!C47</f>
        <v>4</v>
      </c>
      <c r="I189" s="409">
        <f>'1.5.4 오수간선및차집관로 교체및보수'!D54+'1.5.5 오수관로신설'!D54+'1.5.6 오수관로 교체및보수'!D55+'1.5.7 우수관로 교체 및 보수'!D47</f>
        <v>11</v>
      </c>
      <c r="J189" s="410">
        <f>'1.5.4 오수간선및차집관로 교체및보수'!E54+'1.5.5 오수관로신설'!E54+'1.5.6 오수관로 교체및보수'!E55+'1.5.7 우수관로 교체 및 보수'!E47</f>
        <v>7</v>
      </c>
    </row>
    <row r="190" spans="1:10">
      <c r="A190" s="736"/>
      <c r="B190" s="701"/>
      <c r="C190" s="718"/>
      <c r="D190" s="698"/>
      <c r="E190" s="402" t="s">
        <v>892</v>
      </c>
      <c r="F190" s="414">
        <f t="shared" si="50"/>
        <v>0</v>
      </c>
      <c r="G190" s="409"/>
      <c r="H190" s="409">
        <f>'1.5.8 하수저류시설'!C54</f>
        <v>0</v>
      </c>
      <c r="I190" s="409"/>
      <c r="J190" s="410"/>
    </row>
    <row r="191" spans="1:10">
      <c r="A191" s="737"/>
      <c r="B191" s="728"/>
      <c r="C191" s="729"/>
      <c r="D191" s="708"/>
      <c r="E191" s="407" t="s">
        <v>893</v>
      </c>
      <c r="F191" s="415">
        <f>SUM(G191:J191)</f>
        <v>0</v>
      </c>
      <c r="G191" s="416"/>
      <c r="H191" s="416"/>
      <c r="I191" s="416"/>
      <c r="J191" s="417"/>
    </row>
    <row r="192" spans="1:10">
      <c r="A192" s="732" t="s">
        <v>898</v>
      </c>
      <c r="B192" s="695" t="s">
        <v>902</v>
      </c>
      <c r="C192" s="696"/>
      <c r="D192" s="696"/>
      <c r="E192" s="697"/>
      <c r="F192" s="418">
        <f>SUM(F193,F213,F214)</f>
        <v>15944</v>
      </c>
      <c r="G192" s="419">
        <f>SUM(G193,G213,G214)</f>
        <v>7343</v>
      </c>
      <c r="H192" s="419">
        <f>SUM(H193,H213,H214)</f>
        <v>3964</v>
      </c>
      <c r="I192" s="419">
        <f>SUM(I193,I213,I214)</f>
        <v>4242</v>
      </c>
      <c r="J192" s="420">
        <f>SUM(J193,J213,J214)</f>
        <v>395</v>
      </c>
    </row>
    <row r="193" spans="1:10">
      <c r="A193" s="732"/>
      <c r="B193" s="700" t="s">
        <v>901</v>
      </c>
      <c r="C193" s="703" t="s">
        <v>871</v>
      </c>
      <c r="D193" s="703"/>
      <c r="E193" s="721"/>
      <c r="F193" s="427">
        <f>SUM(F194,F198,F210,F211,F212)</f>
        <v>13911</v>
      </c>
      <c r="G193" s="425">
        <f>SUM(G194,G198,G210,G211,G212)</f>
        <v>6418</v>
      </c>
      <c r="H193" s="425">
        <f>SUM(H194,H198,H210,H211,H212)</f>
        <v>3455</v>
      </c>
      <c r="I193" s="425">
        <f>SUM(I194,I198,I210,I211,I212)</f>
        <v>3699</v>
      </c>
      <c r="J193" s="426">
        <f>SUM(J194,J198,J210,J211,J212)</f>
        <v>339</v>
      </c>
    </row>
    <row r="194" spans="1:10" ht="16.5" customHeight="1">
      <c r="A194" s="732"/>
      <c r="B194" s="701"/>
      <c r="C194" s="705" t="s">
        <v>872</v>
      </c>
      <c r="D194" s="706" t="s">
        <v>873</v>
      </c>
      <c r="E194" s="709"/>
      <c r="F194" s="428">
        <f>SUM(F195:F197)</f>
        <v>0</v>
      </c>
      <c r="G194" s="429">
        <f>SUM(G195:G197)</f>
        <v>0</v>
      </c>
      <c r="H194" s="429">
        <f>SUM(H195:H197)</f>
        <v>0</v>
      </c>
      <c r="I194" s="429">
        <f>SUM(I195:I197)</f>
        <v>0</v>
      </c>
      <c r="J194" s="430">
        <f>SUM(J195:J197)</f>
        <v>0</v>
      </c>
    </row>
    <row r="195" spans="1:10">
      <c r="A195" s="732"/>
      <c r="B195" s="701"/>
      <c r="C195" s="698"/>
      <c r="D195" s="698" t="s">
        <v>874</v>
      </c>
      <c r="E195" s="710"/>
      <c r="F195" s="408">
        <f>SUM(G195:J195)</f>
        <v>0</v>
      </c>
      <c r="G195" s="409"/>
      <c r="H195" s="409"/>
      <c r="I195" s="409"/>
      <c r="J195" s="410"/>
    </row>
    <row r="196" spans="1:10">
      <c r="A196" s="732"/>
      <c r="B196" s="701"/>
      <c r="C196" s="698"/>
      <c r="D196" s="698" t="s">
        <v>875</v>
      </c>
      <c r="E196" s="710"/>
      <c r="F196" s="408">
        <f>SUM(G196:J196)</f>
        <v>0</v>
      </c>
      <c r="G196" s="409">
        <f>'1.6.2 공공하수처리시설 신증설'!B52</f>
        <v>0</v>
      </c>
      <c r="H196" s="409">
        <f>'1.6.2 공공하수처리시설 신증설'!C52</f>
        <v>0</v>
      </c>
      <c r="I196" s="409">
        <f>'1.6.2 공공하수처리시설 신증설'!D52</f>
        <v>0</v>
      </c>
      <c r="J196" s="410">
        <f>'1.6.2 공공하수처리시설 신증설'!E52</f>
        <v>0</v>
      </c>
    </row>
    <row r="197" spans="1:10">
      <c r="A197" s="732"/>
      <c r="B197" s="701"/>
      <c r="C197" s="698"/>
      <c r="D197" s="698" t="s">
        <v>876</v>
      </c>
      <c r="E197" s="710"/>
      <c r="F197" s="408">
        <f>SUM(G197:J197)</f>
        <v>0</v>
      </c>
      <c r="G197" s="409"/>
      <c r="H197" s="409"/>
      <c r="I197" s="409"/>
      <c r="J197" s="410"/>
    </row>
    <row r="198" spans="1:10" ht="16.5" customHeight="1">
      <c r="A198" s="732"/>
      <c r="B198" s="701"/>
      <c r="C198" s="705" t="s">
        <v>877</v>
      </c>
      <c r="D198" s="706" t="s">
        <v>878</v>
      </c>
      <c r="E198" s="709"/>
      <c r="F198" s="428">
        <f>SUM(F199,F202,F205,F208:F209)</f>
        <v>13911</v>
      </c>
      <c r="G198" s="429">
        <f>SUM(G199,G202,G205,G208:G209)</f>
        <v>6418</v>
      </c>
      <c r="H198" s="429">
        <f>SUM(H199,H202,H205,H208:H209)</f>
        <v>3455</v>
      </c>
      <c r="I198" s="429">
        <f>SUM(I199,I202,I205,I208:I209)</f>
        <v>3699</v>
      </c>
      <c r="J198" s="430">
        <f>SUM(J199,J202,J205,J208:J209)</f>
        <v>339</v>
      </c>
    </row>
    <row r="199" spans="1:10">
      <c r="A199" s="732"/>
      <c r="B199" s="701"/>
      <c r="C199" s="698"/>
      <c r="D199" s="698" t="s">
        <v>879</v>
      </c>
      <c r="E199" s="431" t="s">
        <v>880</v>
      </c>
      <c r="F199" s="428">
        <f>SUM(F200:F201)</f>
        <v>0</v>
      </c>
      <c r="G199" s="429">
        <f>SUM(G200:G201)</f>
        <v>0</v>
      </c>
      <c r="H199" s="429">
        <f>SUM(H200:H201)</f>
        <v>0</v>
      </c>
      <c r="I199" s="429">
        <f>SUM(I200:I201)</f>
        <v>0</v>
      </c>
      <c r="J199" s="430">
        <f>SUM(J200:J201)</f>
        <v>0</v>
      </c>
    </row>
    <row r="200" spans="1:10">
      <c r="A200" s="732"/>
      <c r="B200" s="701"/>
      <c r="C200" s="698"/>
      <c r="D200" s="698"/>
      <c r="E200" s="403" t="s">
        <v>881</v>
      </c>
      <c r="F200" s="408">
        <f>SUM(G200:J200)</f>
        <v>0</v>
      </c>
      <c r="G200" s="409"/>
      <c r="H200" s="409"/>
      <c r="I200" s="409"/>
      <c r="J200" s="410"/>
    </row>
    <row r="201" spans="1:10">
      <c r="A201" s="732"/>
      <c r="B201" s="701"/>
      <c r="C201" s="698"/>
      <c r="D201" s="698"/>
      <c r="E201" s="403" t="s">
        <v>876</v>
      </c>
      <c r="F201" s="408">
        <f>SUM(G201:J201)</f>
        <v>0</v>
      </c>
      <c r="G201" s="409">
        <f>'1.6.4 오수간선및차집관로 교체및보수'!B51</f>
        <v>0</v>
      </c>
      <c r="H201" s="409">
        <f>'1.6.4 오수간선및차집관로 교체및보수'!C51</f>
        <v>0</v>
      </c>
      <c r="I201" s="409">
        <f>'1.6.4 오수간선및차집관로 교체및보수'!D51</f>
        <v>0</v>
      </c>
      <c r="J201" s="410">
        <f>'1.6.4 오수간선및차집관로 교체및보수'!E51</f>
        <v>0</v>
      </c>
    </row>
    <row r="202" spans="1:10">
      <c r="A202" s="732"/>
      <c r="B202" s="701"/>
      <c r="C202" s="698"/>
      <c r="D202" s="698" t="s">
        <v>882</v>
      </c>
      <c r="E202" s="431" t="s">
        <v>880</v>
      </c>
      <c r="F202" s="428">
        <f>SUM(F203:F204)</f>
        <v>6848</v>
      </c>
      <c r="G202" s="429">
        <f>SUM(G203:G204)</f>
        <v>4839</v>
      </c>
      <c r="H202" s="429">
        <f>SUM(H203:H204)</f>
        <v>425</v>
      </c>
      <c r="I202" s="429">
        <f>SUM(I203:I204)</f>
        <v>1584</v>
      </c>
      <c r="J202" s="430">
        <f>SUM(J203:J204)</f>
        <v>0</v>
      </c>
    </row>
    <row r="203" spans="1:10">
      <c r="A203" s="732"/>
      <c r="B203" s="701"/>
      <c r="C203" s="698"/>
      <c r="D203" s="698"/>
      <c r="E203" s="403" t="s">
        <v>881</v>
      </c>
      <c r="F203" s="408">
        <f>SUM(G203:J203)</f>
        <v>6848</v>
      </c>
      <c r="G203" s="409">
        <f>'1.6.5 오수관로신설'!B5</f>
        <v>4839</v>
      </c>
      <c r="H203" s="409">
        <f>'1.6.5 오수관로신설'!C5</f>
        <v>425</v>
      </c>
      <c r="I203" s="409">
        <f>'1.6.5 오수관로신설'!D5</f>
        <v>1584</v>
      </c>
      <c r="J203" s="410">
        <f>'1.6.5 오수관로신설'!E5</f>
        <v>0</v>
      </c>
    </row>
    <row r="204" spans="1:10">
      <c r="A204" s="732"/>
      <c r="B204" s="701"/>
      <c r="C204" s="698"/>
      <c r="D204" s="698"/>
      <c r="E204" s="403" t="s">
        <v>876</v>
      </c>
      <c r="F204" s="408">
        <f>SUM(G204:J204)</f>
        <v>0</v>
      </c>
      <c r="G204" s="409">
        <f>'1.6.6 오수관로 교체및보수'!B52</f>
        <v>0</v>
      </c>
      <c r="H204" s="409">
        <f>'1.6.6 오수관로 교체및보수'!C52</f>
        <v>0</v>
      </c>
      <c r="I204" s="409">
        <f>'1.6.6 오수관로 교체및보수'!D52</f>
        <v>0</v>
      </c>
      <c r="J204" s="410">
        <f>'1.6.6 오수관로 교체및보수'!E52</f>
        <v>0</v>
      </c>
    </row>
    <row r="205" spans="1:10">
      <c r="A205" s="732"/>
      <c r="B205" s="701"/>
      <c r="C205" s="698"/>
      <c r="D205" s="698" t="s">
        <v>883</v>
      </c>
      <c r="E205" s="431" t="s">
        <v>880</v>
      </c>
      <c r="F205" s="428">
        <f>SUM(F206:F207)</f>
        <v>6013</v>
      </c>
      <c r="G205" s="429">
        <f>SUM(G206:G207)</f>
        <v>673</v>
      </c>
      <c r="H205" s="429">
        <f>SUM(H206:H207)</f>
        <v>2947</v>
      </c>
      <c r="I205" s="429">
        <f>SUM(I206:I207)</f>
        <v>2054</v>
      </c>
      <c r="J205" s="430">
        <f>SUM(J206:J207)</f>
        <v>339</v>
      </c>
    </row>
    <row r="206" spans="1:10">
      <c r="A206" s="732"/>
      <c r="B206" s="701"/>
      <c r="C206" s="698"/>
      <c r="D206" s="698"/>
      <c r="E206" s="403" t="s">
        <v>881</v>
      </c>
      <c r="F206" s="408">
        <f t="shared" ref="F206:F213" si="51">SUM(G206:J206)</f>
        <v>0</v>
      </c>
      <c r="G206" s="409"/>
      <c r="H206" s="409"/>
      <c r="I206" s="409"/>
      <c r="J206" s="410"/>
    </row>
    <row r="207" spans="1:10">
      <c r="A207" s="732"/>
      <c r="B207" s="701"/>
      <c r="C207" s="698"/>
      <c r="D207" s="698"/>
      <c r="E207" s="403" t="s">
        <v>876</v>
      </c>
      <c r="F207" s="408">
        <f t="shared" si="51"/>
        <v>6013</v>
      </c>
      <c r="G207" s="409">
        <f>'1.6.7 우수관로 교체 및 보수'!B44</f>
        <v>673</v>
      </c>
      <c r="H207" s="409">
        <f>'1.6.7 우수관로 교체 및 보수'!C44</f>
        <v>2947</v>
      </c>
      <c r="I207" s="409">
        <f>'1.6.7 우수관로 교체 및 보수'!D44</f>
        <v>2054</v>
      </c>
      <c r="J207" s="410">
        <f>'1.6.7 우수관로 교체 및 보수'!E44</f>
        <v>339</v>
      </c>
    </row>
    <row r="208" spans="1:10">
      <c r="A208" s="732"/>
      <c r="B208" s="701"/>
      <c r="C208" s="698"/>
      <c r="D208" s="698" t="s">
        <v>884</v>
      </c>
      <c r="E208" s="710"/>
      <c r="F208" s="408">
        <f t="shared" si="51"/>
        <v>96</v>
      </c>
      <c r="G208" s="409">
        <f>'1.6.5 오수관로신설'!B7</f>
        <v>96</v>
      </c>
      <c r="H208" s="409">
        <f>'1.6.5 오수관로신설'!C7</f>
        <v>0</v>
      </c>
      <c r="I208" s="409">
        <f>'1.6.5 오수관로신설'!D7</f>
        <v>0</v>
      </c>
      <c r="J208" s="410">
        <f>'1.6.5 오수관로신설'!E7</f>
        <v>0</v>
      </c>
    </row>
    <row r="209" spans="1:10">
      <c r="A209" s="732"/>
      <c r="B209" s="701"/>
      <c r="C209" s="698"/>
      <c r="D209" s="698" t="s">
        <v>885</v>
      </c>
      <c r="E209" s="710"/>
      <c r="F209" s="408">
        <f t="shared" si="51"/>
        <v>954</v>
      </c>
      <c r="G209" s="409">
        <f>'1.6.5 오수관로신설'!B6</f>
        <v>810</v>
      </c>
      <c r="H209" s="409">
        <f>'1.6.5 오수관로신설'!C6</f>
        <v>83</v>
      </c>
      <c r="I209" s="409">
        <f>'1.6.5 오수관로신설'!D6</f>
        <v>61</v>
      </c>
      <c r="J209" s="410">
        <f>'1.6.5 오수관로신설'!E6</f>
        <v>0</v>
      </c>
    </row>
    <row r="210" spans="1:10">
      <c r="A210" s="732"/>
      <c r="B210" s="701"/>
      <c r="C210" s="698" t="s">
        <v>886</v>
      </c>
      <c r="D210" s="698"/>
      <c r="E210" s="710"/>
      <c r="F210" s="408">
        <f t="shared" si="51"/>
        <v>0</v>
      </c>
      <c r="G210" s="409">
        <f>'1.6.8 하수저류시설'!B11</f>
        <v>0</v>
      </c>
      <c r="H210" s="409">
        <f>'1.6.8 하수저류시설'!C11</f>
        <v>0</v>
      </c>
      <c r="I210" s="409">
        <f>'1.6.8 하수저류시설'!D11</f>
        <v>0</v>
      </c>
      <c r="J210" s="410">
        <f>'1.6.8 하수저류시설'!E11</f>
        <v>0</v>
      </c>
    </row>
    <row r="211" spans="1:10">
      <c r="A211" s="732"/>
      <c r="B211" s="701"/>
      <c r="C211" s="698" t="s">
        <v>887</v>
      </c>
      <c r="D211" s="698"/>
      <c r="E211" s="710"/>
      <c r="F211" s="408">
        <f t="shared" si="51"/>
        <v>0</v>
      </c>
      <c r="G211" s="409"/>
      <c r="H211" s="409"/>
      <c r="I211" s="409"/>
      <c r="J211" s="410"/>
    </row>
    <row r="212" spans="1:10">
      <c r="A212" s="732"/>
      <c r="B212" s="702"/>
      <c r="C212" s="715" t="s">
        <v>888</v>
      </c>
      <c r="D212" s="715"/>
      <c r="E212" s="722"/>
      <c r="F212" s="411">
        <f t="shared" si="51"/>
        <v>0</v>
      </c>
      <c r="G212" s="412"/>
      <c r="H212" s="412"/>
      <c r="I212" s="412"/>
      <c r="J212" s="413"/>
    </row>
    <row r="213" spans="1:10">
      <c r="A213" s="732"/>
      <c r="B213" s="723" t="s">
        <v>900</v>
      </c>
      <c r="C213" s="724"/>
      <c r="D213" s="724"/>
      <c r="E213" s="725"/>
      <c r="F213" s="421">
        <f t="shared" si="51"/>
        <v>0</v>
      </c>
      <c r="G213" s="422"/>
      <c r="H213" s="422"/>
      <c r="I213" s="422"/>
      <c r="J213" s="423"/>
    </row>
    <row r="214" spans="1:10">
      <c r="A214" s="732"/>
      <c r="B214" s="726" t="s">
        <v>899</v>
      </c>
      <c r="C214" s="727"/>
      <c r="D214" s="730" t="s">
        <v>878</v>
      </c>
      <c r="E214" s="731"/>
      <c r="F214" s="424">
        <f>SUM(F215,F220,F225)</f>
        <v>2033</v>
      </c>
      <c r="G214" s="425">
        <f>SUM(G215,G220,G225)</f>
        <v>925</v>
      </c>
      <c r="H214" s="425">
        <f>SUM(H215,H220,H225)</f>
        <v>509</v>
      </c>
      <c r="I214" s="425">
        <f>SUM(I215,I220,I225)</f>
        <v>543</v>
      </c>
      <c r="J214" s="426">
        <f>SUM(J215,J220,J225)</f>
        <v>56</v>
      </c>
    </row>
    <row r="215" spans="1:10">
      <c r="A215" s="732"/>
      <c r="B215" s="701"/>
      <c r="C215" s="718"/>
      <c r="D215" s="698" t="s">
        <v>889</v>
      </c>
      <c r="E215" s="432" t="s">
        <v>880</v>
      </c>
      <c r="F215" s="433">
        <f t="shared" ref="F215:F220" si="52">SUM(G215:J215)</f>
        <v>679</v>
      </c>
      <c r="G215" s="429">
        <f>SUM(G216:G219)</f>
        <v>304</v>
      </c>
      <c r="H215" s="429">
        <f>SUM(H216:H219)</f>
        <v>170</v>
      </c>
      <c r="I215" s="429">
        <f>SUM(I216:I219)</f>
        <v>183</v>
      </c>
      <c r="J215" s="430">
        <f>SUM(J216:J219)</f>
        <v>22</v>
      </c>
    </row>
    <row r="216" spans="1:10">
      <c r="A216" s="732"/>
      <c r="B216" s="701"/>
      <c r="C216" s="718"/>
      <c r="D216" s="698"/>
      <c r="E216" s="402" t="s">
        <v>890</v>
      </c>
      <c r="F216" s="414">
        <f t="shared" si="52"/>
        <v>0</v>
      </c>
      <c r="G216" s="409">
        <f>'1.6.2 공공하수처리시설 신증설'!B53</f>
        <v>0</v>
      </c>
      <c r="H216" s="409">
        <f>'1.6.2 공공하수처리시설 신증설'!C53</f>
        <v>0</v>
      </c>
      <c r="I216" s="409">
        <f>'1.6.2 공공하수처리시설 신증설'!D53</f>
        <v>0</v>
      </c>
      <c r="J216" s="410">
        <f>'1.6.2 공공하수처리시설 신증설'!E53</f>
        <v>0</v>
      </c>
    </row>
    <row r="217" spans="1:10">
      <c r="A217" s="732"/>
      <c r="B217" s="701"/>
      <c r="C217" s="718"/>
      <c r="D217" s="698"/>
      <c r="E217" s="402" t="s">
        <v>891</v>
      </c>
      <c r="F217" s="414">
        <f t="shared" si="52"/>
        <v>679</v>
      </c>
      <c r="G217" s="409">
        <f>'1.6.4 오수간선및차집관로 교체및보수'!B52+'1.6.5 오수관로신설'!B52+'1.6.6 오수관로 교체및보수'!B53+'1.6.7 우수관로 교체 및 보수'!B45</f>
        <v>304</v>
      </c>
      <c r="H217" s="409">
        <f>'1.6.4 오수간선및차집관로 교체및보수'!C52+'1.6.5 오수관로신설'!C52+'1.6.6 오수관로 교체및보수'!C53+'1.6.7 우수관로 교체 및 보수'!C45</f>
        <v>170</v>
      </c>
      <c r="I217" s="409">
        <f>'1.6.4 오수간선및차집관로 교체및보수'!D52+'1.6.5 오수관로신설'!D52+'1.6.6 오수관로 교체및보수'!D53+'1.6.7 우수관로 교체 및 보수'!D45</f>
        <v>183</v>
      </c>
      <c r="J217" s="410">
        <f>'1.6.4 오수간선및차집관로 교체및보수'!E52+'1.6.5 오수관로신설'!E52+'1.6.6 오수관로 교체및보수'!E53+'1.6.7 우수관로 교체 및 보수'!E45</f>
        <v>22</v>
      </c>
    </row>
    <row r="218" spans="1:10">
      <c r="A218" s="732"/>
      <c r="B218" s="701"/>
      <c r="C218" s="718"/>
      <c r="D218" s="698"/>
      <c r="E218" s="402" t="s">
        <v>892</v>
      </c>
      <c r="F218" s="414">
        <f t="shared" si="52"/>
        <v>0</v>
      </c>
      <c r="G218" s="409"/>
      <c r="H218" s="409">
        <f>'1.6.8 하수저류시설'!C52</f>
        <v>0</v>
      </c>
      <c r="I218" s="409"/>
      <c r="J218" s="410"/>
    </row>
    <row r="219" spans="1:10">
      <c r="A219" s="732"/>
      <c r="B219" s="701"/>
      <c r="C219" s="718"/>
      <c r="D219" s="698"/>
      <c r="E219" s="402" t="s">
        <v>893</v>
      </c>
      <c r="F219" s="414">
        <f t="shared" si="52"/>
        <v>0</v>
      </c>
      <c r="G219" s="409"/>
      <c r="H219" s="409"/>
      <c r="I219" s="409"/>
      <c r="J219" s="410"/>
    </row>
    <row r="220" spans="1:10">
      <c r="A220" s="732"/>
      <c r="B220" s="701"/>
      <c r="C220" s="718"/>
      <c r="D220" s="698" t="s">
        <v>894</v>
      </c>
      <c r="E220" s="432" t="s">
        <v>880</v>
      </c>
      <c r="F220" s="433">
        <f t="shared" si="52"/>
        <v>1303</v>
      </c>
      <c r="G220" s="429">
        <f>SUM(G221:G224)</f>
        <v>601</v>
      </c>
      <c r="H220" s="429">
        <f>SUM(H221:H224)</f>
        <v>324</v>
      </c>
      <c r="I220" s="429">
        <f>SUM(I221:I224)</f>
        <v>346</v>
      </c>
      <c r="J220" s="430">
        <f>SUM(J221:J224)</f>
        <v>32</v>
      </c>
    </row>
    <row r="221" spans="1:10">
      <c r="A221" s="732"/>
      <c r="B221" s="701"/>
      <c r="C221" s="718"/>
      <c r="D221" s="698"/>
      <c r="E221" s="402" t="s">
        <v>890</v>
      </c>
      <c r="F221" s="414">
        <f t="shared" ref="F221:F228" si="53">SUM(G221:J221)</f>
        <v>0</v>
      </c>
      <c r="G221" s="409">
        <f>'1.6.2 공공하수처리시설 신증설'!B54</f>
        <v>0</v>
      </c>
      <c r="H221" s="409">
        <f>'1.6.2 공공하수처리시설 신증설'!C54</f>
        <v>0</v>
      </c>
      <c r="I221" s="409">
        <f>'1.6.2 공공하수처리시설 신증설'!D54</f>
        <v>0</v>
      </c>
      <c r="J221" s="410">
        <f>'1.6.2 공공하수처리시설 신증설'!E54</f>
        <v>0</v>
      </c>
    </row>
    <row r="222" spans="1:10">
      <c r="A222" s="732"/>
      <c r="B222" s="701"/>
      <c r="C222" s="718"/>
      <c r="D222" s="698"/>
      <c r="E222" s="402" t="s">
        <v>891</v>
      </c>
      <c r="F222" s="414">
        <f t="shared" si="53"/>
        <v>1303</v>
      </c>
      <c r="G222" s="409">
        <f>'1.6.4 오수간선및차집관로 교체및보수'!B53+'1.6.5 오수관로신설'!B53+'1.6.6 오수관로 교체및보수'!B54+'1.6.7 우수관로 교체 및 보수'!B46</f>
        <v>601</v>
      </c>
      <c r="H222" s="409">
        <f>'1.6.4 오수간선및차집관로 교체및보수'!C53+'1.6.5 오수관로신설'!C53+'1.6.6 오수관로 교체및보수'!C54+'1.6.7 우수관로 교체 및 보수'!C46</f>
        <v>324</v>
      </c>
      <c r="I222" s="409">
        <f>'1.6.4 오수간선및차집관로 교체및보수'!D53+'1.6.5 오수관로신설'!D53+'1.6.6 오수관로 교체및보수'!D54+'1.6.7 우수관로 교체 및 보수'!D46</f>
        <v>346</v>
      </c>
      <c r="J222" s="410">
        <f>'1.6.4 오수간선및차집관로 교체및보수'!E53+'1.6.5 오수관로신설'!E53+'1.6.6 오수관로 교체및보수'!E54+'1.6.7 우수관로 교체 및 보수'!E46</f>
        <v>32</v>
      </c>
    </row>
    <row r="223" spans="1:10">
      <c r="A223" s="732"/>
      <c r="B223" s="701"/>
      <c r="C223" s="718"/>
      <c r="D223" s="698"/>
      <c r="E223" s="402" t="s">
        <v>892</v>
      </c>
      <c r="F223" s="414">
        <f t="shared" si="53"/>
        <v>0</v>
      </c>
      <c r="G223" s="409"/>
      <c r="H223" s="409">
        <f>'1.6.8 하수저류시설'!C53</f>
        <v>0</v>
      </c>
      <c r="I223" s="409"/>
      <c r="J223" s="410"/>
    </row>
    <row r="224" spans="1:10">
      <c r="A224" s="732"/>
      <c r="B224" s="701"/>
      <c r="C224" s="718"/>
      <c r="D224" s="698"/>
      <c r="E224" s="402" t="s">
        <v>893</v>
      </c>
      <c r="F224" s="414">
        <f t="shared" si="53"/>
        <v>0</v>
      </c>
      <c r="G224" s="409"/>
      <c r="H224" s="409"/>
      <c r="I224" s="409"/>
      <c r="J224" s="410"/>
    </row>
    <row r="225" spans="1:10">
      <c r="A225" s="732"/>
      <c r="B225" s="701"/>
      <c r="C225" s="718"/>
      <c r="D225" s="698" t="s">
        <v>895</v>
      </c>
      <c r="E225" s="432" t="s">
        <v>880</v>
      </c>
      <c r="F225" s="433">
        <f t="shared" si="53"/>
        <v>51</v>
      </c>
      <c r="G225" s="429">
        <f>SUM(G226:G229)</f>
        <v>20</v>
      </c>
      <c r="H225" s="429">
        <f>SUM(H226:H229)</f>
        <v>15</v>
      </c>
      <c r="I225" s="429">
        <f>SUM(I226:I229)</f>
        <v>14</v>
      </c>
      <c r="J225" s="430">
        <f>SUM(J226:J229)</f>
        <v>2</v>
      </c>
    </row>
    <row r="226" spans="1:10">
      <c r="A226" s="732"/>
      <c r="B226" s="701"/>
      <c r="C226" s="718"/>
      <c r="D226" s="698"/>
      <c r="E226" s="402" t="s">
        <v>890</v>
      </c>
      <c r="F226" s="414">
        <f t="shared" si="53"/>
        <v>0</v>
      </c>
      <c r="G226" s="409">
        <f>'1.6.2 공공하수처리시설 신증설'!B55</f>
        <v>0</v>
      </c>
      <c r="H226" s="409">
        <f>'1.6.2 공공하수처리시설 신증설'!C55</f>
        <v>0</v>
      </c>
      <c r="I226" s="409">
        <f>'1.6.2 공공하수처리시설 신증설'!D55</f>
        <v>0</v>
      </c>
      <c r="J226" s="410">
        <f>'1.6.2 공공하수처리시설 신증설'!E55</f>
        <v>0</v>
      </c>
    </row>
    <row r="227" spans="1:10">
      <c r="A227" s="732"/>
      <c r="B227" s="701"/>
      <c r="C227" s="718"/>
      <c r="D227" s="698"/>
      <c r="E227" s="402" t="s">
        <v>891</v>
      </c>
      <c r="F227" s="414">
        <f t="shared" si="53"/>
        <v>51</v>
      </c>
      <c r="G227" s="409">
        <f>'1.6.4 오수간선및차집관로 교체및보수'!B54+'1.6.5 오수관로신설'!B54+'1.6.6 오수관로 교체및보수'!B55+'1.6.7 우수관로 교체 및 보수'!B47</f>
        <v>20</v>
      </c>
      <c r="H227" s="409">
        <f>'1.6.4 오수간선및차집관로 교체및보수'!C54+'1.6.5 오수관로신설'!C54+'1.6.6 오수관로 교체및보수'!C55+'1.6.7 우수관로 교체 및 보수'!C47</f>
        <v>15</v>
      </c>
      <c r="I227" s="409">
        <f>'1.6.4 오수간선및차집관로 교체및보수'!D54+'1.6.5 오수관로신설'!D54+'1.6.6 오수관로 교체및보수'!D55+'1.6.7 우수관로 교체 및 보수'!D47</f>
        <v>14</v>
      </c>
      <c r="J227" s="410">
        <f>'1.6.4 오수간선및차집관로 교체및보수'!E54+'1.6.5 오수관로신설'!E54+'1.6.6 오수관로 교체및보수'!E55+'1.6.7 우수관로 교체 및 보수'!E47</f>
        <v>2</v>
      </c>
    </row>
    <row r="228" spans="1:10">
      <c r="A228" s="732"/>
      <c r="B228" s="701"/>
      <c r="C228" s="718"/>
      <c r="D228" s="698"/>
      <c r="E228" s="402" t="s">
        <v>892</v>
      </c>
      <c r="F228" s="414">
        <f t="shared" si="53"/>
        <v>0</v>
      </c>
      <c r="G228" s="409"/>
      <c r="H228" s="409">
        <f>'1.6.8 하수저류시설'!C54</f>
        <v>0</v>
      </c>
      <c r="I228" s="409"/>
      <c r="J228" s="410"/>
    </row>
    <row r="229" spans="1:10">
      <c r="A229" s="732"/>
      <c r="B229" s="702"/>
      <c r="C229" s="733"/>
      <c r="D229" s="715"/>
      <c r="E229" s="434" t="s">
        <v>893</v>
      </c>
      <c r="F229" s="415">
        <f>SUM(G229:J229)</f>
        <v>0</v>
      </c>
      <c r="G229" s="416"/>
      <c r="H229" s="416"/>
      <c r="I229" s="416"/>
      <c r="J229" s="417"/>
    </row>
    <row r="230" spans="1:10">
      <c r="A230" s="741" t="s">
        <v>1051</v>
      </c>
      <c r="B230" s="695" t="s">
        <v>902</v>
      </c>
      <c r="C230" s="696"/>
      <c r="D230" s="696"/>
      <c r="E230" s="697"/>
      <c r="F230" s="631">
        <f>SUM(F231,F251,F252)</f>
        <v>17225.900000000001</v>
      </c>
      <c r="G230" s="632">
        <f>SUM(G231,G251,G252)</f>
        <v>7710</v>
      </c>
      <c r="H230" s="632">
        <f>SUM(H231,H251,H252)</f>
        <v>2309.3999999999996</v>
      </c>
      <c r="I230" s="632">
        <f>SUM(I231,I251,I252)</f>
        <v>0</v>
      </c>
      <c r="J230" s="633">
        <f>SUM(J231,J251,J252)</f>
        <v>7206.5</v>
      </c>
    </row>
    <row r="231" spans="1:10">
      <c r="A231" s="742"/>
      <c r="B231" s="700" t="s">
        <v>901</v>
      </c>
      <c r="C231" s="703" t="s">
        <v>860</v>
      </c>
      <c r="D231" s="703"/>
      <c r="E231" s="721"/>
      <c r="F231" s="427">
        <f>SUM(F232,F236,F248,F249,F250)</f>
        <v>15060.9</v>
      </c>
      <c r="G231" s="425">
        <f>SUM(G232,G236,G248,G249,G250)</f>
        <v>6738</v>
      </c>
      <c r="H231" s="425">
        <f>SUM(H232,H236,H248,H249,H250)</f>
        <v>2014.3999999999999</v>
      </c>
      <c r="I231" s="425">
        <f>SUM(I232,I236,I248,I249,I250)</f>
        <v>0</v>
      </c>
      <c r="J231" s="426">
        <f>SUM(J232,J236,J248,J249,J250)</f>
        <v>6308.5</v>
      </c>
    </row>
    <row r="232" spans="1:10">
      <c r="A232" s="742"/>
      <c r="B232" s="701"/>
      <c r="C232" s="705" t="s">
        <v>872</v>
      </c>
      <c r="D232" s="706" t="s">
        <v>406</v>
      </c>
      <c r="E232" s="709"/>
      <c r="F232" s="428">
        <f>SUM(F233:F235)</f>
        <v>11575.9</v>
      </c>
      <c r="G232" s="429">
        <f>SUM(G233:G235)</f>
        <v>3253</v>
      </c>
      <c r="H232" s="429">
        <f>SUM(H233:H235)</f>
        <v>2014.3999999999999</v>
      </c>
      <c r="I232" s="429">
        <f>SUM(I233:I235)</f>
        <v>0</v>
      </c>
      <c r="J232" s="430">
        <f>SUM(J233:J235)</f>
        <v>6308.5</v>
      </c>
    </row>
    <row r="233" spans="1:10">
      <c r="A233" s="742"/>
      <c r="B233" s="701"/>
      <c r="C233" s="698"/>
      <c r="D233" s="698" t="s">
        <v>183</v>
      </c>
      <c r="E233" s="710"/>
      <c r="F233" s="408">
        <f>SUM(G233:J233)</f>
        <v>3253</v>
      </c>
      <c r="G233" s="409">
        <f>'1.7.2 공공하수처리시설 신증설'!B52</f>
        <v>3253</v>
      </c>
      <c r="H233" s="409">
        <v>0</v>
      </c>
      <c r="I233" s="409">
        <v>0</v>
      </c>
      <c r="J233" s="410">
        <v>0</v>
      </c>
    </row>
    <row r="234" spans="1:10">
      <c r="A234" s="742"/>
      <c r="B234" s="701"/>
      <c r="C234" s="698"/>
      <c r="D234" s="698" t="s">
        <v>843</v>
      </c>
      <c r="E234" s="710"/>
      <c r="F234" s="408">
        <f>SUM(G234:J234)</f>
        <v>8322.9</v>
      </c>
      <c r="G234" s="409">
        <v>0</v>
      </c>
      <c r="H234" s="409">
        <f>'1.7.2 공공하수처리시설 신증설'!C52</f>
        <v>2014.3999999999999</v>
      </c>
      <c r="I234" s="409">
        <f>'1.7.2 공공하수처리시설 신증설'!D52</f>
        <v>0</v>
      </c>
      <c r="J234" s="410">
        <f>'1.7.2 공공하수처리시설 신증설'!E52</f>
        <v>6308.5</v>
      </c>
    </row>
    <row r="235" spans="1:10">
      <c r="A235" s="742"/>
      <c r="B235" s="701"/>
      <c r="C235" s="698"/>
      <c r="D235" s="698" t="s">
        <v>194</v>
      </c>
      <c r="E235" s="710"/>
      <c r="F235" s="408">
        <f>SUM(G235:J235)</f>
        <v>0</v>
      </c>
      <c r="G235" s="409"/>
      <c r="H235" s="409"/>
      <c r="I235" s="409"/>
      <c r="J235" s="410"/>
    </row>
    <row r="236" spans="1:10">
      <c r="A236" s="742"/>
      <c r="B236" s="701"/>
      <c r="C236" s="705" t="s">
        <v>859</v>
      </c>
      <c r="D236" s="706" t="s">
        <v>878</v>
      </c>
      <c r="E236" s="709"/>
      <c r="F236" s="428">
        <f>SUM(F237,F240,F243,F246:F247)</f>
        <v>3485</v>
      </c>
      <c r="G236" s="429">
        <f>SUM(G237,G240,G243,G246:G247)</f>
        <v>3485</v>
      </c>
      <c r="H236" s="429">
        <f>SUM(H237,H240,H243,H246:H247)</f>
        <v>0</v>
      </c>
      <c r="I236" s="429">
        <f>SUM(I237,I240,I243,I246:I247)</f>
        <v>0</v>
      </c>
      <c r="J236" s="430">
        <f>SUM(J237,J240,J243,J246:J247)</f>
        <v>0</v>
      </c>
    </row>
    <row r="237" spans="1:10">
      <c r="A237" s="742"/>
      <c r="B237" s="701"/>
      <c r="C237" s="698"/>
      <c r="D237" s="698" t="s">
        <v>845</v>
      </c>
      <c r="E237" s="597" t="s">
        <v>406</v>
      </c>
      <c r="F237" s="428">
        <f>SUM(F238:F239)</f>
        <v>0</v>
      </c>
      <c r="G237" s="429">
        <f>SUM(G238:G239)</f>
        <v>0</v>
      </c>
      <c r="H237" s="429">
        <f>SUM(H238:H239)</f>
        <v>0</v>
      </c>
      <c r="I237" s="429">
        <f>SUM(I238:I239)</f>
        <v>0</v>
      </c>
      <c r="J237" s="430">
        <f>SUM(J238:J239)</f>
        <v>0</v>
      </c>
    </row>
    <row r="238" spans="1:10">
      <c r="A238" s="742"/>
      <c r="B238" s="701"/>
      <c r="C238" s="698"/>
      <c r="D238" s="698"/>
      <c r="E238" s="596" t="s">
        <v>183</v>
      </c>
      <c r="F238" s="408">
        <f>SUM(G238:J238)</f>
        <v>0</v>
      </c>
      <c r="G238" s="409"/>
      <c r="H238" s="409"/>
      <c r="I238" s="409"/>
      <c r="J238" s="410"/>
    </row>
    <row r="239" spans="1:10">
      <c r="A239" s="742"/>
      <c r="B239" s="701"/>
      <c r="C239" s="698"/>
      <c r="D239" s="698"/>
      <c r="E239" s="596" t="s">
        <v>194</v>
      </c>
      <c r="F239" s="408">
        <f>SUM(G239:J239)</f>
        <v>0</v>
      </c>
      <c r="G239" s="409"/>
      <c r="H239" s="409"/>
      <c r="I239" s="409"/>
      <c r="J239" s="410"/>
    </row>
    <row r="240" spans="1:10">
      <c r="A240" s="742"/>
      <c r="B240" s="701"/>
      <c r="C240" s="698"/>
      <c r="D240" s="698" t="s">
        <v>882</v>
      </c>
      <c r="E240" s="597" t="s">
        <v>406</v>
      </c>
      <c r="F240" s="428">
        <f>SUM(F241:F242)</f>
        <v>3485</v>
      </c>
      <c r="G240" s="429">
        <f>SUM(G241:G242)</f>
        <v>3485</v>
      </c>
      <c r="H240" s="429">
        <f>SUM(H241:H242)</f>
        <v>0</v>
      </c>
      <c r="I240" s="429">
        <f>SUM(I241:I242)</f>
        <v>0</v>
      </c>
      <c r="J240" s="430">
        <f>SUM(J241:J242)</f>
        <v>0</v>
      </c>
    </row>
    <row r="241" spans="1:10">
      <c r="A241" s="742"/>
      <c r="B241" s="701"/>
      <c r="C241" s="698"/>
      <c r="D241" s="698"/>
      <c r="E241" s="596" t="s">
        <v>183</v>
      </c>
      <c r="F241" s="408">
        <f>SUM(G241:J241)</f>
        <v>3485</v>
      </c>
      <c r="G241" s="409">
        <f>'1.7.3 오수관로신설'!B51</f>
        <v>3485</v>
      </c>
      <c r="H241" s="409">
        <f>'1.7.3 오수관로신설'!C51</f>
        <v>0</v>
      </c>
      <c r="I241" s="409">
        <f>'1.7.3 오수관로신설'!D51</f>
        <v>0</v>
      </c>
      <c r="J241" s="409">
        <f>'1.7.3 오수관로신설'!E51</f>
        <v>0</v>
      </c>
    </row>
    <row r="242" spans="1:10">
      <c r="A242" s="742"/>
      <c r="B242" s="701"/>
      <c r="C242" s="698"/>
      <c r="D242" s="698"/>
      <c r="E242" s="596" t="s">
        <v>194</v>
      </c>
      <c r="F242" s="408">
        <f>SUM(G242:J242)</f>
        <v>0</v>
      </c>
      <c r="G242" s="409"/>
      <c r="H242" s="409"/>
      <c r="I242" s="409"/>
      <c r="J242" s="410"/>
    </row>
    <row r="243" spans="1:10">
      <c r="A243" s="742"/>
      <c r="B243" s="701"/>
      <c r="C243" s="698"/>
      <c r="D243" s="698" t="s">
        <v>883</v>
      </c>
      <c r="E243" s="597" t="s">
        <v>406</v>
      </c>
      <c r="F243" s="428">
        <f>SUM(F244:F245)</f>
        <v>0</v>
      </c>
      <c r="G243" s="429">
        <f>SUM(G244:G245)</f>
        <v>0</v>
      </c>
      <c r="H243" s="429">
        <f>SUM(H244:H245)</f>
        <v>0</v>
      </c>
      <c r="I243" s="429">
        <f>SUM(I244:I245)</f>
        <v>0</v>
      </c>
      <c r="J243" s="430">
        <f>SUM(J244:J245)</f>
        <v>0</v>
      </c>
    </row>
    <row r="244" spans="1:10">
      <c r="A244" s="742"/>
      <c r="B244" s="701"/>
      <c r="C244" s="698"/>
      <c r="D244" s="698"/>
      <c r="E244" s="596" t="s">
        <v>183</v>
      </c>
      <c r="F244" s="408">
        <f t="shared" ref="F244:F251" si="54">SUM(G244:J244)</f>
        <v>0</v>
      </c>
      <c r="G244" s="409"/>
      <c r="H244" s="409"/>
      <c r="I244" s="409"/>
      <c r="J244" s="410"/>
    </row>
    <row r="245" spans="1:10">
      <c r="A245" s="742"/>
      <c r="B245" s="701"/>
      <c r="C245" s="698"/>
      <c r="D245" s="698"/>
      <c r="E245" s="596" t="s">
        <v>194</v>
      </c>
      <c r="F245" s="408">
        <f t="shared" si="54"/>
        <v>0</v>
      </c>
      <c r="G245" s="409"/>
      <c r="H245" s="409"/>
      <c r="I245" s="409"/>
      <c r="J245" s="410"/>
    </row>
    <row r="246" spans="1:10">
      <c r="A246" s="742"/>
      <c r="B246" s="701"/>
      <c r="C246" s="698"/>
      <c r="D246" s="698" t="s">
        <v>850</v>
      </c>
      <c r="E246" s="710"/>
      <c r="F246" s="408">
        <f t="shared" si="54"/>
        <v>0</v>
      </c>
      <c r="G246" s="409"/>
      <c r="H246" s="409"/>
      <c r="I246" s="409"/>
      <c r="J246" s="410"/>
    </row>
    <row r="247" spans="1:10">
      <c r="A247" s="742"/>
      <c r="B247" s="701"/>
      <c r="C247" s="698"/>
      <c r="D247" s="698" t="s">
        <v>851</v>
      </c>
      <c r="E247" s="710"/>
      <c r="F247" s="408">
        <f t="shared" si="54"/>
        <v>0</v>
      </c>
      <c r="G247" s="409"/>
      <c r="H247" s="409"/>
      <c r="I247" s="409"/>
      <c r="J247" s="410"/>
    </row>
    <row r="248" spans="1:10">
      <c r="A248" s="742"/>
      <c r="B248" s="701"/>
      <c r="C248" s="698" t="s">
        <v>852</v>
      </c>
      <c r="D248" s="698"/>
      <c r="E248" s="710"/>
      <c r="F248" s="408">
        <f t="shared" si="54"/>
        <v>0</v>
      </c>
      <c r="G248" s="409"/>
      <c r="H248" s="409"/>
      <c r="I248" s="409"/>
      <c r="J248" s="410"/>
    </row>
    <row r="249" spans="1:10">
      <c r="A249" s="742"/>
      <c r="B249" s="701"/>
      <c r="C249" s="698" t="s">
        <v>853</v>
      </c>
      <c r="D249" s="698"/>
      <c r="E249" s="710"/>
      <c r="F249" s="408">
        <f t="shared" si="54"/>
        <v>0</v>
      </c>
      <c r="G249" s="409"/>
      <c r="H249" s="409"/>
      <c r="I249" s="409"/>
      <c r="J249" s="410"/>
    </row>
    <row r="250" spans="1:10">
      <c r="A250" s="742"/>
      <c r="B250" s="702"/>
      <c r="C250" s="715" t="s">
        <v>184</v>
      </c>
      <c r="D250" s="715"/>
      <c r="E250" s="722"/>
      <c r="F250" s="411">
        <f t="shared" si="54"/>
        <v>0</v>
      </c>
      <c r="G250" s="412"/>
      <c r="H250" s="412"/>
      <c r="I250" s="412"/>
      <c r="J250" s="413"/>
    </row>
    <row r="251" spans="1:10">
      <c r="A251" s="742"/>
      <c r="B251" s="723" t="s">
        <v>900</v>
      </c>
      <c r="C251" s="724"/>
      <c r="D251" s="724"/>
      <c r="E251" s="725"/>
      <c r="F251" s="421">
        <f t="shared" si="54"/>
        <v>0</v>
      </c>
      <c r="G251" s="422"/>
      <c r="H251" s="422"/>
      <c r="I251" s="422"/>
      <c r="J251" s="423"/>
    </row>
    <row r="252" spans="1:10">
      <c r="A252" s="742"/>
      <c r="B252" s="726" t="s">
        <v>899</v>
      </c>
      <c r="C252" s="727"/>
      <c r="D252" s="730" t="s">
        <v>878</v>
      </c>
      <c r="E252" s="731"/>
      <c r="F252" s="424">
        <f>SUM(F253,F258,F263)</f>
        <v>2165</v>
      </c>
      <c r="G252" s="425">
        <f>SUM(G253,G258,G263)</f>
        <v>972</v>
      </c>
      <c r="H252" s="425">
        <f>SUM(H253,H258,H263)</f>
        <v>295</v>
      </c>
      <c r="I252" s="425">
        <f>SUM(I253,I258,I263)</f>
        <v>0</v>
      </c>
      <c r="J252" s="426">
        <f>SUM(J253,J258,J263)</f>
        <v>898</v>
      </c>
    </row>
    <row r="253" spans="1:10">
      <c r="A253" s="742"/>
      <c r="B253" s="701"/>
      <c r="C253" s="718"/>
      <c r="D253" s="698" t="s">
        <v>855</v>
      </c>
      <c r="E253" s="600" t="s">
        <v>406</v>
      </c>
      <c r="F253" s="433">
        <f t="shared" ref="F253:F258" si="55">SUM(G253:J253)</f>
        <v>706</v>
      </c>
      <c r="G253" s="429">
        <f>SUM(G254:G257)</f>
        <v>317</v>
      </c>
      <c r="H253" s="429">
        <f>SUM(H254:H257)</f>
        <v>99</v>
      </c>
      <c r="I253" s="429">
        <f>SUM(I254:I257)</f>
        <v>0</v>
      </c>
      <c r="J253" s="430">
        <f>SUM(J254:J257)</f>
        <v>290</v>
      </c>
    </row>
    <row r="254" spans="1:10">
      <c r="A254" s="742"/>
      <c r="B254" s="701"/>
      <c r="C254" s="718"/>
      <c r="D254" s="698"/>
      <c r="E254" s="599" t="s">
        <v>867</v>
      </c>
      <c r="F254" s="414">
        <f t="shared" si="55"/>
        <v>542</v>
      </c>
      <c r="G254" s="409">
        <f>'1.7.2 공공하수처리시설 신증설'!B53</f>
        <v>153</v>
      </c>
      <c r="H254" s="409">
        <f>'1.7.2 공공하수처리시설 신증설'!C53</f>
        <v>99</v>
      </c>
      <c r="I254" s="409">
        <f>'1.7.2 공공하수처리시설 신증설'!D53</f>
        <v>0</v>
      </c>
      <c r="J254" s="409">
        <f>'1.7.2 공공하수처리시설 신증설'!E53</f>
        <v>290</v>
      </c>
    </row>
    <row r="255" spans="1:10">
      <c r="A255" s="742"/>
      <c r="B255" s="701"/>
      <c r="C255" s="718"/>
      <c r="D255" s="698"/>
      <c r="E255" s="599" t="s">
        <v>868</v>
      </c>
      <c r="F255" s="414">
        <f t="shared" si="55"/>
        <v>164</v>
      </c>
      <c r="G255" s="409">
        <f>'1.7.3 오수관로신설'!B52</f>
        <v>164</v>
      </c>
      <c r="H255" s="409">
        <f>'1.7.3 오수관로신설'!C52</f>
        <v>0</v>
      </c>
      <c r="I255" s="409">
        <f>'1.7.3 오수관로신설'!D52</f>
        <v>0</v>
      </c>
      <c r="J255" s="409">
        <f>'1.7.3 오수관로신설'!E52</f>
        <v>0</v>
      </c>
    </row>
    <row r="256" spans="1:10">
      <c r="A256" s="742"/>
      <c r="B256" s="701"/>
      <c r="C256" s="718"/>
      <c r="D256" s="698"/>
      <c r="E256" s="599" t="s">
        <v>892</v>
      </c>
      <c r="F256" s="414">
        <f t="shared" si="55"/>
        <v>0</v>
      </c>
      <c r="G256" s="409"/>
      <c r="H256" s="409"/>
      <c r="I256" s="409"/>
      <c r="J256" s="410"/>
    </row>
    <row r="257" spans="1:12">
      <c r="A257" s="742"/>
      <c r="B257" s="701"/>
      <c r="C257" s="718"/>
      <c r="D257" s="698"/>
      <c r="E257" s="599" t="s">
        <v>893</v>
      </c>
      <c r="F257" s="414">
        <f t="shared" si="55"/>
        <v>0</v>
      </c>
      <c r="G257" s="409"/>
      <c r="H257" s="409"/>
      <c r="I257" s="409"/>
      <c r="J257" s="410"/>
    </row>
    <row r="258" spans="1:12">
      <c r="A258" s="742"/>
      <c r="B258" s="701"/>
      <c r="C258" s="718"/>
      <c r="D258" s="698" t="s">
        <v>894</v>
      </c>
      <c r="E258" s="600" t="s">
        <v>406</v>
      </c>
      <c r="F258" s="433">
        <f t="shared" si="55"/>
        <v>1412</v>
      </c>
      <c r="G258" s="429">
        <f>SUM(G259:G262)</f>
        <v>632</v>
      </c>
      <c r="H258" s="429">
        <f>SUM(H259:H262)</f>
        <v>189</v>
      </c>
      <c r="I258" s="429">
        <f>SUM(I259:I262)</f>
        <v>0</v>
      </c>
      <c r="J258" s="430">
        <f>SUM(J259:J262)</f>
        <v>591</v>
      </c>
    </row>
    <row r="259" spans="1:12">
      <c r="A259" s="742"/>
      <c r="B259" s="701"/>
      <c r="C259" s="718"/>
      <c r="D259" s="698"/>
      <c r="E259" s="599" t="s">
        <v>867</v>
      </c>
      <c r="F259" s="414">
        <f t="shared" ref="F259:F266" si="56">SUM(G259:J259)</f>
        <v>1085</v>
      </c>
      <c r="G259" s="409">
        <f>'1.7.2 공공하수처리시설 신증설'!B54</f>
        <v>305</v>
      </c>
      <c r="H259" s="409">
        <f>'1.7.2 공공하수처리시설 신증설'!C54</f>
        <v>189</v>
      </c>
      <c r="I259" s="409">
        <f>'1.7.2 공공하수처리시설 신증설'!D54</f>
        <v>0</v>
      </c>
      <c r="J259" s="409">
        <f>'1.7.2 공공하수처리시설 신증설'!E54</f>
        <v>591</v>
      </c>
    </row>
    <row r="260" spans="1:12">
      <c r="A260" s="742"/>
      <c r="B260" s="701"/>
      <c r="C260" s="718"/>
      <c r="D260" s="698"/>
      <c r="E260" s="599" t="s">
        <v>868</v>
      </c>
      <c r="F260" s="414">
        <f t="shared" si="56"/>
        <v>327</v>
      </c>
      <c r="G260" s="409">
        <f>'1.7.3 오수관로신설'!B53</f>
        <v>327</v>
      </c>
      <c r="H260" s="409">
        <f>'1.7.3 오수관로신설'!C53</f>
        <v>0</v>
      </c>
      <c r="I260" s="409">
        <f>'1.7.3 오수관로신설'!D53</f>
        <v>0</v>
      </c>
      <c r="J260" s="409">
        <f>'1.7.3 오수관로신설'!E53</f>
        <v>0</v>
      </c>
    </row>
    <row r="261" spans="1:12">
      <c r="A261" s="742"/>
      <c r="B261" s="701"/>
      <c r="C261" s="718"/>
      <c r="D261" s="698"/>
      <c r="E261" s="599" t="s">
        <v>892</v>
      </c>
      <c r="F261" s="414">
        <f t="shared" si="56"/>
        <v>0</v>
      </c>
      <c r="G261" s="409"/>
      <c r="H261" s="409"/>
      <c r="I261" s="409"/>
      <c r="J261" s="410"/>
    </row>
    <row r="262" spans="1:12">
      <c r="A262" s="742"/>
      <c r="B262" s="701"/>
      <c r="C262" s="718"/>
      <c r="D262" s="698"/>
      <c r="E262" s="599" t="s">
        <v>893</v>
      </c>
      <c r="F262" s="414">
        <f t="shared" si="56"/>
        <v>0</v>
      </c>
      <c r="G262" s="409"/>
      <c r="H262" s="409"/>
      <c r="I262" s="409"/>
      <c r="J262" s="410"/>
    </row>
    <row r="263" spans="1:12">
      <c r="A263" s="742"/>
      <c r="B263" s="701"/>
      <c r="C263" s="718"/>
      <c r="D263" s="698" t="s">
        <v>857</v>
      </c>
      <c r="E263" s="600" t="s">
        <v>406</v>
      </c>
      <c r="F263" s="433">
        <f t="shared" si="56"/>
        <v>47</v>
      </c>
      <c r="G263" s="429">
        <f>SUM(G264:G267)</f>
        <v>23</v>
      </c>
      <c r="H263" s="429">
        <f>SUM(H264:H267)</f>
        <v>7</v>
      </c>
      <c r="I263" s="429">
        <f>SUM(I264:I267)</f>
        <v>0</v>
      </c>
      <c r="J263" s="430">
        <f>SUM(J264:J267)</f>
        <v>17</v>
      </c>
    </row>
    <row r="264" spans="1:12">
      <c r="A264" s="742"/>
      <c r="B264" s="701"/>
      <c r="C264" s="718"/>
      <c r="D264" s="698"/>
      <c r="E264" s="599" t="s">
        <v>867</v>
      </c>
      <c r="F264" s="414">
        <f t="shared" si="56"/>
        <v>35</v>
      </c>
      <c r="G264" s="409">
        <f>'1.7.2 공공하수처리시설 신증설'!B55</f>
        <v>11</v>
      </c>
      <c r="H264" s="409">
        <f>'1.7.2 공공하수처리시설 신증설'!C55</f>
        <v>7</v>
      </c>
      <c r="I264" s="409">
        <f>'1.7.2 공공하수처리시설 신증설'!D55</f>
        <v>0</v>
      </c>
      <c r="J264" s="409">
        <f>'1.7.2 공공하수처리시설 신증설'!E55</f>
        <v>17</v>
      </c>
    </row>
    <row r="265" spans="1:12">
      <c r="A265" s="742"/>
      <c r="B265" s="701"/>
      <c r="C265" s="718"/>
      <c r="D265" s="698"/>
      <c r="E265" s="599" t="s">
        <v>868</v>
      </c>
      <c r="F265" s="414">
        <f t="shared" si="56"/>
        <v>12</v>
      </c>
      <c r="G265" s="409">
        <f>'1.7.3 오수관로신설'!B54</f>
        <v>12</v>
      </c>
      <c r="H265" s="409">
        <f>'1.7.3 오수관로신설'!C54</f>
        <v>0</v>
      </c>
      <c r="I265" s="409">
        <f>'1.7.3 오수관로신설'!D54</f>
        <v>0</v>
      </c>
      <c r="J265" s="409">
        <f>'1.7.3 오수관로신설'!E54</f>
        <v>0</v>
      </c>
    </row>
    <row r="266" spans="1:12">
      <c r="A266" s="742"/>
      <c r="B266" s="701"/>
      <c r="C266" s="718"/>
      <c r="D266" s="698"/>
      <c r="E266" s="599" t="s">
        <v>892</v>
      </c>
      <c r="F266" s="414">
        <f t="shared" si="56"/>
        <v>0</v>
      </c>
      <c r="G266" s="409"/>
      <c r="H266" s="409"/>
      <c r="I266" s="409"/>
      <c r="J266" s="410"/>
    </row>
    <row r="267" spans="1:12">
      <c r="A267" s="743"/>
      <c r="B267" s="702"/>
      <c r="C267" s="733"/>
      <c r="D267" s="715"/>
      <c r="E267" s="598" t="s">
        <v>893</v>
      </c>
      <c r="F267" s="435">
        <f>SUM(G267:J267)</f>
        <v>0</v>
      </c>
      <c r="G267" s="412"/>
      <c r="H267" s="412"/>
      <c r="I267" s="412"/>
      <c r="J267" s="413"/>
    </row>
    <row r="268" spans="1:12">
      <c r="A268" s="692" t="s">
        <v>904</v>
      </c>
      <c r="B268" s="695" t="s">
        <v>902</v>
      </c>
      <c r="C268" s="696"/>
      <c r="D268" s="696"/>
      <c r="E268" s="697"/>
      <c r="F268" s="437">
        <f>SUM(F269,F279,F280)</f>
        <v>31623</v>
      </c>
      <c r="G268" s="438">
        <f>SUM(G269,G279,G280)</f>
        <v>31623</v>
      </c>
      <c r="H268" s="438">
        <f>SUM(H269,H279,H280)</f>
        <v>0</v>
      </c>
      <c r="I268" s="438">
        <f>SUM(I269,I279,I280)</f>
        <v>0</v>
      </c>
      <c r="J268" s="439">
        <f>SUM(J269,J279,J280)</f>
        <v>0</v>
      </c>
    </row>
    <row r="269" spans="1:12">
      <c r="A269" s="693"/>
      <c r="B269" s="700" t="s">
        <v>901</v>
      </c>
      <c r="C269" s="703" t="s">
        <v>871</v>
      </c>
      <c r="D269" s="703"/>
      <c r="E269" s="704"/>
      <c r="F269" s="424">
        <f>SUM(F270,F274,F278)</f>
        <v>27624</v>
      </c>
      <c r="G269" s="425">
        <f>SUM(G270,G274,G278)</f>
        <v>27624</v>
      </c>
      <c r="H269" s="425">
        <f>SUM(H270,H274,H278)</f>
        <v>0</v>
      </c>
      <c r="I269" s="425">
        <f>SUM(I270,I274,I278)</f>
        <v>0</v>
      </c>
      <c r="J269" s="440">
        <f>SUM(J270,J274,J278)</f>
        <v>0</v>
      </c>
    </row>
    <row r="270" spans="1:12">
      <c r="A270" s="693"/>
      <c r="B270" s="701"/>
      <c r="C270" s="705" t="s">
        <v>872</v>
      </c>
      <c r="D270" s="706" t="s">
        <v>873</v>
      </c>
      <c r="E270" s="707"/>
      <c r="F270" s="433">
        <f>SUM(F271:F273)</f>
        <v>7471</v>
      </c>
      <c r="G270" s="429">
        <f>SUM(G271:G273)</f>
        <v>7471</v>
      </c>
      <c r="H270" s="429">
        <f>SUM(H271:H273)</f>
        <v>0</v>
      </c>
      <c r="I270" s="429">
        <f>SUM(I271:I273)</f>
        <v>0</v>
      </c>
      <c r="J270" s="441">
        <f>SUM(J271:J273)</f>
        <v>0</v>
      </c>
      <c r="L270" t="s">
        <v>1042</v>
      </c>
    </row>
    <row r="271" spans="1:12">
      <c r="A271" s="693"/>
      <c r="B271" s="701"/>
      <c r="C271" s="698"/>
      <c r="D271" s="698" t="s">
        <v>874</v>
      </c>
      <c r="E271" s="699"/>
      <c r="F271" s="414">
        <f>SUM(G271:J271)</f>
        <v>7471</v>
      </c>
      <c r="G271" s="409">
        <f>'1.9.1 한벌'!B5+'1.9.2 사창'!B5+'1.9.3 소이'!B5+'1.9.4 원남'!B5+'1.9.5 주천'!B5+'1.9.7 본대'!B5</f>
        <v>7471</v>
      </c>
      <c r="H271" s="409">
        <f>'1.9.1 한벌'!C5+'1.9.2 사창'!C5+'1.9.3 소이'!C5+'1.9.4 원남'!C5+'1.9.5 주천'!C5+'1.9.7 본대'!C5</f>
        <v>0</v>
      </c>
      <c r="I271" s="409">
        <f>'1.9.1 한벌'!D5+'1.9.2 사창'!D5+'1.9.3 소이'!D5+'1.9.4 원남'!D5+'1.9.5 주천'!D5+'1.9.7 본대'!D5</f>
        <v>0</v>
      </c>
      <c r="J271" s="442">
        <f>'1.9.1 한벌'!E5+'1.9.2 사창'!E5+'1.9.3 소이'!E5+'1.9.4 원남'!E5+'1.9.5 주천'!E5+'1.9.7 본대'!E5</f>
        <v>0</v>
      </c>
      <c r="K271">
        <f>F271/$F$269</f>
        <v>0.27045322907616565</v>
      </c>
      <c r="L271">
        <v>0.18</v>
      </c>
    </row>
    <row r="272" spans="1:12">
      <c r="A272" s="693"/>
      <c r="B272" s="701"/>
      <c r="C272" s="698"/>
      <c r="D272" s="698" t="s">
        <v>875</v>
      </c>
      <c r="E272" s="699"/>
      <c r="F272" s="414">
        <f>SUM(G272:J272)</f>
        <v>0</v>
      </c>
      <c r="G272" s="409">
        <f>'1.6.2 공공하수처리시설 신증설'!B90</f>
        <v>0</v>
      </c>
      <c r="H272" s="409">
        <f>'1.6.2 공공하수처리시설 신증설'!C90</f>
        <v>0</v>
      </c>
      <c r="I272" s="409">
        <f>'1.6.2 공공하수처리시설 신증설'!D90</f>
        <v>0</v>
      </c>
      <c r="J272" s="442">
        <f>'1.6.2 공공하수처리시설 신증설'!E90</f>
        <v>0</v>
      </c>
    </row>
    <row r="273" spans="1:12">
      <c r="A273" s="693"/>
      <c r="B273" s="701"/>
      <c r="C273" s="698"/>
      <c r="D273" s="698" t="s">
        <v>876</v>
      </c>
      <c r="E273" s="699"/>
      <c r="F273" s="414">
        <f>SUM(G273:J273)</f>
        <v>0</v>
      </c>
      <c r="G273" s="409"/>
      <c r="H273" s="409"/>
      <c r="I273" s="409"/>
      <c r="J273" s="442"/>
    </row>
    <row r="274" spans="1:12">
      <c r="A274" s="693"/>
      <c r="B274" s="701"/>
      <c r="C274" s="705" t="s">
        <v>877</v>
      </c>
      <c r="D274" s="706" t="s">
        <v>878</v>
      </c>
      <c r="E274" s="707"/>
      <c r="F274" s="433">
        <f>SUM(F275:F277)</f>
        <v>20153</v>
      </c>
      <c r="G274" s="429">
        <f>SUM(G275:G277)</f>
        <v>20153</v>
      </c>
      <c r="H274" s="429">
        <f>SUM(H275:H277)</f>
        <v>0</v>
      </c>
      <c r="I274" s="429">
        <f>SUM(I275:I277)</f>
        <v>0</v>
      </c>
      <c r="J274" s="441">
        <f>SUM(J275:J277)</f>
        <v>0</v>
      </c>
    </row>
    <row r="275" spans="1:12">
      <c r="A275" s="693"/>
      <c r="B275" s="701"/>
      <c r="C275" s="698"/>
      <c r="D275" s="710" t="s">
        <v>868</v>
      </c>
      <c r="E275" s="714"/>
      <c r="F275" s="414">
        <f>SUM(G275:J275)</f>
        <v>17158</v>
      </c>
      <c r="G275" s="409">
        <f>'1.9.1 한벌'!B6+'1.9.2 사창'!B6+'1.9.3 소이'!B6+'1.9.4 원남'!B6+'1.9.5 주천'!B6+'1.9.7 본대'!B6</f>
        <v>17158</v>
      </c>
      <c r="H275" s="409">
        <f>'1.9.1 한벌'!C6+'1.9.2 사창'!C6+'1.9.3 소이'!C6+'1.9.4 원남'!C6+'1.9.5 주천'!C6+'1.9.7 본대'!C6</f>
        <v>0</v>
      </c>
      <c r="I275" s="409">
        <f>'1.9.1 한벌'!D6+'1.9.2 사창'!D6+'1.9.3 소이'!D6+'1.9.4 원남'!D6+'1.9.5 주천'!D6+'1.9.7 본대'!D6</f>
        <v>0</v>
      </c>
      <c r="J275" s="442">
        <f>'1.9.1 한벌'!E6+'1.9.2 사창'!E6+'1.9.3 소이'!E6+'1.9.4 원남'!E6+'1.9.5 주천'!E6+'1.9.7 본대'!E6</f>
        <v>0</v>
      </c>
      <c r="K275">
        <f>F275/$F$269</f>
        <v>0.6211265566174341</v>
      </c>
      <c r="L275">
        <v>0.69</v>
      </c>
    </row>
    <row r="276" spans="1:12">
      <c r="A276" s="693"/>
      <c r="B276" s="701"/>
      <c r="C276" s="698"/>
      <c r="D276" s="698" t="s">
        <v>884</v>
      </c>
      <c r="E276" s="699"/>
      <c r="F276" s="414">
        <f>SUM(G276:J276)</f>
        <v>176</v>
      </c>
      <c r="G276" s="409">
        <f>'1.9.1 한벌'!B8+'1.9.2 사창'!B8+'1.9.5 주천'!B8+'1.9.7 본대'!B8</f>
        <v>176</v>
      </c>
      <c r="H276" s="409">
        <f>'1.9.1 한벌'!C8+'1.9.2 사창'!C8+'1.9.5 주천'!C8+'1.9.7 본대'!C8</f>
        <v>0</v>
      </c>
      <c r="I276" s="409">
        <f>'1.9.1 한벌'!D8+'1.9.2 사창'!D8+'1.9.5 주천'!D8+'1.9.7 본대'!D8</f>
        <v>0</v>
      </c>
      <c r="J276" s="442">
        <f>'1.9.1 한벌'!E8+'1.9.2 사창'!E8+'1.9.5 주천'!E8+'1.9.7 본대'!E8</f>
        <v>0</v>
      </c>
      <c r="K276">
        <f>F276/$F$269</f>
        <v>6.3712713582392121E-3</v>
      </c>
    </row>
    <row r="277" spans="1:12">
      <c r="A277" s="693"/>
      <c r="B277" s="701"/>
      <c r="C277" s="698"/>
      <c r="D277" s="698" t="s">
        <v>885</v>
      </c>
      <c r="E277" s="699"/>
      <c r="F277" s="414">
        <f>SUM(G277:J277)</f>
        <v>2819</v>
      </c>
      <c r="G277" s="409">
        <f>'1.9.1 한벌'!B7+'1.9.2 사창'!B7+'1.9.3 소이'!B7+'1.9.4 원남'!B7+'1.9.5 주천'!B7+'1.9.7 본대'!B7</f>
        <v>2819</v>
      </c>
      <c r="H277" s="409">
        <f>'1.9.1 한벌'!C7+'1.9.2 사창'!C7+'1.9.3 소이'!C7+'1.9.4 원남'!C7+'1.9.5 주천'!C7+'1.9.7 본대'!C7</f>
        <v>0</v>
      </c>
      <c r="I277" s="409">
        <f>'1.9.1 한벌'!D7+'1.9.2 사창'!D7+'1.9.3 소이'!D7+'1.9.4 원남'!D7+'1.9.5 주천'!D7+'1.9.7 본대'!D7</f>
        <v>0</v>
      </c>
      <c r="J277" s="442">
        <f>'1.9.1 한벌'!E7+'1.9.2 사창'!E7+'1.9.3 소이'!E7+'1.9.4 원남'!E7+'1.9.5 주천'!E7+'1.9.7 본대'!E7</f>
        <v>0</v>
      </c>
      <c r="K277">
        <f>F277/$F$269</f>
        <v>0.10204894294816103</v>
      </c>
      <c r="L277">
        <v>0.13</v>
      </c>
    </row>
    <row r="278" spans="1:12">
      <c r="A278" s="693"/>
      <c r="B278" s="702"/>
      <c r="C278" s="715" t="s">
        <v>888</v>
      </c>
      <c r="D278" s="715"/>
      <c r="E278" s="716"/>
      <c r="F278" s="435">
        <f>SUM(G278:J278)</f>
        <v>0</v>
      </c>
      <c r="G278" s="409"/>
      <c r="H278" s="409"/>
      <c r="I278" s="409"/>
      <c r="J278" s="442"/>
    </row>
    <row r="279" spans="1:12">
      <c r="A279" s="693"/>
      <c r="B279" s="695" t="s">
        <v>900</v>
      </c>
      <c r="C279" s="696"/>
      <c r="D279" s="696"/>
      <c r="E279" s="697"/>
      <c r="F279" s="421">
        <f>SUM(G279:J279)</f>
        <v>543</v>
      </c>
      <c r="G279" s="422">
        <f>'1.9.1 한벌'!B63+'1.9.2 사창'!B63+'1.9.3 소이'!B62+'1.9.4 원남'!B62+'1.9.5 주천'!B63+'1.9.7 본대'!B63</f>
        <v>543</v>
      </c>
      <c r="H279" s="422">
        <f>'1.9.1 한벌'!C63+'1.9.2 사창'!C63+'1.9.3 소이'!C62+'1.9.4 원남'!C62+'1.9.5 주천'!C63+'1.9.7 본대'!C63</f>
        <v>0</v>
      </c>
      <c r="I279" s="422">
        <f>'1.9.1 한벌'!D63+'1.9.2 사창'!D63+'1.9.3 소이'!D62+'1.9.4 원남'!D62+'1.9.5 주천'!D63+'1.9.7 본대'!D63</f>
        <v>0</v>
      </c>
      <c r="J279" s="443">
        <f>'1.9.1 한벌'!E63+'1.9.2 사창'!E63+'1.9.3 소이'!E62+'1.9.4 원남'!E62+'1.9.5 주천'!E63+'1.9.7 본대'!E63</f>
        <v>0</v>
      </c>
    </row>
    <row r="280" spans="1:12">
      <c r="A280" s="693"/>
      <c r="B280" s="700" t="s">
        <v>899</v>
      </c>
      <c r="C280" s="717"/>
      <c r="D280" s="703" t="s">
        <v>878</v>
      </c>
      <c r="E280" s="721"/>
      <c r="F280" s="427">
        <f>SUM(F281,F282,F283)</f>
        <v>3456</v>
      </c>
      <c r="G280" s="425">
        <f>SUM(G281,G282,G283)</f>
        <v>3456</v>
      </c>
      <c r="H280" s="425">
        <f>SUM(H281,H282,H283)</f>
        <v>0</v>
      </c>
      <c r="I280" s="425">
        <f>SUM(I281,I282,I283)</f>
        <v>0</v>
      </c>
      <c r="J280" s="440">
        <f>SUM(J281,J282,J283)</f>
        <v>0</v>
      </c>
    </row>
    <row r="281" spans="1:12">
      <c r="A281" s="693"/>
      <c r="B281" s="701"/>
      <c r="C281" s="718"/>
      <c r="D281" s="710" t="s">
        <v>889</v>
      </c>
      <c r="E281" s="711"/>
      <c r="F281" s="408">
        <f>SUM(G281:J281)</f>
        <v>776</v>
      </c>
      <c r="G281" s="409">
        <f>'1.9.1 한벌'!B60+'1.9.2 사창'!B60+'1.9.3 소이'!B59+'1.9.4 원남'!B59+'1.9.5 주천'!B60+'1.9.7 본대'!B60</f>
        <v>776</v>
      </c>
      <c r="H281" s="409">
        <f>'1.9.1 한벌'!C60+'1.9.2 사창'!C60+'1.9.3 소이'!C59+'1.9.4 원남'!C59+'1.9.5 주천'!C60+'1.9.7 본대'!C60</f>
        <v>0</v>
      </c>
      <c r="I281" s="409">
        <f>'1.9.1 한벌'!D60+'1.9.2 사창'!D60+'1.9.3 소이'!D59+'1.9.4 원남'!D59+'1.9.5 주천'!D60+'1.9.7 본대'!D60</f>
        <v>0</v>
      </c>
      <c r="J281" s="442">
        <f>'1.9.1 한벌'!E60+'1.9.2 사창'!E60+'1.9.3 소이'!E59+'1.9.4 원남'!E59+'1.9.5 주천'!E60+'1.9.7 본대'!E60</f>
        <v>0</v>
      </c>
      <c r="K281">
        <f>F281/$F$268</f>
        <v>2.4539101287037915E-2</v>
      </c>
      <c r="L281">
        <v>3.7862866150006565E-2</v>
      </c>
    </row>
    <row r="282" spans="1:12">
      <c r="A282" s="693"/>
      <c r="B282" s="701"/>
      <c r="C282" s="718"/>
      <c r="D282" s="710" t="s">
        <v>894</v>
      </c>
      <c r="E282" s="711"/>
      <c r="F282" s="408">
        <f>SUM(G282:J282)</f>
        <v>2590</v>
      </c>
      <c r="G282" s="409">
        <f>'1.9.1 한벌'!B61+'1.9.2 사창'!B61+'1.9.3 소이'!B60+'1.9.4 원남'!B60+'1.9.5 주천'!B61+'1.9.7 본대'!B61</f>
        <v>2590</v>
      </c>
      <c r="H282" s="409">
        <f>'1.9.1 한벌'!C61+'1.9.2 사창'!C61+'1.9.3 소이'!C60+'1.9.4 원남'!C60+'1.9.5 주천'!C61+'1.9.7 본대'!C61</f>
        <v>0</v>
      </c>
      <c r="I282" s="409">
        <f>'1.9.1 한벌'!D61+'1.9.2 사창'!D61+'1.9.3 소이'!D60+'1.9.4 원남'!D60+'1.9.5 주천'!D61+'1.9.7 본대'!D61</f>
        <v>0</v>
      </c>
      <c r="J282" s="442">
        <f>'1.9.1 한벌'!E61+'1.9.2 사창'!E61+'1.9.3 소이'!E60+'1.9.4 원남'!E60+'1.9.5 주천'!E61+'1.9.7 본대'!E61</f>
        <v>0</v>
      </c>
      <c r="K282">
        <f>F282/$F$268</f>
        <v>8.1902412800809538E-2</v>
      </c>
      <c r="L282">
        <v>9.1674328998642668E-2</v>
      </c>
    </row>
    <row r="283" spans="1:12">
      <c r="A283" s="694"/>
      <c r="B283" s="719"/>
      <c r="C283" s="720"/>
      <c r="D283" s="712" t="s">
        <v>895</v>
      </c>
      <c r="E283" s="713"/>
      <c r="F283" s="610">
        <f>SUM(G283:J283)</f>
        <v>90</v>
      </c>
      <c r="G283" s="611">
        <f>'1.9.1 한벌'!B62+'1.9.2 사창'!B62+'1.9.3 소이'!B61+'1.9.4 원남'!B61+'1.9.5 주천'!B62+'1.9.7 본대'!B62</f>
        <v>90</v>
      </c>
      <c r="H283" s="611">
        <f>'1.9.1 한벌'!C62+'1.9.2 사창'!C62+'1.9.3 소이'!C61+'1.9.4 원남'!C61+'1.9.5 주천'!C62+'1.9.7 본대'!C62</f>
        <v>0</v>
      </c>
      <c r="I283" s="611">
        <f>'1.9.1 한벌'!D62+'1.9.2 사창'!D62+'1.9.3 소이'!D61+'1.9.4 원남'!D61+'1.9.5 주천'!D62+'1.9.7 본대'!D62</f>
        <v>0</v>
      </c>
      <c r="J283" s="612">
        <f>'1.9.1 한벌'!E62+'1.9.2 사창'!E62+'1.9.3 소이'!E61+'1.9.4 원남'!E61+'1.9.5 주천'!E62+'1.9.7 본대'!E62</f>
        <v>0</v>
      </c>
      <c r="K283">
        <f>F283/$F$268</f>
        <v>2.846029788445119E-3</v>
      </c>
      <c r="L283">
        <v>3.1962870528481984E-3</v>
      </c>
    </row>
  </sheetData>
  <mergeCells count="197">
    <mergeCell ref="C250:E250"/>
    <mergeCell ref="B251:E251"/>
    <mergeCell ref="B252:C267"/>
    <mergeCell ref="D252:E252"/>
    <mergeCell ref="D253:D257"/>
    <mergeCell ref="D258:D262"/>
    <mergeCell ref="D263:D267"/>
    <mergeCell ref="A230:A267"/>
    <mergeCell ref="C236:C247"/>
    <mergeCell ref="D236:E236"/>
    <mergeCell ref="D237:D239"/>
    <mergeCell ref="D240:D242"/>
    <mergeCell ref="D243:D245"/>
    <mergeCell ref="D246:E246"/>
    <mergeCell ref="D247:E247"/>
    <mergeCell ref="C248:E248"/>
    <mergeCell ref="C249:E249"/>
    <mergeCell ref="D43:E43"/>
    <mergeCell ref="D44:E44"/>
    <mergeCell ref="D45:E45"/>
    <mergeCell ref="D42:E42"/>
    <mergeCell ref="A40:A77"/>
    <mergeCell ref="B40:E40"/>
    <mergeCell ref="A1:E1"/>
    <mergeCell ref="D63:D67"/>
    <mergeCell ref="D68:D72"/>
    <mergeCell ref="D73:D77"/>
    <mergeCell ref="A2:A39"/>
    <mergeCell ref="B2:E2"/>
    <mergeCell ref="B3:B22"/>
    <mergeCell ref="C3:E3"/>
    <mergeCell ref="C4:C7"/>
    <mergeCell ref="D4:E4"/>
    <mergeCell ref="D5:E5"/>
    <mergeCell ref="D6:E6"/>
    <mergeCell ref="D7:E7"/>
    <mergeCell ref="C8:C19"/>
    <mergeCell ref="D8:E8"/>
    <mergeCell ref="D9:D11"/>
    <mergeCell ref="D12:D14"/>
    <mergeCell ref="D15:D17"/>
    <mergeCell ref="A78:A115"/>
    <mergeCell ref="B78:E78"/>
    <mergeCell ref="B61:E61"/>
    <mergeCell ref="B62:C77"/>
    <mergeCell ref="D62:E62"/>
    <mergeCell ref="C41:E41"/>
    <mergeCell ref="C46:C57"/>
    <mergeCell ref="B41:B60"/>
    <mergeCell ref="D56:E56"/>
    <mergeCell ref="D57:E57"/>
    <mergeCell ref="C58:E58"/>
    <mergeCell ref="C59:E59"/>
    <mergeCell ref="C60:E60"/>
    <mergeCell ref="C42:C45"/>
    <mergeCell ref="D47:D49"/>
    <mergeCell ref="D50:D52"/>
    <mergeCell ref="D53:D55"/>
    <mergeCell ref="D46:E46"/>
    <mergeCell ref="C98:E98"/>
    <mergeCell ref="B99:E99"/>
    <mergeCell ref="B100:C115"/>
    <mergeCell ref="D100:E100"/>
    <mergeCell ref="D101:D105"/>
    <mergeCell ref="D106:D110"/>
    <mergeCell ref="D111:D115"/>
    <mergeCell ref="D88:D90"/>
    <mergeCell ref="D91:D93"/>
    <mergeCell ref="D94:E94"/>
    <mergeCell ref="D95:E95"/>
    <mergeCell ref="C96:E96"/>
    <mergeCell ref="C97:E97"/>
    <mergeCell ref="B79:B98"/>
    <mergeCell ref="C79:E79"/>
    <mergeCell ref="C80:C83"/>
    <mergeCell ref="D80:E80"/>
    <mergeCell ref="D81:E81"/>
    <mergeCell ref="D82:E82"/>
    <mergeCell ref="D83:E83"/>
    <mergeCell ref="C84:C95"/>
    <mergeCell ref="D84:E84"/>
    <mergeCell ref="D85:D87"/>
    <mergeCell ref="D122:E122"/>
    <mergeCell ref="D123:D125"/>
    <mergeCell ref="D126:D128"/>
    <mergeCell ref="D129:D131"/>
    <mergeCell ref="D132:E132"/>
    <mergeCell ref="D133:E133"/>
    <mergeCell ref="A116:A153"/>
    <mergeCell ref="B116:E116"/>
    <mergeCell ref="B117:B136"/>
    <mergeCell ref="C117:E117"/>
    <mergeCell ref="C118:C121"/>
    <mergeCell ref="D118:E118"/>
    <mergeCell ref="D119:E119"/>
    <mergeCell ref="D120:E120"/>
    <mergeCell ref="D121:E121"/>
    <mergeCell ref="C122:C133"/>
    <mergeCell ref="C134:E134"/>
    <mergeCell ref="C135:E135"/>
    <mergeCell ref="C136:E136"/>
    <mergeCell ref="B137:E137"/>
    <mergeCell ref="B138:C153"/>
    <mergeCell ref="D138:E138"/>
    <mergeCell ref="D139:D143"/>
    <mergeCell ref="D144:D148"/>
    <mergeCell ref="D149:D153"/>
    <mergeCell ref="D160:E160"/>
    <mergeCell ref="D161:D163"/>
    <mergeCell ref="D164:D166"/>
    <mergeCell ref="D167:D169"/>
    <mergeCell ref="D170:E170"/>
    <mergeCell ref="D171:E171"/>
    <mergeCell ref="A154:A191"/>
    <mergeCell ref="B154:E154"/>
    <mergeCell ref="B155:B174"/>
    <mergeCell ref="C155:E155"/>
    <mergeCell ref="C156:C159"/>
    <mergeCell ref="D156:E156"/>
    <mergeCell ref="D157:E157"/>
    <mergeCell ref="D158:E158"/>
    <mergeCell ref="D159:E159"/>
    <mergeCell ref="C160:C171"/>
    <mergeCell ref="C172:E172"/>
    <mergeCell ref="C173:E173"/>
    <mergeCell ref="C174:E174"/>
    <mergeCell ref="B175:E175"/>
    <mergeCell ref="B176:C191"/>
    <mergeCell ref="D176:E176"/>
    <mergeCell ref="D177:D181"/>
    <mergeCell ref="A192:A229"/>
    <mergeCell ref="B192:E192"/>
    <mergeCell ref="B193:B212"/>
    <mergeCell ref="C193:E193"/>
    <mergeCell ref="C194:C197"/>
    <mergeCell ref="D194:E194"/>
    <mergeCell ref="D195:E195"/>
    <mergeCell ref="D196:E196"/>
    <mergeCell ref="D197:E197"/>
    <mergeCell ref="C198:C209"/>
    <mergeCell ref="C210:E210"/>
    <mergeCell ref="C211:E211"/>
    <mergeCell ref="C212:E212"/>
    <mergeCell ref="B213:E213"/>
    <mergeCell ref="B214:C229"/>
    <mergeCell ref="D214:E214"/>
    <mergeCell ref="D215:D219"/>
    <mergeCell ref="D220:D224"/>
    <mergeCell ref="D225:D229"/>
    <mergeCell ref="D18:E18"/>
    <mergeCell ref="D19:E19"/>
    <mergeCell ref="C20:E20"/>
    <mergeCell ref="C21:E21"/>
    <mergeCell ref="C22:E22"/>
    <mergeCell ref="B23:E23"/>
    <mergeCell ref="B24:C39"/>
    <mergeCell ref="D24:E24"/>
    <mergeCell ref="D25:D29"/>
    <mergeCell ref="D30:D34"/>
    <mergeCell ref="D35:D39"/>
    <mergeCell ref="D182:D186"/>
    <mergeCell ref="D187:D191"/>
    <mergeCell ref="D198:E198"/>
    <mergeCell ref="D199:D201"/>
    <mergeCell ref="D202:D204"/>
    <mergeCell ref="D205:D207"/>
    <mergeCell ref="D281:E281"/>
    <mergeCell ref="D282:E282"/>
    <mergeCell ref="D283:E283"/>
    <mergeCell ref="D275:E275"/>
    <mergeCell ref="C278:E278"/>
    <mergeCell ref="B279:E279"/>
    <mergeCell ref="B280:C283"/>
    <mergeCell ref="D280:E280"/>
    <mergeCell ref="D208:E208"/>
    <mergeCell ref="D209:E209"/>
    <mergeCell ref="B230:E230"/>
    <mergeCell ref="B231:B250"/>
    <mergeCell ref="C231:E231"/>
    <mergeCell ref="C232:C235"/>
    <mergeCell ref="D232:E232"/>
    <mergeCell ref="D233:E233"/>
    <mergeCell ref="D234:E234"/>
    <mergeCell ref="D235:E235"/>
    <mergeCell ref="A268:A283"/>
    <mergeCell ref="B268:E268"/>
    <mergeCell ref="D276:E276"/>
    <mergeCell ref="D277:E277"/>
    <mergeCell ref="B269:B278"/>
    <mergeCell ref="C269:E269"/>
    <mergeCell ref="C270:C273"/>
    <mergeCell ref="D270:E270"/>
    <mergeCell ref="D271:E271"/>
    <mergeCell ref="D272:E272"/>
    <mergeCell ref="D273:E273"/>
    <mergeCell ref="C274:C277"/>
    <mergeCell ref="D274:E274"/>
  </mergeCells>
  <phoneticPr fontId="4" type="noConversion"/>
  <pageMargins left="0.7" right="0.7" top="0.75" bottom="0.75" header="0.3" footer="0.3"/>
  <pageSetup paperSize="9" scale="63" orientation="portrait" r:id="rId1"/>
  <colBreaks count="1" manualBreakCount="1">
    <brk id="1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249</v>
      </c>
      <c r="B1" s="1"/>
      <c r="C1" s="1"/>
      <c r="L1" s="2" t="s">
        <v>99</v>
      </c>
    </row>
    <row r="2" spans="1:19" ht="20.100000000000001" customHeight="1">
      <c r="A2" s="2" t="s">
        <v>63</v>
      </c>
    </row>
    <row r="3" spans="1:19" ht="20.100000000000001" customHeight="1">
      <c r="A3" s="4" t="s">
        <v>243</v>
      </c>
      <c r="B3" s="40"/>
      <c r="C3" s="40"/>
      <c r="L3" s="49" t="s">
        <v>107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130</v>
      </c>
      <c r="L4" s="839" t="s">
        <v>108</v>
      </c>
      <c r="M4" s="839"/>
      <c r="N4" s="56" t="s">
        <v>109</v>
      </c>
      <c r="O4" s="56" t="s">
        <v>110</v>
      </c>
      <c r="P4" s="56" t="s">
        <v>111</v>
      </c>
      <c r="Q4" s="56" t="s">
        <v>137</v>
      </c>
      <c r="R4" s="56" t="s">
        <v>112</v>
      </c>
      <c r="S4" s="56" t="s">
        <v>113</v>
      </c>
    </row>
    <row r="5" spans="1:19" ht="20.100000000000001" customHeight="1">
      <c r="H5" s="8"/>
      <c r="J5" s="8" t="s">
        <v>71</v>
      </c>
      <c r="L5" s="842" t="s">
        <v>114</v>
      </c>
      <c r="M5" s="53" t="s">
        <v>115</v>
      </c>
      <c r="N5" s="54" t="s">
        <v>133</v>
      </c>
      <c r="O5" s="54" t="s">
        <v>116</v>
      </c>
      <c r="P5" s="62">
        <f>ROUND(3*3*4.5,0)</f>
        <v>41</v>
      </c>
      <c r="Q5" s="55">
        <v>10231</v>
      </c>
      <c r="R5" s="55">
        <f>P5*Q5</f>
        <v>419471</v>
      </c>
      <c r="S5" s="61" t="s">
        <v>131</v>
      </c>
    </row>
    <row r="6" spans="1:19" ht="20.100000000000001" customHeight="1">
      <c r="A6" s="783" t="s">
        <v>8</v>
      </c>
      <c r="B6" s="787" t="s">
        <v>103</v>
      </c>
      <c r="C6" s="789" t="s">
        <v>9</v>
      </c>
      <c r="D6" s="781"/>
      <c r="E6" s="781" t="s">
        <v>10</v>
      </c>
      <c r="F6" s="781"/>
      <c r="G6" s="781" t="s">
        <v>11</v>
      </c>
      <c r="H6" s="781"/>
      <c r="I6" s="781" t="s">
        <v>12</v>
      </c>
      <c r="J6" s="782"/>
      <c r="L6" s="842"/>
      <c r="M6" s="53" t="s">
        <v>117</v>
      </c>
      <c r="N6" s="54" t="s">
        <v>134</v>
      </c>
      <c r="O6" s="54" t="s">
        <v>116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132</v>
      </c>
    </row>
    <row r="7" spans="1:19" ht="20.100000000000001" customHeight="1">
      <c r="A7" s="840"/>
      <c r="B7" s="841"/>
      <c r="C7" s="316" t="s">
        <v>104</v>
      </c>
      <c r="D7" s="523" t="s">
        <v>75</v>
      </c>
      <c r="E7" s="522" t="s">
        <v>104</v>
      </c>
      <c r="F7" s="523" t="s">
        <v>75</v>
      </c>
      <c r="G7" s="522" t="s">
        <v>104</v>
      </c>
      <c r="H7" s="523" t="s">
        <v>75</v>
      </c>
      <c r="I7" s="522" t="s">
        <v>104</v>
      </c>
      <c r="J7" s="528" t="s">
        <v>75</v>
      </c>
      <c r="L7" s="843" t="s">
        <v>135</v>
      </c>
      <c r="M7" s="53" t="s">
        <v>118</v>
      </c>
      <c r="N7" s="56" t="s">
        <v>136</v>
      </c>
      <c r="O7" s="54" t="s">
        <v>121</v>
      </c>
      <c r="P7" s="53">
        <v>1</v>
      </c>
      <c r="Q7" s="55">
        <v>3191400</v>
      </c>
      <c r="R7" s="55">
        <f>P7*Q7</f>
        <v>3191400</v>
      </c>
      <c r="S7" s="52" t="s">
        <v>119</v>
      </c>
    </row>
    <row r="8" spans="1:19" ht="20.100000000000001" customHeight="1">
      <c r="A8" s="527" t="s">
        <v>237</v>
      </c>
      <c r="B8" s="551">
        <v>5500753</v>
      </c>
      <c r="C8" s="554">
        <v>0</v>
      </c>
      <c r="D8" s="353">
        <f>+ROUND($B8*C8/1000000,0)</f>
        <v>0</v>
      </c>
      <c r="E8" s="354">
        <v>0</v>
      </c>
      <c r="F8" s="353">
        <f>+ROUND($B8*E8/1000000,0)</f>
        <v>0</v>
      </c>
      <c r="G8" s="354"/>
      <c r="H8" s="355"/>
      <c r="I8" s="354"/>
      <c r="J8" s="356"/>
      <c r="L8" s="842"/>
      <c r="M8" s="53" t="s">
        <v>120</v>
      </c>
      <c r="N8" s="54"/>
      <c r="O8" s="54" t="s">
        <v>121</v>
      </c>
      <c r="P8" s="53">
        <v>1</v>
      </c>
      <c r="Q8" s="55">
        <f>+Q7*0.2</f>
        <v>638280</v>
      </c>
      <c r="R8" s="55">
        <f>P8*Q8</f>
        <v>638280</v>
      </c>
      <c r="S8" s="52" t="s">
        <v>142</v>
      </c>
    </row>
    <row r="9" spans="1:19" ht="20.100000000000001" customHeight="1">
      <c r="A9" s="524" t="s">
        <v>238</v>
      </c>
      <c r="B9" s="552">
        <v>576917</v>
      </c>
      <c r="C9" s="555">
        <v>0</v>
      </c>
      <c r="D9" s="331">
        <f>+ROUND($B9*C9/1000000,0)</f>
        <v>0</v>
      </c>
      <c r="E9" s="357">
        <v>0</v>
      </c>
      <c r="F9" s="331">
        <f>+ROUND($B9*E9/1000000,0)</f>
        <v>0</v>
      </c>
      <c r="G9" s="357"/>
      <c r="H9" s="525"/>
      <c r="I9" s="357"/>
      <c r="J9" s="358"/>
      <c r="L9" s="53" t="s">
        <v>122</v>
      </c>
      <c r="M9" s="53" t="s">
        <v>123</v>
      </c>
      <c r="N9" s="54" t="s">
        <v>143</v>
      </c>
      <c r="O9" s="54" t="s">
        <v>124</v>
      </c>
      <c r="P9" s="57">
        <f>3*4</f>
        <v>12</v>
      </c>
      <c r="Q9" s="55">
        <v>500000</v>
      </c>
      <c r="R9" s="55">
        <f>P9*Q9</f>
        <v>6000000</v>
      </c>
      <c r="S9" s="52" t="s">
        <v>125</v>
      </c>
    </row>
    <row r="10" spans="1:19" ht="20.100000000000001" customHeight="1">
      <c r="A10" s="524" t="s">
        <v>239</v>
      </c>
      <c r="B10" s="552">
        <v>223017</v>
      </c>
      <c r="C10" s="555">
        <v>0</v>
      </c>
      <c r="D10" s="331">
        <f>+ROUND($B10*C10/1000000,0)</f>
        <v>0</v>
      </c>
      <c r="E10" s="357">
        <v>0</v>
      </c>
      <c r="F10" s="331">
        <f>+ROUND($B10*E10/1000000,0)</f>
        <v>0</v>
      </c>
      <c r="G10" s="357"/>
      <c r="H10" s="525"/>
      <c r="I10" s="357"/>
      <c r="J10" s="358"/>
      <c r="K10" s="9"/>
      <c r="L10" s="842" t="s">
        <v>126</v>
      </c>
      <c r="M10" s="842"/>
      <c r="N10" s="842"/>
      <c r="O10" s="54"/>
      <c r="P10" s="58"/>
      <c r="Q10" s="55"/>
      <c r="R10" s="55">
        <f>+ROUND(SUM(R5:R9)*0.5,0)</f>
        <v>5181648</v>
      </c>
      <c r="S10" s="52" t="s">
        <v>127</v>
      </c>
    </row>
    <row r="11" spans="1:19" ht="20.100000000000001" customHeight="1">
      <c r="A11" s="524" t="s">
        <v>240</v>
      </c>
      <c r="B11" s="552">
        <v>6000</v>
      </c>
      <c r="C11" s="555">
        <v>0</v>
      </c>
      <c r="D11" s="331">
        <f>+ROUND($B11*C11/1000000,0)</f>
        <v>0</v>
      </c>
      <c r="E11" s="357">
        <v>0</v>
      </c>
      <c r="F11" s="331">
        <f>+ROUND($B11*E11/1000000,0)</f>
        <v>0</v>
      </c>
      <c r="G11" s="357"/>
      <c r="H11" s="525"/>
      <c r="I11" s="357"/>
      <c r="J11" s="358"/>
      <c r="K11" s="9"/>
      <c r="L11" s="838" t="s">
        <v>128</v>
      </c>
      <c r="M11" s="838"/>
      <c r="N11" s="838"/>
      <c r="O11" s="54"/>
      <c r="P11" s="53"/>
      <c r="Q11" s="55"/>
      <c r="R11" s="55">
        <f>SUM(R5:R10)</f>
        <v>15544943</v>
      </c>
      <c r="S11" s="52"/>
    </row>
    <row r="12" spans="1:19" ht="20.100000000000001" customHeight="1">
      <c r="A12" s="526" t="s">
        <v>95</v>
      </c>
      <c r="B12" s="553"/>
      <c r="C12" s="556">
        <v>0</v>
      </c>
      <c r="D12" s="334">
        <f>SUM(D8:D11)</f>
        <v>0</v>
      </c>
      <c r="E12" s="334"/>
      <c r="F12" s="334">
        <f>SUM(F8:F11)</f>
        <v>0</v>
      </c>
      <c r="G12" s="334">
        <f>SUM(G8:G11)</f>
        <v>0</v>
      </c>
      <c r="H12" s="334">
        <f>SUM(H8:H11)</f>
        <v>0</v>
      </c>
      <c r="I12" s="334">
        <f>SUM(I8:I11)</f>
        <v>0</v>
      </c>
      <c r="J12" s="335">
        <f>SUM(J8:J11)</f>
        <v>0</v>
      </c>
      <c r="K12" s="9"/>
      <c r="L12" s="838" t="s">
        <v>144</v>
      </c>
      <c r="M12" s="838"/>
      <c r="N12" s="838"/>
      <c r="O12" s="54"/>
      <c r="P12" s="53"/>
      <c r="Q12" s="55"/>
      <c r="R12" s="55">
        <f>R11*0.35</f>
        <v>5440730.0499999998</v>
      </c>
      <c r="S12" s="52"/>
    </row>
    <row r="13" spans="1:19" ht="20.100000000000001" customHeight="1">
      <c r="C13" s="3" t="s">
        <v>805</v>
      </c>
      <c r="D13" s="3" t="s">
        <v>806</v>
      </c>
      <c r="E13" s="2" t="s">
        <v>807</v>
      </c>
      <c r="K13" s="9"/>
      <c r="L13" s="839" t="s">
        <v>129</v>
      </c>
      <c r="M13" s="839"/>
      <c r="N13" s="839"/>
      <c r="O13" s="56"/>
      <c r="P13" s="59"/>
      <c r="Q13" s="60"/>
      <c r="R13" s="60">
        <f>ROUND(R12+R11,-3)</f>
        <v>20986000</v>
      </c>
      <c r="S13" s="52"/>
    </row>
    <row r="14" spans="1:19" ht="20.100000000000001" customHeight="1">
      <c r="C14" s="2">
        <v>2283</v>
      </c>
      <c r="D14" s="2">
        <f>C14/50</f>
        <v>45.66</v>
      </c>
      <c r="E14" s="2">
        <f>D14*0.2</f>
        <v>9.1319999999999997</v>
      </c>
      <c r="K14" s="9"/>
    </row>
    <row r="15" spans="1:19" ht="20.100000000000001" customHeight="1">
      <c r="K15" s="9"/>
      <c r="N15" s="3" t="s">
        <v>139</v>
      </c>
    </row>
    <row r="16" spans="1:19" ht="20.100000000000001" customHeight="1">
      <c r="K16" s="9"/>
      <c r="L16" s="2">
        <v>550</v>
      </c>
      <c r="M16" s="2" t="s">
        <v>140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141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138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4:M4"/>
    <mergeCell ref="L5:L6"/>
    <mergeCell ref="L7:L8"/>
    <mergeCell ref="L10:N10"/>
    <mergeCell ref="L11:N11"/>
    <mergeCell ref="L12:N12"/>
    <mergeCell ref="L13:N13"/>
    <mergeCell ref="I6:J6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="115" zoomScaleNormal="100" zoomScaleSheetLayoutView="115" workbookViewId="0">
      <selection activeCell="I25" sqref="I2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0" t="s">
        <v>662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R3" s="776" t="s">
        <v>64</v>
      </c>
      <c r="S3" s="776" t="s">
        <v>511</v>
      </c>
      <c r="T3" s="813" t="s">
        <v>524</v>
      </c>
      <c r="U3" s="813" t="s">
        <v>663</v>
      </c>
      <c r="V3" s="813" t="s">
        <v>526</v>
      </c>
    </row>
    <row r="4" spans="1:22" ht="20.100000000000001" customHeight="1">
      <c r="A4" s="2" t="s">
        <v>431</v>
      </c>
      <c r="M4" s="776"/>
      <c r="N4" s="776"/>
      <c r="O4" s="272" t="s">
        <v>67</v>
      </c>
      <c r="P4" s="272" t="s">
        <v>68</v>
      </c>
      <c r="R4" s="776"/>
      <c r="S4" s="776"/>
      <c r="T4" s="815"/>
      <c r="U4" s="815"/>
      <c r="V4" s="815"/>
    </row>
    <row r="5" spans="1:22" ht="20.100000000000001" customHeight="1">
      <c r="I5" s="8"/>
      <c r="K5" s="8" t="s">
        <v>512</v>
      </c>
      <c r="M5" s="776" t="s">
        <v>69</v>
      </c>
      <c r="N5" s="272">
        <v>300</v>
      </c>
      <c r="O5" s="44">
        <v>503180</v>
      </c>
      <c r="P5" s="44">
        <v>767950</v>
      </c>
      <c r="R5" s="813" t="s">
        <v>533</v>
      </c>
      <c r="S5" s="272">
        <v>250</v>
      </c>
      <c r="T5" s="44">
        <v>436222.93999999994</v>
      </c>
      <c r="U5" s="816">
        <v>0.35</v>
      </c>
      <c r="V5" s="44">
        <f>+ROUND(T5+T5*$U$5,0)</f>
        <v>588901</v>
      </c>
    </row>
    <row r="6" spans="1:22" ht="20.100000000000001" customHeight="1">
      <c r="A6" s="783" t="s">
        <v>655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776"/>
      <c r="N6" s="272">
        <v>400</v>
      </c>
      <c r="O6" s="44">
        <v>569370</v>
      </c>
      <c r="P6" s="44">
        <v>842990</v>
      </c>
      <c r="R6" s="814"/>
      <c r="S6" s="272">
        <v>300</v>
      </c>
      <c r="T6" s="44">
        <v>482485.98749999993</v>
      </c>
      <c r="U6" s="817"/>
      <c r="V6" s="44">
        <f t="shared" ref="V6:V16" si="0">+ROUND(T6+T6*$U$5,0)</f>
        <v>651356</v>
      </c>
    </row>
    <row r="7" spans="1:22" ht="20.100000000000001" customHeight="1">
      <c r="A7" s="784"/>
      <c r="B7" s="786"/>
      <c r="C7" s="788"/>
      <c r="D7" s="160" t="s">
        <v>535</v>
      </c>
      <c r="E7" s="580" t="s">
        <v>452</v>
      </c>
      <c r="F7" s="586" t="s">
        <v>535</v>
      </c>
      <c r="G7" s="580" t="s">
        <v>452</v>
      </c>
      <c r="H7" s="586" t="s">
        <v>535</v>
      </c>
      <c r="I7" s="580" t="s">
        <v>452</v>
      </c>
      <c r="J7" s="586" t="s">
        <v>535</v>
      </c>
      <c r="K7" s="581" t="s">
        <v>452</v>
      </c>
      <c r="M7" s="776"/>
      <c r="N7" s="272">
        <v>500</v>
      </c>
      <c r="O7" s="44">
        <v>613210</v>
      </c>
      <c r="P7" s="44">
        <v>895800</v>
      </c>
      <c r="R7" s="814"/>
      <c r="S7" s="272">
        <v>400</v>
      </c>
      <c r="T7" s="44">
        <v>645109.09</v>
      </c>
      <c r="U7" s="817"/>
      <c r="V7" s="44">
        <f t="shared" si="0"/>
        <v>870897</v>
      </c>
    </row>
    <row r="8" spans="1:22" ht="20.100000000000001" customHeight="1">
      <c r="A8" s="893" t="s">
        <v>1050</v>
      </c>
      <c r="B8" s="184">
        <v>150</v>
      </c>
      <c r="C8" s="185">
        <f>+ROUND(V5*L1,0)</f>
        <v>765571</v>
      </c>
      <c r="D8" s="186"/>
      <c r="E8" s="177">
        <f>+ROUND($C8*D8/1000000,0)</f>
        <v>0</v>
      </c>
      <c r="F8" s="177"/>
      <c r="G8" s="177">
        <f>+ROUND($C8*F8/1000000,0)</f>
        <v>0</v>
      </c>
      <c r="H8" s="177"/>
      <c r="I8" s="177">
        <f t="shared" ref="I8:I13" si="1">+ROUND($C8*H8/1000000,0)</f>
        <v>0</v>
      </c>
      <c r="J8" s="177"/>
      <c r="K8" s="185">
        <f t="shared" ref="K8:K13" si="2">+ROUND($C8*J8/1000000,0)</f>
        <v>0</v>
      </c>
      <c r="M8" s="776"/>
      <c r="N8" s="272">
        <v>600</v>
      </c>
      <c r="O8" s="44">
        <v>692660</v>
      </c>
      <c r="P8" s="44">
        <v>997630</v>
      </c>
      <c r="R8" s="814"/>
      <c r="S8" s="272">
        <v>450</v>
      </c>
      <c r="T8" s="44">
        <v>695339.56749999989</v>
      </c>
      <c r="U8" s="817"/>
      <c r="V8" s="44">
        <f t="shared" si="0"/>
        <v>938708</v>
      </c>
    </row>
    <row r="9" spans="1:22" ht="20.100000000000001" customHeight="1">
      <c r="A9" s="894"/>
      <c r="B9" s="178">
        <v>200</v>
      </c>
      <c r="C9" s="179">
        <f>+ROUND(V5*L1,0)</f>
        <v>765571</v>
      </c>
      <c r="D9" s="182"/>
      <c r="E9" s="176">
        <f t="shared" ref="E9:G13" si="3">+ROUND($C9*D9/1000000,0)</f>
        <v>0</v>
      </c>
      <c r="F9" s="176"/>
      <c r="G9" s="176">
        <f t="shared" si="3"/>
        <v>0</v>
      </c>
      <c r="H9" s="176"/>
      <c r="I9" s="176">
        <f t="shared" si="1"/>
        <v>0</v>
      </c>
      <c r="J9" s="176"/>
      <c r="K9" s="179">
        <f t="shared" si="2"/>
        <v>0</v>
      </c>
      <c r="M9" s="776"/>
      <c r="N9" s="272">
        <v>700</v>
      </c>
      <c r="O9" s="44">
        <v>768320</v>
      </c>
      <c r="P9" s="44">
        <v>1082020</v>
      </c>
      <c r="R9" s="814"/>
      <c r="S9" s="272">
        <v>500</v>
      </c>
      <c r="T9" s="44">
        <v>853537.02499999991</v>
      </c>
      <c r="U9" s="817"/>
      <c r="V9" s="44">
        <f t="shared" si="0"/>
        <v>1152275</v>
      </c>
    </row>
    <row r="10" spans="1:22" ht="20.100000000000001" customHeight="1">
      <c r="A10" s="894"/>
      <c r="B10" s="178">
        <v>300</v>
      </c>
      <c r="C10" s="179">
        <f>+ROUND(V6*$L$1,0)</f>
        <v>846763</v>
      </c>
      <c r="D10" s="182"/>
      <c r="E10" s="176">
        <f t="shared" si="3"/>
        <v>0</v>
      </c>
      <c r="F10" s="176"/>
      <c r="G10" s="176">
        <f t="shared" si="3"/>
        <v>0</v>
      </c>
      <c r="H10" s="176"/>
      <c r="I10" s="176">
        <f t="shared" si="1"/>
        <v>0</v>
      </c>
      <c r="J10" s="176"/>
      <c r="K10" s="179">
        <f t="shared" si="2"/>
        <v>0</v>
      </c>
      <c r="L10" s="9"/>
      <c r="M10" s="776"/>
      <c r="N10" s="272">
        <v>800</v>
      </c>
      <c r="O10" s="44">
        <v>838740</v>
      </c>
      <c r="P10" s="44">
        <v>1161300</v>
      </c>
      <c r="R10" s="814"/>
      <c r="S10" s="272">
        <v>600</v>
      </c>
      <c r="T10" s="44">
        <v>938366.40749999986</v>
      </c>
      <c r="U10" s="817"/>
      <c r="V10" s="44">
        <f t="shared" si="0"/>
        <v>1266795</v>
      </c>
    </row>
    <row r="11" spans="1:22" ht="20.100000000000001" customHeight="1">
      <c r="A11" s="894"/>
      <c r="B11" s="178">
        <v>400</v>
      </c>
      <c r="C11" s="179">
        <f>+ROUND(V7*$L$1,0)</f>
        <v>1132166</v>
      </c>
      <c r="D11" s="182"/>
      <c r="E11" s="176">
        <f t="shared" si="3"/>
        <v>0</v>
      </c>
      <c r="F11" s="176"/>
      <c r="G11" s="176">
        <f t="shared" si="3"/>
        <v>0</v>
      </c>
      <c r="H11" s="176"/>
      <c r="I11" s="176">
        <f t="shared" si="1"/>
        <v>0</v>
      </c>
      <c r="J11" s="176"/>
      <c r="K11" s="179">
        <f t="shared" si="2"/>
        <v>0</v>
      </c>
      <c r="L11" s="9"/>
      <c r="M11" s="776"/>
      <c r="N11" s="272">
        <v>900</v>
      </c>
      <c r="O11" s="44">
        <v>928140</v>
      </c>
      <c r="P11" s="44">
        <v>1259520</v>
      </c>
      <c r="R11" s="814"/>
      <c r="S11" s="272">
        <v>700</v>
      </c>
      <c r="T11" s="44">
        <v>1076378.9574999998</v>
      </c>
      <c r="U11" s="817"/>
      <c r="V11" s="44">
        <f t="shared" si="0"/>
        <v>1453112</v>
      </c>
    </row>
    <row r="12" spans="1:22" ht="20.100000000000001" customHeight="1">
      <c r="A12" s="894"/>
      <c r="B12" s="178">
        <v>450</v>
      </c>
      <c r="C12" s="179">
        <f>+ROUND(V8*$L$1,0)</f>
        <v>1220320</v>
      </c>
      <c r="D12" s="182"/>
      <c r="E12" s="176">
        <f t="shared" si="3"/>
        <v>0</v>
      </c>
      <c r="F12" s="176"/>
      <c r="G12" s="176">
        <f t="shared" si="3"/>
        <v>0</v>
      </c>
      <c r="H12" s="176"/>
      <c r="I12" s="176">
        <f t="shared" si="1"/>
        <v>0</v>
      </c>
      <c r="J12" s="176"/>
      <c r="K12" s="179">
        <f t="shared" si="2"/>
        <v>0</v>
      </c>
      <c r="L12" s="9"/>
      <c r="M12" s="776"/>
      <c r="N12" s="272">
        <v>1000</v>
      </c>
      <c r="O12" s="44">
        <v>1032240</v>
      </c>
      <c r="P12" s="44">
        <v>1372570</v>
      </c>
      <c r="R12" s="814"/>
      <c r="S12" s="272">
        <v>800</v>
      </c>
      <c r="T12" s="44">
        <v>1273983.7524999999</v>
      </c>
      <c r="U12" s="817"/>
      <c r="V12" s="44">
        <f t="shared" si="0"/>
        <v>1719878</v>
      </c>
    </row>
    <row r="13" spans="1:22" ht="20.100000000000001" customHeight="1">
      <c r="A13" s="894"/>
      <c r="B13" s="178">
        <v>600</v>
      </c>
      <c r="C13" s="179">
        <f>+ROUND(V10*$L$1,0)</f>
        <v>1646834</v>
      </c>
      <c r="D13" s="182"/>
      <c r="E13" s="176">
        <f t="shared" si="3"/>
        <v>0</v>
      </c>
      <c r="F13" s="176"/>
      <c r="G13" s="176">
        <f t="shared" si="3"/>
        <v>0</v>
      </c>
      <c r="H13" s="176"/>
      <c r="I13" s="176">
        <f t="shared" si="1"/>
        <v>0</v>
      </c>
      <c r="J13" s="176"/>
      <c r="K13" s="179">
        <f t="shared" si="2"/>
        <v>0</v>
      </c>
      <c r="L13" s="9"/>
      <c r="M13" s="776"/>
      <c r="N13" s="272">
        <v>1100</v>
      </c>
      <c r="O13" s="44">
        <v>1166200</v>
      </c>
      <c r="P13" s="44">
        <v>1528360</v>
      </c>
      <c r="R13" s="814"/>
      <c r="S13" s="272">
        <v>900</v>
      </c>
      <c r="T13" s="44">
        <v>1434939.5399999998</v>
      </c>
      <c r="U13" s="817"/>
      <c r="V13" s="44">
        <f t="shared" si="0"/>
        <v>1937168</v>
      </c>
    </row>
    <row r="14" spans="1:22" ht="20.100000000000001" customHeight="1">
      <c r="A14" s="895"/>
      <c r="B14" s="896" t="s">
        <v>406</v>
      </c>
      <c r="C14" s="897"/>
      <c r="D14" s="183">
        <f t="shared" ref="D14:K14" si="4">SUM(D8:D13)</f>
        <v>0</v>
      </c>
      <c r="E14" s="180">
        <f t="shared" si="4"/>
        <v>0</v>
      </c>
      <c r="F14" s="180">
        <f t="shared" si="4"/>
        <v>0</v>
      </c>
      <c r="G14" s="180">
        <f t="shared" si="4"/>
        <v>0</v>
      </c>
      <c r="H14" s="180">
        <f t="shared" si="4"/>
        <v>0</v>
      </c>
      <c r="I14" s="180">
        <f t="shared" si="4"/>
        <v>0</v>
      </c>
      <c r="J14" s="180">
        <f t="shared" si="4"/>
        <v>0</v>
      </c>
      <c r="K14" s="181">
        <f t="shared" si="4"/>
        <v>0</v>
      </c>
      <c r="L14" s="72" t="s">
        <v>660</v>
      </c>
      <c r="M14" s="776"/>
      <c r="N14" s="272">
        <v>1200</v>
      </c>
      <c r="O14" s="44">
        <v>1289410</v>
      </c>
      <c r="P14" s="44">
        <v>1660260</v>
      </c>
      <c r="R14" s="814"/>
      <c r="S14" s="272">
        <v>1000</v>
      </c>
      <c r="T14" s="44">
        <v>1552984.7074999998</v>
      </c>
      <c r="U14" s="817"/>
      <c r="V14" s="44">
        <f t="shared" si="0"/>
        <v>2096529</v>
      </c>
    </row>
    <row r="15" spans="1:22" ht="20.100000000000001" customHeight="1">
      <c r="A15" s="624"/>
      <c r="L15" s="9"/>
      <c r="M15" s="776"/>
      <c r="N15" s="272">
        <v>1350</v>
      </c>
      <c r="O15" s="44">
        <v>1491510</v>
      </c>
      <c r="P15" s="44">
        <v>1874980</v>
      </c>
      <c r="R15" s="814"/>
      <c r="S15" s="272">
        <v>1100</v>
      </c>
      <c r="T15" s="44">
        <v>1686561.7249999999</v>
      </c>
      <c r="U15" s="817"/>
      <c r="V15" s="44">
        <f t="shared" si="0"/>
        <v>2276858</v>
      </c>
    </row>
    <row r="16" spans="1:22" ht="20.100000000000001" customHeight="1">
      <c r="L16" s="9"/>
      <c r="M16" s="776" t="s">
        <v>76</v>
      </c>
      <c r="N16" s="272">
        <v>300</v>
      </c>
      <c r="O16" s="44">
        <v>694060</v>
      </c>
      <c r="P16" s="44">
        <v>958820</v>
      </c>
      <c r="R16" s="815"/>
      <c r="S16" s="272">
        <v>1200</v>
      </c>
      <c r="T16" s="44">
        <v>1780239.5724999998</v>
      </c>
      <c r="U16" s="818"/>
      <c r="V16" s="44">
        <f t="shared" si="0"/>
        <v>2403323</v>
      </c>
    </row>
    <row r="17" spans="12:16" ht="20.100000000000001" customHeight="1">
      <c r="L17" s="9"/>
      <c r="M17" s="776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76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76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76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76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76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76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76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76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76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76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76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76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76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76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76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76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76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76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76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76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76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76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76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76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76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76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76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76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76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76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76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76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76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76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A8:A14"/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  <mergeCell ref="A6:A7"/>
    <mergeCell ref="B6:B7"/>
    <mergeCell ref="C6:C7"/>
    <mergeCell ref="D6:E6"/>
    <mergeCell ref="F6:G6"/>
    <mergeCell ref="M36:M51"/>
    <mergeCell ref="H6:I6"/>
    <mergeCell ref="J6:K6"/>
    <mergeCell ref="B14:C14"/>
    <mergeCell ref="M16:M25"/>
    <mergeCell ref="M26:M35"/>
  </mergeCells>
  <phoneticPr fontId="4" type="noConversion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31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969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+'가.굴착교체(감곡-우수)'!E28</f>
        <v>673</v>
      </c>
      <c r="C5" s="101">
        <f>+'가.굴착교체(감곡-우수)'!G28</f>
        <v>2947</v>
      </c>
      <c r="D5" s="101">
        <f>+'가.굴착교체(감곡-우수)'!I28</f>
        <v>2054</v>
      </c>
      <c r="E5" s="101">
        <f>+'가.굴착교체(감곡-우수)'!K28</f>
        <v>339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673</v>
      </c>
      <c r="C6" s="97">
        <f>SUM(C5:C5)</f>
        <v>2947</v>
      </c>
      <c r="D6" s="97">
        <f>SUM(D5:D5)</f>
        <v>2054</v>
      </c>
      <c r="E6" s="97">
        <f>SUM(E5:E5)</f>
        <v>339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673</v>
      </c>
      <c r="C11" s="117">
        <f>+C6</f>
        <v>2947</v>
      </c>
      <c r="D11" s="117">
        <f>+D6</f>
        <v>2054</v>
      </c>
      <c r="E11" s="117">
        <f>+E6</f>
        <v>339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500</v>
      </c>
      <c r="C12" s="118">
        <f>IFERROR(INDEX($H$15:$L$31,MATCH(C11,$H$15:$H$31,1),1),0)</f>
        <v>2000</v>
      </c>
      <c r="D12" s="118">
        <f>IFERROR(INDEX($H$15:$L$31,MATCH(D11,$H$15:$H$31,1),1),0)</f>
        <v>2000</v>
      </c>
      <c r="E12" s="118">
        <f>IFERROR(INDEX($H$15:$L$31,MATCH(E11,$H$15:$H$31,1),1),0)</f>
        <v>300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1000</v>
      </c>
      <c r="C13" s="118">
        <f>IFERROR(INDEX($H$15:$L$31,MATCH(C11,$H$15:$H$31,1)+1,1),0)</f>
        <v>3000</v>
      </c>
      <c r="D13" s="118">
        <f>IFERROR(INDEX($H$15:$L$31,MATCH(D11,$H$15:$H$31,1)+1,1),0)</f>
        <v>3000</v>
      </c>
      <c r="E13" s="118">
        <f>IFERROR(INDEX($H$15:$L$31,MATCH(E11,$H$15:$H$31,1)+1,1),0)</f>
        <v>500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6.0399999999999995E-2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4.9000000000000002E-2</v>
      </c>
      <c r="E14" s="141">
        <f>IFERROR(INDEX($H$15:$L$31,MATCH(E11,$H$15:$H$31,1),2)+INDEX($H$15:$L$31,MATCH(E11,$H$15:$H$31,1),3),0)</f>
        <v>6.6500000000000004E-2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5.3199999999999997E-2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4.7200000000000006E-2</v>
      </c>
      <c r="E15" s="141">
        <f>IFERROR(INDEX($H$15:$L$31,MATCH(E11,$H$15:$H$31,1)+1,2)+INDEX($H$15:$L$31,MATCH(E11,$H$15:$H$31,1)+1,3),0)</f>
        <v>6.0399999999999995E-2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5.7908799999999996E-2</v>
      </c>
      <c r="C16" s="141">
        <f>IFERROR(C14+((C15-C14)/(C13-C12))*(C11-C12),0)</f>
        <v>4.7295400000000008E-2</v>
      </c>
      <c r="D16" s="141">
        <f>IFERROR(D14+((D15-D14)/(D13-D12))*(D11-D12),0)</f>
        <v>4.8902800000000003E-2</v>
      </c>
      <c r="E16" s="141">
        <f>IFERROR(E14+((E15-E14)/(E13-E12))*(E11-E12),0)</f>
        <v>6.5310500000000007E-2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39</v>
      </c>
      <c r="C17" s="97">
        <f>+ROUND(C11*C16,0)</f>
        <v>139</v>
      </c>
      <c r="D17" s="97">
        <f>+ROUND(D11*D16,0)</f>
        <v>100</v>
      </c>
      <c r="E17" s="108">
        <f>+ROUND(E11*E16,0)</f>
        <v>22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673</v>
      </c>
      <c r="C22" s="117">
        <f>+C11</f>
        <v>2947</v>
      </c>
      <c r="D22" s="117">
        <f>+D11</f>
        <v>2054</v>
      </c>
      <c r="E22" s="117">
        <f>+E11</f>
        <v>339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636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637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63</v>
      </c>
      <c r="C28" s="97">
        <f>+ROUND(C22*C27,0)</f>
        <v>276</v>
      </c>
      <c r="D28" s="97">
        <f>+ROUND(D22*D27,0)</f>
        <v>192</v>
      </c>
      <c r="E28" s="108">
        <f>+ROUND(E22*E27,0)</f>
        <v>32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673</v>
      </c>
      <c r="C33" s="117">
        <f>+C11</f>
        <v>2947</v>
      </c>
      <c r="D33" s="117">
        <f>+D11</f>
        <v>2054</v>
      </c>
      <c r="E33" s="117">
        <f>+E11</f>
        <v>339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500</v>
      </c>
      <c r="C34" s="118">
        <f>IFERROR(INDEX($H$15:$L$31,MATCH(C6,$H$15:$H$31,1),1),0)</f>
        <v>2000</v>
      </c>
      <c r="D34" s="118">
        <f>IFERROR(INDEX($H$15:$L$31,MATCH(D6,$H$15:$H$31,1),1),0)</f>
        <v>2000</v>
      </c>
      <c r="E34" s="118">
        <f>IFERROR(INDEX($H$15:$L$31,MATCH(E6,$H$15:$H$31,1),1),0)</f>
        <v>300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1000</v>
      </c>
      <c r="C35" s="118">
        <f>IFERROR(INDEX($H$15:$L$31,MATCH(C6,$H$15:$H$31,1)+1,1),0)</f>
        <v>3000</v>
      </c>
      <c r="D35" s="118">
        <f>IFERROR(INDEX($H$15:$L$31,MATCH(D6,$H$15:$H$31,1)+1,1),0)</f>
        <v>3000</v>
      </c>
      <c r="E35" s="118">
        <f>IFERROR(INDEX($H$15:$L$31,MATCH(E6,$H$15:$H$31,1)+1,1),0)</f>
        <v>500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7.1999999999999998E-3</v>
      </c>
      <c r="C36" s="141">
        <f>IFERROR(INDEX($H$15:$L$31,MATCH(C6,$H$15:$H$31,1),5),0)</f>
        <v>3.5999999999999999E-3</v>
      </c>
      <c r="D36" s="141">
        <f>IFERROR(INDEX($H$15:$L$31,MATCH(D6,$H$15:$H$31,1),5),0)</f>
        <v>3.5999999999999999E-3</v>
      </c>
      <c r="E36" s="141">
        <f>IFERROR(INDEX($H$15:$L$31,MATCH(E6,$H$15:$H$31,1),5),0)</f>
        <v>7.1999999999999998E-3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6.3E-3</v>
      </c>
      <c r="C37" s="141">
        <f>IFERROR(INDEX($H$15:$L$31,MATCH(C6,$H$15:$H$31,1)+1,5),0)</f>
        <v>3.5999999999999999E-3</v>
      </c>
      <c r="D37" s="141">
        <f>IFERROR(INDEX($H$15:$L$31,MATCH(D6,$H$15:$H$31,1)+1,5),0)</f>
        <v>3.5999999999999999E-3</v>
      </c>
      <c r="E37" s="141">
        <f>IFERROR(INDEX($H$15:$L$31,MATCH(E6,$H$15:$H$31,1)+1,5),0)</f>
        <v>7.1999999999999998E-3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6.8885999999999999E-3</v>
      </c>
      <c r="C38" s="141">
        <f>IFERROR(C36+((C37-C36)/(C35-C34))*(C33-C34),0)</f>
        <v>3.5999999999999999E-3</v>
      </c>
      <c r="D38" s="141">
        <f>IFERROR(D36+((D37-D36)/(D35-D34))*(D33-D34),0)</f>
        <v>3.5999999999999999E-3</v>
      </c>
      <c r="E38" s="141">
        <f>IFERROR(E36+((E37-E36)/(E35-E34))*(E33-E34),0)</f>
        <v>7.1999999999999998E-3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5</v>
      </c>
      <c r="C39" s="97">
        <f>+ROUND(C33*C38,0)</f>
        <v>11</v>
      </c>
      <c r="D39" s="97">
        <f>+ROUND(D33*D38,0)</f>
        <v>7</v>
      </c>
      <c r="E39" s="108">
        <f>+ROUND(E33*E38,0)</f>
        <v>2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673</v>
      </c>
      <c r="C44" s="126">
        <f>+C6</f>
        <v>2947</v>
      </c>
      <c r="D44" s="126">
        <f>+D6</f>
        <v>2054</v>
      </c>
      <c r="E44" s="126">
        <f>+E6</f>
        <v>339</v>
      </c>
      <c r="F44" s="127"/>
    </row>
    <row r="45" spans="1:17" ht="18.600000000000001" customHeight="1">
      <c r="A45" s="132" t="s">
        <v>480</v>
      </c>
      <c r="B45" s="129">
        <f>+B17</f>
        <v>39</v>
      </c>
      <c r="C45" s="121">
        <f>+C17</f>
        <v>139</v>
      </c>
      <c r="D45" s="121">
        <f>+D17</f>
        <v>100</v>
      </c>
      <c r="E45" s="121">
        <f>+E17</f>
        <v>22</v>
      </c>
      <c r="F45" s="122"/>
    </row>
    <row r="46" spans="1:17" ht="18.600000000000001" customHeight="1">
      <c r="A46" s="132" t="s">
        <v>475</v>
      </c>
      <c r="B46" s="129">
        <f>+B28</f>
        <v>63</v>
      </c>
      <c r="C46" s="121">
        <f>+C28</f>
        <v>276</v>
      </c>
      <c r="D46" s="121">
        <f>+D28</f>
        <v>192</v>
      </c>
      <c r="E46" s="121">
        <f>+E28</f>
        <v>32</v>
      </c>
      <c r="F46" s="122"/>
    </row>
    <row r="47" spans="1:17" ht="18.600000000000001" customHeight="1">
      <c r="A47" s="132" t="s">
        <v>478</v>
      </c>
      <c r="B47" s="129">
        <f>+B39</f>
        <v>5</v>
      </c>
      <c r="C47" s="121">
        <f>+C39</f>
        <v>11</v>
      </c>
      <c r="D47" s="121">
        <f>+D39</f>
        <v>7</v>
      </c>
      <c r="E47" s="121">
        <f>+E39</f>
        <v>2</v>
      </c>
      <c r="F47" s="122"/>
    </row>
    <row r="48" spans="1:17" ht="18.600000000000001" customHeight="1">
      <c r="A48" s="133" t="s">
        <v>481</v>
      </c>
      <c r="B48" s="130">
        <f>SUM(B44:B47)</f>
        <v>780</v>
      </c>
      <c r="C48" s="123">
        <f>SUM(C44:C47)</f>
        <v>3373</v>
      </c>
      <c r="D48" s="123">
        <f>SUM(D44:D47)</f>
        <v>2353</v>
      </c>
      <c r="E48" s="123">
        <f>SUM(E44:E47)</f>
        <v>395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zoomScaleNormal="100" zoomScaleSheetLayoutView="100" workbookViewId="0"/>
    <sheetView workbookViewId="1">
      <selection activeCell="D27" sqref="D27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16" ht="20.100000000000001" customHeight="1">
      <c r="A4" s="40" t="s">
        <v>683</v>
      </c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76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76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76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76"/>
      <c r="N8" s="272">
        <v>600</v>
      </c>
      <c r="O8" s="44">
        <v>705821</v>
      </c>
      <c r="P8" s="44">
        <v>1016585</v>
      </c>
    </row>
    <row r="9" spans="1:16" ht="20.100000000000001" customHeight="1">
      <c r="A9" s="783" t="s">
        <v>435</v>
      </c>
      <c r="B9" s="785" t="s">
        <v>513</v>
      </c>
      <c r="C9" s="787" t="s">
        <v>514</v>
      </c>
      <c r="D9" s="789" t="s">
        <v>436</v>
      </c>
      <c r="E9" s="781"/>
      <c r="F9" s="781" t="s">
        <v>437</v>
      </c>
      <c r="G9" s="781"/>
      <c r="H9" s="781" t="s">
        <v>438</v>
      </c>
      <c r="I9" s="781"/>
      <c r="J9" s="781" t="s">
        <v>439</v>
      </c>
      <c r="K9" s="782"/>
      <c r="M9" s="776"/>
      <c r="N9" s="272">
        <v>700</v>
      </c>
      <c r="O9" s="44">
        <v>782918</v>
      </c>
      <c r="P9" s="44">
        <v>1102578</v>
      </c>
    </row>
    <row r="10" spans="1:16" ht="20.100000000000001" customHeight="1">
      <c r="A10" s="784"/>
      <c r="B10" s="786"/>
      <c r="C10" s="788"/>
      <c r="D10" s="316" t="s">
        <v>515</v>
      </c>
      <c r="E10" s="458" t="s">
        <v>452</v>
      </c>
      <c r="F10" s="457" t="s">
        <v>515</v>
      </c>
      <c r="G10" s="458" t="s">
        <v>452</v>
      </c>
      <c r="H10" s="457" t="s">
        <v>515</v>
      </c>
      <c r="I10" s="458" t="s">
        <v>452</v>
      </c>
      <c r="J10" s="457" t="s">
        <v>515</v>
      </c>
      <c r="K10" s="319" t="s">
        <v>452</v>
      </c>
      <c r="L10" s="9"/>
      <c r="M10" s="776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57" t="s">
        <v>714</v>
      </c>
      <c r="B11" s="464">
        <v>300</v>
      </c>
      <c r="C11" s="465">
        <f>+ROUND(P5*L1,0)</f>
        <v>1017303</v>
      </c>
      <c r="D11" s="486"/>
      <c r="E11" s="322">
        <f t="shared" ref="E11:G27" si="0">+ROUND($C11*D11/1000000,0)</f>
        <v>0</v>
      </c>
      <c r="F11" s="322">
        <v>11.5</v>
      </c>
      <c r="G11" s="322">
        <f t="shared" si="0"/>
        <v>12</v>
      </c>
      <c r="H11" s="322">
        <v>11.1</v>
      </c>
      <c r="I11" s="322">
        <f t="shared" ref="I11:I27" si="1">+ROUND($C11*H11/1000000,0)</f>
        <v>11</v>
      </c>
      <c r="J11" s="487">
        <v>14.3</v>
      </c>
      <c r="K11" s="364">
        <f t="shared" ref="K11:K27" si="2">+ROUND($C11*J11/1000000,0)</f>
        <v>15</v>
      </c>
      <c r="L11" s="9"/>
      <c r="M11" s="776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58"/>
      <c r="B12" s="466">
        <v>400</v>
      </c>
      <c r="C12" s="467">
        <f>+ROUND(P6*L1,0)</f>
        <v>1116709</v>
      </c>
      <c r="D12" s="373"/>
      <c r="E12" s="327">
        <f t="shared" si="0"/>
        <v>0</v>
      </c>
      <c r="F12" s="327">
        <v>236</v>
      </c>
      <c r="G12" s="327">
        <f t="shared" si="0"/>
        <v>264</v>
      </c>
      <c r="H12" s="327">
        <v>6.8</v>
      </c>
      <c r="I12" s="327">
        <f t="shared" si="1"/>
        <v>8</v>
      </c>
      <c r="J12" s="488">
        <v>0</v>
      </c>
      <c r="K12" s="365">
        <f t="shared" si="2"/>
        <v>0</v>
      </c>
      <c r="L12" s="9"/>
      <c r="M12" s="776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58"/>
      <c r="B13" s="466">
        <v>450</v>
      </c>
      <c r="C13" s="467">
        <f>(C12+C14)/2</f>
        <v>1151687.5</v>
      </c>
      <c r="D13" s="373"/>
      <c r="E13" s="327">
        <f t="shared" si="0"/>
        <v>0</v>
      </c>
      <c r="F13" s="327">
        <v>92.2</v>
      </c>
      <c r="G13" s="327">
        <f t="shared" si="0"/>
        <v>106</v>
      </c>
      <c r="H13" s="327">
        <v>0</v>
      </c>
      <c r="I13" s="327">
        <f t="shared" si="1"/>
        <v>0</v>
      </c>
      <c r="J13" s="488">
        <v>0</v>
      </c>
      <c r="K13" s="365">
        <f t="shared" si="2"/>
        <v>0</v>
      </c>
      <c r="L13" s="9"/>
      <c r="M13" s="776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58"/>
      <c r="B14" s="466">
        <v>500</v>
      </c>
      <c r="C14" s="467">
        <f>+ROUND(P7*L1,0)</f>
        <v>1186666</v>
      </c>
      <c r="D14" s="373"/>
      <c r="E14" s="327">
        <f t="shared" si="0"/>
        <v>0</v>
      </c>
      <c r="F14" s="327">
        <v>435.2</v>
      </c>
      <c r="G14" s="327">
        <f t="shared" si="0"/>
        <v>516</v>
      </c>
      <c r="H14" s="327">
        <v>0</v>
      </c>
      <c r="I14" s="327">
        <f t="shared" si="1"/>
        <v>0</v>
      </c>
      <c r="J14" s="488">
        <v>215.6</v>
      </c>
      <c r="K14" s="365">
        <f t="shared" si="2"/>
        <v>256</v>
      </c>
      <c r="L14" s="9"/>
      <c r="M14" s="776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58"/>
      <c r="B15" s="466">
        <v>600</v>
      </c>
      <c r="C15" s="467">
        <f>+ROUND(P8*L1,0)</f>
        <v>1321561</v>
      </c>
      <c r="D15" s="373"/>
      <c r="E15" s="327">
        <f t="shared" si="0"/>
        <v>0</v>
      </c>
      <c r="F15" s="327">
        <v>525.70000000000005</v>
      </c>
      <c r="G15" s="327">
        <f t="shared" si="0"/>
        <v>695</v>
      </c>
      <c r="H15" s="327">
        <v>823.2</v>
      </c>
      <c r="I15" s="327">
        <f t="shared" si="1"/>
        <v>1088</v>
      </c>
      <c r="J15" s="488">
        <v>46.6</v>
      </c>
      <c r="K15" s="365">
        <f t="shared" si="2"/>
        <v>62</v>
      </c>
      <c r="L15" s="9"/>
      <c r="M15" s="776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58"/>
      <c r="B16" s="466">
        <v>700</v>
      </c>
      <c r="C16" s="467">
        <f>+ROUND(P9*$L$1,0)</f>
        <v>1433351</v>
      </c>
      <c r="D16" s="373"/>
      <c r="E16" s="327">
        <f t="shared" si="0"/>
        <v>0</v>
      </c>
      <c r="F16" s="327">
        <v>123.1</v>
      </c>
      <c r="G16" s="327">
        <f t="shared" si="0"/>
        <v>176</v>
      </c>
      <c r="H16" s="327">
        <v>149.80000000000001</v>
      </c>
      <c r="I16" s="327">
        <f t="shared" si="1"/>
        <v>215</v>
      </c>
      <c r="J16" s="488"/>
      <c r="K16" s="365">
        <f t="shared" si="2"/>
        <v>0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58"/>
      <c r="B17" s="466">
        <v>800</v>
      </c>
      <c r="C17" s="467">
        <f>+ROUND(P10*$L$1,0)</f>
        <v>1538375</v>
      </c>
      <c r="D17" s="373"/>
      <c r="E17" s="327">
        <f t="shared" si="0"/>
        <v>0</v>
      </c>
      <c r="F17" s="327">
        <v>478</v>
      </c>
      <c r="G17" s="327">
        <f t="shared" si="0"/>
        <v>735</v>
      </c>
      <c r="H17" s="327">
        <v>364</v>
      </c>
      <c r="I17" s="327">
        <f t="shared" si="1"/>
        <v>560</v>
      </c>
      <c r="J17" s="488"/>
      <c r="K17" s="365">
        <f t="shared" si="2"/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58"/>
      <c r="B18" s="466">
        <v>900</v>
      </c>
      <c r="C18" s="467">
        <f>+ROUND(P11*$L$1,0)</f>
        <v>1668486</v>
      </c>
      <c r="D18" s="373"/>
      <c r="E18" s="327">
        <f t="shared" si="0"/>
        <v>0</v>
      </c>
      <c r="F18" s="327">
        <v>0</v>
      </c>
      <c r="G18" s="327">
        <f t="shared" si="0"/>
        <v>0</v>
      </c>
      <c r="H18" s="327">
        <v>67.5</v>
      </c>
      <c r="I18" s="327">
        <f t="shared" si="1"/>
        <v>113</v>
      </c>
      <c r="J18" s="488"/>
      <c r="K18" s="365">
        <f t="shared" si="2"/>
        <v>0</v>
      </c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58"/>
      <c r="B19" s="466">
        <v>1000</v>
      </c>
      <c r="C19" s="467">
        <f>+ROUND(P12*$L$1,0)</f>
        <v>1818244</v>
      </c>
      <c r="D19" s="373"/>
      <c r="E19" s="327">
        <f t="shared" si="0"/>
        <v>0</v>
      </c>
      <c r="F19" s="327">
        <v>233.3</v>
      </c>
      <c r="G19" s="327">
        <f t="shared" si="0"/>
        <v>424</v>
      </c>
      <c r="H19" s="327"/>
      <c r="I19" s="327">
        <f t="shared" si="1"/>
        <v>0</v>
      </c>
      <c r="J19" s="488"/>
      <c r="K19" s="365">
        <f t="shared" si="2"/>
        <v>0</v>
      </c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58"/>
      <c r="B20" s="466">
        <v>1100</v>
      </c>
      <c r="C20" s="467">
        <f>+ROUND(P13*$L$1,0)</f>
        <v>2024619</v>
      </c>
      <c r="D20" s="373"/>
      <c r="E20" s="327">
        <f t="shared" si="0"/>
        <v>0</v>
      </c>
      <c r="F20" s="327">
        <v>9.1999999999999993</v>
      </c>
      <c r="G20" s="327">
        <f t="shared" si="0"/>
        <v>19</v>
      </c>
      <c r="H20" s="327"/>
      <c r="I20" s="327">
        <f t="shared" si="1"/>
        <v>0</v>
      </c>
      <c r="J20" s="488"/>
      <c r="K20" s="365">
        <f t="shared" si="2"/>
        <v>0</v>
      </c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58"/>
      <c r="B21" s="466" t="s">
        <v>932</v>
      </c>
      <c r="C21" s="467">
        <f>+ROUND(P36*0.25*$L$1,0)</f>
        <v>682154</v>
      </c>
      <c r="D21" s="373"/>
      <c r="E21" s="327">
        <f t="shared" si="0"/>
        <v>0</v>
      </c>
      <c r="F21" s="327">
        <v>0</v>
      </c>
      <c r="G21" s="327">
        <f t="shared" si="0"/>
        <v>0</v>
      </c>
      <c r="H21" s="327">
        <v>86.6</v>
      </c>
      <c r="I21" s="327">
        <f t="shared" si="1"/>
        <v>59</v>
      </c>
      <c r="J21" s="488">
        <v>8.3000000000000007</v>
      </c>
      <c r="K21" s="365">
        <f t="shared" si="2"/>
        <v>6</v>
      </c>
      <c r="L21" s="9"/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58"/>
      <c r="B22" s="466" t="s">
        <v>933</v>
      </c>
      <c r="C22" s="467">
        <f>+ROUND(P36*L1,0)</f>
        <v>2728617</v>
      </c>
      <c r="D22" s="373"/>
      <c r="E22" s="327">
        <f t="shared" si="0"/>
        <v>0</v>
      </c>
      <c r="F22" s="327">
        <v>0</v>
      </c>
      <c r="G22" s="327">
        <f t="shared" si="0"/>
        <v>0</v>
      </c>
      <c r="H22" s="327"/>
      <c r="I22" s="327">
        <f t="shared" si="1"/>
        <v>0</v>
      </c>
      <c r="J22" s="488"/>
      <c r="K22" s="365">
        <f t="shared" si="2"/>
        <v>0</v>
      </c>
      <c r="L22" s="9"/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58"/>
      <c r="B23" s="466" t="s">
        <v>934</v>
      </c>
      <c r="C23" s="467">
        <f>+ROUND(P38*L1,0)</f>
        <v>2982099</v>
      </c>
      <c r="D23" s="373"/>
      <c r="E23" s="327">
        <f t="shared" si="0"/>
        <v>0</v>
      </c>
      <c r="F23" s="327"/>
      <c r="G23" s="327">
        <f t="shared" si="0"/>
        <v>0</v>
      </c>
      <c r="H23" s="327"/>
      <c r="I23" s="327">
        <f t="shared" si="1"/>
        <v>0</v>
      </c>
      <c r="J23" s="488"/>
      <c r="K23" s="365">
        <f t="shared" si="2"/>
        <v>0</v>
      </c>
      <c r="L23" s="9"/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58"/>
      <c r="B24" s="466" t="s">
        <v>935</v>
      </c>
      <c r="C24" s="467">
        <f>+ROUND(P40*L1,0)</f>
        <v>3355213</v>
      </c>
      <c r="D24" s="373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488"/>
      <c r="K24" s="365">
        <f t="shared" si="2"/>
        <v>0</v>
      </c>
      <c r="L24" s="9"/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58"/>
      <c r="B25" s="466" t="s">
        <v>936</v>
      </c>
      <c r="C25" s="467">
        <f>+ROUND(P44*L1,0)</f>
        <v>4582826</v>
      </c>
      <c r="D25" s="373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327"/>
      <c r="K25" s="365">
        <f t="shared" si="2"/>
        <v>0</v>
      </c>
      <c r="L25" s="9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58"/>
      <c r="B26" s="466" t="s">
        <v>937</v>
      </c>
      <c r="C26" s="467">
        <f>+ROUND(P47*L1,0)</f>
        <v>6459687</v>
      </c>
      <c r="D26" s="373"/>
      <c r="E26" s="327">
        <f>+ROUND($C26*D26/1000000,0)</f>
        <v>0</v>
      </c>
      <c r="F26" s="327"/>
      <c r="G26" s="327">
        <f>+ROUND($C26*F26/1000000,0)</f>
        <v>0</v>
      </c>
      <c r="H26" s="327"/>
      <c r="I26" s="327">
        <f>+ROUND($C26*H26/1000000,0)</f>
        <v>0</v>
      </c>
      <c r="J26" s="327"/>
      <c r="K26" s="365">
        <f>+ROUND($C26*J26/1000000,0)</f>
        <v>0</v>
      </c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58"/>
      <c r="B27" s="960" t="s">
        <v>938</v>
      </c>
      <c r="C27" s="961"/>
      <c r="D27" s="373">
        <v>701.1</v>
      </c>
      <c r="E27" s="488">
        <f>763-90</f>
        <v>673</v>
      </c>
      <c r="F27" s="327"/>
      <c r="G27" s="327">
        <f t="shared" si="0"/>
        <v>0</v>
      </c>
      <c r="H27" s="327"/>
      <c r="I27" s="327">
        <f t="shared" si="1"/>
        <v>0</v>
      </c>
      <c r="J27" s="327"/>
      <c r="K27" s="365">
        <f t="shared" si="2"/>
        <v>0</v>
      </c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A28" s="959"/>
      <c r="B28" s="896" t="s">
        <v>406</v>
      </c>
      <c r="C28" s="897"/>
      <c r="D28" s="374">
        <f t="shared" ref="D28:K28" si="3">SUM(D11:D27)</f>
        <v>701.1</v>
      </c>
      <c r="E28" s="366">
        <f t="shared" si="3"/>
        <v>673</v>
      </c>
      <c r="F28" s="366">
        <f t="shared" si="3"/>
        <v>2144.1999999999998</v>
      </c>
      <c r="G28" s="366">
        <f t="shared" si="3"/>
        <v>2947</v>
      </c>
      <c r="H28" s="366">
        <f t="shared" si="3"/>
        <v>1509</v>
      </c>
      <c r="I28" s="366">
        <f t="shared" si="3"/>
        <v>2054</v>
      </c>
      <c r="J28" s="366">
        <f t="shared" si="3"/>
        <v>284.8</v>
      </c>
      <c r="K28" s="367">
        <f t="shared" si="3"/>
        <v>339</v>
      </c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1802</v>
      </c>
      <c r="D31" s="2">
        <v>250</v>
      </c>
      <c r="E31" s="2">
        <v>0</v>
      </c>
      <c r="F31" s="2">
        <f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L31" s="9"/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0.08</v>
      </c>
      <c r="F32" s="2">
        <f>ROUND($C$31*E32,0)</f>
        <v>144</v>
      </c>
      <c r="G32" s="2">
        <f t="shared" ref="G32:G39" si="4">ROUND(F32*1,0)</f>
        <v>144</v>
      </c>
      <c r="H32" s="2">
        <f t="shared" ref="H32:H39" si="5">ROUND(F32*0,0)</f>
        <v>0</v>
      </c>
      <c r="I32" s="2">
        <f t="shared" ref="I32:I39" si="6">F32-G32-H32</f>
        <v>0</v>
      </c>
      <c r="L32" s="29"/>
      <c r="M32" s="776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0.11</v>
      </c>
      <c r="F33" s="2">
        <f>ROUND($C$31*E33,0)</f>
        <v>198</v>
      </c>
      <c r="G33" s="2">
        <f t="shared" si="4"/>
        <v>198</v>
      </c>
      <c r="H33" s="2">
        <f t="shared" si="5"/>
        <v>0</v>
      </c>
      <c r="I33" s="2">
        <f t="shared" si="6"/>
        <v>0</v>
      </c>
      <c r="L33" s="45"/>
      <c r="M33" s="776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>ROUND($C$31*E34,0)</f>
        <v>108</v>
      </c>
      <c r="G34" s="2">
        <f t="shared" si="4"/>
        <v>108</v>
      </c>
      <c r="H34" s="2">
        <f t="shared" si="5"/>
        <v>0</v>
      </c>
      <c r="I34" s="2">
        <f t="shared" si="6"/>
        <v>0</v>
      </c>
      <c r="L34" s="45"/>
      <c r="M34" s="776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0.11</v>
      </c>
      <c r="F35" s="2">
        <f>ROUND($C$31*E35,0)</f>
        <v>198</v>
      </c>
      <c r="G35" s="2">
        <f t="shared" si="4"/>
        <v>198</v>
      </c>
      <c r="H35" s="2">
        <f t="shared" si="5"/>
        <v>0</v>
      </c>
      <c r="I35" s="2">
        <f t="shared" si="6"/>
        <v>0</v>
      </c>
      <c r="L35" s="35"/>
      <c r="M35" s="776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0.42</v>
      </c>
      <c r="F36" s="2">
        <f>ROUND($C$31*E36,0)+1</f>
        <v>758</v>
      </c>
      <c r="G36" s="2">
        <f t="shared" si="4"/>
        <v>758</v>
      </c>
      <c r="H36" s="2">
        <f t="shared" si="5"/>
        <v>0</v>
      </c>
      <c r="I36" s="2">
        <f t="shared" si="6"/>
        <v>0</v>
      </c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0.04</v>
      </c>
      <c r="F37" s="2">
        <f>ROUND($C$31*E37,0)</f>
        <v>72</v>
      </c>
      <c r="G37" s="2">
        <f t="shared" si="4"/>
        <v>72</v>
      </c>
      <c r="H37" s="2">
        <f t="shared" si="5"/>
        <v>0</v>
      </c>
      <c r="I37" s="2">
        <f t="shared" si="6"/>
        <v>0</v>
      </c>
      <c r="L37" s="36"/>
      <c r="M37" s="776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0.08</v>
      </c>
      <c r="F38" s="2">
        <f>ROUND($C$31*E38,0)</f>
        <v>144</v>
      </c>
      <c r="G38" s="2">
        <f t="shared" si="4"/>
        <v>144</v>
      </c>
      <c r="H38" s="2">
        <f t="shared" si="5"/>
        <v>0</v>
      </c>
      <c r="I38" s="2">
        <f t="shared" si="6"/>
        <v>0</v>
      </c>
      <c r="L38" s="35"/>
      <c r="M38" s="776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0.02</v>
      </c>
      <c r="F39" s="2">
        <f>ROUND($C$31*E39,0)</f>
        <v>36</v>
      </c>
      <c r="G39" s="2">
        <f t="shared" si="4"/>
        <v>36</v>
      </c>
      <c r="H39" s="2">
        <f t="shared" si="5"/>
        <v>0</v>
      </c>
      <c r="I39" s="2">
        <f t="shared" si="6"/>
        <v>0</v>
      </c>
      <c r="L39" s="35"/>
      <c r="M39" s="776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7.0000000000000007E-2</v>
      </c>
      <c r="F40" s="2">
        <f>ROUND($C$31*E40,0)</f>
        <v>126</v>
      </c>
      <c r="G40" s="2">
        <f>ROUND(F40*0.8,0)</f>
        <v>101</v>
      </c>
      <c r="H40" s="2">
        <f>ROUND(F40*0.15,0)</f>
        <v>19</v>
      </c>
      <c r="I40" s="2">
        <f>F40-G40-H40</f>
        <v>6</v>
      </c>
      <c r="L40" s="35"/>
      <c r="M40" s="776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0.01</v>
      </c>
      <c r="F41" s="2">
        <f>ROUND($C$31*E41,0)</f>
        <v>18</v>
      </c>
      <c r="G41" s="2">
        <f>ROUND(F41*0.8,0)</f>
        <v>14</v>
      </c>
      <c r="H41" s="2">
        <f>ROUND(F41*0.15,0)</f>
        <v>3</v>
      </c>
      <c r="I41" s="2">
        <f>F41-G41-H41</f>
        <v>1</v>
      </c>
      <c r="L41" s="35"/>
      <c r="M41" s="776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6"/>
      <c r="M46" s="776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9"/>
      <c r="M47" s="776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37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M36:M51"/>
    <mergeCell ref="M3:M4"/>
    <mergeCell ref="N3:N4"/>
    <mergeCell ref="O3:P3"/>
    <mergeCell ref="M5:M15"/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A11:A28"/>
    <mergeCell ref="B27:C27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F13" sqref="F13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970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6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108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>
        <f>+B11</f>
        <v>0</v>
      </c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f>H21</f>
        <v>200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f>H22</f>
        <v>300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175">
        <f>I21+J21</f>
        <v>7.2699999999999987E-2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175">
        <f>I22+J22</f>
        <v>6.6500000000000004E-2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141">
        <f>C19+((C20-C19)/(C18-C17))*(C16-C17)</f>
        <v>8.5099999999999953E-2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f>C11</f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f>I37</f>
        <v>10000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175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175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141">
        <f>C30</f>
        <v>9.3699999999999992E-2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f>C27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f>C17</f>
        <v>200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f>C18</f>
        <v>300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175">
        <f>L21</f>
        <v>7.1999999999999998E-3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175">
        <f>L22</f>
        <v>7.1999999999999998E-3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141">
        <f>C43+((C44-C43)/(C42-C41))*(C40-C41)</f>
        <v>7.1999999999999998E-3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1073</v>
      </c>
    </row>
    <row r="2" spans="1:8" ht="20.100000000000001" customHeight="1">
      <c r="A2" s="1" t="s">
        <v>1052</v>
      </c>
    </row>
    <row r="3" spans="1:8" ht="20.100000000000001" customHeight="1">
      <c r="A3" s="1"/>
      <c r="H3" s="3" t="s">
        <v>190</v>
      </c>
    </row>
    <row r="4" spans="1:8" ht="20.100000000000001" customHeight="1">
      <c r="A4" s="744" t="s">
        <v>174</v>
      </c>
      <c r="B4" s="745"/>
      <c r="C4" s="746"/>
      <c r="D4" s="79" t="s">
        <v>406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962" t="s">
        <v>193</v>
      </c>
      <c r="B5" s="963" t="s">
        <v>180</v>
      </c>
      <c r="C5" s="634" t="s">
        <v>168</v>
      </c>
      <c r="D5" s="635">
        <f t="shared" ref="D5:D19" si="0">SUM(E5:H5)</f>
        <v>0</v>
      </c>
      <c r="E5" s="557">
        <f>+'1.6.4 오수간선및차집관로 교체및보수'!B56</f>
        <v>0</v>
      </c>
      <c r="F5" s="557">
        <f>+'1.6.4 오수간선및차집관로 교체및보수'!C56</f>
        <v>0</v>
      </c>
      <c r="G5" s="557">
        <f>+'1.6.4 오수간선및차집관로 교체및보수'!D56</f>
        <v>0</v>
      </c>
      <c r="H5" s="558">
        <f>+'1.6.4 오수간선및차집관로 교체및보수'!E56</f>
        <v>0</v>
      </c>
    </row>
    <row r="6" spans="1:8" ht="20.100000000000001" customHeight="1">
      <c r="A6" s="772"/>
      <c r="B6" s="769"/>
      <c r="C6" s="601" t="s">
        <v>169</v>
      </c>
      <c r="D6" s="446">
        <f t="shared" si="0"/>
        <v>0</v>
      </c>
      <c r="E6" s="447">
        <f>+'1.6.4 오수간선및차집관로 교체및보수'!B57</f>
        <v>0</v>
      </c>
      <c r="F6" s="447">
        <f>+'1.6.4 오수간선및차집관로 교체및보수'!C57</f>
        <v>0</v>
      </c>
      <c r="G6" s="447">
        <f>+'1.6.4 오수간선및차집관로 교체및보수'!D57</f>
        <v>0</v>
      </c>
      <c r="H6" s="448">
        <f>+'1.6.4 오수간선및차집관로 교체및보수'!E57</f>
        <v>0</v>
      </c>
    </row>
    <row r="7" spans="1:8" ht="20.100000000000001" customHeight="1">
      <c r="A7" s="772"/>
      <c r="B7" s="769"/>
      <c r="C7" s="601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191</v>
      </c>
      <c r="B8" s="769" t="s">
        <v>183</v>
      </c>
      <c r="C8" s="770"/>
      <c r="D8" s="446">
        <f t="shared" si="0"/>
        <v>3988</v>
      </c>
      <c r="E8" s="447">
        <f>'1.7.3 오수관로신설'!B55</f>
        <v>3988</v>
      </c>
      <c r="F8" s="447">
        <f>'1.7.3 오수관로신설'!C55</f>
        <v>0</v>
      </c>
      <c r="G8" s="447">
        <f>'1.7.3 오수관로신설'!D55</f>
        <v>0</v>
      </c>
      <c r="H8" s="448">
        <f>'1.7.3 오수관로신설'!E55</f>
        <v>0</v>
      </c>
    </row>
    <row r="9" spans="1:8" ht="20.100000000000001" customHeight="1">
      <c r="A9" s="772"/>
      <c r="B9" s="769" t="s">
        <v>180</v>
      </c>
      <c r="C9" s="601" t="s">
        <v>168</v>
      </c>
      <c r="D9" s="446">
        <f t="shared" si="0"/>
        <v>0</v>
      </c>
      <c r="E9" s="447">
        <v>0</v>
      </c>
      <c r="F9" s="447">
        <v>0</v>
      </c>
      <c r="G9" s="447">
        <v>0</v>
      </c>
      <c r="H9" s="448">
        <v>0</v>
      </c>
    </row>
    <row r="10" spans="1:8" ht="20.100000000000001" customHeight="1">
      <c r="A10" s="772"/>
      <c r="B10" s="769"/>
      <c r="C10" s="601" t="s">
        <v>169</v>
      </c>
      <c r="D10" s="446">
        <f t="shared" si="0"/>
        <v>0</v>
      </c>
      <c r="E10" s="447">
        <v>0</v>
      </c>
      <c r="F10" s="447">
        <v>0</v>
      </c>
      <c r="G10" s="447">
        <v>0</v>
      </c>
      <c r="H10" s="448">
        <v>0</v>
      </c>
    </row>
    <row r="11" spans="1:8" ht="20.100000000000001" customHeight="1">
      <c r="A11" s="772"/>
      <c r="B11" s="769"/>
      <c r="C11" s="601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192</v>
      </c>
      <c r="B12" s="769" t="s">
        <v>183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180</v>
      </c>
      <c r="C13" s="601" t="s">
        <v>168</v>
      </c>
      <c r="D13" s="446">
        <f t="shared" si="0"/>
        <v>0</v>
      </c>
      <c r="E13" s="447">
        <v>0</v>
      </c>
      <c r="F13" s="447">
        <v>0</v>
      </c>
      <c r="G13" s="447">
        <v>0</v>
      </c>
      <c r="H13" s="448">
        <v>0</v>
      </c>
    </row>
    <row r="14" spans="1:8" ht="20.100000000000001" customHeight="1">
      <c r="A14" s="772"/>
      <c r="B14" s="769"/>
      <c r="C14" s="601" t="s">
        <v>169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601" t="s">
        <v>406</v>
      </c>
      <c r="D15" s="446">
        <f t="shared" si="0"/>
        <v>0</v>
      </c>
      <c r="E15" s="447">
        <f>SUM(E13:E14)</f>
        <v>0</v>
      </c>
      <c r="F15" s="447">
        <f>SUM(F13:F14)</f>
        <v>0</v>
      </c>
      <c r="G15" s="447">
        <f>SUM(G13:G14)</f>
        <v>0</v>
      </c>
      <c r="H15" s="448">
        <f>SUM(H13:H14)</f>
        <v>0</v>
      </c>
    </row>
    <row r="16" spans="1:8" ht="20.100000000000001" customHeight="1">
      <c r="A16" s="773" t="s">
        <v>177</v>
      </c>
      <c r="B16" s="774" t="s">
        <v>178</v>
      </c>
      <c r="C16" s="775"/>
      <c r="D16" s="449">
        <f>SUM(E16:H16)</f>
        <v>13237.9</v>
      </c>
      <c r="E16" s="450">
        <f>'1.7.2 공공하수처리시설 신증설'!B56</f>
        <v>3722</v>
      </c>
      <c r="F16" s="450">
        <f>'1.7.2 공공하수처리시설 신증설'!C56</f>
        <v>2309.3999999999996</v>
      </c>
      <c r="G16" s="450">
        <f>'1.7.2 공공하수처리시설 신증설'!D56</f>
        <v>0</v>
      </c>
      <c r="H16" s="451">
        <f>'1.7.2 공공하수처리시설 신증설'!E56</f>
        <v>7206.5</v>
      </c>
    </row>
    <row r="17" spans="1:8" ht="20.100000000000001" customHeight="1">
      <c r="A17" s="772"/>
      <c r="B17" s="769" t="s">
        <v>179</v>
      </c>
      <c r="C17" s="770"/>
      <c r="D17" s="446">
        <f>SUM(E17:H17)</f>
        <v>0</v>
      </c>
      <c r="E17" s="447">
        <f>+'1.6.3 공공하수처리시설 기능정상화'!B56</f>
        <v>0</v>
      </c>
      <c r="F17" s="447">
        <f>+'1.6.3 공공하수처리시설 기능정상화'!C56</f>
        <v>0</v>
      </c>
      <c r="G17" s="447">
        <f>+'1.6.3 공공하수처리시설 기능정상화'!D56</f>
        <v>0</v>
      </c>
      <c r="H17" s="448">
        <f>+'1.6.3 공공하수처리시설 기능정상화'!E56</f>
        <v>0</v>
      </c>
    </row>
    <row r="18" spans="1:8" ht="20.100000000000001" customHeight="1">
      <c r="A18" s="602" t="s">
        <v>184</v>
      </c>
      <c r="B18" s="747" t="s">
        <v>919</v>
      </c>
      <c r="C18" s="765"/>
      <c r="D18" s="446">
        <f t="shared" si="0"/>
        <v>0</v>
      </c>
      <c r="E18" s="447">
        <v>0</v>
      </c>
      <c r="F18" s="447">
        <v>0</v>
      </c>
      <c r="G18" s="447">
        <v>0</v>
      </c>
      <c r="H18" s="448"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17225.900000000001</v>
      </c>
      <c r="E19" s="453">
        <f>+E16+E17+E7+E8+E11+E12+E15+E18</f>
        <v>7710</v>
      </c>
      <c r="F19" s="453">
        <f>+F16+F17+F7+F8+F11+F12+F15+F18</f>
        <v>2309.3999999999996</v>
      </c>
      <c r="G19" s="453">
        <f>+G16+G17+G7+G8+G11+G12+G15+G18</f>
        <v>0</v>
      </c>
      <c r="H19" s="454">
        <f>+H16+H17+H7+H8+H11+H12+H15+H18</f>
        <v>7206.5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12:A15"/>
    <mergeCell ref="B12:C12"/>
    <mergeCell ref="B13:B15"/>
    <mergeCell ref="A16:A17"/>
    <mergeCell ref="B16:C16"/>
    <mergeCell ref="B17:C17"/>
    <mergeCell ref="A4:C4"/>
    <mergeCell ref="A5:A7"/>
    <mergeCell ref="B5:B7"/>
    <mergeCell ref="A8:A11"/>
    <mergeCell ref="B8:C8"/>
    <mergeCell ref="B9:B11"/>
  </mergeCells>
  <phoneticPr fontId="4" type="noConversion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56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3" ht="20.100000000000001" customHeight="1">
      <c r="A1" s="1" t="s">
        <v>244</v>
      </c>
      <c r="G1" s="3"/>
      <c r="H1" s="3"/>
    </row>
    <row r="2" spans="1:23" ht="20.100000000000001" customHeight="1">
      <c r="A2" s="2" t="s">
        <v>427</v>
      </c>
      <c r="G2" s="3"/>
      <c r="H2" s="3"/>
    </row>
    <row r="3" spans="1:23" ht="20.100000000000001" customHeight="1">
      <c r="A3" s="4" t="s">
        <v>975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  <c r="U3" s="2">
        <v>1500</v>
      </c>
      <c r="V3" s="653">
        <f>IFERROR(INDEX($I$3:$T$15,1,MATCH($U$3,$I$3:$T$3,1)),0)</f>
        <v>1000</v>
      </c>
      <c r="W3" s="653">
        <f>IFERROR(INDEX($I$3:$T$15,1,MATCH($U$3,$I$3:$T$3,1)+1),0)</f>
        <v>2000</v>
      </c>
    </row>
    <row r="4" spans="1:23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  <c r="U4" s="2">
        <f t="shared" ref="U4:U15" si="0">-(W4-V4)/($W$3-$V$3)*($V$3-$U$3)+V4</f>
        <v>2589</v>
      </c>
      <c r="V4" s="653">
        <f>IFERROR(INDEX($I$3:$T$15,2,MATCH($U$3,$I$3:$T$3,1)),0)</f>
        <v>2391</v>
      </c>
      <c r="W4" s="653">
        <f>IFERROR(INDEX($I$3:$T$15,2,MATCH($U$3,$I$3:$T$3,1)+1),0)</f>
        <v>2787</v>
      </c>
    </row>
    <row r="5" spans="1:23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  <c r="U5" s="2">
        <f t="shared" si="0"/>
        <v>546</v>
      </c>
      <c r="V5" s="653">
        <f>IFERROR(INDEX($I$3:$T$15,3,MATCH($U$3,$I$3:$T$3,1)),0)</f>
        <v>380</v>
      </c>
      <c r="W5" s="653">
        <f>IFERROR(INDEX($I$3:$T$15,3,MATCH($U$3,$I$3:$T$3,1)+1),0)</f>
        <v>712</v>
      </c>
    </row>
    <row r="6" spans="1:23" ht="20.100000000000001" customHeight="1">
      <c r="A6" s="2" t="s">
        <v>130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  <c r="U6" s="2">
        <f t="shared" si="0"/>
        <v>591</v>
      </c>
      <c r="V6" s="653">
        <f>IFERROR(INDEX($I$3:$T$15,4,MATCH($U$3,$I$3:$T$3,1)),0)</f>
        <v>520</v>
      </c>
      <c r="W6" s="653">
        <f>IFERROR(INDEX($I$3:$T$15,4,MATCH($U$3,$I$3:$T$3,1)+1),0)</f>
        <v>662</v>
      </c>
    </row>
    <row r="7" spans="1:23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  <c r="U7" s="2">
        <f t="shared" si="0"/>
        <v>1659.5</v>
      </c>
      <c r="V7" s="653">
        <f>IFERROR(INDEX($I$3:$T$15,5,MATCH($U$3,$I$3:$T$3,1)),0)</f>
        <v>1486</v>
      </c>
      <c r="W7" s="653">
        <f>IFERROR(INDEX($I$3:$T$15,5,MATCH($U$3,$I$3:$T$3,1)+1),0)</f>
        <v>1833</v>
      </c>
    </row>
    <row r="8" spans="1:23" ht="20.100000000000001" customHeight="1">
      <c r="A8" s="603" t="s">
        <v>209</v>
      </c>
      <c r="B8" s="312" t="s">
        <v>436</v>
      </c>
      <c r="C8" s="313" t="s">
        <v>437</v>
      </c>
      <c r="D8" s="313" t="s">
        <v>438</v>
      </c>
      <c r="E8" s="313" t="s">
        <v>210</v>
      </c>
      <c r="F8" s="314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  <c r="U8" s="2">
        <f t="shared" si="0"/>
        <v>1549</v>
      </c>
      <c r="V8" s="653">
        <f>IFERROR(INDEX($I$3:$T$15,6,MATCH($U$3,$I$3:$T$3,1)),0)</f>
        <v>1458</v>
      </c>
      <c r="W8" s="653">
        <f>IFERROR(INDEX($I$3:$T$15,6,MATCH($U$3,$I$3:$T$3,1)+1),0)</f>
        <v>1640</v>
      </c>
    </row>
    <row r="9" spans="1:23" ht="20.100000000000001" customHeight="1">
      <c r="A9" s="109" t="s">
        <v>442</v>
      </c>
      <c r="B9" s="101">
        <v>350</v>
      </c>
      <c r="C9" s="101">
        <v>200</v>
      </c>
      <c r="D9" s="101"/>
      <c r="E9" s="101">
        <v>750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  <c r="U9" s="2">
        <f t="shared" si="0"/>
        <v>602</v>
      </c>
      <c r="V9" s="653">
        <f>IFERROR(INDEX($I$3:$T$15,7,MATCH($U$3,$I$3:$T$3,1)),0)</f>
        <v>522</v>
      </c>
      <c r="W9" s="653">
        <f>IFERROR(INDEX($I$3:$T$15,7,MATCH($U$3,$I$3:$T$3,1)+1),0)</f>
        <v>682</v>
      </c>
    </row>
    <row r="10" spans="1:23" ht="20.100000000000001" customHeight="1">
      <c r="A10" s="110" t="s">
        <v>444</v>
      </c>
      <c r="B10" s="96">
        <v>0</v>
      </c>
      <c r="C10" s="96">
        <v>0</v>
      </c>
      <c r="D10" s="96"/>
      <c r="E10" s="96">
        <v>500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  <c r="U10" s="2">
        <f t="shared" si="0"/>
        <v>2074</v>
      </c>
      <c r="V10" s="653">
        <f>IFERROR(INDEX($I$3:$T$15,8,MATCH($U$3,$I$3:$T$3,1)),0)</f>
        <v>1964</v>
      </c>
      <c r="W10" s="653">
        <f>IFERROR(INDEX($I$3:$T$15,8,MATCH($U$3,$I$3:$T$3,1)+1),0)</f>
        <v>2184</v>
      </c>
    </row>
    <row r="11" spans="1:23" ht="20.100000000000001" customHeight="1">
      <c r="A11" s="110" t="s">
        <v>446</v>
      </c>
      <c r="B11" s="96">
        <v>0</v>
      </c>
      <c r="C11" s="96">
        <v>500</v>
      </c>
      <c r="D11" s="96"/>
      <c r="E11" s="96">
        <v>1000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  <c r="U11" s="2">
        <f t="shared" si="0"/>
        <v>0</v>
      </c>
      <c r="V11" s="653">
        <f>IFERROR(INDEX($I$3:$T$15,9,MATCH($U$3,$I$3:$T$3,1)),0)</f>
        <v>0</v>
      </c>
      <c r="W11" s="653">
        <f>IFERROR(INDEX($I$3:$T$15,9,MATCH($U$3,$I$3:$T$3,1)+1),0)</f>
        <v>0</v>
      </c>
    </row>
    <row r="12" spans="1:23" ht="20.100000000000001" customHeight="1">
      <c r="A12" s="110" t="s">
        <v>214</v>
      </c>
      <c r="B12" s="96">
        <v>0</v>
      </c>
      <c r="C12" s="96">
        <v>0</v>
      </c>
      <c r="D12" s="96"/>
      <c r="E12" s="96">
        <f>I16</f>
        <v>5036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  <c r="U12" s="2">
        <f t="shared" si="0"/>
        <v>644</v>
      </c>
      <c r="V12" s="653">
        <f>IFERROR(INDEX($I$3:$T$15,10,MATCH($U$3,$I$3:$T$3,1)),0)</f>
        <v>623</v>
      </c>
      <c r="W12" s="653">
        <f>IFERROR(INDEX($I$3:$T$15,10,MATCH($U$3,$I$3:$T$3,1)+1),0)</f>
        <v>665</v>
      </c>
    </row>
    <row r="13" spans="1:23" ht="20.100000000000001" customHeight="1">
      <c r="A13" s="110" t="s">
        <v>1064</v>
      </c>
      <c r="B13" s="96">
        <v>0</v>
      </c>
      <c r="C13" s="96">
        <f>I16</f>
        <v>5036</v>
      </c>
      <c r="D13" s="96"/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  <c r="U13" s="2">
        <f t="shared" si="0"/>
        <v>80</v>
      </c>
      <c r="V13" s="653">
        <f>IFERROR(INDEX($I$3:$T$15,11,MATCH($U$3,$I$3:$T$3,1)),0)</f>
        <v>72</v>
      </c>
      <c r="W13" s="653">
        <f>IFERROR(INDEX($I$3:$T$15,11,MATCH($U$3,$I$3:$T$3,1)+1),0)</f>
        <v>88</v>
      </c>
    </row>
    <row r="14" spans="1:23" ht="20.100000000000001" customHeight="1">
      <c r="A14" s="111" t="s">
        <v>211</v>
      </c>
      <c r="B14" s="108">
        <v>3253</v>
      </c>
      <c r="C14" s="108">
        <f>C12+((C13-C12)/(C11-C10))*(C9-C10)</f>
        <v>2014.3999999999999</v>
      </c>
      <c r="D14" s="108"/>
      <c r="E14" s="108">
        <f>E12+((E13-E12)/(E11-E10))*(E9-E10)</f>
        <v>6308.5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  <c r="U14" s="2">
        <f t="shared" si="0"/>
        <v>650.5</v>
      </c>
      <c r="V14" s="653">
        <f>IFERROR(INDEX($I$3:$T$15,12,MATCH($U$3,$I$3:$T$3,1)),0)</f>
        <v>455</v>
      </c>
      <c r="W14" s="653">
        <f>IFERROR(INDEX($I$3:$T$15,12,MATCH($U$3,$I$3:$T$3,1)+1),0)</f>
        <v>846</v>
      </c>
    </row>
    <row r="15" spans="1:23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  <c r="U15" s="2">
        <f t="shared" si="0"/>
        <v>364.5</v>
      </c>
      <c r="V15" s="653">
        <f>IFERROR(INDEX($I$3:$T$15,13,MATCH($U$3,$I$3:$T$3,1)),0)</f>
        <v>319</v>
      </c>
      <c r="W15" s="653">
        <f>IFERROR(INDEX($I$3:$T$15,13,MATCH($U$3,$I$3:$T$3,1)+1),0)</f>
        <v>410</v>
      </c>
    </row>
    <row r="16" spans="1:23" ht="20.100000000000001" customHeight="1">
      <c r="A16" s="2" t="s">
        <v>212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  <c r="W16" s="654"/>
    </row>
    <row r="17" spans="1:23" ht="20.100000000000001" customHeight="1">
      <c r="A17" s="14"/>
      <c r="B17" s="15"/>
      <c r="C17" s="15"/>
      <c r="D17" s="15"/>
      <c r="E17" s="15"/>
      <c r="F17" s="8" t="s">
        <v>213</v>
      </c>
      <c r="G17" s="16"/>
      <c r="H17" s="16" t="s">
        <v>458</v>
      </c>
      <c r="W17" s="654"/>
    </row>
    <row r="18" spans="1:23" ht="20.100000000000001" customHeight="1">
      <c r="A18" s="603" t="s">
        <v>209</v>
      </c>
      <c r="B18" s="312" t="s">
        <v>436</v>
      </c>
      <c r="C18" s="313" t="s">
        <v>437</v>
      </c>
      <c r="D18" s="313" t="s">
        <v>438</v>
      </c>
      <c r="E18" s="313" t="s">
        <v>210</v>
      </c>
      <c r="F18" s="314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W18" s="654"/>
    </row>
    <row r="19" spans="1:23" ht="20.100000000000001" customHeight="1">
      <c r="A19" s="120" t="s">
        <v>461</v>
      </c>
      <c r="B19" s="117">
        <f>+B14</f>
        <v>3253</v>
      </c>
      <c r="C19" s="115">
        <f>+C14</f>
        <v>2014.3999999999999</v>
      </c>
      <c r="D19" s="101">
        <f>D14</f>
        <v>0</v>
      </c>
      <c r="E19" s="115">
        <f>+E14</f>
        <v>6308.5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23" ht="20.100000000000001" customHeight="1">
      <c r="A20" s="110" t="s">
        <v>214</v>
      </c>
      <c r="B20" s="118">
        <f>IFERROR(INDEX($H$19:$L$35,MATCH(B19,$H$19:$H$35,1),1),0)</f>
        <v>3000</v>
      </c>
      <c r="C20" s="118">
        <f>IFERROR(INDEX($H$19:$L$35,MATCH(C19,$H$19:$H$35,1),1),0)</f>
        <v>2000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23" ht="20.100000000000001" customHeight="1">
      <c r="A21" s="110" t="s">
        <v>215</v>
      </c>
      <c r="B21" s="118">
        <f>IFERROR(INDEX($H$19:$L$35,MATCH(B19,$H$19:$H$35,1)+1,1),0)</f>
        <v>5000</v>
      </c>
      <c r="C21" s="118">
        <f>IFERROR(INDEX($H$19:$L$35,MATCH(C19,$H$19:$H$35,1)+1,1),0)</f>
        <v>3000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23" ht="20.100000000000001" customHeight="1">
      <c r="A22" s="110" t="s">
        <v>216</v>
      </c>
      <c r="B22" s="141">
        <f>IFERROR(INDEX($H$19:$L$35,MATCH(B19,$H$19:$H$35,1),2)+INDEX($H$19:$L$35,MATCH(B19,$H$19:$H$35,1),3),0)</f>
        <v>4.7200000000000006E-2</v>
      </c>
      <c r="C22" s="141">
        <f>IFERROR(INDEX($H$19:$L$35,MATCH(C19,$H$19:$H$35,1),2)+INDEX($H$19:$L$35,MATCH(C19,$H$19:$H$35,1),3),0)</f>
        <v>4.9000000000000002E-2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23" ht="20.100000000000001" customHeight="1">
      <c r="A23" s="110" t="s">
        <v>217</v>
      </c>
      <c r="B23" s="141">
        <f>IFERROR(INDEX($H$19:$L$35,MATCH(B19,$H$19:$H$35,1)+1,2)+INDEX($H$19:$L$35,MATCH(B19,$H$19:$H$35,1)+1,3),0)</f>
        <v>4.6299999999999994E-2</v>
      </c>
      <c r="C23" s="141">
        <f>IFERROR(INDEX($H$19:$L$35,MATCH(C19,$H$19:$H$35,1)+1,2)+INDEX($H$19:$L$35,MATCH(C19,$H$19:$H$35,1)+1,3),0)</f>
        <v>4.7200000000000006E-2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23" ht="20.100000000000001" customHeight="1">
      <c r="A24" s="110" t="s">
        <v>218</v>
      </c>
      <c r="B24" s="141">
        <f>IFERROR(B22+((B23-B22)/(B21-B20))*(B19-B20),0)</f>
        <v>4.7086150000000007E-2</v>
      </c>
      <c r="C24" s="141">
        <f>IFERROR(C22+((C23-C22)/(C21-C20))*(C19-C20),0)</f>
        <v>4.8974080000000003E-2</v>
      </c>
      <c r="D24" s="141">
        <f>IFERROR(D22+((D23-D22)/(D21-D20))*(D19-D20),0)</f>
        <v>0</v>
      </c>
      <c r="E24" s="141">
        <f>IFERROR(E22+((E23-E22)/(E21-E20))*(E19-E20),0)</f>
        <v>4.6012129999999991E-2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23" ht="20.100000000000001" customHeight="1">
      <c r="A25" s="111" t="s">
        <v>219</v>
      </c>
      <c r="B25" s="97">
        <f>+ROUND(B19*B24,0)</f>
        <v>153</v>
      </c>
      <c r="C25" s="97">
        <f>+ROUND(C19*C24,0)</f>
        <v>99</v>
      </c>
      <c r="D25" s="97">
        <f>+ROUND(D19*D24,0)</f>
        <v>0</v>
      </c>
      <c r="E25" s="97">
        <f>+ROUND(E19*E24,0)</f>
        <v>290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23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23" ht="20.100000000000001" customHeight="1">
      <c r="A27" s="2" t="s">
        <v>220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23" ht="20.100000000000001" customHeight="1">
      <c r="A28" s="14"/>
      <c r="B28" s="15"/>
      <c r="C28" s="15"/>
      <c r="D28" s="15"/>
      <c r="E28" s="15"/>
      <c r="F28" s="8" t="s">
        <v>213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23" ht="20.100000000000001" customHeight="1">
      <c r="A29" s="603" t="s">
        <v>209</v>
      </c>
      <c r="B29" s="312" t="s">
        <v>436</v>
      </c>
      <c r="C29" s="313" t="s">
        <v>437</v>
      </c>
      <c r="D29" s="313" t="s">
        <v>438</v>
      </c>
      <c r="E29" s="313" t="s">
        <v>210</v>
      </c>
      <c r="F29" s="314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23" ht="20.100000000000001" customHeight="1">
      <c r="A30" s="120" t="s">
        <v>461</v>
      </c>
      <c r="B30" s="117">
        <f>+B19</f>
        <v>3253</v>
      </c>
      <c r="C30" s="117">
        <f>+C19</f>
        <v>2014.3999999999999</v>
      </c>
      <c r="D30" s="117">
        <f>+D19</f>
        <v>0</v>
      </c>
      <c r="E30" s="117">
        <f>+E19</f>
        <v>6308.5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23" ht="20.100000000000001" customHeight="1">
      <c r="A31" s="110" t="s">
        <v>214</v>
      </c>
      <c r="B31" s="112">
        <f>+I37</f>
        <v>10000</v>
      </c>
      <c r="C31" s="112">
        <f>+I37</f>
        <v>10000</v>
      </c>
      <c r="D31" s="112">
        <f>+I37</f>
        <v>10000</v>
      </c>
      <c r="E31" s="96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23" ht="20.100000000000001" customHeight="1">
      <c r="A32" s="110" t="s">
        <v>215</v>
      </c>
      <c r="B32" s="112">
        <f>+I37</f>
        <v>10000</v>
      </c>
      <c r="C32" s="112">
        <f>+I37</f>
        <v>10000</v>
      </c>
      <c r="D32" s="112">
        <f>+I37</f>
        <v>10000</v>
      </c>
      <c r="E32" s="96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216</v>
      </c>
      <c r="B33" s="135">
        <f>+I38</f>
        <v>9.3699999999999992E-2</v>
      </c>
      <c r="C33" s="135">
        <f>+I38</f>
        <v>9.3699999999999992E-2</v>
      </c>
      <c r="D33" s="135">
        <f>+I38</f>
        <v>9.3699999999999992E-2</v>
      </c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217</v>
      </c>
      <c r="B34" s="135">
        <f>+I38</f>
        <v>9.3699999999999992E-2</v>
      </c>
      <c r="C34" s="135">
        <f>+I38</f>
        <v>9.3699999999999992E-2</v>
      </c>
      <c r="D34" s="135">
        <f>+I38</f>
        <v>9.3699999999999992E-2</v>
      </c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218</v>
      </c>
      <c r="B35" s="135">
        <f>B34</f>
        <v>9.3699999999999992E-2</v>
      </c>
      <c r="C35" s="135">
        <f>B34</f>
        <v>9.3699999999999992E-2</v>
      </c>
      <c r="D35" s="135">
        <f>D34</f>
        <v>9.3699999999999992E-2</v>
      </c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221</v>
      </c>
      <c r="B36" s="97">
        <f>+ROUND(B30*B35,0)</f>
        <v>305</v>
      </c>
      <c r="C36" s="97">
        <f>+ROUND(C30*C35,0)</f>
        <v>189</v>
      </c>
      <c r="D36" s="97">
        <f>+ROUND(D30*D35,0)</f>
        <v>0</v>
      </c>
      <c r="E36" s="97">
        <f>+ROUND(E30*E35,0)</f>
        <v>591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213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603" t="s">
        <v>209</v>
      </c>
      <c r="B40" s="312" t="s">
        <v>436</v>
      </c>
      <c r="C40" s="313" t="s">
        <v>437</v>
      </c>
      <c r="D40" s="313" t="s">
        <v>438</v>
      </c>
      <c r="E40" s="313" t="s">
        <v>210</v>
      </c>
      <c r="F40" s="314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3253</v>
      </c>
      <c r="C41" s="117">
        <f>+C19</f>
        <v>2014.3999999999999</v>
      </c>
      <c r="D41" s="115">
        <f>+D19</f>
        <v>0</v>
      </c>
      <c r="E41" s="117">
        <f>+E19</f>
        <v>6308.5</v>
      </c>
      <c r="F41" s="116"/>
      <c r="G41" s="9"/>
      <c r="H41" s="9"/>
    </row>
    <row r="42" spans="1:17" ht="20.100000000000001" customHeight="1">
      <c r="A42" s="110" t="s">
        <v>214</v>
      </c>
      <c r="B42" s="118">
        <f>IFERROR(INDEX($H$19:$L$35,MATCH(B14,$H$19:$H$35,1),1),0)</f>
        <v>3000</v>
      </c>
      <c r="C42" s="118">
        <f>IFERROR(INDEX($H$19:$L$35,MATCH(C14,$H$19:$H$35,1),1),0)</f>
        <v>2000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215</v>
      </c>
      <c r="B43" s="118">
        <f>IFERROR(INDEX($H$19:$L$35,MATCH(B14,$H$19:$H$35,1)+1,1),0)</f>
        <v>5000</v>
      </c>
      <c r="C43" s="118">
        <f>IFERROR(INDEX($H$19:$L$35,MATCH(C14,$H$19:$H$35,1)+1,1),0)</f>
        <v>3000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216</v>
      </c>
      <c r="B44" s="141">
        <f>IFERROR(INDEX($H$19:$L$35,MATCH(B14,$H$19:$H$35,1),5),0)</f>
        <v>3.5999999999999999E-3</v>
      </c>
      <c r="C44" s="141">
        <f>IFERROR(INDEX($H$19:$L$35,MATCH(C14,$H$19:$H$35,1),5),0)</f>
        <v>3.5999999999999999E-3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217</v>
      </c>
      <c r="B45" s="141">
        <f>IFERROR(INDEX($H$19:$L$35,MATCH(B14,$H$19:$H$35,1)+1,5),0)</f>
        <v>2.7000000000000001E-3</v>
      </c>
      <c r="C45" s="141">
        <f>IFERROR(INDEX($H$19:$L$35,MATCH(C14,$H$19:$H$35,1)+1,5),0)</f>
        <v>3.5999999999999999E-3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218</v>
      </c>
      <c r="B46" s="141">
        <f>IFERROR(B44+((B45-B44)/(B43-B42))*(B41-B42),0)</f>
        <v>3.4861499999999999E-3</v>
      </c>
      <c r="C46" s="141">
        <f>IFERROR(C44+((C45-C44)/(C43-C42))*(C41-C42),0)</f>
        <v>3.5999999999999999E-3</v>
      </c>
      <c r="D46" s="141">
        <f>IFERROR(D44+((D45-D44)/(D43-D42))*(D41-D42),0)</f>
        <v>0</v>
      </c>
      <c r="E46" s="141">
        <f>IFERROR(E44+((E45-E44)/(E43-E42))*(E41-E42),0)</f>
        <v>2.64766E-3</v>
      </c>
      <c r="F46" s="113"/>
    </row>
    <row r="47" spans="1:17" ht="20.100000000000001" customHeight="1">
      <c r="A47" s="111" t="s">
        <v>478</v>
      </c>
      <c r="B47" s="97">
        <f>+ROUND(B41*B46,0)</f>
        <v>11</v>
      </c>
      <c r="C47" s="97">
        <f>+ROUND(C41*C46,0)</f>
        <v>7</v>
      </c>
      <c r="D47" s="97">
        <f>+ROUND(D41*D46,0)</f>
        <v>0</v>
      </c>
      <c r="E47" s="97">
        <f>+ROUND(E41*E46,0)</f>
        <v>17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213</v>
      </c>
    </row>
    <row r="51" spans="1:6" ht="20.100000000000001" customHeight="1">
      <c r="A51" s="603" t="s">
        <v>209</v>
      </c>
      <c r="B51" s="312" t="s">
        <v>436</v>
      </c>
      <c r="C51" s="313" t="s">
        <v>437</v>
      </c>
      <c r="D51" s="313" t="s">
        <v>438</v>
      </c>
      <c r="E51" s="313" t="s">
        <v>210</v>
      </c>
      <c r="F51" s="314" t="s">
        <v>440</v>
      </c>
    </row>
    <row r="52" spans="1:6" ht="20.100000000000001" customHeight="1">
      <c r="A52" s="131" t="s">
        <v>211</v>
      </c>
      <c r="B52" s="128">
        <f>+B14</f>
        <v>3253</v>
      </c>
      <c r="C52" s="126">
        <f>+C14</f>
        <v>2014.3999999999999</v>
      </c>
      <c r="D52" s="126">
        <f>+D14</f>
        <v>0</v>
      </c>
      <c r="E52" s="126">
        <f>+E14</f>
        <v>6308.5</v>
      </c>
      <c r="F52" s="127"/>
    </row>
    <row r="53" spans="1:6" ht="20.100000000000001" customHeight="1">
      <c r="A53" s="132" t="s">
        <v>219</v>
      </c>
      <c r="B53" s="129">
        <f>+B25</f>
        <v>153</v>
      </c>
      <c r="C53" s="121">
        <f>+C25</f>
        <v>99</v>
      </c>
      <c r="D53" s="121">
        <f>+D25</f>
        <v>0</v>
      </c>
      <c r="E53" s="121">
        <f>+E25</f>
        <v>290</v>
      </c>
      <c r="F53" s="122"/>
    </row>
    <row r="54" spans="1:6" ht="20.100000000000001" customHeight="1">
      <c r="A54" s="132" t="s">
        <v>221</v>
      </c>
      <c r="B54" s="129">
        <f>+B36</f>
        <v>305</v>
      </c>
      <c r="C54" s="121">
        <f>+C36</f>
        <v>189</v>
      </c>
      <c r="D54" s="121">
        <f>+D36</f>
        <v>0</v>
      </c>
      <c r="E54" s="121">
        <f>+E36</f>
        <v>591</v>
      </c>
      <c r="F54" s="122"/>
    </row>
    <row r="55" spans="1:6" ht="20.100000000000001" customHeight="1">
      <c r="A55" s="132" t="s">
        <v>478</v>
      </c>
      <c r="B55" s="129">
        <f>+B47</f>
        <v>11</v>
      </c>
      <c r="C55" s="121">
        <f>+C47</f>
        <v>7</v>
      </c>
      <c r="D55" s="121">
        <f>+D47</f>
        <v>0</v>
      </c>
      <c r="E55" s="121">
        <f>+E47</f>
        <v>17</v>
      </c>
      <c r="F55" s="122"/>
    </row>
    <row r="56" spans="1:6" ht="20.100000000000001" customHeight="1">
      <c r="A56" s="133" t="s">
        <v>222</v>
      </c>
      <c r="B56" s="130">
        <f>SUM(B52:B55)</f>
        <v>3722</v>
      </c>
      <c r="C56" s="123">
        <f>SUM(C52:C55)</f>
        <v>2309.3999999999996</v>
      </c>
      <c r="D56" s="123">
        <f>SUM(D52:D55)</f>
        <v>0</v>
      </c>
      <c r="E56" s="123">
        <f>SUM(E52:E55)</f>
        <v>7206.5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28" zoomScaleNormal="100" zoomScaleSheetLayoutView="100" workbookViewId="0">
      <selection activeCell="B5" sqref="B5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603" t="s">
        <v>209</v>
      </c>
      <c r="B4" s="312" t="s">
        <v>436</v>
      </c>
      <c r="C4" s="313" t="s">
        <v>437</v>
      </c>
      <c r="D4" s="313" t="s">
        <v>438</v>
      </c>
      <c r="E4" s="313" t="s">
        <v>210</v>
      </c>
      <c r="F4" s="314" t="s">
        <v>440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'가.관로신설(맹동-오수지선)'!E20</f>
        <v>3485</v>
      </c>
      <c r="C5" s="101">
        <v>0</v>
      </c>
      <c r="D5" s="101">
        <f>'가.관로신설(맹동-오수지선)'!I20</f>
        <v>0</v>
      </c>
      <c r="E5" s="101">
        <f>+'가.관로신설(금왕-오수지선)'!K26</f>
        <v>0</v>
      </c>
      <c r="F5" s="102"/>
      <c r="G5" s="5"/>
      <c r="H5" s="7" t="s">
        <v>174</v>
      </c>
      <c r="I5" s="603" t="s">
        <v>170</v>
      </c>
      <c r="J5" s="603" t="s">
        <v>171</v>
      </c>
      <c r="K5" s="603" t="s">
        <v>172</v>
      </c>
      <c r="L5" s="603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147</v>
      </c>
      <c r="B6" s="139">
        <v>0</v>
      </c>
      <c r="C6" s="94">
        <v>0</v>
      </c>
      <c r="D6" s="94">
        <f>+'나.배수설비(금왕)'!I23</f>
        <v>0</v>
      </c>
      <c r="E6" s="94">
        <f>+'나.배수설비(금왕)'!K23</f>
        <v>0</v>
      </c>
      <c r="F6" s="95"/>
      <c r="G6" s="5"/>
      <c r="H6" s="7" t="s">
        <v>394</v>
      </c>
      <c r="I6" s="70" t="e">
        <f>('가.관로신설(금왕-오수지선)'!#REF!+'나.배수설비(금왕)'!E18/'나.배수설비(금왕)'!D18+'다.맨홀펌프장(금왕)'!#REF!)/'1.7.3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148</v>
      </c>
      <c r="B7" s="107">
        <v>0</v>
      </c>
      <c r="C7" s="96">
        <f>+'다.맨홀펌프장(금왕)'!F21</f>
        <v>0</v>
      </c>
      <c r="D7" s="96">
        <f>+'다.맨홀펌프장(금왕)'!H21</f>
        <v>0</v>
      </c>
      <c r="E7" s="96">
        <f>+'다.맨홀펌프장(금왕)'!J21</f>
        <v>0</v>
      </c>
      <c r="F7" s="95"/>
      <c r="G7" s="5"/>
      <c r="H7" s="7" t="s">
        <v>204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211</v>
      </c>
      <c r="B8" s="108">
        <f>SUM(B5:B7)</f>
        <v>3485</v>
      </c>
      <c r="C8" s="97">
        <f>SUM(C5:C7)</f>
        <v>0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212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213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603" t="s">
        <v>209</v>
      </c>
      <c r="B12" s="312" t="s">
        <v>436</v>
      </c>
      <c r="C12" s="313" t="s">
        <v>437</v>
      </c>
      <c r="D12" s="313" t="s">
        <v>438</v>
      </c>
      <c r="E12" s="313" t="s">
        <v>210</v>
      </c>
      <c r="F12" s="314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3485</v>
      </c>
      <c r="C13" s="117">
        <f>+C8</f>
        <v>0</v>
      </c>
      <c r="D13" s="101">
        <f>D8</f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214</v>
      </c>
      <c r="B14" s="118">
        <f>IFERROR(INDEX($H$17:$L$33,MATCH(B13,$H$17:$H$33,1),1),0)</f>
        <v>3000</v>
      </c>
      <c r="C14" s="118">
        <f>IFERROR(INDEX($H$17:$L$33,MATCH(C13,$H$17:$H$33,1),1),0)</f>
        <v>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215</v>
      </c>
      <c r="B15" s="118">
        <f>IFERROR(INDEX($H$17:$L$33,MATCH(B13,$H$17:$H$33,1)+1,1),0)</f>
        <v>5000</v>
      </c>
      <c r="C15" s="118">
        <f>IFERROR(INDEX($H$17:$L$33,MATCH(C13,$H$17:$H$33,1)+1,1),0)</f>
        <v>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216</v>
      </c>
      <c r="B16" s="141">
        <f>IFERROR(INDEX($H$17:$L$33,MATCH(B13,$H$17:$H$33,1),2)+INDEX($H$17:$L$33,MATCH(B13,$H$17:$H$33,1),3),0)</f>
        <v>4.7200000000000006E-2</v>
      </c>
      <c r="C16" s="141">
        <f>IFERROR(INDEX($H$17:$L$33,MATCH(C13,$H$17:$H$33,1),2)+INDEX($H$17:$L$33,MATCH(C13,$H$17:$H$33,1),3),0)</f>
        <v>0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217</v>
      </c>
      <c r="B17" s="141">
        <f>IFERROR(INDEX($H$17:$L$33,MATCH(B13,$H$17:$H$33,1)+1,2)+INDEX($H$17:$L$33,MATCH(B13,$H$17:$H$33,1)+1,3),0)</f>
        <v>4.6299999999999994E-2</v>
      </c>
      <c r="C17" s="141">
        <f>IFERROR(INDEX($H$17:$L$33,MATCH(C13,$H$17:$H$33,1)+1,2)+INDEX($H$17:$L$33,MATCH(C13,$H$17:$H$33,1)+1,3),0)</f>
        <v>0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218</v>
      </c>
      <c r="B18" s="141">
        <f>IFERROR(B16+((B17-B16)/(B15-B14))*(B13-B14),0)</f>
        <v>4.6981750000000003E-2</v>
      </c>
      <c r="C18" s="141">
        <f>IFERROR(C16+((C17-C16)/(C15-C14))*(C13-C14),0)</f>
        <v>0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219</v>
      </c>
      <c r="B19" s="108">
        <f>+ROUND(B13*B18,0)</f>
        <v>164</v>
      </c>
      <c r="C19" s="108">
        <f>+ROUND(C13*C18,0)</f>
        <v>0</v>
      </c>
      <c r="D19" s="108">
        <f>+ROUND(D13*D18,0)</f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220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213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603" t="s">
        <v>209</v>
      </c>
      <c r="B23" s="312" t="s">
        <v>436</v>
      </c>
      <c r="C23" s="313" t="s">
        <v>437</v>
      </c>
      <c r="D23" s="313" t="s">
        <v>438</v>
      </c>
      <c r="E23" s="313" t="s">
        <v>210</v>
      </c>
      <c r="F23" s="314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3485</v>
      </c>
      <c r="C24" s="101">
        <v>0</v>
      </c>
      <c r="D24" s="101">
        <f>D13</f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214</v>
      </c>
      <c r="B25" s="118">
        <f>I35</f>
        <v>10000</v>
      </c>
      <c r="C25" s="96">
        <v>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215</v>
      </c>
      <c r="B26" s="118">
        <f>I35</f>
        <v>10000</v>
      </c>
      <c r="C26" s="96">
        <v>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216</v>
      </c>
      <c r="B27" s="141">
        <f>I36</f>
        <v>9.3699999999999992E-2</v>
      </c>
      <c r="C27" s="96">
        <v>0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217</v>
      </c>
      <c r="B28" s="141">
        <f>I36</f>
        <v>9.3699999999999992E-2</v>
      </c>
      <c r="C28" s="96">
        <v>0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218</v>
      </c>
      <c r="B29" s="141">
        <f>B27</f>
        <v>9.3699999999999992E-2</v>
      </c>
      <c r="C29" s="96">
        <v>0</v>
      </c>
      <c r="D29" s="141">
        <f>D27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221</v>
      </c>
      <c r="B30" s="108">
        <f>+ROUND(B24*B29,0)</f>
        <v>327</v>
      </c>
      <c r="C30" s="97">
        <f>+ROUND(C24*C29,0)</f>
        <v>0</v>
      </c>
      <c r="D30" s="108">
        <f>+ROUND(D24*D29,0)</f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213</v>
      </c>
      <c r="G38" s="9"/>
      <c r="H38" s="9"/>
    </row>
    <row r="39" spans="1:17" ht="20.100000000000001" customHeight="1">
      <c r="A39" s="603" t="s">
        <v>209</v>
      </c>
      <c r="B39" s="312" t="s">
        <v>436</v>
      </c>
      <c r="C39" s="313" t="s">
        <v>437</v>
      </c>
      <c r="D39" s="313" t="s">
        <v>438</v>
      </c>
      <c r="E39" s="313" t="s">
        <v>210</v>
      </c>
      <c r="F39" s="314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3485</v>
      </c>
      <c r="C40" s="115">
        <f>+C13</f>
        <v>0</v>
      </c>
      <c r="D40" s="101">
        <f>D24</f>
        <v>0</v>
      </c>
      <c r="E40" s="101">
        <v>0</v>
      </c>
      <c r="F40" s="116"/>
      <c r="G40" s="9"/>
    </row>
    <row r="41" spans="1:17" ht="20.100000000000001" customHeight="1">
      <c r="A41" s="110" t="s">
        <v>214</v>
      </c>
      <c r="B41" s="118">
        <f>IFERROR(INDEX($H$17:$L$33,MATCH(B8,$H$17:$H$33,1),1),0)</f>
        <v>3000</v>
      </c>
      <c r="C41" s="118">
        <f>IFERROR(INDEX($H$17:$L$33,MATCH(C8,$H$17:$H$33,1),1),0)</f>
        <v>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215</v>
      </c>
      <c r="B42" s="118">
        <f>IFERROR(INDEX($H$17:$L$33,MATCH(B8,$H$17:$H$33,1)+1,1),0)</f>
        <v>5000</v>
      </c>
      <c r="C42" s="118">
        <f>IFERROR(INDEX($H$17:$L$33,MATCH(C8,$H$17:$H$33,1)+1,1),0)</f>
        <v>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216</v>
      </c>
      <c r="B43" s="141">
        <f>IFERROR(INDEX($H$17:$L$33,MATCH(B8,$H$17:$H$33,1),5),0)</f>
        <v>3.5999999999999999E-3</v>
      </c>
      <c r="C43" s="141">
        <f>IFERROR(INDEX($H$17:$L$33,MATCH(C8,$H$17:$H$33,1),5),0)</f>
        <v>0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217</v>
      </c>
      <c r="B44" s="141">
        <f>IFERROR(INDEX($H$17:$L$33,MATCH(B8,$H$17:$H$33,1)+1,5),0)</f>
        <v>2.7000000000000001E-3</v>
      </c>
      <c r="C44" s="141">
        <f>IFERROR(INDEX($H$17:$L$33,MATCH(C8,$H$17:$H$33,1)+1,5),0)</f>
        <v>0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218</v>
      </c>
      <c r="B45" s="141">
        <f>IFERROR(B43+((B44-B43)/(B42-B41))*(B40-B41),0)</f>
        <v>3.3817499999999998E-3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12</v>
      </c>
      <c r="C46" s="97">
        <f>+ROUND(C40*C45,0)</f>
        <v>0</v>
      </c>
      <c r="D46" s="108">
        <f>+ROUND(D40*D45,0)</f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213</v>
      </c>
    </row>
    <row r="50" spans="1:6" ht="20.100000000000001" customHeight="1">
      <c r="A50" s="603" t="s">
        <v>209</v>
      </c>
      <c r="B50" s="312" t="s">
        <v>436</v>
      </c>
      <c r="C50" s="313" t="s">
        <v>437</v>
      </c>
      <c r="D50" s="313" t="s">
        <v>438</v>
      </c>
      <c r="E50" s="313" t="s">
        <v>210</v>
      </c>
      <c r="F50" s="314" t="s">
        <v>440</v>
      </c>
    </row>
    <row r="51" spans="1:6" ht="20.100000000000001" customHeight="1">
      <c r="A51" s="131" t="s">
        <v>211</v>
      </c>
      <c r="B51" s="128">
        <f>+B8</f>
        <v>3485</v>
      </c>
      <c r="C51" s="126">
        <f>+C8</f>
        <v>0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219</v>
      </c>
      <c r="B52" s="129">
        <f>+B19</f>
        <v>164</v>
      </c>
      <c r="C52" s="121">
        <f>+C19</f>
        <v>0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221</v>
      </c>
      <c r="B53" s="129">
        <f>+B30</f>
        <v>327</v>
      </c>
      <c r="C53" s="121">
        <f>+C30</f>
        <v>0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12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222</v>
      </c>
      <c r="B55" s="130">
        <f>SUM(B51:B54)</f>
        <v>3988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>
      <selection activeCell="G11" sqref="G11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</row>
    <row r="2" spans="1:20" ht="20.100000000000001" customHeight="1">
      <c r="A2" s="2" t="s">
        <v>509</v>
      </c>
    </row>
    <row r="3" spans="1:20" ht="20.100000000000001" customHeight="1">
      <c r="A3" s="40" t="s">
        <v>1060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Q3" s="844" t="s">
        <v>64</v>
      </c>
      <c r="R3" s="776" t="s">
        <v>511</v>
      </c>
      <c r="S3" s="776" t="s">
        <v>66</v>
      </c>
      <c r="T3" s="776"/>
    </row>
    <row r="4" spans="1:20" ht="20.100000000000001" customHeight="1">
      <c r="A4" s="40" t="s">
        <v>401</v>
      </c>
      <c r="B4" s="40"/>
      <c r="C4" s="40"/>
      <c r="D4" s="40"/>
      <c r="M4" s="776"/>
      <c r="N4" s="776"/>
      <c r="O4" s="604" t="s">
        <v>67</v>
      </c>
      <c r="P4" s="604" t="s">
        <v>68</v>
      </c>
      <c r="Q4" s="844"/>
      <c r="R4" s="776"/>
      <c r="S4" s="604" t="s">
        <v>67</v>
      </c>
      <c r="T4" s="604" t="s">
        <v>68</v>
      </c>
    </row>
    <row r="5" spans="1:20" ht="20.100000000000001" customHeight="1">
      <c r="A5" s="2" t="s">
        <v>130</v>
      </c>
      <c r="M5" s="169" t="s">
        <v>69</v>
      </c>
      <c r="N5" s="604">
        <v>300</v>
      </c>
      <c r="O5" s="44">
        <v>512740</v>
      </c>
      <c r="P5" s="44">
        <v>782541</v>
      </c>
      <c r="Q5" s="845" t="s">
        <v>70</v>
      </c>
      <c r="R5" s="604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512</v>
      </c>
      <c r="M6" s="169"/>
      <c r="N6" s="604">
        <v>400</v>
      </c>
      <c r="O6" s="44">
        <v>580188</v>
      </c>
      <c r="P6" s="44">
        <v>859007</v>
      </c>
      <c r="Q6" s="846"/>
      <c r="R6" s="604">
        <v>100</v>
      </c>
      <c r="S6" s="44">
        <v>102960</v>
      </c>
      <c r="T6" s="44">
        <v>323665</v>
      </c>
    </row>
    <row r="7" spans="1:20" ht="20.100000000000001" customHeight="1">
      <c r="A7" s="783" t="s">
        <v>209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210</v>
      </c>
      <c r="K7" s="782"/>
      <c r="M7" s="169"/>
      <c r="N7" s="604">
        <v>500</v>
      </c>
      <c r="O7" s="44">
        <v>624861</v>
      </c>
      <c r="P7" s="44">
        <v>912820</v>
      </c>
      <c r="Q7" s="846"/>
      <c r="R7" s="604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515</v>
      </c>
      <c r="E8" s="606" t="s">
        <v>211</v>
      </c>
      <c r="F8" s="605" t="s">
        <v>515</v>
      </c>
      <c r="G8" s="606" t="s">
        <v>211</v>
      </c>
      <c r="H8" s="605" t="s">
        <v>515</v>
      </c>
      <c r="I8" s="606" t="s">
        <v>211</v>
      </c>
      <c r="J8" s="605" t="s">
        <v>515</v>
      </c>
      <c r="K8" s="607" t="s">
        <v>211</v>
      </c>
      <c r="M8" s="169"/>
      <c r="N8" s="604">
        <v>600</v>
      </c>
      <c r="O8" s="44">
        <v>705821</v>
      </c>
      <c r="P8" s="44">
        <v>1016585</v>
      </c>
      <c r="Q8" s="846"/>
      <c r="R8" s="604">
        <v>200</v>
      </c>
      <c r="S8" s="44">
        <v>172293</v>
      </c>
      <c r="T8" s="44">
        <v>405664</v>
      </c>
    </row>
    <row r="9" spans="1:20" ht="20.100000000000001" customHeight="1">
      <c r="A9" s="848" t="s">
        <v>1053</v>
      </c>
      <c r="B9" s="152">
        <v>80</v>
      </c>
      <c r="C9" s="153">
        <f>T5</f>
        <v>309684</v>
      </c>
      <c r="D9" s="139"/>
      <c r="E9" s="94">
        <f>+ROUND($C9*D9/1000000,0)</f>
        <v>0</v>
      </c>
      <c r="F9" s="94">
        <v>0</v>
      </c>
      <c r="G9" s="94">
        <f>+ROUND($C9*F9/1000000,0)</f>
        <v>0</v>
      </c>
      <c r="H9" s="94">
        <v>0</v>
      </c>
      <c r="I9" s="94">
        <f>+ROUND($C9*H9/1000000,0)</f>
        <v>0</v>
      </c>
      <c r="J9" s="94">
        <v>0</v>
      </c>
      <c r="K9" s="153">
        <f>+ROUND($C9*J9/1000000,0)</f>
        <v>0</v>
      </c>
      <c r="M9" s="169"/>
      <c r="N9" s="604">
        <v>700</v>
      </c>
      <c r="O9" s="44">
        <v>782918</v>
      </c>
      <c r="P9" s="44">
        <v>1102578</v>
      </c>
      <c r="Q9" s="846"/>
      <c r="R9" s="604">
        <v>300</v>
      </c>
      <c r="S9" s="44">
        <v>248738</v>
      </c>
      <c r="T9" s="44">
        <v>494561</v>
      </c>
    </row>
    <row r="10" spans="1:20" ht="20.100000000000001" customHeight="1">
      <c r="A10" s="780"/>
      <c r="B10" s="152">
        <v>150</v>
      </c>
      <c r="C10" s="153">
        <f>T7</f>
        <v>366708</v>
      </c>
      <c r="D10" s="139">
        <v>135</v>
      </c>
      <c r="E10" s="94"/>
      <c r="F10" s="94">
        <v>0</v>
      </c>
      <c r="G10" s="94">
        <f>+ROUND($C10*F10/1000000,0)</f>
        <v>0</v>
      </c>
      <c r="H10" s="94">
        <v>0</v>
      </c>
      <c r="I10" s="94">
        <f>+ROUND($C10*H10/1000000,0)</f>
        <v>0</v>
      </c>
      <c r="J10" s="94">
        <v>0</v>
      </c>
      <c r="K10" s="153">
        <f>+ROUND($C10*J10/1000000,0)</f>
        <v>0</v>
      </c>
      <c r="L10" s="9"/>
      <c r="M10" s="169"/>
      <c r="N10" s="604">
        <v>800</v>
      </c>
      <c r="O10" s="44">
        <v>854676</v>
      </c>
      <c r="P10" s="44">
        <v>1183365</v>
      </c>
      <c r="Q10" s="846"/>
      <c r="R10" s="604">
        <v>400</v>
      </c>
      <c r="S10" s="44">
        <v>348039</v>
      </c>
      <c r="T10" s="44">
        <v>606519</v>
      </c>
    </row>
    <row r="11" spans="1:20" ht="20.100000000000001" customHeight="1">
      <c r="A11" s="780"/>
      <c r="B11" s="152">
        <v>200</v>
      </c>
      <c r="C11" s="153">
        <f>P26</f>
        <v>737848</v>
      </c>
      <c r="D11" s="139">
        <v>3876</v>
      </c>
      <c r="E11" s="94"/>
      <c r="F11" s="94">
        <v>0</v>
      </c>
      <c r="G11" s="94">
        <f>+ROUND($C11*F11/1000000,0)</f>
        <v>0</v>
      </c>
      <c r="H11" s="94">
        <v>0</v>
      </c>
      <c r="I11" s="94">
        <f>+ROUND($C11*H11/1000000,0)</f>
        <v>0</v>
      </c>
      <c r="J11" s="94">
        <v>0</v>
      </c>
      <c r="K11" s="153">
        <f>+ROUND($C11*J11/1000000,0)</f>
        <v>0</v>
      </c>
      <c r="L11" s="9"/>
      <c r="M11" s="169"/>
      <c r="N11" s="604">
        <v>900</v>
      </c>
      <c r="O11" s="44">
        <v>945775</v>
      </c>
      <c r="P11" s="44">
        <v>1283451</v>
      </c>
      <c r="Q11" s="846"/>
      <c r="R11" s="604">
        <v>500</v>
      </c>
      <c r="S11" s="44">
        <v>453129</v>
      </c>
      <c r="T11" s="44">
        <v>724142</v>
      </c>
    </row>
    <row r="12" spans="1:20" ht="20.100000000000001" customHeight="1">
      <c r="A12" s="780"/>
      <c r="B12" s="152" t="s">
        <v>941</v>
      </c>
      <c r="C12" s="153"/>
      <c r="D12" s="94">
        <f t="shared" ref="D12" si="0">SUM(D9:D11)</f>
        <v>4011</v>
      </c>
      <c r="E12" s="94">
        <v>2970</v>
      </c>
      <c r="F12" s="94">
        <f t="shared" ref="F12:K12" si="1">SUM(F9:F11)</f>
        <v>0</v>
      </c>
      <c r="G12" s="94">
        <f t="shared" si="1"/>
        <v>0</v>
      </c>
      <c r="H12" s="94">
        <f t="shared" si="1"/>
        <v>0</v>
      </c>
      <c r="I12" s="94">
        <f t="shared" si="1"/>
        <v>0</v>
      </c>
      <c r="J12" s="94">
        <f t="shared" si="1"/>
        <v>0</v>
      </c>
      <c r="K12" s="153">
        <f t="shared" si="1"/>
        <v>0</v>
      </c>
      <c r="L12" s="9"/>
      <c r="M12" s="169"/>
      <c r="N12" s="604">
        <v>1000</v>
      </c>
      <c r="O12" s="44">
        <v>1051853</v>
      </c>
      <c r="P12" s="44">
        <v>1398649</v>
      </c>
      <c r="Q12" s="846"/>
      <c r="R12" s="604">
        <v>600</v>
      </c>
      <c r="S12" s="44">
        <v>563069</v>
      </c>
      <c r="T12" s="44">
        <v>846789</v>
      </c>
    </row>
    <row r="13" spans="1:20" ht="20.100000000000001" customHeight="1">
      <c r="A13" s="848" t="s">
        <v>1081</v>
      </c>
      <c r="B13" s="152">
        <v>80</v>
      </c>
      <c r="C13" s="153">
        <f t="shared" ref="C13:C15" si="2">C9</f>
        <v>309684</v>
      </c>
      <c r="D13" s="139"/>
      <c r="E13" s="94">
        <f>+ROUND($C13*D13/1000000,0)</f>
        <v>0</v>
      </c>
      <c r="F13" s="94">
        <v>0</v>
      </c>
      <c r="G13" s="94">
        <f>+ROUND($C13*F13/1000000,0)</f>
        <v>0</v>
      </c>
      <c r="H13" s="94">
        <v>0</v>
      </c>
      <c r="I13" s="94">
        <f>+ROUND($C13*H13/1000000,0)</f>
        <v>0</v>
      </c>
      <c r="J13" s="94">
        <v>0</v>
      </c>
      <c r="K13" s="153">
        <f>+ROUND($C13*J13/1000000,0)</f>
        <v>0</v>
      </c>
      <c r="L13" s="9"/>
      <c r="M13" s="169"/>
      <c r="N13" s="604">
        <v>1100</v>
      </c>
      <c r="O13" s="44">
        <v>1188358</v>
      </c>
      <c r="P13" s="44">
        <v>1557399</v>
      </c>
      <c r="Q13" s="846"/>
      <c r="R13" s="604">
        <v>700</v>
      </c>
      <c r="S13" s="44">
        <v>708878</v>
      </c>
      <c r="T13" s="44">
        <v>1005274</v>
      </c>
    </row>
    <row r="14" spans="1:20" ht="20.100000000000001" customHeight="1">
      <c r="A14" s="780"/>
      <c r="B14" s="152">
        <v>150</v>
      </c>
      <c r="C14" s="153">
        <f t="shared" si="2"/>
        <v>366708</v>
      </c>
      <c r="D14" s="139"/>
      <c r="E14" s="94">
        <f>+ROUND($C14*D14/1000000,0)</f>
        <v>0</v>
      </c>
      <c r="F14" s="94">
        <v>0</v>
      </c>
      <c r="G14" s="94">
        <f>+ROUND($C14*F14/1000000,0)</f>
        <v>0</v>
      </c>
      <c r="H14" s="94">
        <v>0</v>
      </c>
      <c r="I14" s="94">
        <f>+ROUND($C14*H14/1000000,0)</f>
        <v>0</v>
      </c>
      <c r="J14" s="94">
        <v>0</v>
      </c>
      <c r="K14" s="153">
        <f>+ROUND($C14*J14/1000000,0)</f>
        <v>0</v>
      </c>
      <c r="L14" s="9"/>
      <c r="M14" s="169"/>
      <c r="N14" s="604">
        <v>1200</v>
      </c>
      <c r="O14" s="44">
        <v>1313909</v>
      </c>
      <c r="P14" s="44">
        <v>1691805</v>
      </c>
      <c r="Q14" s="847"/>
      <c r="R14" s="604">
        <v>800</v>
      </c>
      <c r="S14" s="44">
        <v>860005</v>
      </c>
      <c r="T14" s="44">
        <v>1169007</v>
      </c>
    </row>
    <row r="15" spans="1:20" ht="20.100000000000001" customHeight="1">
      <c r="A15" s="780"/>
      <c r="B15" s="152">
        <v>200</v>
      </c>
      <c r="C15" s="153">
        <f t="shared" si="2"/>
        <v>737848</v>
      </c>
      <c r="D15" s="139">
        <v>698</v>
      </c>
      <c r="E15" s="94">
        <f>+ROUND($C15*D15/1000000,0)</f>
        <v>515</v>
      </c>
      <c r="F15" s="94">
        <v>0</v>
      </c>
      <c r="G15" s="94">
        <f>+ROUND($C15*F15/1000000,0)</f>
        <v>0</v>
      </c>
      <c r="H15" s="94">
        <v>0</v>
      </c>
      <c r="I15" s="94">
        <f>+ROUND($C15*H15/1000000,0)</f>
        <v>0</v>
      </c>
      <c r="J15" s="94">
        <v>0</v>
      </c>
      <c r="K15" s="153">
        <f>+ROUND($C15*J15/1000000,0)</f>
        <v>0</v>
      </c>
      <c r="L15" s="9"/>
      <c r="M15" s="169"/>
      <c r="N15" s="604">
        <v>1350</v>
      </c>
      <c r="O15" s="44">
        <v>1519849</v>
      </c>
      <c r="P15" s="44">
        <v>1910605</v>
      </c>
    </row>
    <row r="16" spans="1:20" ht="20.100000000000001" customHeight="1">
      <c r="A16" s="780"/>
      <c r="B16" s="152" t="s">
        <v>406</v>
      </c>
      <c r="C16" s="153"/>
      <c r="D16" s="94">
        <f t="shared" ref="D16:K16" si="3">SUM(D13:D15)</f>
        <v>698</v>
      </c>
      <c r="E16" s="94">
        <f t="shared" si="3"/>
        <v>515</v>
      </c>
      <c r="F16" s="94">
        <f t="shared" si="3"/>
        <v>0</v>
      </c>
      <c r="G16" s="94">
        <f t="shared" si="3"/>
        <v>0</v>
      </c>
      <c r="H16" s="94">
        <f t="shared" si="3"/>
        <v>0</v>
      </c>
      <c r="I16" s="94">
        <f t="shared" si="3"/>
        <v>0</v>
      </c>
      <c r="J16" s="94">
        <f t="shared" si="3"/>
        <v>0</v>
      </c>
      <c r="K16" s="153">
        <f t="shared" si="3"/>
        <v>0</v>
      </c>
      <c r="L16" s="9"/>
      <c r="M16" s="776" t="s">
        <v>76</v>
      </c>
      <c r="N16" s="604">
        <v>300</v>
      </c>
      <c r="O16" s="44">
        <v>707247</v>
      </c>
      <c r="P16" s="44">
        <v>977038</v>
      </c>
    </row>
    <row r="17" spans="1:16" ht="20.100000000000001" customHeight="1">
      <c r="A17" s="840" t="s">
        <v>942</v>
      </c>
      <c r="B17" s="152">
        <v>50</v>
      </c>
      <c r="C17" s="153">
        <f>C9</f>
        <v>309684</v>
      </c>
      <c r="D17" s="139">
        <f>D9+D13</f>
        <v>0</v>
      </c>
      <c r="E17" s="139">
        <f t="shared" ref="E17:K19" si="4">E9</f>
        <v>0</v>
      </c>
      <c r="F17" s="139">
        <f t="shared" si="4"/>
        <v>0</v>
      </c>
      <c r="G17" s="139">
        <f t="shared" si="4"/>
        <v>0</v>
      </c>
      <c r="H17" s="139">
        <f t="shared" si="4"/>
        <v>0</v>
      </c>
      <c r="I17" s="139">
        <f t="shared" si="4"/>
        <v>0</v>
      </c>
      <c r="J17" s="139">
        <f t="shared" si="4"/>
        <v>0</v>
      </c>
      <c r="K17" s="139">
        <f t="shared" si="4"/>
        <v>0</v>
      </c>
      <c r="L17" s="9"/>
      <c r="M17" s="776"/>
      <c r="N17" s="604">
        <v>400</v>
      </c>
      <c r="O17" s="44">
        <v>827275</v>
      </c>
      <c r="P17" s="44">
        <v>1106094</v>
      </c>
    </row>
    <row r="18" spans="1:16" ht="20.100000000000001" customHeight="1">
      <c r="A18" s="849"/>
      <c r="B18" s="152">
        <v>80</v>
      </c>
      <c r="C18" s="153">
        <f>C10</f>
        <v>366708</v>
      </c>
      <c r="D18" s="139">
        <f t="shared" ref="D18:D19" si="5">D10+D14</f>
        <v>135</v>
      </c>
      <c r="E18" s="139">
        <f t="shared" si="4"/>
        <v>0</v>
      </c>
      <c r="F18" s="139">
        <f t="shared" si="4"/>
        <v>0</v>
      </c>
      <c r="G18" s="139">
        <f t="shared" si="4"/>
        <v>0</v>
      </c>
      <c r="H18" s="139">
        <f t="shared" si="4"/>
        <v>0</v>
      </c>
      <c r="I18" s="139">
        <f t="shared" si="4"/>
        <v>0</v>
      </c>
      <c r="J18" s="139">
        <f t="shared" si="4"/>
        <v>0</v>
      </c>
      <c r="K18" s="139">
        <f t="shared" si="4"/>
        <v>0</v>
      </c>
      <c r="L18" s="9"/>
      <c r="M18" s="776"/>
      <c r="N18" s="604">
        <v>500</v>
      </c>
      <c r="O18" s="44">
        <v>935411</v>
      </c>
      <c r="P18" s="44">
        <v>1223371</v>
      </c>
    </row>
    <row r="19" spans="1:16" ht="20.100000000000001" customHeight="1">
      <c r="A19" s="849"/>
      <c r="B19" s="152">
        <v>200</v>
      </c>
      <c r="C19" s="153">
        <f>C11</f>
        <v>737848</v>
      </c>
      <c r="D19" s="139">
        <f t="shared" si="5"/>
        <v>4574</v>
      </c>
      <c r="E19" s="139">
        <f t="shared" si="4"/>
        <v>0</v>
      </c>
      <c r="F19" s="139">
        <f t="shared" si="4"/>
        <v>0</v>
      </c>
      <c r="G19" s="139">
        <f t="shared" si="4"/>
        <v>0</v>
      </c>
      <c r="H19" s="139">
        <f t="shared" si="4"/>
        <v>0</v>
      </c>
      <c r="I19" s="139">
        <f t="shared" si="4"/>
        <v>0</v>
      </c>
      <c r="J19" s="139">
        <f t="shared" si="4"/>
        <v>0</v>
      </c>
      <c r="K19" s="139">
        <f t="shared" si="4"/>
        <v>0</v>
      </c>
      <c r="L19" s="9"/>
      <c r="M19" s="776"/>
      <c r="N19" s="604">
        <v>600</v>
      </c>
      <c r="O19" s="44">
        <v>1068860</v>
      </c>
      <c r="P19" s="44">
        <v>1379624</v>
      </c>
    </row>
    <row r="20" spans="1:16" ht="20.100000000000001" customHeight="1">
      <c r="A20" s="850"/>
      <c r="B20" s="167" t="s">
        <v>941</v>
      </c>
      <c r="C20" s="165"/>
      <c r="D20" s="166">
        <f>D12+D16</f>
        <v>4709</v>
      </c>
      <c r="E20" s="166">
        <f>E12+E16</f>
        <v>3485</v>
      </c>
      <c r="F20" s="166">
        <f t="shared" ref="F20:K20" si="6">ROUND(SUM(F17:F19),0)</f>
        <v>0</v>
      </c>
      <c r="G20" s="166">
        <f t="shared" si="6"/>
        <v>0</v>
      </c>
      <c r="H20" s="166">
        <f t="shared" si="6"/>
        <v>0</v>
      </c>
      <c r="I20" s="166">
        <f t="shared" si="6"/>
        <v>0</v>
      </c>
      <c r="J20" s="166">
        <f t="shared" si="6"/>
        <v>0</v>
      </c>
      <c r="K20" s="468">
        <f t="shared" si="6"/>
        <v>0</v>
      </c>
      <c r="L20" s="9"/>
      <c r="M20" s="776"/>
      <c r="N20" s="604">
        <v>700</v>
      </c>
      <c r="O20" s="44">
        <v>1206659</v>
      </c>
      <c r="P20" s="44">
        <v>1526319</v>
      </c>
    </row>
    <row r="21" spans="1:16" ht="20.100000000000001" customHeight="1">
      <c r="L21" s="9"/>
      <c r="M21" s="776"/>
      <c r="N21" s="604">
        <v>800</v>
      </c>
      <c r="O21" s="44">
        <v>1373571</v>
      </c>
      <c r="P21" s="44">
        <v>1702260</v>
      </c>
    </row>
    <row r="22" spans="1:16" ht="20.100000000000001" customHeight="1">
      <c r="L22" s="9"/>
      <c r="M22" s="776"/>
      <c r="N22" s="604">
        <v>900</v>
      </c>
      <c r="O22" s="44">
        <v>1509424</v>
      </c>
      <c r="P22" s="44">
        <v>1847090</v>
      </c>
    </row>
    <row r="23" spans="1:16" ht="20.100000000000001" customHeight="1">
      <c r="L23" s="9"/>
      <c r="M23" s="776"/>
      <c r="N23" s="604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76"/>
      <c r="N24" s="604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76"/>
      <c r="N25" s="604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76" t="s">
        <v>77</v>
      </c>
      <c r="N26" s="604">
        <v>200</v>
      </c>
      <c r="O26" s="44">
        <v>476678</v>
      </c>
      <c r="P26" s="44">
        <v>737848</v>
      </c>
    </row>
    <row r="27" spans="1:16" ht="20.100000000000001" customHeight="1">
      <c r="L27" s="9"/>
      <c r="M27" s="776"/>
      <c r="N27" s="604">
        <v>300</v>
      </c>
      <c r="O27" s="44">
        <v>525101</v>
      </c>
      <c r="P27" s="44">
        <v>794902</v>
      </c>
    </row>
    <row r="28" spans="1:16" ht="20.100000000000001" customHeight="1">
      <c r="M28" s="776"/>
      <c r="N28" s="604">
        <v>400</v>
      </c>
      <c r="O28" s="44">
        <v>625778</v>
      </c>
      <c r="P28" s="44">
        <v>904597</v>
      </c>
    </row>
    <row r="29" spans="1:16" ht="20.100000000000001" customHeight="1">
      <c r="M29" s="776"/>
      <c r="N29" s="604">
        <v>500</v>
      </c>
      <c r="O29" s="44">
        <v>711507</v>
      </c>
      <c r="P29" s="44">
        <v>999476</v>
      </c>
    </row>
    <row r="30" spans="1:16" ht="20.100000000000001" customHeight="1">
      <c r="M30" s="776"/>
      <c r="N30" s="604">
        <v>600</v>
      </c>
      <c r="O30" s="44">
        <v>810869</v>
      </c>
      <c r="P30" s="44">
        <v>1121644</v>
      </c>
    </row>
    <row r="31" spans="1:16" ht="20.100000000000001" customHeight="1">
      <c r="L31" s="9"/>
      <c r="M31" s="776"/>
      <c r="N31" s="604">
        <v>700</v>
      </c>
      <c r="O31" s="44">
        <v>919311</v>
      </c>
      <c r="P31" s="44">
        <v>1238972</v>
      </c>
    </row>
    <row r="32" spans="1:16" ht="20.100000000000001" customHeight="1">
      <c r="L32" s="29"/>
      <c r="M32" s="776"/>
      <c r="N32" s="604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76"/>
      <c r="N33" s="604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76"/>
      <c r="N34" s="604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76"/>
      <c r="N35" s="604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76" t="s">
        <v>519</v>
      </c>
      <c r="N36" s="604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76"/>
      <c r="N37" s="604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604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76"/>
      <c r="N39" s="604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604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604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604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604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604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604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76"/>
      <c r="N46" s="604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76"/>
      <c r="N47" s="604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76"/>
      <c r="N48" s="604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604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604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604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  <mergeCell ref="A17:A20"/>
    <mergeCell ref="A13:A16"/>
    <mergeCell ref="S3:T3"/>
    <mergeCell ref="M3:M4"/>
    <mergeCell ref="N3:N4"/>
    <mergeCell ref="O3:P3"/>
    <mergeCell ref="Q3:Q4"/>
    <mergeCell ref="R3:R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>
      <selection activeCell="D23" sqref="D23"/>
    </sheetView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252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1079</v>
      </c>
      <c r="B3" s="40"/>
      <c r="C3" s="40"/>
      <c r="D3" s="40"/>
      <c r="M3" s="10" t="s">
        <v>152</v>
      </c>
      <c r="N3" s="10" t="s">
        <v>153</v>
      </c>
      <c r="O3" s="10"/>
      <c r="P3" s="659" t="s">
        <v>150</v>
      </c>
      <c r="Q3" s="659" t="s">
        <v>147</v>
      </c>
      <c r="R3" s="659" t="s">
        <v>154</v>
      </c>
    </row>
    <row r="4" spans="1:18" ht="20.100000000000001" customHeight="1">
      <c r="A4" s="40" t="s">
        <v>974</v>
      </c>
      <c r="B4" s="40"/>
      <c r="C4" s="40"/>
      <c r="D4" s="40"/>
      <c r="M4" s="10"/>
      <c r="N4" s="11" t="s">
        <v>150</v>
      </c>
      <c r="O4" s="11" t="s">
        <v>151</v>
      </c>
      <c r="P4" s="659"/>
      <c r="Q4" s="659"/>
      <c r="R4" s="659"/>
    </row>
    <row r="5" spans="1:18" ht="20.100000000000001" customHeight="1">
      <c r="A5" s="2" t="s">
        <v>4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8</v>
      </c>
      <c r="B7" s="781"/>
      <c r="C7" s="787" t="s">
        <v>103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104</v>
      </c>
      <c r="E8" s="656" t="s">
        <v>211</v>
      </c>
      <c r="F8" s="658" t="s">
        <v>104</v>
      </c>
      <c r="G8" s="656" t="s">
        <v>211</v>
      </c>
      <c r="H8" s="658" t="s">
        <v>104</v>
      </c>
      <c r="I8" s="656" t="s">
        <v>211</v>
      </c>
      <c r="J8" s="658" t="s">
        <v>104</v>
      </c>
      <c r="K8" s="657" t="s">
        <v>211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783" t="s">
        <v>1054</v>
      </c>
      <c r="B9" s="781"/>
      <c r="C9" s="156">
        <v>3600000</v>
      </c>
      <c r="D9" s="106">
        <v>124</v>
      </c>
      <c r="E9" s="101"/>
      <c r="F9" s="101">
        <v>0</v>
      </c>
      <c r="G9" s="101">
        <f t="shared" ref="G9:G22" si="2">+ROUND($C9*F9/1000000,0)</f>
        <v>0</v>
      </c>
      <c r="H9" s="101">
        <v>0</v>
      </c>
      <c r="I9" s="101">
        <f t="shared" ref="I9:I22" si="3">+ROUND($C9*H9/1000000,0)</f>
        <v>0</v>
      </c>
      <c r="J9" s="101">
        <v>0</v>
      </c>
      <c r="K9" s="156">
        <f t="shared" ref="K9:K22" si="4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 t="s">
        <v>1080</v>
      </c>
      <c r="B10" s="852"/>
      <c r="C10" s="153">
        <v>3600000</v>
      </c>
      <c r="D10" s="139">
        <v>34</v>
      </c>
      <c r="E10" s="94">
        <f t="shared" ref="E10:E22" si="5">+ROUND($C10*D10/1000000,0)</f>
        <v>122</v>
      </c>
      <c r="F10" s="94">
        <v>0</v>
      </c>
      <c r="G10" s="94">
        <f t="shared" si="2"/>
        <v>0</v>
      </c>
      <c r="H10" s="94">
        <v>0</v>
      </c>
      <c r="I10" s="94">
        <f t="shared" si="3"/>
        <v>0</v>
      </c>
      <c r="J10" s="94">
        <v>0</v>
      </c>
      <c r="K10" s="153">
        <f t="shared" si="4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/>
      <c r="B11" s="852"/>
      <c r="C11" s="153">
        <v>3600000</v>
      </c>
      <c r="D11" s="139"/>
      <c r="E11" s="94">
        <f t="shared" si="5"/>
        <v>0</v>
      </c>
      <c r="F11" s="94">
        <v>0</v>
      </c>
      <c r="G11" s="94">
        <f t="shared" si="2"/>
        <v>0</v>
      </c>
      <c r="H11" s="94">
        <v>0</v>
      </c>
      <c r="I11" s="94">
        <f t="shared" si="3"/>
        <v>0</v>
      </c>
      <c r="J11" s="94">
        <v>0</v>
      </c>
      <c r="K11" s="153">
        <f t="shared" si="4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5"/>
        <v>0</v>
      </c>
      <c r="F12" s="94">
        <v>0</v>
      </c>
      <c r="G12" s="94">
        <f t="shared" si="2"/>
        <v>0</v>
      </c>
      <c r="H12" s="94">
        <v>0</v>
      </c>
      <c r="I12" s="94">
        <f t="shared" si="3"/>
        <v>0</v>
      </c>
      <c r="J12" s="94">
        <v>0</v>
      </c>
      <c r="K12" s="153">
        <f t="shared" si="4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5"/>
        <v>0</v>
      </c>
      <c r="F13" s="94">
        <v>0</v>
      </c>
      <c r="G13" s="94">
        <f t="shared" si="2"/>
        <v>0</v>
      </c>
      <c r="H13" s="94">
        <v>0</v>
      </c>
      <c r="I13" s="94">
        <f t="shared" si="3"/>
        <v>0</v>
      </c>
      <c r="J13" s="94">
        <v>0</v>
      </c>
      <c r="K13" s="153">
        <f t="shared" si="4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5"/>
        <v>0</v>
      </c>
      <c r="F14" s="94">
        <v>0</v>
      </c>
      <c r="G14" s="94">
        <f t="shared" si="2"/>
        <v>0</v>
      </c>
      <c r="H14" s="94">
        <v>0</v>
      </c>
      <c r="I14" s="94">
        <f t="shared" si="3"/>
        <v>0</v>
      </c>
      <c r="J14" s="94">
        <v>0</v>
      </c>
      <c r="K14" s="153">
        <f t="shared" si="4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5"/>
        <v>0</v>
      </c>
      <c r="F15" s="94">
        <v>0</v>
      </c>
      <c r="G15" s="94">
        <f t="shared" si="2"/>
        <v>0</v>
      </c>
      <c r="H15" s="94">
        <v>0</v>
      </c>
      <c r="I15" s="94">
        <f t="shared" si="3"/>
        <v>0</v>
      </c>
      <c r="J15" s="94">
        <v>0</v>
      </c>
      <c r="K15" s="153">
        <f t="shared" si="4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5"/>
        <v>0</v>
      </c>
      <c r="F16" s="94">
        <v>0</v>
      </c>
      <c r="G16" s="94">
        <f t="shared" si="2"/>
        <v>0</v>
      </c>
      <c r="H16" s="94">
        <v>0</v>
      </c>
      <c r="I16" s="94">
        <f t="shared" si="3"/>
        <v>0</v>
      </c>
      <c r="J16" s="94">
        <v>0</v>
      </c>
      <c r="K16" s="153">
        <f t="shared" si="4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5"/>
        <v>0</v>
      </c>
      <c r="F17" s="94">
        <v>0</v>
      </c>
      <c r="G17" s="94">
        <f t="shared" si="2"/>
        <v>0</v>
      </c>
      <c r="H17" s="94">
        <v>0</v>
      </c>
      <c r="I17" s="94">
        <f t="shared" si="3"/>
        <v>0</v>
      </c>
      <c r="J17" s="94">
        <v>0</v>
      </c>
      <c r="K17" s="153">
        <f t="shared" si="4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5"/>
        <v>0</v>
      </c>
      <c r="F18" s="94">
        <v>0</v>
      </c>
      <c r="G18" s="94">
        <f t="shared" si="2"/>
        <v>0</v>
      </c>
      <c r="H18" s="94">
        <v>0</v>
      </c>
      <c r="I18" s="94">
        <f t="shared" si="3"/>
        <v>0</v>
      </c>
      <c r="J18" s="94">
        <v>0</v>
      </c>
      <c r="K18" s="153">
        <f t="shared" si="4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5"/>
        <v>0</v>
      </c>
      <c r="F19" s="94">
        <v>0</v>
      </c>
      <c r="G19" s="94">
        <f t="shared" si="2"/>
        <v>0</v>
      </c>
      <c r="H19" s="94">
        <v>0</v>
      </c>
      <c r="I19" s="94">
        <f t="shared" si="3"/>
        <v>0</v>
      </c>
      <c r="J19" s="94">
        <v>0</v>
      </c>
      <c r="K19" s="153">
        <f t="shared" si="4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5"/>
        <v>0</v>
      </c>
      <c r="F20" s="94">
        <v>0</v>
      </c>
      <c r="G20" s="94">
        <f t="shared" si="2"/>
        <v>0</v>
      </c>
      <c r="H20" s="94">
        <v>0</v>
      </c>
      <c r="I20" s="94">
        <f t="shared" si="3"/>
        <v>0</v>
      </c>
      <c r="J20" s="94">
        <v>0</v>
      </c>
      <c r="K20" s="153">
        <f t="shared" si="4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 t="shared" si="5"/>
        <v>0</v>
      </c>
      <c r="F21" s="94">
        <v>0</v>
      </c>
      <c r="G21" s="94">
        <f t="shared" si="2"/>
        <v>0</v>
      </c>
      <c r="H21" s="94">
        <v>0</v>
      </c>
      <c r="I21" s="94">
        <f t="shared" si="3"/>
        <v>0</v>
      </c>
      <c r="J21" s="94">
        <v>0</v>
      </c>
      <c r="K21" s="153">
        <f t="shared" si="4"/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 t="shared" si="5"/>
        <v>0</v>
      </c>
      <c r="F22" s="94">
        <v>0</v>
      </c>
      <c r="G22" s="94">
        <f t="shared" si="2"/>
        <v>0</v>
      </c>
      <c r="H22" s="94">
        <v>0</v>
      </c>
      <c r="I22" s="94">
        <f t="shared" si="3"/>
        <v>0</v>
      </c>
      <c r="J22" s="94">
        <v>0</v>
      </c>
      <c r="K22" s="153">
        <f t="shared" si="4"/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222</v>
      </c>
      <c r="B23" s="777"/>
      <c r="C23" s="165">
        <f>+C20</f>
        <v>3600000</v>
      </c>
      <c r="D23" s="166">
        <f>SUM(D9:D22)</f>
        <v>158</v>
      </c>
      <c r="E23" s="164">
        <f>SUM(E9:E22)</f>
        <v>122</v>
      </c>
      <c r="F23" s="164">
        <f t="shared" ref="F23:K23" si="6">SUM(F9:F20)</f>
        <v>0</v>
      </c>
      <c r="G23" s="164">
        <f t="shared" si="6"/>
        <v>0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661" t="s">
        <v>368</v>
      </c>
      <c r="N31" s="260"/>
      <c r="O31" s="660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J7:K7"/>
    <mergeCell ref="A7:B8"/>
    <mergeCell ref="C7:C8"/>
    <mergeCell ref="D7:E7"/>
    <mergeCell ref="F7:G7"/>
    <mergeCell ref="H7:I7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M20:M24"/>
    <mergeCell ref="N20:O20"/>
    <mergeCell ref="A21:B21"/>
    <mergeCell ref="N21:N22"/>
    <mergeCell ref="A22:B22"/>
    <mergeCell ref="A23:B23"/>
    <mergeCell ref="N23:N24"/>
    <mergeCell ref="Q23:T23"/>
    <mergeCell ref="M25:M29"/>
    <mergeCell ref="N25:O25"/>
    <mergeCell ref="N26:N27"/>
    <mergeCell ref="N28:N29"/>
    <mergeCell ref="Q28:T28"/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55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15" ht="20.100000000000001" customHeight="1">
      <c r="A1" s="1" t="s">
        <v>1074</v>
      </c>
    </row>
    <row r="2" spans="1:15" ht="20.100000000000001" customHeight="1">
      <c r="A2" s="1" t="s">
        <v>838</v>
      </c>
    </row>
    <row r="3" spans="1:15" ht="20.100000000000001" customHeight="1">
      <c r="A3" s="1"/>
      <c r="H3" s="3" t="s">
        <v>190</v>
      </c>
    </row>
    <row r="4" spans="1:15" ht="20.100000000000001" customHeight="1">
      <c r="A4" s="744" t="s">
        <v>174</v>
      </c>
      <c r="B4" s="745"/>
      <c r="C4" s="746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  <c r="L4" s="82">
        <f>G27+(G32+G33)*M23</f>
        <v>23070.457536924412</v>
      </c>
      <c r="M4" s="82"/>
      <c r="N4" s="82"/>
      <c r="O4" s="82"/>
    </row>
    <row r="5" spans="1:15" ht="20.100000000000001" customHeight="1">
      <c r="A5" s="771" t="s">
        <v>193</v>
      </c>
      <c r="B5" s="769" t="s">
        <v>180</v>
      </c>
      <c r="C5" s="300" t="s">
        <v>168</v>
      </c>
      <c r="D5" s="90">
        <f t="shared" ref="D5:D19" si="0">SUM(E5:H5)</f>
        <v>0</v>
      </c>
      <c r="E5" s="82">
        <v>0</v>
      </c>
      <c r="F5" s="82">
        <v>0</v>
      </c>
      <c r="G5" s="82">
        <f>+'1.6.4 오수간선및차집관로 교체및보수'!D56</f>
        <v>0</v>
      </c>
      <c r="H5" s="83">
        <f>+'1.6.4 오수간선및차집관로 교체및보수'!E56</f>
        <v>0</v>
      </c>
    </row>
    <row r="6" spans="1:15" ht="20.100000000000001" customHeight="1">
      <c r="A6" s="772"/>
      <c r="B6" s="769"/>
      <c r="C6" s="300" t="s">
        <v>169</v>
      </c>
      <c r="D6" s="90">
        <f t="shared" si="0"/>
        <v>0</v>
      </c>
      <c r="E6" s="82">
        <f>+'1.6.4 오수간선및차집관로 교체및보수'!B57</f>
        <v>0</v>
      </c>
      <c r="F6" s="82">
        <f>+'1.6.4 오수간선및차집관로 교체및보수'!C57</f>
        <v>0</v>
      </c>
      <c r="G6" s="82">
        <f>+'1.6.4 오수간선및차집관로 교체및보수'!D57</f>
        <v>0</v>
      </c>
      <c r="H6" s="83">
        <f>+'1.6.4 오수간선및차집관로 교체및보수'!E57</f>
        <v>0</v>
      </c>
      <c r="K6" s="3" t="s">
        <v>839</v>
      </c>
      <c r="L6" s="2">
        <v>1</v>
      </c>
      <c r="M6" s="2">
        <v>2</v>
      </c>
    </row>
    <row r="7" spans="1:15" ht="20.100000000000001" customHeight="1">
      <c r="A7" s="772"/>
      <c r="B7" s="769"/>
      <c r="C7" s="300" t="s">
        <v>95</v>
      </c>
      <c r="D7" s="90">
        <f t="shared" si="0"/>
        <v>0</v>
      </c>
      <c r="E7" s="82">
        <f>SUM(E5:E6)</f>
        <v>0</v>
      </c>
      <c r="F7" s="82">
        <f>SUM(F5:F6)</f>
        <v>0</v>
      </c>
      <c r="G7" s="82">
        <f>SUM(G5:G6)</f>
        <v>0</v>
      </c>
      <c r="H7" s="83">
        <f>SUM(H5:H6)</f>
        <v>0</v>
      </c>
      <c r="K7" s="2">
        <v>66086</v>
      </c>
      <c r="L7" s="2">
        <v>57478</v>
      </c>
      <c r="M7" s="2">
        <v>8608</v>
      </c>
    </row>
    <row r="8" spans="1:15" ht="20.100000000000001" customHeight="1">
      <c r="A8" s="771" t="s">
        <v>191</v>
      </c>
      <c r="B8" s="769" t="s">
        <v>183</v>
      </c>
      <c r="C8" s="770"/>
      <c r="D8" s="90">
        <f t="shared" si="0"/>
        <v>23070.457536924412</v>
      </c>
      <c r="E8" s="82">
        <f>L4*L10</f>
        <v>23070.457536924412</v>
      </c>
      <c r="F8" s="82">
        <f>M4*M10</f>
        <v>0</v>
      </c>
      <c r="G8" s="82"/>
      <c r="H8" s="83">
        <f>+'1.6.5 오수관로신설'!E55</f>
        <v>0</v>
      </c>
    </row>
    <row r="9" spans="1:15" ht="20.100000000000001" customHeight="1">
      <c r="A9" s="772"/>
      <c r="B9" s="769" t="s">
        <v>180</v>
      </c>
      <c r="C9" s="300" t="s">
        <v>168</v>
      </c>
      <c r="D9" s="90">
        <f t="shared" si="0"/>
        <v>0</v>
      </c>
      <c r="E9" s="82">
        <v>0</v>
      </c>
      <c r="F9" s="82">
        <v>0</v>
      </c>
      <c r="G9" s="82">
        <v>0</v>
      </c>
      <c r="H9" s="83">
        <v>0</v>
      </c>
      <c r="K9" s="2">
        <f>SUM(K7:K8)</f>
        <v>66086</v>
      </c>
      <c r="L9" s="2">
        <f>SUM(L7:L8)</f>
        <v>57478</v>
      </c>
      <c r="M9" s="2">
        <f>SUM(M7:M8)</f>
        <v>8608</v>
      </c>
    </row>
    <row r="10" spans="1:15" ht="20.100000000000001" customHeight="1">
      <c r="A10" s="772"/>
      <c r="B10" s="769"/>
      <c r="C10" s="300" t="s">
        <v>169</v>
      </c>
      <c r="D10" s="90">
        <f t="shared" si="0"/>
        <v>0</v>
      </c>
      <c r="E10" s="82">
        <v>0</v>
      </c>
      <c r="F10" s="82">
        <v>0</v>
      </c>
      <c r="G10" s="82">
        <f>+'1.6.6 오수관로 교체및보수'!D58</f>
        <v>0</v>
      </c>
      <c r="H10" s="83">
        <f>+'1.6.6 오수관로 교체및보수'!E58</f>
        <v>0</v>
      </c>
      <c r="K10" s="386">
        <f t="shared" ref="K10:M11" si="1">K7/K$9</f>
        <v>1</v>
      </c>
      <c r="L10" s="386">
        <f t="shared" si="1"/>
        <v>1</v>
      </c>
      <c r="M10" s="386">
        <f t="shared" si="1"/>
        <v>1</v>
      </c>
    </row>
    <row r="11" spans="1:15" ht="20.100000000000001" customHeight="1">
      <c r="A11" s="772"/>
      <c r="B11" s="769"/>
      <c r="C11" s="300" t="s">
        <v>95</v>
      </c>
      <c r="D11" s="90">
        <f t="shared" si="0"/>
        <v>0</v>
      </c>
      <c r="E11" s="82">
        <f>SUM(E9:E10)</f>
        <v>0</v>
      </c>
      <c r="F11" s="82">
        <f>SUM(F9:F10)</f>
        <v>0</v>
      </c>
      <c r="G11" s="82">
        <f>SUM(G9:G10)</f>
        <v>0</v>
      </c>
      <c r="H11" s="83">
        <f>SUM(H9:H10)</f>
        <v>0</v>
      </c>
      <c r="K11" s="386">
        <f t="shared" si="1"/>
        <v>0</v>
      </c>
      <c r="L11" s="386">
        <f t="shared" si="1"/>
        <v>0</v>
      </c>
      <c r="M11" s="386">
        <f t="shared" si="1"/>
        <v>0</v>
      </c>
    </row>
    <row r="12" spans="1:15" ht="20.100000000000001" customHeight="1">
      <c r="A12" s="771" t="s">
        <v>192</v>
      </c>
      <c r="B12" s="769" t="s">
        <v>183</v>
      </c>
      <c r="C12" s="770"/>
      <c r="D12" s="90">
        <f t="shared" si="0"/>
        <v>0</v>
      </c>
      <c r="E12" s="82">
        <f>L4-E8</f>
        <v>0</v>
      </c>
      <c r="F12" s="82">
        <f>M4-F8</f>
        <v>0</v>
      </c>
      <c r="G12" s="82">
        <v>0</v>
      </c>
      <c r="H12" s="83">
        <v>0</v>
      </c>
    </row>
    <row r="13" spans="1:15" ht="20.100000000000001" customHeight="1">
      <c r="A13" s="772"/>
      <c r="B13" s="769" t="s">
        <v>180</v>
      </c>
      <c r="C13" s="300" t="s">
        <v>168</v>
      </c>
      <c r="D13" s="90">
        <f t="shared" si="0"/>
        <v>0</v>
      </c>
      <c r="E13" s="82">
        <v>0</v>
      </c>
      <c r="F13" s="82">
        <v>0</v>
      </c>
      <c r="G13" s="82">
        <v>0</v>
      </c>
      <c r="H13" s="83">
        <v>0</v>
      </c>
    </row>
    <row r="14" spans="1:15" ht="20.100000000000001" customHeight="1">
      <c r="A14" s="772"/>
      <c r="B14" s="769"/>
      <c r="C14" s="300" t="s">
        <v>169</v>
      </c>
      <c r="D14" s="90">
        <f t="shared" si="0"/>
        <v>0</v>
      </c>
      <c r="E14" s="82">
        <v>0</v>
      </c>
      <c r="F14" s="82">
        <v>0</v>
      </c>
      <c r="G14" s="82">
        <v>0</v>
      </c>
      <c r="H14" s="83">
        <v>0</v>
      </c>
    </row>
    <row r="15" spans="1:15" ht="20.100000000000001" customHeight="1">
      <c r="A15" s="772"/>
      <c r="B15" s="769"/>
      <c r="C15" s="300" t="s">
        <v>95</v>
      </c>
      <c r="D15" s="90">
        <f t="shared" si="0"/>
        <v>0</v>
      </c>
      <c r="E15" s="82">
        <f>SUM(E13:E14)</f>
        <v>0</v>
      </c>
      <c r="F15" s="82">
        <f>SUM(F13:F14)</f>
        <v>0</v>
      </c>
      <c r="G15" s="82">
        <f>SUM(G13:G14)</f>
        <v>0</v>
      </c>
      <c r="H15" s="83">
        <f>SUM(H13:H14)</f>
        <v>0</v>
      </c>
    </row>
    <row r="16" spans="1:15" ht="20.100000000000001" customHeight="1">
      <c r="A16" s="773" t="s">
        <v>177</v>
      </c>
      <c r="B16" s="774" t="s">
        <v>178</v>
      </c>
      <c r="C16" s="775"/>
      <c r="D16" s="89">
        <f>SUM(E16:H16)</f>
        <v>8552.5424630755861</v>
      </c>
      <c r="E16" s="87">
        <f>G23+(G32+G33)*M22</f>
        <v>8552.5424630755861</v>
      </c>
      <c r="F16" s="87"/>
      <c r="G16" s="87"/>
      <c r="H16" s="88">
        <v>0</v>
      </c>
    </row>
    <row r="17" spans="1:16" ht="20.100000000000001" customHeight="1">
      <c r="A17" s="772"/>
      <c r="B17" s="769" t="s">
        <v>179</v>
      </c>
      <c r="C17" s="770"/>
      <c r="D17" s="90">
        <f>SUM(E17:H17)</f>
        <v>0</v>
      </c>
      <c r="E17" s="82">
        <f>+'1.6.3 공공하수처리시설 기능정상화'!B56</f>
        <v>0</v>
      </c>
      <c r="F17" s="82">
        <f>+'1.6.3 공공하수처리시설 기능정상화'!C56</f>
        <v>0</v>
      </c>
      <c r="G17" s="82">
        <f>+'1.6.3 공공하수처리시설 기능정상화'!D56</f>
        <v>0</v>
      </c>
      <c r="H17" s="83">
        <f>+'1.6.3 공공하수처리시설 기능정상화'!E56</f>
        <v>0</v>
      </c>
    </row>
    <row r="18" spans="1:16" ht="20.100000000000001" customHeight="1">
      <c r="A18" s="301" t="s">
        <v>184</v>
      </c>
      <c r="B18" s="769" t="s">
        <v>185</v>
      </c>
      <c r="C18" s="770"/>
      <c r="D18" s="90">
        <f t="shared" si="0"/>
        <v>0</v>
      </c>
      <c r="E18" s="82">
        <v>0</v>
      </c>
      <c r="F18" s="82">
        <v>0</v>
      </c>
      <c r="G18" s="82">
        <f>+'1.6.8 하수저류시설'!D55</f>
        <v>0</v>
      </c>
      <c r="H18" s="83">
        <f>+'1.6.8 하수저류시설'!E55</f>
        <v>0</v>
      </c>
    </row>
    <row r="19" spans="1:16" ht="20.100000000000001" customHeight="1">
      <c r="A19" s="766" t="s">
        <v>95</v>
      </c>
      <c r="B19" s="767"/>
      <c r="C19" s="768"/>
      <c r="D19" s="91">
        <f t="shared" si="0"/>
        <v>31623</v>
      </c>
      <c r="E19" s="85">
        <f>+E16+E17+E7+E8+E11+E12+E15+E18</f>
        <v>31623</v>
      </c>
      <c r="F19" s="85">
        <f>+F16+F17+F7+F8+F11+F12+F15+F18</f>
        <v>0</v>
      </c>
      <c r="G19" s="85">
        <f>+G16+G17+G7+G8+G11+G12+G15+G18</f>
        <v>0</v>
      </c>
      <c r="H19" s="86">
        <f>+H16+H17+H7+H8+H11+H12+H15+H18</f>
        <v>0</v>
      </c>
    </row>
    <row r="20" spans="1:16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16" ht="20.100000000000001" customHeight="1">
      <c r="A21" s="692" t="s">
        <v>904</v>
      </c>
      <c r="B21" s="695" t="s">
        <v>902</v>
      </c>
      <c r="C21" s="696"/>
      <c r="D21" s="696"/>
      <c r="E21" s="697"/>
      <c r="F21" s="437">
        <f>'총괄(출력x)'!F268</f>
        <v>31623</v>
      </c>
      <c r="G21" s="438">
        <f>'총괄(출력x)'!G268</f>
        <v>31623</v>
      </c>
      <c r="H21" s="438">
        <f>'총괄(출력x)'!H268</f>
        <v>0</v>
      </c>
      <c r="I21" s="438">
        <f>'총괄(출력x)'!I268</f>
        <v>0</v>
      </c>
      <c r="J21" s="439">
        <f>'총괄(출력x)'!J268</f>
        <v>0</v>
      </c>
    </row>
    <row r="22" spans="1:16" ht="20.100000000000001" customHeight="1">
      <c r="A22" s="693"/>
      <c r="B22" s="700" t="s">
        <v>901</v>
      </c>
      <c r="C22" s="703" t="s">
        <v>871</v>
      </c>
      <c r="D22" s="703"/>
      <c r="E22" s="704"/>
      <c r="F22" s="424">
        <f>'총괄(출력x)'!F269</f>
        <v>27624</v>
      </c>
      <c r="G22" s="425">
        <f>'총괄(출력x)'!G269</f>
        <v>27624</v>
      </c>
      <c r="H22" s="425">
        <f>'총괄(출력x)'!H269</f>
        <v>0</v>
      </c>
      <c r="I22" s="425">
        <f>'총괄(출력x)'!I269</f>
        <v>0</v>
      </c>
      <c r="J22" s="440">
        <f>'총괄(출력x)'!J269</f>
        <v>0</v>
      </c>
      <c r="L22" s="2">
        <f>F23/F$22</f>
        <v>0.27045322907616565</v>
      </c>
      <c r="M22" s="2">
        <f>G23/G$22</f>
        <v>0.27045322907616565</v>
      </c>
      <c r="N22" s="2" t="e">
        <f>H23/H$22</f>
        <v>#DIV/0!</v>
      </c>
      <c r="O22" s="2" t="e">
        <f>I23/I$22</f>
        <v>#DIV/0!</v>
      </c>
      <c r="P22" s="2" t="e">
        <f>J23/J$22</f>
        <v>#DIV/0!</v>
      </c>
    </row>
    <row r="23" spans="1:16" ht="20.100000000000001" customHeight="1">
      <c r="A23" s="693"/>
      <c r="B23" s="701"/>
      <c r="C23" s="705" t="s">
        <v>872</v>
      </c>
      <c r="D23" s="706" t="s">
        <v>873</v>
      </c>
      <c r="E23" s="707"/>
      <c r="F23" s="433">
        <f>'총괄(출력x)'!F270</f>
        <v>7471</v>
      </c>
      <c r="G23" s="429">
        <f>'총괄(출력x)'!G270</f>
        <v>7471</v>
      </c>
      <c r="H23" s="429">
        <f>'총괄(출력x)'!H270</f>
        <v>0</v>
      </c>
      <c r="I23" s="429">
        <f>'총괄(출력x)'!I270</f>
        <v>0</v>
      </c>
      <c r="J23" s="441">
        <f>'총괄(출력x)'!J270</f>
        <v>0</v>
      </c>
      <c r="L23" s="2">
        <f>1-L22</f>
        <v>0.72954677092383435</v>
      </c>
      <c r="M23" s="2">
        <f>1-M22</f>
        <v>0.72954677092383435</v>
      </c>
      <c r="N23" s="2" t="e">
        <f>1-N22</f>
        <v>#DIV/0!</v>
      </c>
      <c r="O23" s="2" t="e">
        <f>1-O22</f>
        <v>#DIV/0!</v>
      </c>
      <c r="P23" s="2" t="e">
        <f>1-P22</f>
        <v>#DIV/0!</v>
      </c>
    </row>
    <row r="24" spans="1:16" ht="20.100000000000001" customHeight="1">
      <c r="A24" s="693"/>
      <c r="B24" s="701"/>
      <c r="C24" s="698"/>
      <c r="D24" s="698" t="s">
        <v>874</v>
      </c>
      <c r="E24" s="699"/>
      <c r="F24" s="414">
        <f>'총괄(출력x)'!F271</f>
        <v>7471</v>
      </c>
      <c r="G24" s="409">
        <f>'총괄(출력x)'!G271</f>
        <v>7471</v>
      </c>
      <c r="H24" s="409">
        <f>'총괄(출력x)'!H271</f>
        <v>0</v>
      </c>
      <c r="I24" s="409">
        <f>'총괄(출력x)'!I271</f>
        <v>0</v>
      </c>
      <c r="J24" s="409">
        <f>'총괄(출력x)'!J271</f>
        <v>0</v>
      </c>
    </row>
    <row r="25" spans="1:16" ht="20.100000000000001" customHeight="1">
      <c r="A25" s="693"/>
      <c r="B25" s="701"/>
      <c r="C25" s="698"/>
      <c r="D25" s="698" t="s">
        <v>875</v>
      </c>
      <c r="E25" s="699"/>
      <c r="F25" s="414">
        <f>'총괄(출력x)'!F272</f>
        <v>0</v>
      </c>
      <c r="G25" s="409">
        <f>'총괄(출력x)'!G272</f>
        <v>0</v>
      </c>
      <c r="H25" s="409">
        <f>'총괄(출력x)'!H272</f>
        <v>0</v>
      </c>
      <c r="I25" s="409">
        <f>'총괄(출력x)'!I272</f>
        <v>0</v>
      </c>
      <c r="J25" s="442">
        <f>'총괄(출력x)'!J272</f>
        <v>0</v>
      </c>
    </row>
    <row r="26" spans="1:16" ht="20.100000000000001" customHeight="1">
      <c r="A26" s="693"/>
      <c r="B26" s="701"/>
      <c r="C26" s="698"/>
      <c r="D26" s="698" t="s">
        <v>876</v>
      </c>
      <c r="E26" s="699"/>
      <c r="F26" s="414">
        <f>'총괄(출력x)'!F273</f>
        <v>0</v>
      </c>
      <c r="G26" s="409">
        <f>'총괄(출력x)'!G273</f>
        <v>0</v>
      </c>
      <c r="H26" s="409">
        <f>'총괄(출력x)'!H273</f>
        <v>0</v>
      </c>
      <c r="I26" s="409">
        <f>'총괄(출력x)'!I273</f>
        <v>0</v>
      </c>
      <c r="J26" s="442">
        <f>'총괄(출력x)'!J273</f>
        <v>0</v>
      </c>
    </row>
    <row r="27" spans="1:16" ht="20.100000000000001" customHeight="1">
      <c r="A27" s="693"/>
      <c r="B27" s="701"/>
      <c r="C27" s="705" t="s">
        <v>877</v>
      </c>
      <c r="D27" s="706" t="s">
        <v>878</v>
      </c>
      <c r="E27" s="707"/>
      <c r="F27" s="433">
        <f>'총괄(출력x)'!F274</f>
        <v>20153</v>
      </c>
      <c r="G27" s="429">
        <f>'총괄(출력x)'!G274</f>
        <v>20153</v>
      </c>
      <c r="H27" s="429">
        <f>'총괄(출력x)'!H274</f>
        <v>0</v>
      </c>
      <c r="I27" s="429">
        <f>'총괄(출력x)'!I274</f>
        <v>0</v>
      </c>
      <c r="J27" s="441">
        <f>'총괄(출력x)'!J274</f>
        <v>0</v>
      </c>
    </row>
    <row r="28" spans="1:16" ht="20.100000000000001" customHeight="1">
      <c r="A28" s="693"/>
      <c r="B28" s="701"/>
      <c r="C28" s="698"/>
      <c r="D28" s="710" t="s">
        <v>868</v>
      </c>
      <c r="E28" s="714"/>
      <c r="F28" s="414">
        <f>'총괄(출력x)'!F275</f>
        <v>17158</v>
      </c>
      <c r="G28" s="409">
        <f>'총괄(출력x)'!G275</f>
        <v>17158</v>
      </c>
      <c r="H28" s="409">
        <f>'총괄(출력x)'!H275</f>
        <v>0</v>
      </c>
      <c r="I28" s="409">
        <f>'총괄(출력x)'!I275</f>
        <v>0</v>
      </c>
      <c r="J28" s="409">
        <f>'총괄(출력x)'!J275</f>
        <v>0</v>
      </c>
    </row>
    <row r="29" spans="1:16" ht="20.100000000000001" customHeight="1">
      <c r="A29" s="693"/>
      <c r="B29" s="701"/>
      <c r="C29" s="698"/>
      <c r="D29" s="698" t="s">
        <v>884</v>
      </c>
      <c r="E29" s="699"/>
      <c r="F29" s="414">
        <f>'총괄(출력x)'!F276</f>
        <v>176</v>
      </c>
      <c r="G29" s="409">
        <f>'총괄(출력x)'!G276</f>
        <v>176</v>
      </c>
      <c r="H29" s="409">
        <f>'총괄(출력x)'!H276</f>
        <v>0</v>
      </c>
      <c r="I29" s="409">
        <f>'총괄(출력x)'!I276</f>
        <v>0</v>
      </c>
      <c r="J29" s="409">
        <f>'총괄(출력x)'!J276</f>
        <v>0</v>
      </c>
    </row>
    <row r="30" spans="1:16" ht="20.100000000000001" customHeight="1">
      <c r="A30" s="693"/>
      <c r="B30" s="701"/>
      <c r="C30" s="698"/>
      <c r="D30" s="698" t="s">
        <v>885</v>
      </c>
      <c r="E30" s="699"/>
      <c r="F30" s="414">
        <f>'총괄(출력x)'!F277</f>
        <v>2819</v>
      </c>
      <c r="G30" s="409">
        <f>'총괄(출력x)'!G277</f>
        <v>2819</v>
      </c>
      <c r="H30" s="409">
        <f>'총괄(출력x)'!H277</f>
        <v>0</v>
      </c>
      <c r="I30" s="409">
        <f>'총괄(출력x)'!I277</f>
        <v>0</v>
      </c>
      <c r="J30" s="442">
        <f>'총괄(출력x)'!J277</f>
        <v>0</v>
      </c>
    </row>
    <row r="31" spans="1:16" ht="20.100000000000001" customHeight="1">
      <c r="A31" s="693"/>
      <c r="B31" s="702"/>
      <c r="C31" s="715" t="s">
        <v>888</v>
      </c>
      <c r="D31" s="715"/>
      <c r="E31" s="716"/>
      <c r="F31" s="435">
        <f>'총괄(출력x)'!F278</f>
        <v>0</v>
      </c>
      <c r="G31" s="409">
        <f>'총괄(출력x)'!G278</f>
        <v>0</v>
      </c>
      <c r="H31" s="409">
        <f>'총괄(출력x)'!H278</f>
        <v>0</v>
      </c>
      <c r="I31" s="409">
        <f>'총괄(출력x)'!I278</f>
        <v>0</v>
      </c>
      <c r="J31" s="442">
        <f>'총괄(출력x)'!J278</f>
        <v>0</v>
      </c>
    </row>
    <row r="32" spans="1:16" ht="20.100000000000001" customHeight="1">
      <c r="A32" s="693"/>
      <c r="B32" s="695" t="s">
        <v>900</v>
      </c>
      <c r="C32" s="696"/>
      <c r="D32" s="696"/>
      <c r="E32" s="697"/>
      <c r="F32" s="421">
        <f>'총괄(출력x)'!F279</f>
        <v>543</v>
      </c>
      <c r="G32" s="422">
        <f>'총괄(출력x)'!G279</f>
        <v>543</v>
      </c>
      <c r="H32" s="422">
        <f>'총괄(출력x)'!H279</f>
        <v>0</v>
      </c>
      <c r="I32" s="422">
        <f>'총괄(출력x)'!I279</f>
        <v>0</v>
      </c>
      <c r="J32" s="443">
        <f>'총괄(출력x)'!J279</f>
        <v>0</v>
      </c>
    </row>
    <row r="33" spans="1:10" ht="20.100000000000001" customHeight="1">
      <c r="A33" s="693"/>
      <c r="B33" s="700" t="s">
        <v>899</v>
      </c>
      <c r="C33" s="717"/>
      <c r="D33" s="703" t="s">
        <v>878</v>
      </c>
      <c r="E33" s="721"/>
      <c r="F33" s="427">
        <f>'총괄(출력x)'!F280</f>
        <v>3456</v>
      </c>
      <c r="G33" s="425">
        <f>'총괄(출력x)'!G280</f>
        <v>3456</v>
      </c>
      <c r="H33" s="425">
        <f>'총괄(출력x)'!H280</f>
        <v>0</v>
      </c>
      <c r="I33" s="425">
        <f>'총괄(출력x)'!I280</f>
        <v>0</v>
      </c>
      <c r="J33" s="426">
        <f>'총괄(출력x)'!J280</f>
        <v>0</v>
      </c>
    </row>
    <row r="34" spans="1:10" ht="20.100000000000001" customHeight="1">
      <c r="A34" s="693"/>
      <c r="B34" s="701"/>
      <c r="C34" s="718"/>
      <c r="D34" s="710" t="s">
        <v>889</v>
      </c>
      <c r="E34" s="711"/>
      <c r="F34" s="408">
        <f>'총괄(출력x)'!F281</f>
        <v>776</v>
      </c>
      <c r="G34" s="409">
        <f>'총괄(출력x)'!G281</f>
        <v>776</v>
      </c>
      <c r="H34" s="409">
        <f>'총괄(출력x)'!H281</f>
        <v>0</v>
      </c>
      <c r="I34" s="409">
        <f>'총괄(출력x)'!I281</f>
        <v>0</v>
      </c>
      <c r="J34" s="410">
        <f>'총괄(출력x)'!J281</f>
        <v>0</v>
      </c>
    </row>
    <row r="35" spans="1:10" ht="20.100000000000001" customHeight="1">
      <c r="A35" s="693"/>
      <c r="B35" s="701"/>
      <c r="C35" s="718"/>
      <c r="D35" s="710" t="s">
        <v>894</v>
      </c>
      <c r="E35" s="711"/>
      <c r="F35" s="408">
        <f>'총괄(출력x)'!F282</f>
        <v>2590</v>
      </c>
      <c r="G35" s="409">
        <f>'총괄(출력x)'!G282</f>
        <v>2590</v>
      </c>
      <c r="H35" s="409">
        <f>'총괄(출력x)'!H282</f>
        <v>0</v>
      </c>
      <c r="I35" s="409">
        <f>'총괄(출력x)'!I282</f>
        <v>0</v>
      </c>
      <c r="J35" s="410">
        <f>'총괄(출력x)'!J282</f>
        <v>0</v>
      </c>
    </row>
    <row r="36" spans="1:10" ht="20.100000000000001" customHeight="1">
      <c r="A36" s="694"/>
      <c r="B36" s="719"/>
      <c r="C36" s="720"/>
      <c r="D36" s="712" t="s">
        <v>895</v>
      </c>
      <c r="E36" s="713"/>
      <c r="F36" s="444">
        <f>'총괄(출력x)'!F283</f>
        <v>90</v>
      </c>
      <c r="G36" s="416">
        <f>'총괄(출력x)'!G283</f>
        <v>90</v>
      </c>
      <c r="H36" s="416">
        <f>'총괄(출력x)'!H283</f>
        <v>0</v>
      </c>
      <c r="I36" s="416">
        <f>'총괄(출력x)'!I283</f>
        <v>0</v>
      </c>
      <c r="J36" s="417">
        <f>'총괄(출력x)'!J283</f>
        <v>0</v>
      </c>
    </row>
    <row r="37" spans="1:10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10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10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10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10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10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10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10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10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10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10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10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35">
    <mergeCell ref="B18:C18"/>
    <mergeCell ref="A19:C19"/>
    <mergeCell ref="A12:A15"/>
    <mergeCell ref="B12:C12"/>
    <mergeCell ref="B13:B15"/>
    <mergeCell ref="A16:A17"/>
    <mergeCell ref="B16:C16"/>
    <mergeCell ref="B17:C17"/>
    <mergeCell ref="A4:C4"/>
    <mergeCell ref="A5:A7"/>
    <mergeCell ref="B5:B7"/>
    <mergeCell ref="A8:A11"/>
    <mergeCell ref="B8:C8"/>
    <mergeCell ref="B9:B11"/>
    <mergeCell ref="A21:A36"/>
    <mergeCell ref="B21:E21"/>
    <mergeCell ref="B22:B31"/>
    <mergeCell ref="C22:E22"/>
    <mergeCell ref="C23:C26"/>
    <mergeCell ref="D23:E23"/>
    <mergeCell ref="D24:E24"/>
    <mergeCell ref="D25:E25"/>
    <mergeCell ref="D26:E26"/>
    <mergeCell ref="C27:C30"/>
    <mergeCell ref="D27:E27"/>
    <mergeCell ref="D28:E28"/>
    <mergeCell ref="D29:E29"/>
    <mergeCell ref="D30:E30"/>
    <mergeCell ref="C31:E31"/>
    <mergeCell ref="B32:E32"/>
    <mergeCell ref="B33:C36"/>
    <mergeCell ref="D33:E33"/>
    <mergeCell ref="D34:E34"/>
    <mergeCell ref="D35:E35"/>
    <mergeCell ref="D36:E36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250</v>
      </c>
      <c r="B1" s="1"/>
      <c r="C1" s="1"/>
      <c r="L1" s="2" t="s">
        <v>99</v>
      </c>
    </row>
    <row r="2" spans="1:19" ht="20.100000000000001" customHeight="1">
      <c r="A2" s="2" t="s">
        <v>63</v>
      </c>
    </row>
    <row r="3" spans="1:19" ht="20.100000000000001" customHeight="1">
      <c r="A3" s="4" t="s">
        <v>243</v>
      </c>
      <c r="B3" s="40"/>
      <c r="C3" s="40"/>
      <c r="L3" s="49" t="s">
        <v>107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130</v>
      </c>
      <c r="L4" s="839" t="s">
        <v>108</v>
      </c>
      <c r="M4" s="839"/>
      <c r="N4" s="56" t="s">
        <v>109</v>
      </c>
      <c r="O4" s="56" t="s">
        <v>110</v>
      </c>
      <c r="P4" s="56" t="s">
        <v>111</v>
      </c>
      <c r="Q4" s="56" t="s">
        <v>137</v>
      </c>
      <c r="R4" s="56" t="s">
        <v>112</v>
      </c>
      <c r="S4" s="56" t="s">
        <v>113</v>
      </c>
    </row>
    <row r="5" spans="1:19" ht="20.100000000000001" customHeight="1">
      <c r="H5" s="8"/>
      <c r="J5" s="8" t="s">
        <v>71</v>
      </c>
      <c r="L5" s="842" t="s">
        <v>114</v>
      </c>
      <c r="M5" s="53" t="s">
        <v>115</v>
      </c>
      <c r="N5" s="54" t="s">
        <v>133</v>
      </c>
      <c r="O5" s="54" t="s">
        <v>116</v>
      </c>
      <c r="P5" s="62">
        <f>ROUND(3*3*4.5,0)</f>
        <v>41</v>
      </c>
      <c r="Q5" s="55">
        <v>9963</v>
      </c>
      <c r="R5" s="55">
        <f>P5*Q5</f>
        <v>408483</v>
      </c>
      <c r="S5" s="61" t="s">
        <v>131</v>
      </c>
    </row>
    <row r="6" spans="1:19" ht="20.100000000000001" customHeight="1">
      <c r="A6" s="783" t="s">
        <v>145</v>
      </c>
      <c r="B6" s="787" t="s">
        <v>103</v>
      </c>
      <c r="C6" s="789" t="s">
        <v>9</v>
      </c>
      <c r="D6" s="781"/>
      <c r="E6" s="781" t="s">
        <v>10</v>
      </c>
      <c r="F6" s="781"/>
      <c r="G6" s="781" t="s">
        <v>11</v>
      </c>
      <c r="H6" s="781"/>
      <c r="I6" s="781" t="s">
        <v>12</v>
      </c>
      <c r="J6" s="782"/>
      <c r="L6" s="842"/>
      <c r="M6" s="53" t="s">
        <v>117</v>
      </c>
      <c r="N6" s="54" t="s">
        <v>134</v>
      </c>
      <c r="O6" s="54" t="s">
        <v>116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132</v>
      </c>
    </row>
    <row r="7" spans="1:19" ht="20.100000000000001" customHeight="1">
      <c r="A7" s="784"/>
      <c r="B7" s="788"/>
      <c r="C7" s="160" t="s">
        <v>104</v>
      </c>
      <c r="D7" s="158" t="s">
        <v>75</v>
      </c>
      <c r="E7" s="157" t="s">
        <v>104</v>
      </c>
      <c r="F7" s="158" t="s">
        <v>75</v>
      </c>
      <c r="G7" s="157" t="s">
        <v>104</v>
      </c>
      <c r="H7" s="158" t="s">
        <v>75</v>
      </c>
      <c r="I7" s="157" t="s">
        <v>104</v>
      </c>
      <c r="J7" s="159" t="s">
        <v>75</v>
      </c>
      <c r="L7" s="843" t="s">
        <v>135</v>
      </c>
      <c r="M7" s="53" t="s">
        <v>118</v>
      </c>
      <c r="N7" s="56" t="s">
        <v>136</v>
      </c>
      <c r="O7" s="54" t="s">
        <v>121</v>
      </c>
      <c r="P7" s="53">
        <v>1</v>
      </c>
      <c r="Q7" s="55">
        <v>3043500</v>
      </c>
      <c r="R7" s="55">
        <f>P7*Q7</f>
        <v>3043500</v>
      </c>
      <c r="S7" s="52" t="s">
        <v>119</v>
      </c>
    </row>
    <row r="8" spans="1:19" ht="20.100000000000001" customHeight="1">
      <c r="A8" s="100" t="s">
        <v>395</v>
      </c>
      <c r="B8" s="156">
        <v>54718426</v>
      </c>
      <c r="C8" s="106">
        <v>0</v>
      </c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42"/>
      <c r="M8" s="53" t="s">
        <v>120</v>
      </c>
      <c r="N8" s="54"/>
      <c r="O8" s="54" t="s">
        <v>121</v>
      </c>
      <c r="P8" s="53">
        <v>1</v>
      </c>
      <c r="Q8" s="55">
        <f>+Q7*0.2</f>
        <v>608700</v>
      </c>
      <c r="R8" s="55">
        <f>P8*Q8</f>
        <v>608700</v>
      </c>
      <c r="S8" s="52" t="s">
        <v>142</v>
      </c>
    </row>
    <row r="9" spans="1:19" ht="20.100000000000001" customHeight="1">
      <c r="A9" s="93"/>
      <c r="B9" s="153"/>
      <c r="C9" s="139">
        <v>0</v>
      </c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122</v>
      </c>
      <c r="M9" s="53" t="s">
        <v>123</v>
      </c>
      <c r="N9" s="54" t="s">
        <v>143</v>
      </c>
      <c r="O9" s="54" t="s">
        <v>124</v>
      </c>
      <c r="P9" s="57">
        <f>3*4</f>
        <v>12</v>
      </c>
      <c r="Q9" s="55">
        <v>500000</v>
      </c>
      <c r="R9" s="55">
        <f>P9*Q9</f>
        <v>6000000</v>
      </c>
      <c r="S9" s="52" t="s">
        <v>125</v>
      </c>
    </row>
    <row r="10" spans="1:19" ht="20.100000000000001" customHeight="1">
      <c r="A10" s="234"/>
      <c r="B10" s="153"/>
      <c r="C10" s="139">
        <v>0</v>
      </c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42" t="s">
        <v>126</v>
      </c>
      <c r="M10" s="842"/>
      <c r="N10" s="842"/>
      <c r="O10" s="54"/>
      <c r="P10" s="58"/>
      <c r="Q10" s="55"/>
      <c r="R10" s="55">
        <f>+ROUND(SUM(R5:R9)*0.5,0)</f>
        <v>5086326</v>
      </c>
      <c r="S10" s="52" t="s">
        <v>127</v>
      </c>
    </row>
    <row r="11" spans="1:19" ht="20.100000000000001" customHeight="1">
      <c r="A11" s="136" t="s">
        <v>95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38" t="s">
        <v>128</v>
      </c>
      <c r="M11" s="838"/>
      <c r="N11" s="838"/>
      <c r="O11" s="54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38" t="s">
        <v>144</v>
      </c>
      <c r="M12" s="838"/>
      <c r="N12" s="838"/>
      <c r="O12" s="54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9" t="s">
        <v>129</v>
      </c>
      <c r="M13" s="839"/>
      <c r="N13" s="839"/>
      <c r="O13" s="56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139</v>
      </c>
    </row>
    <row r="16" spans="1:19" ht="20.100000000000001" hidden="1" customHeight="1">
      <c r="K16" s="9"/>
      <c r="L16" s="2">
        <v>550</v>
      </c>
      <c r="M16" s="2" t="s">
        <v>140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141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138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L10:N10"/>
    <mergeCell ref="L11:N11"/>
    <mergeCell ref="L12:N12"/>
    <mergeCell ref="L13:N13"/>
    <mergeCell ref="L4:M4"/>
    <mergeCell ref="L5:L6"/>
    <mergeCell ref="I6:J6"/>
    <mergeCell ref="L7:L8"/>
    <mergeCell ref="A6:A7"/>
    <mergeCell ref="B6:B7"/>
    <mergeCell ref="C6:D6"/>
    <mergeCell ref="E6:F6"/>
    <mergeCell ref="G6:H6"/>
  </mergeCells>
  <phoneticPr fontId="4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63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1075</v>
      </c>
    </row>
    <row r="2" spans="1:8" ht="20.100000000000001" customHeight="1">
      <c r="A2" s="1" t="s">
        <v>254</v>
      </c>
    </row>
    <row r="3" spans="1:8" ht="20.100000000000001" customHeight="1">
      <c r="A3" s="1"/>
      <c r="H3" s="3" t="s">
        <v>190</v>
      </c>
    </row>
    <row r="4" spans="1:8" ht="20.100000000000001" customHeight="1">
      <c r="A4" s="964" t="s">
        <v>174</v>
      </c>
      <c r="B4" s="965"/>
      <c r="C4" s="966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974" t="s">
        <v>386</v>
      </c>
      <c r="B5" s="944" t="s">
        <v>199</v>
      </c>
      <c r="C5" s="634" t="s">
        <v>178</v>
      </c>
      <c r="D5" s="635">
        <f t="shared" ref="D5:D22" si="0">SUM(E5:H5)</f>
        <v>3680</v>
      </c>
      <c r="E5" s="557">
        <f>'1.9.1 한벌'!B64</f>
        <v>3680</v>
      </c>
      <c r="F5" s="557">
        <f>'1.9.1 한벌'!C64</f>
        <v>0</v>
      </c>
      <c r="G5" s="557">
        <f>'1.9.1 한벌'!D64</f>
        <v>0</v>
      </c>
      <c r="H5" s="558">
        <f>'1.9.1 한벌'!E64</f>
        <v>0</v>
      </c>
    </row>
    <row r="6" spans="1:8" ht="20.100000000000001" customHeight="1">
      <c r="A6" s="772"/>
      <c r="B6" s="970"/>
      <c r="C6" s="655" t="s">
        <v>194</v>
      </c>
      <c r="D6" s="446">
        <f t="shared" si="0"/>
        <v>0</v>
      </c>
      <c r="E6" s="447">
        <v>0</v>
      </c>
      <c r="F6" s="447">
        <v>0</v>
      </c>
      <c r="G6" s="447">
        <v>0</v>
      </c>
      <c r="H6" s="448">
        <v>0</v>
      </c>
    </row>
    <row r="7" spans="1:8" ht="20.100000000000001" customHeight="1">
      <c r="A7" s="772"/>
      <c r="B7" s="769" t="s">
        <v>96</v>
      </c>
      <c r="C7" s="770"/>
      <c r="D7" s="446">
        <f t="shared" si="0"/>
        <v>3680</v>
      </c>
      <c r="E7" s="447">
        <f>SUM(E5:E6)</f>
        <v>3680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2" t="s">
        <v>387</v>
      </c>
      <c r="B8" s="969" t="s">
        <v>199</v>
      </c>
      <c r="C8" s="655" t="s">
        <v>178</v>
      </c>
      <c r="D8" s="446">
        <f t="shared" si="0"/>
        <v>5490</v>
      </c>
      <c r="E8" s="447">
        <f>'1.9.2 사창'!B64</f>
        <v>5490</v>
      </c>
      <c r="F8" s="447">
        <f>'1.9.2 사창'!C64</f>
        <v>0</v>
      </c>
      <c r="G8" s="447">
        <f>'1.9.2 사창'!D64</f>
        <v>0</v>
      </c>
      <c r="H8" s="448">
        <f>'1.9.2 사창'!E64</f>
        <v>0</v>
      </c>
    </row>
    <row r="9" spans="1:8" ht="20.100000000000001" customHeight="1">
      <c r="A9" s="772"/>
      <c r="B9" s="970"/>
      <c r="C9" s="655" t="s">
        <v>194</v>
      </c>
      <c r="D9" s="446">
        <f t="shared" si="0"/>
        <v>0</v>
      </c>
      <c r="E9" s="447">
        <v>0</v>
      </c>
      <c r="F9" s="447">
        <v>0</v>
      </c>
      <c r="G9" s="447">
        <v>0</v>
      </c>
      <c r="H9" s="448">
        <v>0</v>
      </c>
    </row>
    <row r="10" spans="1:8" ht="20.100000000000001" customHeight="1">
      <c r="A10" s="772"/>
      <c r="B10" s="769" t="s">
        <v>96</v>
      </c>
      <c r="C10" s="770"/>
      <c r="D10" s="446">
        <f t="shared" si="0"/>
        <v>5490</v>
      </c>
      <c r="E10" s="447">
        <f>SUM(E8:E9)</f>
        <v>5490</v>
      </c>
      <c r="F10" s="447">
        <f>SUM(F8:F9)</f>
        <v>0</v>
      </c>
      <c r="G10" s="447">
        <f>SUM(G8:G9)</f>
        <v>0</v>
      </c>
      <c r="H10" s="448">
        <f>SUM(H8:H9)</f>
        <v>0</v>
      </c>
    </row>
    <row r="11" spans="1:8" ht="20.100000000000001" customHeight="1">
      <c r="A11" s="772" t="s">
        <v>388</v>
      </c>
      <c r="B11" s="969" t="s">
        <v>199</v>
      </c>
      <c r="C11" s="655" t="s">
        <v>178</v>
      </c>
      <c r="D11" s="446">
        <f t="shared" si="0"/>
        <v>5488</v>
      </c>
      <c r="E11" s="447">
        <f>'1.9.3 소이'!B63</f>
        <v>5488</v>
      </c>
      <c r="F11" s="447">
        <f>'1.9.3 소이'!C63</f>
        <v>0</v>
      </c>
      <c r="G11" s="447">
        <f>'1.9.3 소이'!D63</f>
        <v>0</v>
      </c>
      <c r="H11" s="448">
        <f>'1.9.3 소이'!E63</f>
        <v>0</v>
      </c>
    </row>
    <row r="12" spans="1:8" ht="20.100000000000001" customHeight="1">
      <c r="A12" s="772"/>
      <c r="B12" s="970"/>
      <c r="C12" s="655" t="s">
        <v>194</v>
      </c>
      <c r="D12" s="446">
        <f t="shared" si="0"/>
        <v>0</v>
      </c>
      <c r="E12" s="447"/>
      <c r="F12" s="447"/>
      <c r="G12" s="447"/>
      <c r="H12" s="448"/>
    </row>
    <row r="13" spans="1:8" ht="20.100000000000001" customHeight="1">
      <c r="A13" s="772"/>
      <c r="B13" s="769" t="s">
        <v>96</v>
      </c>
      <c r="C13" s="770"/>
      <c r="D13" s="446">
        <f t="shared" si="0"/>
        <v>5488</v>
      </c>
      <c r="E13" s="447">
        <f>SUM(E11:E12)</f>
        <v>5488</v>
      </c>
      <c r="F13" s="447">
        <f>SUM(F11:F12)</f>
        <v>0</v>
      </c>
      <c r="G13" s="447">
        <f>SUM(G11:G12)</f>
        <v>0</v>
      </c>
      <c r="H13" s="448">
        <f>SUM(H11:H12)</f>
        <v>0</v>
      </c>
    </row>
    <row r="14" spans="1:8" ht="20.100000000000001" customHeight="1">
      <c r="A14" s="772" t="s">
        <v>389</v>
      </c>
      <c r="B14" s="969" t="s">
        <v>199</v>
      </c>
      <c r="C14" s="655" t="s">
        <v>178</v>
      </c>
      <c r="D14" s="446">
        <f t="shared" si="0"/>
        <v>5680</v>
      </c>
      <c r="E14" s="447">
        <f>'1.9.4 원남'!B63</f>
        <v>5680</v>
      </c>
      <c r="F14" s="447">
        <f>'1.9.4 원남'!C63</f>
        <v>0</v>
      </c>
      <c r="G14" s="447">
        <f>'1.9.4 원남'!D63</f>
        <v>0</v>
      </c>
      <c r="H14" s="448">
        <f>'1.9.4 원남'!E63</f>
        <v>0</v>
      </c>
    </row>
    <row r="15" spans="1:8" ht="20.100000000000001" customHeight="1">
      <c r="A15" s="772"/>
      <c r="B15" s="970"/>
      <c r="C15" s="655" t="s">
        <v>194</v>
      </c>
      <c r="D15" s="446">
        <f t="shared" si="0"/>
        <v>0</v>
      </c>
      <c r="E15" s="447">
        <v>0</v>
      </c>
      <c r="F15" s="447">
        <v>0</v>
      </c>
      <c r="G15" s="447">
        <v>0</v>
      </c>
      <c r="H15" s="448">
        <v>0</v>
      </c>
    </row>
    <row r="16" spans="1:8" ht="20.100000000000001" customHeight="1">
      <c r="A16" s="772"/>
      <c r="B16" s="769" t="s">
        <v>96</v>
      </c>
      <c r="C16" s="770"/>
      <c r="D16" s="446">
        <f t="shared" si="0"/>
        <v>5680</v>
      </c>
      <c r="E16" s="447">
        <f>SUM(E14:E15)</f>
        <v>5680</v>
      </c>
      <c r="F16" s="447">
        <f>SUM(F14:F15)</f>
        <v>0</v>
      </c>
      <c r="G16" s="447">
        <f>SUM(G14:G15)</f>
        <v>0</v>
      </c>
      <c r="H16" s="448">
        <f>SUM(H14:H15)</f>
        <v>0</v>
      </c>
    </row>
    <row r="17" spans="1:8" ht="20.100000000000001" customHeight="1">
      <c r="A17" s="772" t="s">
        <v>390</v>
      </c>
      <c r="B17" s="969" t="s">
        <v>199</v>
      </c>
      <c r="C17" s="655" t="s">
        <v>178</v>
      </c>
      <c r="D17" s="446">
        <f t="shared" si="0"/>
        <v>7027</v>
      </c>
      <c r="E17" s="447">
        <f>'1.9.5 주천'!B64</f>
        <v>7027</v>
      </c>
      <c r="F17" s="447">
        <f>'1.9.5 주천'!C64</f>
        <v>0</v>
      </c>
      <c r="G17" s="447">
        <f>'1.9.5 주천'!D64</f>
        <v>0</v>
      </c>
      <c r="H17" s="448">
        <f>'1.9.5 주천'!E64</f>
        <v>0</v>
      </c>
    </row>
    <row r="18" spans="1:8" ht="20.100000000000001" customHeight="1">
      <c r="A18" s="772"/>
      <c r="B18" s="970"/>
      <c r="C18" s="655" t="s">
        <v>194</v>
      </c>
      <c r="D18" s="446">
        <f t="shared" si="0"/>
        <v>0</v>
      </c>
      <c r="E18" s="447"/>
      <c r="F18" s="447"/>
      <c r="G18" s="447"/>
      <c r="H18" s="448"/>
    </row>
    <row r="19" spans="1:8" ht="20.100000000000001" customHeight="1">
      <c r="A19" s="772"/>
      <c r="B19" s="769" t="s">
        <v>96</v>
      </c>
      <c r="C19" s="770"/>
      <c r="D19" s="446">
        <f t="shared" si="0"/>
        <v>7027</v>
      </c>
      <c r="E19" s="447">
        <f>SUM(E17:E18)</f>
        <v>7027</v>
      </c>
      <c r="F19" s="447">
        <f>SUM(F17:F18)</f>
        <v>0</v>
      </c>
      <c r="G19" s="447">
        <f>SUM(G17:G18)</f>
        <v>0</v>
      </c>
      <c r="H19" s="448">
        <f>SUM(H17:H18)</f>
        <v>0</v>
      </c>
    </row>
    <row r="20" spans="1:8" ht="20.100000000000001" customHeight="1">
      <c r="A20" s="772" t="s">
        <v>1058</v>
      </c>
      <c r="B20" s="969" t="s">
        <v>199</v>
      </c>
      <c r="C20" s="655" t="s">
        <v>178</v>
      </c>
      <c r="D20" s="446">
        <f t="shared" si="0"/>
        <v>4258</v>
      </c>
      <c r="E20" s="447">
        <f>'1.9.7 본대'!B64</f>
        <v>4258</v>
      </c>
      <c r="F20" s="447">
        <f>'1.9.7 본대'!C64</f>
        <v>0</v>
      </c>
      <c r="G20" s="447">
        <f>'1.9.7 본대'!D64</f>
        <v>0</v>
      </c>
      <c r="H20" s="448">
        <f>'1.9.7 본대'!E64</f>
        <v>0</v>
      </c>
    </row>
    <row r="21" spans="1:8" ht="20.100000000000001" customHeight="1">
      <c r="A21" s="772"/>
      <c r="B21" s="970"/>
      <c r="C21" s="655" t="s">
        <v>194</v>
      </c>
      <c r="D21" s="446">
        <f t="shared" si="0"/>
        <v>0</v>
      </c>
      <c r="E21" s="447">
        <v>0</v>
      </c>
      <c r="F21" s="447">
        <v>0</v>
      </c>
      <c r="G21" s="447">
        <v>0</v>
      </c>
      <c r="H21" s="448">
        <v>0</v>
      </c>
    </row>
    <row r="22" spans="1:8" ht="20.100000000000001" customHeight="1">
      <c r="A22" s="772"/>
      <c r="B22" s="769" t="s">
        <v>96</v>
      </c>
      <c r="C22" s="770"/>
      <c r="D22" s="446">
        <f t="shared" si="0"/>
        <v>4258</v>
      </c>
      <c r="E22" s="447">
        <f>SUM(E20:E21)</f>
        <v>4258</v>
      </c>
      <c r="F22" s="447">
        <f>SUM(F20:F21)</f>
        <v>0</v>
      </c>
      <c r="G22" s="447">
        <f>SUM(G20:G21)</f>
        <v>0</v>
      </c>
      <c r="H22" s="448">
        <f>SUM(H20:H21)</f>
        <v>0</v>
      </c>
    </row>
    <row r="23" spans="1:8" ht="20.100000000000001" customHeight="1">
      <c r="A23" s="772" t="s">
        <v>835</v>
      </c>
      <c r="B23" s="969" t="s">
        <v>199</v>
      </c>
      <c r="C23" s="655" t="s">
        <v>178</v>
      </c>
      <c r="D23" s="446">
        <f t="shared" ref="D23:D25" si="1">SUM(E23:H23)</f>
        <v>31623</v>
      </c>
      <c r="E23" s="447">
        <f>E5+E8+E11+E14+E17+E20</f>
        <v>31623</v>
      </c>
      <c r="F23" s="447">
        <f t="shared" ref="F23:H23" si="2">F5+F8+F11+F14+F17+F20</f>
        <v>0</v>
      </c>
      <c r="G23" s="447">
        <f t="shared" si="2"/>
        <v>0</v>
      </c>
      <c r="H23" s="448">
        <f t="shared" si="2"/>
        <v>0</v>
      </c>
    </row>
    <row r="24" spans="1:8" ht="20.100000000000001" customHeight="1">
      <c r="A24" s="772"/>
      <c r="B24" s="970"/>
      <c r="C24" s="655" t="s">
        <v>194</v>
      </c>
      <c r="D24" s="446">
        <f t="shared" si="1"/>
        <v>0</v>
      </c>
      <c r="E24" s="447">
        <f t="shared" ref="E24:H24" si="3">E6+E9+E12+E15+E18+E21</f>
        <v>0</v>
      </c>
      <c r="F24" s="447">
        <f t="shared" si="3"/>
        <v>0</v>
      </c>
      <c r="G24" s="447">
        <f t="shared" si="3"/>
        <v>0</v>
      </c>
      <c r="H24" s="448">
        <f t="shared" si="3"/>
        <v>0</v>
      </c>
    </row>
    <row r="25" spans="1:8" ht="20.100000000000001" customHeight="1">
      <c r="A25" s="975"/>
      <c r="B25" s="967" t="s">
        <v>96</v>
      </c>
      <c r="C25" s="968"/>
      <c r="D25" s="686">
        <f t="shared" si="1"/>
        <v>31623</v>
      </c>
      <c r="E25" s="455">
        <f t="shared" ref="E25:H25" si="4">E7+E10+E13+E16+E19+E22</f>
        <v>31623</v>
      </c>
      <c r="F25" s="455">
        <f t="shared" si="4"/>
        <v>0</v>
      </c>
      <c r="G25" s="455">
        <f t="shared" si="4"/>
        <v>0</v>
      </c>
      <c r="H25" s="456">
        <f t="shared" si="4"/>
        <v>0</v>
      </c>
    </row>
    <row r="26" spans="1:8" ht="20.100000000000001" customHeight="1">
      <c r="A26" s="971" t="s">
        <v>95</v>
      </c>
      <c r="B26" s="972"/>
      <c r="C26" s="973"/>
      <c r="D26" s="687">
        <f>D25</f>
        <v>31623</v>
      </c>
      <c r="E26" s="688">
        <f t="shared" ref="E26:H26" si="5">E25</f>
        <v>31623</v>
      </c>
      <c r="F26" s="688">
        <f t="shared" si="5"/>
        <v>0</v>
      </c>
      <c r="G26" s="688">
        <f t="shared" si="5"/>
        <v>0</v>
      </c>
      <c r="H26" s="689">
        <f t="shared" si="5"/>
        <v>0</v>
      </c>
    </row>
    <row r="27" spans="1:8" ht="29.1" customHeight="1">
      <c r="A27" s="69"/>
      <c r="B27" s="68"/>
      <c r="C27" s="68"/>
      <c r="D27" s="68"/>
      <c r="E27" s="68"/>
      <c r="F27" s="68"/>
      <c r="G27" s="68"/>
      <c r="H27" s="68"/>
    </row>
    <row r="28" spans="1:8" ht="29.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  <row r="56" spans="1:8" ht="20.100000000000001" customHeight="1">
      <c r="A56" s="69"/>
      <c r="B56" s="68"/>
      <c r="C56" s="68"/>
      <c r="D56" s="68"/>
      <c r="E56" s="68"/>
      <c r="F56" s="68"/>
      <c r="G56" s="68"/>
      <c r="H56" s="68"/>
    </row>
    <row r="57" spans="1:8" ht="20.100000000000001" customHeight="1">
      <c r="A57" s="69"/>
      <c r="B57" s="68"/>
      <c r="C57" s="68"/>
      <c r="D57" s="68"/>
      <c r="E57" s="68"/>
      <c r="F57" s="68"/>
      <c r="G57" s="68"/>
      <c r="H57" s="68"/>
    </row>
    <row r="58" spans="1:8" ht="20.100000000000001" customHeight="1">
      <c r="A58" s="69"/>
      <c r="B58" s="68"/>
      <c r="C58" s="68"/>
      <c r="D58" s="68"/>
      <c r="E58" s="68"/>
      <c r="F58" s="68"/>
      <c r="G58" s="68"/>
      <c r="H58" s="68"/>
    </row>
    <row r="59" spans="1:8" ht="20.100000000000001" customHeight="1">
      <c r="A59" s="69"/>
      <c r="B59" s="68"/>
      <c r="C59" s="68"/>
      <c r="D59" s="68"/>
      <c r="E59" s="68"/>
      <c r="F59" s="68"/>
      <c r="G59" s="68"/>
      <c r="H59" s="68"/>
    </row>
    <row r="60" spans="1:8" ht="20.100000000000001" customHeight="1">
      <c r="A60" s="69"/>
      <c r="B60" s="68"/>
      <c r="C60" s="68"/>
      <c r="D60" s="68"/>
      <c r="E60" s="68"/>
      <c r="F60" s="68"/>
      <c r="G60" s="68"/>
      <c r="H60" s="68"/>
    </row>
    <row r="61" spans="1:8" ht="20.100000000000001" customHeight="1">
      <c r="A61" s="69"/>
      <c r="B61" s="68"/>
      <c r="C61" s="68"/>
      <c r="D61" s="68"/>
      <c r="E61" s="68"/>
      <c r="F61" s="68"/>
      <c r="G61" s="68"/>
      <c r="H61" s="68"/>
    </row>
    <row r="62" spans="1:8" ht="20.100000000000001" customHeight="1"/>
    <row r="63" spans="1:8" ht="20.100000000000001" customHeight="1"/>
  </sheetData>
  <mergeCells count="23">
    <mergeCell ref="A26:C26"/>
    <mergeCell ref="B5:B6"/>
    <mergeCell ref="B7:C7"/>
    <mergeCell ref="A5:A7"/>
    <mergeCell ref="A23:A25"/>
    <mergeCell ref="B23:B24"/>
    <mergeCell ref="A20:A22"/>
    <mergeCell ref="B20:B21"/>
    <mergeCell ref="B22:C22"/>
    <mergeCell ref="A4:C4"/>
    <mergeCell ref="B25:C25"/>
    <mergeCell ref="A8:A10"/>
    <mergeCell ref="B8:B9"/>
    <mergeCell ref="B10:C10"/>
    <mergeCell ref="A11:A13"/>
    <mergeCell ref="B11:B12"/>
    <mergeCell ref="B13:C13"/>
    <mergeCell ref="A17:A19"/>
    <mergeCell ref="B17:B18"/>
    <mergeCell ref="B19:C19"/>
    <mergeCell ref="A14:A16"/>
    <mergeCell ref="B14:B15"/>
    <mergeCell ref="B16:C1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976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+'가.공사비산출(한벌)'!D13</f>
        <v>739</v>
      </c>
      <c r="C5" s="101">
        <v>0</v>
      </c>
      <c r="D5" s="101">
        <v>0</v>
      </c>
      <c r="E5" s="101">
        <v>0</v>
      </c>
      <c r="F5" s="102">
        <f>B5*$G$59</f>
        <v>876.69890393294645</v>
      </c>
      <c r="G5" s="608">
        <f>F5+F8</f>
        <v>981.09606705351382</v>
      </c>
    </row>
    <row r="6" spans="1:16" ht="23.1" customHeight="1">
      <c r="A6" s="110" t="s">
        <v>986</v>
      </c>
      <c r="B6" s="107">
        <f>+'가.공사비산출(한벌)'!E21</f>
        <v>1836</v>
      </c>
      <c r="C6" s="96">
        <v>0</v>
      </c>
      <c r="D6" s="96">
        <v>0</v>
      </c>
      <c r="E6" s="96">
        <v>0</v>
      </c>
      <c r="F6" s="102">
        <f>B6*$G$59</f>
        <v>2178.1044487427466</v>
      </c>
      <c r="G6" s="608">
        <f>F6+F7</f>
        <v>2698.9039329464863</v>
      </c>
    </row>
    <row r="7" spans="1:16" ht="23.1" customHeight="1">
      <c r="A7" s="110" t="s">
        <v>987</v>
      </c>
      <c r="B7" s="107">
        <f>+'가.공사비산출(한벌)'!E27</f>
        <v>439</v>
      </c>
      <c r="C7" s="96">
        <v>0</v>
      </c>
      <c r="D7" s="96">
        <v>0</v>
      </c>
      <c r="E7" s="96">
        <v>0</v>
      </c>
      <c r="F7" s="102">
        <f>B7*$G$59</f>
        <v>520.79948420373955</v>
      </c>
      <c r="G7" s="5"/>
    </row>
    <row r="8" spans="1:16" ht="23.1" customHeight="1">
      <c r="A8" s="436" t="s">
        <v>988</v>
      </c>
      <c r="B8" s="107">
        <f>+'가.공사비산출(한벌)'!E33</f>
        <v>88</v>
      </c>
      <c r="C8" s="96">
        <v>0</v>
      </c>
      <c r="D8" s="96">
        <v>0</v>
      </c>
      <c r="E8" s="96">
        <v>0</v>
      </c>
      <c r="F8" s="102">
        <f>B8*$G$59</f>
        <v>104.39716312056737</v>
      </c>
      <c r="G8" s="5"/>
    </row>
    <row r="9" spans="1:16" ht="23.1" customHeight="1">
      <c r="A9" s="111" t="s">
        <v>989</v>
      </c>
      <c r="B9" s="108">
        <f>SUM(B5:B8)</f>
        <v>3102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3102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+H21</f>
        <v>3000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+H22</f>
        <v>5000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+I21+J21</f>
        <v>4.7200000000000006E-2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+I22+J22</f>
        <v>4.6299999999999994E-2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4.7154100000000004E-2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146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3102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291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3102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3000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5000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+L21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+L22</f>
        <v>2.7000000000000001E-3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3.5540999999999997E-3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11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1390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31100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93300</v>
      </c>
      <c r="C53" s="96">
        <v>0</v>
      </c>
      <c r="D53" s="96">
        <v>0</v>
      </c>
      <c r="E53" s="96">
        <v>0</v>
      </c>
      <c r="F53" s="113"/>
    </row>
    <row r="54" spans="1:7" ht="21.95" customHeight="1">
      <c r="A54" s="189" t="s">
        <v>1016</v>
      </c>
      <c r="B54" s="188">
        <f>+ROUND(B51*B53/1000000,0)</f>
        <v>130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3102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1.1863313990973565</v>
      </c>
    </row>
    <row r="60" spans="1:7" ht="21.95" customHeight="1">
      <c r="A60" s="132" t="s">
        <v>1001</v>
      </c>
      <c r="B60" s="129">
        <f>+B20</f>
        <v>146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291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11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130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3680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topLeftCell="A7" zoomScale="115" zoomScaleNormal="100" zoomScaleSheetLayoutView="115" workbookViewId="0"/>
    <sheetView workbookViewId="1"/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8" t="s">
        <v>64</v>
      </c>
      <c r="N3" s="978" t="s">
        <v>1022</v>
      </c>
      <c r="O3" s="978" t="s">
        <v>66</v>
      </c>
      <c r="P3" s="978"/>
      <c r="Q3" s="1012" t="s">
        <v>64</v>
      </c>
      <c r="R3" s="978" t="s">
        <v>1022</v>
      </c>
      <c r="S3" s="978" t="s">
        <v>66</v>
      </c>
      <c r="T3" s="978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8"/>
      <c r="N4" s="978"/>
      <c r="O4" s="592" t="s">
        <v>67</v>
      </c>
      <c r="P4" s="592" t="s">
        <v>68</v>
      </c>
      <c r="Q4" s="1012"/>
      <c r="R4" s="978"/>
      <c r="S4" s="592" t="s">
        <v>67</v>
      </c>
      <c r="T4" s="59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8" t="s">
        <v>69</v>
      </c>
      <c r="N5" s="592">
        <v>300</v>
      </c>
      <c r="O5" s="609">
        <v>512740</v>
      </c>
      <c r="P5" s="609">
        <v>782541</v>
      </c>
      <c r="Q5" s="993" t="s">
        <v>70</v>
      </c>
      <c r="R5" s="59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8"/>
      <c r="N6" s="592">
        <v>400</v>
      </c>
      <c r="O6" s="609">
        <v>580188</v>
      </c>
      <c r="P6" s="609">
        <v>859007</v>
      </c>
      <c r="Q6" s="994"/>
      <c r="R6" s="59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8"/>
      <c r="N7" s="592">
        <v>500</v>
      </c>
      <c r="O7" s="609">
        <v>624861</v>
      </c>
      <c r="P7" s="609">
        <v>912820</v>
      </c>
      <c r="Q7" s="994"/>
      <c r="R7" s="59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8"/>
      <c r="N8" s="592">
        <v>600</v>
      </c>
      <c r="O8" s="609">
        <v>705821</v>
      </c>
      <c r="P8" s="609">
        <v>1016585</v>
      </c>
      <c r="Q8" s="994"/>
      <c r="R8" s="59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8"/>
      <c r="N9" s="592">
        <v>700</v>
      </c>
      <c r="O9" s="609">
        <v>782918</v>
      </c>
      <c r="P9" s="609">
        <v>1102578</v>
      </c>
      <c r="Q9" s="994"/>
      <c r="R9" s="59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8"/>
      <c r="N10" s="592">
        <v>800</v>
      </c>
      <c r="O10" s="609">
        <v>854676</v>
      </c>
      <c r="P10" s="609">
        <v>1183365</v>
      </c>
      <c r="Q10" s="994"/>
      <c r="R10" s="592">
        <v>400</v>
      </c>
      <c r="S10" s="609">
        <v>348039</v>
      </c>
      <c r="T10" s="609">
        <v>606519</v>
      </c>
    </row>
    <row r="11" spans="1:20" ht="20.100000000000001" customHeight="1">
      <c r="A11" s="996" t="s">
        <v>1028</v>
      </c>
      <c r="B11" s="997"/>
      <c r="C11" s="998"/>
      <c r="D11" s="999" t="s">
        <v>980</v>
      </c>
      <c r="E11" s="1000"/>
      <c r="F11" s="1000" t="s">
        <v>981</v>
      </c>
      <c r="G11" s="1000"/>
      <c r="H11" s="1000" t="s">
        <v>982</v>
      </c>
      <c r="I11" s="1000"/>
      <c r="J11" s="1000" t="s">
        <v>983</v>
      </c>
      <c r="K11" s="1001"/>
      <c r="L11" s="493"/>
      <c r="M11" s="978"/>
      <c r="N11" s="592">
        <v>900</v>
      </c>
      <c r="O11" s="609">
        <v>945775</v>
      </c>
      <c r="P11" s="609">
        <v>1283451</v>
      </c>
      <c r="Q11" s="994"/>
      <c r="R11" s="592">
        <v>500</v>
      </c>
      <c r="S11" s="609">
        <v>453129</v>
      </c>
      <c r="T11" s="609">
        <v>724142</v>
      </c>
    </row>
    <row r="12" spans="1:20" ht="20.100000000000001" customHeight="1">
      <c r="A12" s="1002" t="s">
        <v>1029</v>
      </c>
      <c r="B12" s="1003"/>
      <c r="C12" s="1004"/>
      <c r="D12" s="1005">
        <v>60</v>
      </c>
      <c r="E12" s="1006"/>
      <c r="F12" s="1006">
        <v>0</v>
      </c>
      <c r="G12" s="1006"/>
      <c r="H12" s="1006">
        <v>0</v>
      </c>
      <c r="I12" s="1006"/>
      <c r="J12" s="1006">
        <v>0</v>
      </c>
      <c r="K12" s="1007"/>
      <c r="L12" s="493"/>
      <c r="M12" s="978"/>
      <c r="N12" s="592">
        <v>1000</v>
      </c>
      <c r="O12" s="609">
        <v>1051853</v>
      </c>
      <c r="P12" s="609">
        <v>1398649</v>
      </c>
      <c r="Q12" s="994"/>
      <c r="R12" s="592">
        <v>600</v>
      </c>
      <c r="S12" s="609">
        <v>563069</v>
      </c>
      <c r="T12" s="609">
        <v>846789</v>
      </c>
    </row>
    <row r="13" spans="1:20" ht="20.100000000000001" customHeight="1">
      <c r="A13" s="1008" t="s">
        <v>1030</v>
      </c>
      <c r="B13" s="1009"/>
      <c r="C13" s="1010"/>
      <c r="D13" s="1011">
        <f>+ROUND(35.616*D12^0.7408,0)</f>
        <v>739</v>
      </c>
      <c r="E13" s="987"/>
      <c r="F13" s="987">
        <f>+ROUND(35.616*F12^0.7408,0)</f>
        <v>0</v>
      </c>
      <c r="G13" s="987"/>
      <c r="H13" s="987">
        <f>+ROUND(35.616*H12^0.7408,0)</f>
        <v>0</v>
      </c>
      <c r="I13" s="987"/>
      <c r="J13" s="987">
        <f>+ROUND(35.616*J12^0.7408,0)</f>
        <v>0</v>
      </c>
      <c r="K13" s="988"/>
      <c r="L13" s="493"/>
      <c r="M13" s="978"/>
      <c r="N13" s="592">
        <v>1100</v>
      </c>
      <c r="O13" s="609">
        <v>1188358</v>
      </c>
      <c r="P13" s="609">
        <v>1557399</v>
      </c>
      <c r="Q13" s="994"/>
      <c r="R13" s="59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8"/>
      <c r="N14" s="592">
        <v>1200</v>
      </c>
      <c r="O14" s="609">
        <v>1313909</v>
      </c>
      <c r="P14" s="609">
        <v>1691805</v>
      </c>
      <c r="Q14" s="995"/>
      <c r="R14" s="59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8"/>
      <c r="N15" s="59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8" t="s">
        <v>76</v>
      </c>
      <c r="N16" s="592">
        <v>300</v>
      </c>
      <c r="O16" s="609">
        <v>707247</v>
      </c>
      <c r="P16" s="609">
        <v>977038</v>
      </c>
    </row>
    <row r="17" spans="1:16" ht="20.100000000000001" customHeight="1">
      <c r="A17" s="979" t="s">
        <v>979</v>
      </c>
      <c r="B17" s="989" t="s">
        <v>1032</v>
      </c>
      <c r="C17" s="983" t="s">
        <v>1033</v>
      </c>
      <c r="D17" s="985" t="s">
        <v>980</v>
      </c>
      <c r="E17" s="980"/>
      <c r="F17" s="980" t="s">
        <v>981</v>
      </c>
      <c r="G17" s="980"/>
      <c r="H17" s="980" t="s">
        <v>982</v>
      </c>
      <c r="I17" s="980"/>
      <c r="J17" s="980" t="s">
        <v>983</v>
      </c>
      <c r="K17" s="986"/>
      <c r="L17" s="493"/>
      <c r="M17" s="978"/>
      <c r="N17" s="592">
        <v>400</v>
      </c>
      <c r="O17" s="609">
        <v>827275</v>
      </c>
      <c r="P17" s="609">
        <v>1106094</v>
      </c>
    </row>
    <row r="18" spans="1:16" ht="20.100000000000001" customHeight="1">
      <c r="A18" s="981"/>
      <c r="B18" s="990"/>
      <c r="C18" s="98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8"/>
      <c r="N18" s="592">
        <v>500</v>
      </c>
      <c r="O18" s="609">
        <v>935411</v>
      </c>
      <c r="P18" s="609">
        <v>1223371</v>
      </c>
    </row>
    <row r="19" spans="1:16" ht="20.100000000000001" customHeight="1">
      <c r="A19" s="991" t="s">
        <v>989</v>
      </c>
      <c r="B19" s="496">
        <v>80</v>
      </c>
      <c r="C19" s="497">
        <f>+T5</f>
        <v>309684</v>
      </c>
      <c r="D19" s="117">
        <v>167</v>
      </c>
      <c r="E19" s="115">
        <f>+ROUND($C19*D19/1000000,0)</f>
        <v>52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8"/>
      <c r="N19" s="592">
        <v>600</v>
      </c>
      <c r="O19" s="609">
        <v>1068860</v>
      </c>
      <c r="P19" s="609">
        <v>1379624</v>
      </c>
    </row>
    <row r="20" spans="1:16" ht="20.100000000000001" customHeight="1">
      <c r="A20" s="992"/>
      <c r="B20" s="462">
        <v>200</v>
      </c>
      <c r="C20" s="463">
        <f>+P26</f>
        <v>737848</v>
      </c>
      <c r="D20" s="498">
        <v>2418</v>
      </c>
      <c r="E20" s="112">
        <f>+ROUND($C20*D20/1000000,0)</f>
        <v>1784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8"/>
      <c r="N20" s="592">
        <v>700</v>
      </c>
      <c r="O20" s="609">
        <v>1206659</v>
      </c>
      <c r="P20" s="609">
        <v>1526319</v>
      </c>
    </row>
    <row r="21" spans="1:16" ht="20.100000000000001" customHeight="1">
      <c r="A21" s="981"/>
      <c r="B21" s="483" t="s">
        <v>406</v>
      </c>
      <c r="C21" s="484"/>
      <c r="D21" s="188">
        <f t="shared" ref="D21:K21" si="0">SUM(D19:D20)</f>
        <v>2585</v>
      </c>
      <c r="E21" s="499">
        <f t="shared" si="0"/>
        <v>1836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8"/>
      <c r="N21" s="59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8"/>
      <c r="N22" s="59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8"/>
      <c r="N23" s="59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8"/>
      <c r="N24" s="592">
        <v>1100</v>
      </c>
      <c r="O24" s="609">
        <v>1990647</v>
      </c>
      <c r="P24" s="609">
        <v>2359688</v>
      </c>
    </row>
    <row r="25" spans="1:16" ht="20.100000000000001" customHeight="1">
      <c r="A25" s="979" t="s">
        <v>209</v>
      </c>
      <c r="B25" s="980"/>
      <c r="C25" s="983" t="s">
        <v>103</v>
      </c>
      <c r="D25" s="985" t="s">
        <v>9</v>
      </c>
      <c r="E25" s="980"/>
      <c r="F25" s="980" t="s">
        <v>10</v>
      </c>
      <c r="G25" s="980"/>
      <c r="H25" s="980" t="s">
        <v>34</v>
      </c>
      <c r="I25" s="980"/>
      <c r="J25" s="980" t="s">
        <v>12</v>
      </c>
      <c r="K25" s="986"/>
      <c r="L25" s="493"/>
      <c r="M25" s="978"/>
      <c r="N25" s="592">
        <v>1200</v>
      </c>
      <c r="O25" s="609">
        <v>2234280</v>
      </c>
      <c r="P25" s="609">
        <v>2612176</v>
      </c>
    </row>
    <row r="26" spans="1:16" ht="20.100000000000001" customHeight="1">
      <c r="A26" s="981"/>
      <c r="B26" s="982"/>
      <c r="C26" s="98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8" t="s">
        <v>77</v>
      </c>
      <c r="N26" s="592">
        <v>200</v>
      </c>
      <c r="O26" s="609">
        <v>476678</v>
      </c>
      <c r="P26" s="609">
        <v>737848</v>
      </c>
    </row>
    <row r="27" spans="1:16" ht="20.100000000000001" customHeight="1">
      <c r="A27" s="976" t="s">
        <v>211</v>
      </c>
      <c r="B27" s="977"/>
      <c r="C27" s="500">
        <v>3600000</v>
      </c>
      <c r="D27" s="501">
        <v>122</v>
      </c>
      <c r="E27" s="502">
        <f>+ROUND($C27*D27/1000000,0)</f>
        <v>439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8"/>
      <c r="N27" s="592">
        <v>300</v>
      </c>
      <c r="O27" s="609">
        <v>525101</v>
      </c>
      <c r="P27" s="609">
        <v>794902</v>
      </c>
    </row>
    <row r="28" spans="1:16" ht="20.100000000000001" customHeight="1">
      <c r="M28" s="978"/>
      <c r="N28" s="59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8"/>
      <c r="N29" s="59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8"/>
      <c r="N30" s="592">
        <v>600</v>
      </c>
      <c r="O30" s="609">
        <v>810869</v>
      </c>
      <c r="P30" s="609">
        <v>1121644</v>
      </c>
    </row>
    <row r="31" spans="1:16" ht="20.100000000000001" customHeight="1">
      <c r="A31" s="979" t="s">
        <v>209</v>
      </c>
      <c r="B31" s="980"/>
      <c r="C31" s="983" t="s">
        <v>157</v>
      </c>
      <c r="D31" s="985" t="s">
        <v>9</v>
      </c>
      <c r="E31" s="980"/>
      <c r="F31" s="980" t="s">
        <v>10</v>
      </c>
      <c r="G31" s="980"/>
      <c r="H31" s="980" t="s">
        <v>34</v>
      </c>
      <c r="I31" s="980"/>
      <c r="J31" s="980" t="s">
        <v>12</v>
      </c>
      <c r="K31" s="986"/>
      <c r="L31" s="493"/>
      <c r="M31" s="978"/>
      <c r="N31" s="592">
        <v>700</v>
      </c>
      <c r="O31" s="609">
        <v>919311</v>
      </c>
      <c r="P31" s="609">
        <v>1238972</v>
      </c>
    </row>
    <row r="32" spans="1:16" ht="20.100000000000001" customHeight="1">
      <c r="A32" s="981"/>
      <c r="B32" s="982"/>
      <c r="C32" s="98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8"/>
      <c r="N32" s="592">
        <v>800</v>
      </c>
      <c r="O32" s="609">
        <v>1030780</v>
      </c>
      <c r="P32" s="609">
        <v>1359468</v>
      </c>
    </row>
    <row r="33" spans="1:16" ht="20.100000000000001" customHeight="1">
      <c r="A33" s="976" t="s">
        <v>211</v>
      </c>
      <c r="B33" s="977"/>
      <c r="C33" s="504">
        <v>0.1</v>
      </c>
      <c r="D33" s="501">
        <v>1</v>
      </c>
      <c r="E33" s="502">
        <f>+ROUND(0.0292*(C33*60*24)+83.662,0)*D33</f>
        <v>88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8"/>
      <c r="N33" s="59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8"/>
      <c r="N34" s="59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8"/>
      <c r="N35" s="59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8" t="s">
        <v>519</v>
      </c>
      <c r="N36" s="59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8"/>
      <c r="N37" s="59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8"/>
      <c r="N38" s="59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8"/>
      <c r="N39" s="59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8"/>
      <c r="N40" s="59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8"/>
      <c r="N41" s="59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8"/>
      <c r="N42" s="59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8"/>
      <c r="N43" s="59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8"/>
      <c r="N44" s="59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8"/>
      <c r="N45" s="59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8"/>
      <c r="N46" s="59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8"/>
      <c r="N47" s="59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8"/>
      <c r="N48" s="59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8"/>
      <c r="N49" s="592" t="s">
        <v>92</v>
      </c>
      <c r="O49" s="609">
        <v>4541703</v>
      </c>
      <c r="P49" s="609">
        <v>5064746</v>
      </c>
    </row>
    <row r="50" spans="12:18" ht="20.100000000000001" customHeight="1">
      <c r="M50" s="978"/>
      <c r="N50" s="592" t="s">
        <v>93</v>
      </c>
      <c r="O50" s="609">
        <v>5297975</v>
      </c>
      <c r="P50" s="609">
        <v>5821007</v>
      </c>
    </row>
    <row r="51" spans="12:18" ht="20.100000000000001" customHeight="1">
      <c r="M51" s="978"/>
      <c r="N51" s="59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S3:T3"/>
    <mergeCell ref="M3:M4"/>
    <mergeCell ref="N3:N4"/>
    <mergeCell ref="O3:P3"/>
    <mergeCell ref="Q3:Q4"/>
    <mergeCell ref="R3:R4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</mergeCells>
  <phoneticPr fontId="4" type="noConversion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1035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+'가.공사비산출(사창)'!D13</f>
        <v>829</v>
      </c>
      <c r="C5" s="101">
        <v>0</v>
      </c>
      <c r="D5" s="101">
        <v>0</v>
      </c>
      <c r="E5" s="101">
        <v>0</v>
      </c>
      <c r="F5" s="102">
        <f>B5*$G$59</f>
        <v>959.15911485774507</v>
      </c>
      <c r="G5" s="608">
        <f>F5+F8</f>
        <v>1060.9757639620655</v>
      </c>
    </row>
    <row r="6" spans="1:16" ht="23.1" customHeight="1">
      <c r="A6" s="110" t="s">
        <v>986</v>
      </c>
      <c r="B6" s="107">
        <f>+'가.공사비산출(사창)'!E21</f>
        <v>3097</v>
      </c>
      <c r="C6" s="96">
        <v>0</v>
      </c>
      <c r="D6" s="96">
        <v>0</v>
      </c>
      <c r="E6" s="96">
        <v>0</v>
      </c>
      <c r="F6" s="102">
        <f>B6*$G$59</f>
        <v>3583.251844046365</v>
      </c>
      <c r="G6" s="608">
        <f>F6+F7</f>
        <v>4429.0242360379352</v>
      </c>
    </row>
    <row r="7" spans="1:16" ht="23.1" customHeight="1">
      <c r="A7" s="110" t="s">
        <v>987</v>
      </c>
      <c r="B7" s="107">
        <f>+'가.공사비산출(사창)'!E27</f>
        <v>731</v>
      </c>
      <c r="C7" s="96">
        <v>0</v>
      </c>
      <c r="D7" s="96">
        <v>0</v>
      </c>
      <c r="E7" s="96">
        <v>0</v>
      </c>
      <c r="F7" s="102">
        <f>B7*$G$59</f>
        <v>845.77239199157009</v>
      </c>
      <c r="G7" s="5"/>
    </row>
    <row r="8" spans="1:16" ht="23.1" customHeight="1">
      <c r="A8" s="436" t="s">
        <v>988</v>
      </c>
      <c r="B8" s="107">
        <f>+'가.공사비산출(사창)'!E33</f>
        <v>88</v>
      </c>
      <c r="C8" s="96">
        <v>0</v>
      </c>
      <c r="D8" s="96">
        <v>0</v>
      </c>
      <c r="E8" s="96">
        <v>0</v>
      </c>
      <c r="F8" s="102">
        <f>B8*$G$59</f>
        <v>101.81664910432035</v>
      </c>
      <c r="G8" s="5"/>
    </row>
    <row r="9" spans="1:16" ht="23.1" customHeight="1">
      <c r="A9" s="111" t="s">
        <v>989</v>
      </c>
      <c r="B9" s="108">
        <f>SUM(B5:B8)</f>
        <v>4745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4745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4.4059000000000015E-2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209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4745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445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4745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17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1103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22300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66900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74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4745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1.1570073761854585</v>
      </c>
    </row>
    <row r="60" spans="1:7" ht="21.95" customHeight="1">
      <c r="A60" s="132" t="s">
        <v>1001</v>
      </c>
      <c r="B60" s="129">
        <f>+B20</f>
        <v>209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445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17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74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5490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topLeftCell="A13" zoomScale="115" zoomScaleNormal="100" zoomScaleSheetLayoutView="115" workbookViewId="0"/>
    <sheetView workbookViewId="1"/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8" t="s">
        <v>64</v>
      </c>
      <c r="N3" s="978" t="s">
        <v>511</v>
      </c>
      <c r="O3" s="978" t="s">
        <v>66</v>
      </c>
      <c r="P3" s="978"/>
      <c r="Q3" s="1012" t="s">
        <v>64</v>
      </c>
      <c r="R3" s="978" t="s">
        <v>511</v>
      </c>
      <c r="S3" s="978" t="s">
        <v>66</v>
      </c>
      <c r="T3" s="978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8"/>
      <c r="N4" s="978"/>
      <c r="O4" s="662" t="s">
        <v>67</v>
      </c>
      <c r="P4" s="662" t="s">
        <v>68</v>
      </c>
      <c r="Q4" s="1012"/>
      <c r="R4" s="978"/>
      <c r="S4" s="662" t="s">
        <v>67</v>
      </c>
      <c r="T4" s="66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8" t="s">
        <v>69</v>
      </c>
      <c r="N5" s="662">
        <v>300</v>
      </c>
      <c r="O5" s="609">
        <v>512740</v>
      </c>
      <c r="P5" s="609">
        <v>782541</v>
      </c>
      <c r="Q5" s="993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8"/>
      <c r="N6" s="662">
        <v>400</v>
      </c>
      <c r="O6" s="609">
        <v>580188</v>
      </c>
      <c r="P6" s="609">
        <v>859007</v>
      </c>
      <c r="Q6" s="994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8"/>
      <c r="N7" s="662">
        <v>500</v>
      </c>
      <c r="O7" s="609">
        <v>624861</v>
      </c>
      <c r="P7" s="609">
        <v>912820</v>
      </c>
      <c r="Q7" s="994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8"/>
      <c r="N8" s="662">
        <v>600</v>
      </c>
      <c r="O8" s="609">
        <v>705821</v>
      </c>
      <c r="P8" s="609">
        <v>1016585</v>
      </c>
      <c r="Q8" s="994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8"/>
      <c r="N9" s="662">
        <v>700</v>
      </c>
      <c r="O9" s="609">
        <v>782918</v>
      </c>
      <c r="P9" s="609">
        <v>1102578</v>
      </c>
      <c r="Q9" s="994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8"/>
      <c r="N10" s="662">
        <v>800</v>
      </c>
      <c r="O10" s="609">
        <v>854676</v>
      </c>
      <c r="P10" s="609">
        <v>1183365</v>
      </c>
      <c r="Q10" s="994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96" t="s">
        <v>1028</v>
      </c>
      <c r="B11" s="997"/>
      <c r="C11" s="998"/>
      <c r="D11" s="999" t="s">
        <v>980</v>
      </c>
      <c r="E11" s="1000"/>
      <c r="F11" s="1000" t="s">
        <v>981</v>
      </c>
      <c r="G11" s="1000"/>
      <c r="H11" s="1000" t="s">
        <v>982</v>
      </c>
      <c r="I11" s="1000"/>
      <c r="J11" s="1000" t="s">
        <v>983</v>
      </c>
      <c r="K11" s="1001"/>
      <c r="L11" s="493"/>
      <c r="M11" s="978"/>
      <c r="N11" s="662">
        <v>900</v>
      </c>
      <c r="O11" s="609">
        <v>945775</v>
      </c>
      <c r="P11" s="609">
        <v>1283451</v>
      </c>
      <c r="Q11" s="994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1002" t="s">
        <v>1029</v>
      </c>
      <c r="B12" s="1003"/>
      <c r="C12" s="1004"/>
      <c r="D12" s="1005">
        <v>70</v>
      </c>
      <c r="E12" s="1006"/>
      <c r="F12" s="1006">
        <v>0</v>
      </c>
      <c r="G12" s="1006"/>
      <c r="H12" s="1006">
        <v>0</v>
      </c>
      <c r="I12" s="1006"/>
      <c r="J12" s="1006">
        <v>0</v>
      </c>
      <c r="K12" s="1007"/>
      <c r="L12" s="493"/>
      <c r="M12" s="978"/>
      <c r="N12" s="662">
        <v>1000</v>
      </c>
      <c r="O12" s="609">
        <v>1051853</v>
      </c>
      <c r="P12" s="609">
        <v>1398649</v>
      </c>
      <c r="Q12" s="994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1008" t="s">
        <v>1030</v>
      </c>
      <c r="B13" s="1009"/>
      <c r="C13" s="1010"/>
      <c r="D13" s="1011">
        <f>+ROUND(35.616*D12^0.7408,0)</f>
        <v>829</v>
      </c>
      <c r="E13" s="987"/>
      <c r="F13" s="987">
        <f>+ROUND(35.616*F12^0.7408,0)</f>
        <v>0</v>
      </c>
      <c r="G13" s="987"/>
      <c r="H13" s="987">
        <f>+ROUND(35.616*H12^0.7408,0)</f>
        <v>0</v>
      </c>
      <c r="I13" s="987"/>
      <c r="J13" s="987">
        <f>+ROUND(35.616*J12^0.7408,0)</f>
        <v>0</v>
      </c>
      <c r="K13" s="988"/>
      <c r="L13" s="493"/>
      <c r="M13" s="978"/>
      <c r="N13" s="662">
        <v>1100</v>
      </c>
      <c r="O13" s="609">
        <v>1188358</v>
      </c>
      <c r="P13" s="609">
        <v>1557399</v>
      </c>
      <c r="Q13" s="994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8"/>
      <c r="N14" s="662">
        <v>1200</v>
      </c>
      <c r="O14" s="609">
        <v>1313909</v>
      </c>
      <c r="P14" s="609">
        <v>1691805</v>
      </c>
      <c r="Q14" s="995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8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8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79" t="s">
        <v>979</v>
      </c>
      <c r="B17" s="989" t="s">
        <v>1032</v>
      </c>
      <c r="C17" s="983" t="s">
        <v>1033</v>
      </c>
      <c r="D17" s="985" t="s">
        <v>980</v>
      </c>
      <c r="E17" s="980"/>
      <c r="F17" s="980" t="s">
        <v>981</v>
      </c>
      <c r="G17" s="980"/>
      <c r="H17" s="980" t="s">
        <v>982</v>
      </c>
      <c r="I17" s="980"/>
      <c r="J17" s="980" t="s">
        <v>983</v>
      </c>
      <c r="K17" s="986"/>
      <c r="L17" s="493"/>
      <c r="M17" s="978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981"/>
      <c r="B18" s="990"/>
      <c r="C18" s="98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8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991" t="s">
        <v>989</v>
      </c>
      <c r="B19" s="496">
        <v>80</v>
      </c>
      <c r="C19" s="497">
        <f>+T5</f>
        <v>309684</v>
      </c>
      <c r="D19" s="117">
        <v>312</v>
      </c>
      <c r="E19" s="115">
        <f>+ROUND($C19*D19/1000000,0)</f>
        <v>97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8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992"/>
      <c r="B20" s="462">
        <v>200</v>
      </c>
      <c r="C20" s="463">
        <f>+P26</f>
        <v>737848</v>
      </c>
      <c r="D20" s="498">
        <v>4066</v>
      </c>
      <c r="E20" s="112">
        <f>+ROUND($C20*D20/1000000,0)</f>
        <v>3000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8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981"/>
      <c r="B21" s="483" t="s">
        <v>406</v>
      </c>
      <c r="C21" s="484"/>
      <c r="D21" s="188">
        <f t="shared" ref="D21:K21" si="0">SUM(D19:D20)</f>
        <v>4378</v>
      </c>
      <c r="E21" s="499">
        <f t="shared" si="0"/>
        <v>3097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8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8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8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8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79" t="s">
        <v>209</v>
      </c>
      <c r="B25" s="980"/>
      <c r="C25" s="983" t="s">
        <v>103</v>
      </c>
      <c r="D25" s="985" t="s">
        <v>9</v>
      </c>
      <c r="E25" s="980"/>
      <c r="F25" s="980" t="s">
        <v>10</v>
      </c>
      <c r="G25" s="980"/>
      <c r="H25" s="980" t="s">
        <v>34</v>
      </c>
      <c r="I25" s="980"/>
      <c r="J25" s="980" t="s">
        <v>12</v>
      </c>
      <c r="K25" s="986"/>
      <c r="L25" s="493"/>
      <c r="M25" s="978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981"/>
      <c r="B26" s="982"/>
      <c r="C26" s="98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8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976" t="s">
        <v>211</v>
      </c>
      <c r="B27" s="977"/>
      <c r="C27" s="500">
        <f>'가.공사비산출(한벌)'!C27</f>
        <v>3600000</v>
      </c>
      <c r="D27" s="501">
        <v>203</v>
      </c>
      <c r="E27" s="502">
        <f>+ROUND($C27*D27/1000000,0)</f>
        <v>731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8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8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8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8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79" t="s">
        <v>209</v>
      </c>
      <c r="B31" s="980"/>
      <c r="C31" s="983" t="s">
        <v>157</v>
      </c>
      <c r="D31" s="985" t="s">
        <v>9</v>
      </c>
      <c r="E31" s="980"/>
      <c r="F31" s="980" t="s">
        <v>10</v>
      </c>
      <c r="G31" s="980"/>
      <c r="H31" s="980" t="s">
        <v>34</v>
      </c>
      <c r="I31" s="980"/>
      <c r="J31" s="980" t="s">
        <v>12</v>
      </c>
      <c r="K31" s="986"/>
      <c r="L31" s="493"/>
      <c r="M31" s="978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981"/>
      <c r="B32" s="982"/>
      <c r="C32" s="98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8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976" t="s">
        <v>211</v>
      </c>
      <c r="B33" s="977"/>
      <c r="C33" s="504">
        <v>0.1</v>
      </c>
      <c r="D33" s="501">
        <v>1</v>
      </c>
      <c r="E33" s="502">
        <f>+ROUND(0.0292*(C33*60*24)+83.662,0)*D33</f>
        <v>88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8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8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8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8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8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8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8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8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8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8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8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8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8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8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8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8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8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8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8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S3:T3"/>
    <mergeCell ref="M3:M4"/>
    <mergeCell ref="N3:N4"/>
    <mergeCell ref="O3:P3"/>
    <mergeCell ref="Q3:Q4"/>
    <mergeCell ref="R3:R4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</mergeCells>
  <phoneticPr fontId="4" type="noConversion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3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1036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v>1943</v>
      </c>
      <c r="C5" s="101">
        <v>0</v>
      </c>
      <c r="D5" s="101">
        <v>0</v>
      </c>
      <c r="E5" s="101">
        <v>0</v>
      </c>
      <c r="F5" s="102">
        <f>B5*$G$58</f>
        <v>2172.6128769356155</v>
      </c>
      <c r="G5" s="608">
        <f>F5+F8</f>
        <v>2172.6128769356155</v>
      </c>
    </row>
    <row r="6" spans="1:16" ht="23.1" customHeight="1">
      <c r="A6" s="110" t="s">
        <v>986</v>
      </c>
      <c r="B6" s="107">
        <v>2965</v>
      </c>
      <c r="C6" s="96">
        <v>0</v>
      </c>
      <c r="D6" s="96">
        <v>0</v>
      </c>
      <c r="E6" s="96">
        <v>0</v>
      </c>
      <c r="F6" s="102">
        <f>B6*$G$58</f>
        <v>3315.3871230643849</v>
      </c>
      <c r="G6" s="608">
        <f>F6+F7</f>
        <v>3315.3871230643849</v>
      </c>
    </row>
    <row r="7" spans="1:16" ht="23.1" customHeight="1">
      <c r="A7" s="110" t="s">
        <v>987</v>
      </c>
      <c r="B7" s="107">
        <v>0</v>
      </c>
      <c r="C7" s="96">
        <v>0</v>
      </c>
      <c r="D7" s="96">
        <v>0</v>
      </c>
      <c r="E7" s="96">
        <v>0</v>
      </c>
      <c r="F7" s="95"/>
      <c r="G7" s="5"/>
    </row>
    <row r="8" spans="1:16" ht="23.1" customHeight="1">
      <c r="A8" s="111" t="s">
        <v>989</v>
      </c>
      <c r="B8" s="108">
        <f>4561+100+247</f>
        <v>4908</v>
      </c>
      <c r="C8" s="97">
        <v>0</v>
      </c>
      <c r="D8" s="98">
        <v>0</v>
      </c>
      <c r="E8" s="98">
        <v>0</v>
      </c>
      <c r="F8" s="99"/>
      <c r="G8" s="5"/>
    </row>
    <row r="9" spans="1:16" ht="23.1" customHeight="1">
      <c r="A9" s="38" t="s">
        <v>1037</v>
      </c>
      <c r="G9" s="5"/>
    </row>
    <row r="10" spans="1:16" ht="23.1" customHeight="1">
      <c r="A10" s="2" t="s">
        <v>990</v>
      </c>
      <c r="D10" s="12"/>
      <c r="G10" s="5"/>
    </row>
    <row r="11" spans="1:16" ht="23.1" customHeight="1">
      <c r="A11" s="14"/>
      <c r="B11" s="15"/>
      <c r="C11" s="15"/>
      <c r="D11" s="15"/>
      <c r="E11" s="15"/>
      <c r="F11" s="8" t="s">
        <v>991</v>
      </c>
      <c r="G11" s="5"/>
      <c r="H11" s="16" t="s">
        <v>992</v>
      </c>
    </row>
    <row r="12" spans="1:16" ht="23.1" customHeight="1">
      <c r="A12" s="587" t="s">
        <v>979</v>
      </c>
      <c r="B12" s="312" t="s">
        <v>980</v>
      </c>
      <c r="C12" s="313" t="s">
        <v>981</v>
      </c>
      <c r="D12" s="313" t="s">
        <v>982</v>
      </c>
      <c r="E12" s="313" t="s">
        <v>983</v>
      </c>
      <c r="F12" s="314" t="s">
        <v>984</v>
      </c>
      <c r="G12" s="16"/>
      <c r="H12" s="17" t="s">
        <v>993</v>
      </c>
      <c r="I12" s="17" t="s">
        <v>38</v>
      </c>
      <c r="J12" s="17" t="s">
        <v>39</v>
      </c>
      <c r="K12" s="17" t="s">
        <v>994</v>
      </c>
      <c r="L12" s="17" t="s">
        <v>41</v>
      </c>
    </row>
    <row r="13" spans="1:16" ht="23.1" customHeight="1">
      <c r="A13" s="120" t="s">
        <v>995</v>
      </c>
      <c r="B13" s="117">
        <v>0</v>
      </c>
      <c r="C13" s="101">
        <v>0</v>
      </c>
      <c r="D13" s="101">
        <v>0</v>
      </c>
      <c r="E13" s="101">
        <v>0</v>
      </c>
      <c r="F13" s="116"/>
      <c r="G13" s="16"/>
      <c r="H13" s="18">
        <v>50</v>
      </c>
      <c r="I13" s="19">
        <v>3.2400000000000005E-2</v>
      </c>
      <c r="J13" s="19">
        <v>6.4899999999999999E-2</v>
      </c>
      <c r="K13" s="19">
        <v>3.0200000000000001E-2</v>
      </c>
      <c r="L13" s="19">
        <v>1.0800000000000001E-2</v>
      </c>
      <c r="M13" s="20"/>
      <c r="N13" s="20"/>
      <c r="O13" s="20"/>
      <c r="P13" s="20"/>
    </row>
    <row r="14" spans="1:16" ht="23.1" customHeight="1">
      <c r="A14" s="110" t="s">
        <v>996</v>
      </c>
      <c r="B14" s="118">
        <v>0</v>
      </c>
      <c r="C14" s="96">
        <v>0</v>
      </c>
      <c r="D14" s="96">
        <v>0</v>
      </c>
      <c r="E14" s="96">
        <v>0</v>
      </c>
      <c r="F14" s="113"/>
      <c r="G14" s="16"/>
      <c r="H14" s="18">
        <v>100</v>
      </c>
      <c r="I14" s="19">
        <v>3.04E-2</v>
      </c>
      <c r="J14" s="19">
        <v>6.0700000000000004E-2</v>
      </c>
      <c r="K14" s="19">
        <v>2.8500000000000001E-2</v>
      </c>
      <c r="L14" s="19">
        <v>9.0000000000000011E-3</v>
      </c>
      <c r="M14" s="20"/>
      <c r="N14" s="20"/>
      <c r="O14" s="20"/>
      <c r="P14" s="20"/>
    </row>
    <row r="15" spans="1:16" ht="23.1" customHeight="1">
      <c r="A15" s="110" t="s">
        <v>997</v>
      </c>
      <c r="B15" s="118">
        <v>0</v>
      </c>
      <c r="C15" s="96">
        <v>0</v>
      </c>
      <c r="D15" s="96">
        <v>0</v>
      </c>
      <c r="E15" s="96">
        <v>0</v>
      </c>
      <c r="F15" s="113"/>
      <c r="G15" s="16"/>
      <c r="H15" s="18">
        <v>200</v>
      </c>
      <c r="I15" s="19">
        <v>2.4199999999999999E-2</v>
      </c>
      <c r="J15" s="19">
        <v>4.8499999999999995E-2</v>
      </c>
      <c r="K15" s="19">
        <v>2.2599999999999999E-2</v>
      </c>
      <c r="L15" s="19">
        <v>7.1999999999999998E-3</v>
      </c>
      <c r="M15" s="20"/>
      <c r="N15" s="20"/>
      <c r="O15" s="20"/>
      <c r="P15" s="20"/>
    </row>
    <row r="16" spans="1:16" ht="23.1" customHeight="1">
      <c r="A16" s="110" t="s">
        <v>998</v>
      </c>
      <c r="B16" s="118">
        <v>0</v>
      </c>
      <c r="C16" s="96">
        <v>0</v>
      </c>
      <c r="D16" s="96">
        <v>0</v>
      </c>
      <c r="E16" s="96">
        <v>0</v>
      </c>
      <c r="F16" s="113"/>
      <c r="G16" s="16"/>
      <c r="H16" s="18">
        <v>300</v>
      </c>
      <c r="I16" s="19">
        <v>2.2200000000000001E-2</v>
      </c>
      <c r="J16" s="19">
        <v>4.4299999999999999E-2</v>
      </c>
      <c r="K16" s="19">
        <v>2.06E-2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999</v>
      </c>
      <c r="B17" s="118">
        <v>0</v>
      </c>
      <c r="C17" s="96">
        <v>0</v>
      </c>
      <c r="D17" s="96">
        <v>0</v>
      </c>
      <c r="E17" s="96">
        <v>0</v>
      </c>
      <c r="F17" s="113"/>
      <c r="G17" s="16"/>
      <c r="H17" s="18">
        <v>500</v>
      </c>
      <c r="I17" s="19">
        <v>2.0099999999999996E-2</v>
      </c>
      <c r="J17" s="19">
        <v>4.0300000000000002E-2</v>
      </c>
      <c r="K17" s="19">
        <v>1.89E-2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1000</v>
      </c>
      <c r="B18" s="118">
        <v>0</v>
      </c>
      <c r="C18" s="96">
        <v>0</v>
      </c>
      <c r="D18" s="96">
        <v>0</v>
      </c>
      <c r="E18" s="96">
        <v>0</v>
      </c>
      <c r="F18" s="113"/>
      <c r="G18" s="16"/>
      <c r="H18" s="18">
        <v>1000</v>
      </c>
      <c r="I18" s="19">
        <v>1.77E-2</v>
      </c>
      <c r="J18" s="19">
        <v>3.5499999999999997E-2</v>
      </c>
      <c r="K18" s="19">
        <v>1.66E-2</v>
      </c>
      <c r="L18" s="19">
        <v>6.3E-3</v>
      </c>
      <c r="M18" s="20"/>
      <c r="N18" s="20"/>
      <c r="O18" s="20"/>
      <c r="P18" s="20"/>
    </row>
    <row r="19" spans="1:17" ht="23.1" customHeight="1">
      <c r="A19" s="111" t="s">
        <v>1001</v>
      </c>
      <c r="B19" s="108">
        <f>+ROUND(B13*B18,0)</f>
        <v>0</v>
      </c>
      <c r="C19" s="97">
        <f>+ROUND(C13*C18,0)</f>
        <v>0</v>
      </c>
      <c r="D19" s="98">
        <v>0</v>
      </c>
      <c r="E19" s="98">
        <v>0</v>
      </c>
      <c r="F19" s="114"/>
      <c r="G19" s="16"/>
      <c r="H19" s="18">
        <v>2000</v>
      </c>
      <c r="I19" s="19">
        <v>1.6299999999999999E-2</v>
      </c>
      <c r="J19" s="19">
        <v>3.27E-2</v>
      </c>
      <c r="K19" s="19">
        <v>1.5300000000000001E-2</v>
      </c>
      <c r="L19" s="19">
        <v>3.5999999999999999E-3</v>
      </c>
      <c r="M19" s="20"/>
      <c r="N19" s="20"/>
      <c r="O19" s="20"/>
      <c r="P19" s="20"/>
    </row>
    <row r="20" spans="1:17" ht="23.1" customHeight="1">
      <c r="A20" s="21"/>
      <c r="B20" s="22"/>
      <c r="C20" s="22"/>
      <c r="D20" s="23"/>
      <c r="E20" s="23"/>
      <c r="F20" s="24"/>
      <c r="G20" s="16"/>
      <c r="H20" s="18">
        <v>3000</v>
      </c>
      <c r="I20" s="19">
        <v>1.5700000000000002E-2</v>
      </c>
      <c r="J20" s="19">
        <v>3.15E-2</v>
      </c>
      <c r="K20" s="19">
        <v>1.4800000000000001E-2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" t="s">
        <v>1002</v>
      </c>
      <c r="G21" s="16"/>
      <c r="H21" s="18">
        <v>5000</v>
      </c>
      <c r="I21" s="19">
        <v>1.54E-2</v>
      </c>
      <c r="J21" s="19">
        <v>3.0899999999999997E-2</v>
      </c>
      <c r="K21" s="19">
        <v>1.4499999999999999E-2</v>
      </c>
      <c r="L21" s="19">
        <v>2.7000000000000001E-3</v>
      </c>
      <c r="M21" s="20"/>
      <c r="N21" s="20"/>
      <c r="O21" s="20"/>
      <c r="P21" s="20"/>
    </row>
    <row r="22" spans="1:17" ht="23.1" customHeight="1">
      <c r="A22" s="14"/>
      <c r="B22" s="15"/>
      <c r="C22" s="15"/>
      <c r="D22" s="15"/>
      <c r="E22" s="15"/>
      <c r="F22" s="8" t="s">
        <v>991</v>
      </c>
      <c r="G22" s="16"/>
      <c r="H22" s="18">
        <v>10000</v>
      </c>
      <c r="I22" s="19">
        <v>1.5100000000000001E-2</v>
      </c>
      <c r="J22" s="19">
        <v>3.0099999999999998E-2</v>
      </c>
      <c r="K22" s="19">
        <v>1.41E-2</v>
      </c>
      <c r="L22" s="19">
        <v>2.5000000000000001E-3</v>
      </c>
      <c r="M22" s="20"/>
      <c r="N22" s="20"/>
      <c r="O22" s="20"/>
      <c r="P22" s="20"/>
    </row>
    <row r="23" spans="1:17" ht="23.1" customHeight="1">
      <c r="A23" s="587" t="s">
        <v>979</v>
      </c>
      <c r="B23" s="312" t="s">
        <v>980</v>
      </c>
      <c r="C23" s="313" t="s">
        <v>981</v>
      </c>
      <c r="D23" s="313" t="s">
        <v>982</v>
      </c>
      <c r="E23" s="313" t="s">
        <v>983</v>
      </c>
      <c r="F23" s="314" t="s">
        <v>984</v>
      </c>
      <c r="G23" s="16"/>
      <c r="H23" s="18">
        <v>20000</v>
      </c>
      <c r="I23" s="19">
        <v>1.46E-2</v>
      </c>
      <c r="J23" s="19">
        <v>2.9100000000000001E-2</v>
      </c>
      <c r="K23" s="19">
        <v>1.37E-2</v>
      </c>
      <c r="L23" s="19">
        <v>2.3E-3</v>
      </c>
      <c r="M23" s="20"/>
      <c r="N23" s="20"/>
      <c r="O23" s="20"/>
      <c r="P23" s="20"/>
    </row>
    <row r="24" spans="1:17" ht="23.1" customHeight="1">
      <c r="A24" s="120" t="s">
        <v>995</v>
      </c>
      <c r="B24" s="117">
        <f>B8</f>
        <v>4908</v>
      </c>
      <c r="C24" s="101">
        <v>0</v>
      </c>
      <c r="D24" s="101">
        <v>0</v>
      </c>
      <c r="E24" s="101">
        <v>0</v>
      </c>
      <c r="F24" s="116"/>
      <c r="G24" s="16"/>
      <c r="H24" s="18">
        <v>30000</v>
      </c>
      <c r="I24" s="19">
        <v>1.4499999999999999E-2</v>
      </c>
      <c r="J24" s="19">
        <v>2.8999999999999998E-2</v>
      </c>
      <c r="K24" s="19">
        <v>1.3500000000000002E-2</v>
      </c>
      <c r="L24" s="19">
        <v>2.3E-3</v>
      </c>
      <c r="M24" s="20"/>
      <c r="N24" s="20"/>
      <c r="O24" s="20"/>
      <c r="P24" s="20"/>
    </row>
    <row r="25" spans="1:17" ht="23.1" customHeight="1">
      <c r="A25" s="110" t="s">
        <v>996</v>
      </c>
      <c r="B25" s="118">
        <f>+I31</f>
        <v>10000</v>
      </c>
      <c r="C25" s="96">
        <v>0</v>
      </c>
      <c r="D25" s="96">
        <v>0</v>
      </c>
      <c r="E25" s="96">
        <v>0</v>
      </c>
      <c r="F25" s="113"/>
      <c r="G25" s="16"/>
      <c r="H25" s="18">
        <v>50000</v>
      </c>
      <c r="I25" s="19">
        <v>1.41E-2</v>
      </c>
      <c r="J25" s="19">
        <v>2.8399999999999998E-2</v>
      </c>
      <c r="K25" s="19">
        <v>1.3300000000000001E-2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997</v>
      </c>
      <c r="B26" s="118">
        <f>+I31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100000</v>
      </c>
      <c r="I26" s="19">
        <v>1.3999999999999999E-2</v>
      </c>
      <c r="J26" s="19">
        <v>2.7900000000000001E-2</v>
      </c>
      <c r="K26" s="19">
        <v>1.3000000000000001E-2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998</v>
      </c>
      <c r="B27" s="141">
        <f>+I32</f>
        <v>9.3699999999999992E-2</v>
      </c>
      <c r="C27" s="96">
        <v>0</v>
      </c>
      <c r="D27" s="96">
        <v>0</v>
      </c>
      <c r="E27" s="96">
        <v>0</v>
      </c>
      <c r="F27" s="113"/>
      <c r="G27" s="25"/>
      <c r="H27" s="18">
        <v>200000</v>
      </c>
      <c r="I27" s="19">
        <v>1.38E-2</v>
      </c>
      <c r="J27" s="19">
        <v>2.76E-2</v>
      </c>
      <c r="K27" s="19">
        <v>1.2800000000000001E-2</v>
      </c>
      <c r="L27" s="19">
        <v>2.0999999999999999E-3</v>
      </c>
      <c r="M27" s="20"/>
      <c r="N27" s="20"/>
      <c r="O27" s="20"/>
      <c r="P27" s="20"/>
    </row>
    <row r="28" spans="1:17" ht="23.1" customHeight="1">
      <c r="A28" s="110" t="s">
        <v>999</v>
      </c>
      <c r="B28" s="141">
        <f>+I32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300000</v>
      </c>
      <c r="I28" s="19">
        <v>1.37E-2</v>
      </c>
      <c r="J28" s="19">
        <v>2.7200000000000002E-2</v>
      </c>
      <c r="K28" s="19">
        <v>1.2500000000000001E-2</v>
      </c>
      <c r="L28" s="19">
        <v>1.9E-3</v>
      </c>
      <c r="M28" s="20"/>
      <c r="N28" s="20"/>
      <c r="O28" s="20"/>
      <c r="P28" s="20"/>
    </row>
    <row r="29" spans="1:17" ht="23.1" customHeight="1">
      <c r="A29" s="110" t="s">
        <v>1000</v>
      </c>
      <c r="B29" s="141">
        <f>+I32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500000</v>
      </c>
      <c r="I29" s="19">
        <v>1.34E-2</v>
      </c>
      <c r="J29" s="19">
        <v>2.7000000000000003E-2</v>
      </c>
      <c r="K29" s="19">
        <v>1.23E-2</v>
      </c>
      <c r="L29" s="19">
        <v>1.7000000000000001E-3</v>
      </c>
      <c r="M29" s="20"/>
      <c r="N29" s="20"/>
      <c r="O29" s="20"/>
      <c r="P29" s="20"/>
    </row>
    <row r="30" spans="1:17" ht="23.1" customHeight="1">
      <c r="A30" s="111" t="s">
        <v>1003</v>
      </c>
      <c r="B30" s="108">
        <f>+ROUND(B24*B29,0)</f>
        <v>460</v>
      </c>
      <c r="C30" s="97">
        <f>+ROUND(C24*C29,0)</f>
        <v>0</v>
      </c>
      <c r="D30" s="98">
        <v>0</v>
      </c>
      <c r="E30" s="98">
        <v>0</v>
      </c>
      <c r="F30" s="114"/>
      <c r="G30" s="9"/>
      <c r="H30" s="9" t="s">
        <v>1004</v>
      </c>
    </row>
    <row r="31" spans="1:17" ht="23.1" customHeight="1">
      <c r="A31" s="30"/>
      <c r="B31" s="31"/>
      <c r="C31" s="31"/>
      <c r="D31" s="32"/>
      <c r="E31" s="28"/>
      <c r="F31" s="33"/>
      <c r="G31" s="9"/>
      <c r="H31" s="17" t="s">
        <v>993</v>
      </c>
      <c r="I31" s="34">
        <v>10000</v>
      </c>
      <c r="J31" s="34">
        <v>20000</v>
      </c>
      <c r="K31" s="34">
        <v>30000</v>
      </c>
      <c r="L31" s="34">
        <v>40000</v>
      </c>
      <c r="M31" s="34">
        <v>50000</v>
      </c>
      <c r="N31" s="34">
        <v>70000</v>
      </c>
      <c r="O31" s="34">
        <v>100000</v>
      </c>
      <c r="P31" s="34">
        <v>150000</v>
      </c>
      <c r="Q31" s="34">
        <v>200000</v>
      </c>
    </row>
    <row r="32" spans="1:17" ht="21.95" customHeight="1">
      <c r="A32" s="2" t="s">
        <v>1005</v>
      </c>
      <c r="D32" s="12"/>
      <c r="G32" s="9"/>
      <c r="H32" s="17" t="s">
        <v>53</v>
      </c>
      <c r="I32" s="19">
        <v>9.3699999999999992E-2</v>
      </c>
      <c r="J32" s="19">
        <v>7.4999999999999997E-2</v>
      </c>
      <c r="K32" s="19">
        <v>6.5199999999999994E-2</v>
      </c>
      <c r="L32" s="19">
        <v>5.8799999999999998E-2</v>
      </c>
      <c r="M32" s="19">
        <v>5.4299999999999994E-2</v>
      </c>
      <c r="N32" s="19">
        <v>4.9100000000000005E-2</v>
      </c>
      <c r="O32" s="19">
        <v>4.4600000000000001E-2</v>
      </c>
      <c r="P32" s="19">
        <v>3.9199999999999999E-2</v>
      </c>
      <c r="Q32" s="19">
        <v>3.5299999999999998E-2</v>
      </c>
    </row>
    <row r="33" spans="1:17" ht="21.95" customHeight="1">
      <c r="A33" s="14"/>
      <c r="B33" s="15"/>
      <c r="C33" s="15"/>
      <c r="D33" s="15"/>
      <c r="E33" s="15"/>
      <c r="F33" s="8" t="s">
        <v>991</v>
      </c>
      <c r="G33" s="9"/>
      <c r="H33" s="9"/>
      <c r="I33" s="20"/>
      <c r="J33" s="20"/>
      <c r="K33" s="20"/>
      <c r="L33" s="20"/>
      <c r="M33" s="20"/>
      <c r="N33" s="20"/>
      <c r="O33" s="20"/>
      <c r="P33" s="20"/>
      <c r="Q33" s="20"/>
    </row>
    <row r="34" spans="1:17" ht="21.95" customHeight="1">
      <c r="A34" s="587" t="s">
        <v>979</v>
      </c>
      <c r="B34" s="312" t="s">
        <v>980</v>
      </c>
      <c r="C34" s="313" t="s">
        <v>981</v>
      </c>
      <c r="D34" s="313" t="s">
        <v>982</v>
      </c>
      <c r="E34" s="313" t="s">
        <v>983</v>
      </c>
      <c r="F34" s="314" t="s">
        <v>984</v>
      </c>
      <c r="G34" s="9"/>
      <c r="H34" s="9"/>
    </row>
    <row r="35" spans="1:17" ht="21.95" customHeight="1">
      <c r="A35" s="120" t="s">
        <v>995</v>
      </c>
      <c r="B35" s="117">
        <f>B24</f>
        <v>4908</v>
      </c>
      <c r="C35" s="101">
        <v>0</v>
      </c>
      <c r="D35" s="101">
        <v>0</v>
      </c>
      <c r="E35" s="101">
        <v>0</v>
      </c>
      <c r="F35" s="116"/>
      <c r="G35" s="9"/>
      <c r="H35" s="9"/>
    </row>
    <row r="36" spans="1:17" ht="21.95" customHeight="1">
      <c r="A36" s="110" t="s">
        <v>996</v>
      </c>
      <c r="B36" s="118">
        <f>H20</f>
        <v>3000</v>
      </c>
      <c r="C36" s="96">
        <v>0</v>
      </c>
      <c r="D36" s="96">
        <v>0</v>
      </c>
      <c r="E36" s="96">
        <v>0</v>
      </c>
      <c r="F36" s="113"/>
      <c r="G36" s="9"/>
    </row>
    <row r="37" spans="1:17" ht="21.95" customHeight="1">
      <c r="A37" s="110" t="s">
        <v>997</v>
      </c>
      <c r="B37" s="118">
        <f>H21</f>
        <v>5000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998</v>
      </c>
      <c r="B38" s="141">
        <f>L20</f>
        <v>3.5999999999999999E-3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999</v>
      </c>
      <c r="B39" s="141">
        <f>L21</f>
        <v>2.7000000000000001E-3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1000</v>
      </c>
      <c r="B40" s="141">
        <f>B38+((B39-B38)/(B37-B36))*(B35-B36)</f>
        <v>2.7414000000000002E-3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1" t="s">
        <v>1006</v>
      </c>
      <c r="B41" s="108">
        <f>+ROUND(B35*B40,0)</f>
        <v>13</v>
      </c>
      <c r="C41" s="97">
        <f>+ROUND(C35*C40,0)</f>
        <v>0</v>
      </c>
      <c r="D41" s="98">
        <v>0</v>
      </c>
      <c r="E41" s="98">
        <v>0</v>
      </c>
      <c r="F41" s="114"/>
    </row>
    <row r="42" spans="1:17" ht="21.95" customHeight="1"/>
    <row r="43" spans="1:17" ht="21.95" customHeight="1">
      <c r="A43" s="2" t="s">
        <v>1007</v>
      </c>
      <c r="D43" s="12"/>
    </row>
    <row r="44" spans="1:17" ht="21.95" customHeight="1">
      <c r="A44" s="78" t="s">
        <v>1008</v>
      </c>
      <c r="D44" s="12"/>
    </row>
    <row r="45" spans="1:17" ht="21.95" customHeight="1">
      <c r="A45" s="2" t="s">
        <v>1009</v>
      </c>
      <c r="D45" s="12"/>
    </row>
    <row r="46" spans="1:17" ht="21.95" customHeight="1">
      <c r="A46" s="78" t="s">
        <v>1010</v>
      </c>
      <c r="B46" s="2" t="s">
        <v>1011</v>
      </c>
      <c r="D46" s="12"/>
    </row>
    <row r="47" spans="1:17" ht="21.95" customHeight="1">
      <c r="A47" s="78" t="s">
        <v>1012</v>
      </c>
      <c r="D47" s="12"/>
    </row>
    <row r="48" spans="1:17" ht="21.95" customHeight="1">
      <c r="A48" s="14"/>
      <c r="B48" s="15"/>
      <c r="C48" s="15"/>
      <c r="D48" s="15"/>
      <c r="E48" s="15"/>
      <c r="F48" s="8"/>
    </row>
    <row r="49" spans="1:7" ht="21.95" customHeight="1">
      <c r="A49" s="587" t="s">
        <v>979</v>
      </c>
      <c r="B49" s="312" t="s">
        <v>980</v>
      </c>
      <c r="C49" s="313" t="s">
        <v>981</v>
      </c>
      <c r="D49" s="313" t="s">
        <v>982</v>
      </c>
      <c r="E49" s="313" t="s">
        <v>983</v>
      </c>
      <c r="F49" s="314" t="s">
        <v>984</v>
      </c>
    </row>
    <row r="50" spans="1:7" ht="21.95" customHeight="1">
      <c r="A50" s="120" t="s">
        <v>1013</v>
      </c>
      <c r="B50" s="190">
        <f>6.084*0.12^0.57*1000</f>
        <v>1816.8644011670387</v>
      </c>
      <c r="C50" s="101">
        <v>0</v>
      </c>
      <c r="D50" s="101">
        <v>0</v>
      </c>
      <c r="E50" s="101">
        <v>0</v>
      </c>
      <c r="F50" s="116"/>
    </row>
    <row r="51" spans="1:7" ht="21.95" customHeight="1">
      <c r="A51" s="110" t="s">
        <v>1014</v>
      </c>
      <c r="B51" s="118">
        <v>19700</v>
      </c>
      <c r="C51" s="96">
        <v>0</v>
      </c>
      <c r="D51" s="96">
        <v>0</v>
      </c>
      <c r="E51" s="96">
        <v>0</v>
      </c>
      <c r="F51" s="113"/>
    </row>
    <row r="52" spans="1:7" ht="21.95" customHeight="1">
      <c r="A52" s="110" t="s">
        <v>1015</v>
      </c>
      <c r="B52" s="118">
        <f>+ROUND(B51*3,0)</f>
        <v>59100</v>
      </c>
      <c r="C52" s="96"/>
      <c r="D52" s="96"/>
      <c r="E52" s="96"/>
      <c r="F52" s="113"/>
    </row>
    <row r="53" spans="1:7" ht="21.95" customHeight="1">
      <c r="A53" s="189" t="s">
        <v>1016</v>
      </c>
      <c r="B53" s="188">
        <f>+ROUND(B50*B52/1000000,0)</f>
        <v>107</v>
      </c>
      <c r="C53" s="137">
        <v>0</v>
      </c>
      <c r="D53" s="137">
        <v>0</v>
      </c>
      <c r="E53" s="137">
        <v>0</v>
      </c>
      <c r="F53" s="187"/>
    </row>
    <row r="54" spans="1:7" ht="21.95" customHeight="1">
      <c r="A54" s="21"/>
      <c r="B54" s="22"/>
      <c r="C54" s="23"/>
      <c r="D54" s="23"/>
      <c r="E54" s="23"/>
      <c r="F54" s="24"/>
    </row>
    <row r="55" spans="1:7" ht="21.95" customHeight="1">
      <c r="A55" s="2" t="s">
        <v>1017</v>
      </c>
      <c r="D55" s="12"/>
    </row>
    <row r="56" spans="1:7" ht="21.95" customHeight="1">
      <c r="A56" s="14"/>
      <c r="B56" s="15"/>
      <c r="C56" s="15"/>
      <c r="D56" s="15"/>
      <c r="E56" s="15"/>
      <c r="F56" s="8" t="s">
        <v>991</v>
      </c>
    </row>
    <row r="57" spans="1:7" ht="21.95" customHeight="1">
      <c r="A57" s="587" t="s">
        <v>979</v>
      </c>
      <c r="B57" s="312" t="s">
        <v>980</v>
      </c>
      <c r="C57" s="313" t="s">
        <v>981</v>
      </c>
      <c r="D57" s="313" t="s">
        <v>982</v>
      </c>
      <c r="E57" s="313" t="s">
        <v>983</v>
      </c>
      <c r="F57" s="314" t="s">
        <v>984</v>
      </c>
    </row>
    <row r="58" spans="1:7" ht="21.95" customHeight="1">
      <c r="A58" s="131" t="s">
        <v>989</v>
      </c>
      <c r="B58" s="128">
        <f>+B8</f>
        <v>4908</v>
      </c>
      <c r="C58" s="126">
        <f>+C8</f>
        <v>0</v>
      </c>
      <c r="D58" s="126">
        <f>+D8</f>
        <v>0</v>
      </c>
      <c r="E58" s="126">
        <f>+E8</f>
        <v>0</v>
      </c>
      <c r="F58" s="127"/>
      <c r="G58" s="2">
        <f>B63/B58</f>
        <v>1.1181744091279544</v>
      </c>
    </row>
    <row r="59" spans="1:7" ht="21.95" customHeight="1">
      <c r="A59" s="132" t="s">
        <v>1001</v>
      </c>
      <c r="B59" s="129">
        <f>+B19</f>
        <v>0</v>
      </c>
      <c r="C59" s="121">
        <f>+C19</f>
        <v>0</v>
      </c>
      <c r="D59" s="121">
        <f>+D19</f>
        <v>0</v>
      </c>
      <c r="E59" s="121">
        <f>+E19</f>
        <v>0</v>
      </c>
      <c r="F59" s="122"/>
    </row>
    <row r="60" spans="1:7" ht="21.95" customHeight="1">
      <c r="A60" s="132" t="s">
        <v>1003</v>
      </c>
      <c r="B60" s="129">
        <f>+B30</f>
        <v>460</v>
      </c>
      <c r="C60" s="121">
        <f>+C30</f>
        <v>0</v>
      </c>
      <c r="D60" s="121">
        <f>+D30</f>
        <v>0</v>
      </c>
      <c r="E60" s="121">
        <f>+E30</f>
        <v>0</v>
      </c>
      <c r="F60" s="122"/>
    </row>
    <row r="61" spans="1:7" ht="21.95" customHeight="1">
      <c r="A61" s="132" t="s">
        <v>1006</v>
      </c>
      <c r="B61" s="129">
        <f>+B41</f>
        <v>13</v>
      </c>
      <c r="C61" s="121">
        <f>+C41</f>
        <v>0</v>
      </c>
      <c r="D61" s="121">
        <f>+D41</f>
        <v>0</v>
      </c>
      <c r="E61" s="121">
        <f>+E41</f>
        <v>0</v>
      </c>
      <c r="F61" s="122"/>
    </row>
    <row r="62" spans="1:7" ht="21.95" customHeight="1">
      <c r="A62" s="132" t="s">
        <v>1018</v>
      </c>
      <c r="B62" s="129">
        <f>+B53</f>
        <v>107</v>
      </c>
      <c r="C62" s="121"/>
      <c r="D62" s="121"/>
      <c r="E62" s="121"/>
      <c r="F62" s="122"/>
    </row>
    <row r="63" spans="1:7" ht="21.95" customHeight="1">
      <c r="A63" s="133" t="s">
        <v>1019</v>
      </c>
      <c r="B63" s="130">
        <f>SUM(B58:B62)</f>
        <v>5488</v>
      </c>
      <c r="C63" s="123">
        <f>SUM(C58:C61)</f>
        <v>0</v>
      </c>
      <c r="D63" s="124"/>
      <c r="E63" s="124"/>
      <c r="F63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3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1038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v>1964</v>
      </c>
      <c r="C5" s="101">
        <v>0</v>
      </c>
      <c r="D5" s="101">
        <v>0</v>
      </c>
      <c r="E5" s="101">
        <v>0</v>
      </c>
      <c r="F5" s="102">
        <f>B5*$G$58</f>
        <v>2169.9124683913637</v>
      </c>
      <c r="G5" s="608">
        <f>F5+F8</f>
        <v>2169.9124683913637</v>
      </c>
    </row>
    <row r="6" spans="1:16" ht="23.1" customHeight="1">
      <c r="A6" s="110" t="s">
        <v>986</v>
      </c>
      <c r="B6" s="107">
        <v>3177</v>
      </c>
      <c r="C6" s="96">
        <v>0</v>
      </c>
      <c r="D6" s="96">
        <v>0</v>
      </c>
      <c r="E6" s="96">
        <v>0</v>
      </c>
      <c r="F6" s="102">
        <f>B6*$G$58</f>
        <v>3510.0875316086363</v>
      </c>
      <c r="G6" s="608">
        <f>F6+F7</f>
        <v>3510.0875316086363</v>
      </c>
    </row>
    <row r="7" spans="1:16" ht="23.1" customHeight="1">
      <c r="A7" s="110" t="s">
        <v>987</v>
      </c>
      <c r="B7" s="107">
        <v>0</v>
      </c>
      <c r="C7" s="96">
        <v>0</v>
      </c>
      <c r="D7" s="96">
        <v>0</v>
      </c>
      <c r="E7" s="96">
        <v>0</v>
      </c>
      <c r="F7" s="95"/>
      <c r="G7" s="5"/>
    </row>
    <row r="8" spans="1:16" ht="23.1" customHeight="1">
      <c r="A8" s="111" t="s">
        <v>989</v>
      </c>
      <c r="B8" s="108">
        <f>4836+104+201</f>
        <v>5141</v>
      </c>
      <c r="C8" s="97">
        <v>0</v>
      </c>
      <c r="D8" s="98">
        <v>0</v>
      </c>
      <c r="E8" s="98">
        <v>0</v>
      </c>
      <c r="F8" s="99"/>
      <c r="G8" s="5"/>
    </row>
    <row r="9" spans="1:16" ht="23.1" customHeight="1">
      <c r="A9" s="38" t="s">
        <v>1039</v>
      </c>
      <c r="G9" s="5"/>
    </row>
    <row r="10" spans="1:16" ht="23.1" customHeight="1">
      <c r="A10" s="2" t="s">
        <v>990</v>
      </c>
      <c r="D10" s="12"/>
      <c r="G10" s="5"/>
    </row>
    <row r="11" spans="1:16" ht="23.1" customHeight="1">
      <c r="A11" s="14"/>
      <c r="B11" s="15"/>
      <c r="C11" s="15"/>
      <c r="D11" s="15"/>
      <c r="E11" s="15"/>
      <c r="F11" s="8" t="s">
        <v>991</v>
      </c>
      <c r="G11" s="5"/>
      <c r="H11" s="16" t="s">
        <v>992</v>
      </c>
    </row>
    <row r="12" spans="1:16" ht="23.1" customHeight="1">
      <c r="A12" s="587" t="s">
        <v>979</v>
      </c>
      <c r="B12" s="312" t="s">
        <v>980</v>
      </c>
      <c r="C12" s="313" t="s">
        <v>981</v>
      </c>
      <c r="D12" s="313" t="s">
        <v>982</v>
      </c>
      <c r="E12" s="313" t="s">
        <v>983</v>
      </c>
      <c r="F12" s="314" t="s">
        <v>984</v>
      </c>
      <c r="G12" s="16"/>
      <c r="H12" s="17" t="s">
        <v>993</v>
      </c>
      <c r="I12" s="17" t="s">
        <v>38</v>
      </c>
      <c r="J12" s="17" t="s">
        <v>39</v>
      </c>
      <c r="K12" s="17" t="s">
        <v>994</v>
      </c>
      <c r="L12" s="17" t="s">
        <v>41</v>
      </c>
    </row>
    <row r="13" spans="1:16" ht="23.1" customHeight="1">
      <c r="A13" s="120" t="s">
        <v>995</v>
      </c>
      <c r="B13" s="117">
        <v>0</v>
      </c>
      <c r="C13" s="101">
        <v>0</v>
      </c>
      <c r="D13" s="101">
        <v>0</v>
      </c>
      <c r="E13" s="101">
        <v>0</v>
      </c>
      <c r="F13" s="116"/>
      <c r="G13" s="16"/>
      <c r="H13" s="18">
        <v>50</v>
      </c>
      <c r="I13" s="19">
        <v>3.2400000000000005E-2</v>
      </c>
      <c r="J13" s="19">
        <v>6.4899999999999999E-2</v>
      </c>
      <c r="K13" s="19">
        <v>3.0200000000000001E-2</v>
      </c>
      <c r="L13" s="19">
        <v>1.0800000000000001E-2</v>
      </c>
      <c r="M13" s="20"/>
      <c r="N13" s="20"/>
      <c r="O13" s="20"/>
      <c r="P13" s="20"/>
    </row>
    <row r="14" spans="1:16" ht="23.1" customHeight="1">
      <c r="A14" s="110" t="s">
        <v>996</v>
      </c>
      <c r="B14" s="118">
        <v>0</v>
      </c>
      <c r="C14" s="96">
        <v>0</v>
      </c>
      <c r="D14" s="96">
        <v>0</v>
      </c>
      <c r="E14" s="96">
        <v>0</v>
      </c>
      <c r="F14" s="113"/>
      <c r="G14" s="16"/>
      <c r="H14" s="18">
        <v>100</v>
      </c>
      <c r="I14" s="19">
        <v>3.04E-2</v>
      </c>
      <c r="J14" s="19">
        <v>6.0700000000000004E-2</v>
      </c>
      <c r="K14" s="19">
        <v>2.8500000000000001E-2</v>
      </c>
      <c r="L14" s="19">
        <v>9.0000000000000011E-3</v>
      </c>
      <c r="M14" s="20"/>
      <c r="N14" s="20"/>
      <c r="O14" s="20"/>
      <c r="P14" s="20"/>
    </row>
    <row r="15" spans="1:16" ht="23.1" customHeight="1">
      <c r="A15" s="110" t="s">
        <v>997</v>
      </c>
      <c r="B15" s="118">
        <v>0</v>
      </c>
      <c r="C15" s="96">
        <v>0</v>
      </c>
      <c r="D15" s="96">
        <v>0</v>
      </c>
      <c r="E15" s="96">
        <v>0</v>
      </c>
      <c r="F15" s="113"/>
      <c r="G15" s="16"/>
      <c r="H15" s="18">
        <v>200</v>
      </c>
      <c r="I15" s="19">
        <v>2.4199999999999999E-2</v>
      </c>
      <c r="J15" s="19">
        <v>4.8499999999999995E-2</v>
      </c>
      <c r="K15" s="19">
        <v>2.2599999999999999E-2</v>
      </c>
      <c r="L15" s="19">
        <v>7.1999999999999998E-3</v>
      </c>
      <c r="M15" s="20"/>
      <c r="N15" s="20"/>
      <c r="O15" s="20"/>
      <c r="P15" s="20"/>
    </row>
    <row r="16" spans="1:16" ht="23.1" customHeight="1">
      <c r="A16" s="110" t="s">
        <v>998</v>
      </c>
      <c r="B16" s="118">
        <v>0</v>
      </c>
      <c r="C16" s="96">
        <v>0</v>
      </c>
      <c r="D16" s="96">
        <v>0</v>
      </c>
      <c r="E16" s="96">
        <v>0</v>
      </c>
      <c r="F16" s="113"/>
      <c r="G16" s="16"/>
      <c r="H16" s="18">
        <v>300</v>
      </c>
      <c r="I16" s="19">
        <v>2.2200000000000001E-2</v>
      </c>
      <c r="J16" s="19">
        <v>4.4299999999999999E-2</v>
      </c>
      <c r="K16" s="19">
        <v>2.06E-2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999</v>
      </c>
      <c r="B17" s="118">
        <v>0</v>
      </c>
      <c r="C17" s="96">
        <v>0</v>
      </c>
      <c r="D17" s="96">
        <v>0</v>
      </c>
      <c r="E17" s="96">
        <v>0</v>
      </c>
      <c r="F17" s="113"/>
      <c r="G17" s="16"/>
      <c r="H17" s="18">
        <v>500</v>
      </c>
      <c r="I17" s="19">
        <v>2.0099999999999996E-2</v>
      </c>
      <c r="J17" s="19">
        <v>4.0300000000000002E-2</v>
      </c>
      <c r="K17" s="19">
        <v>1.89E-2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1000</v>
      </c>
      <c r="B18" s="118">
        <v>0</v>
      </c>
      <c r="C18" s="96">
        <v>0</v>
      </c>
      <c r="D18" s="96">
        <v>0</v>
      </c>
      <c r="E18" s="96">
        <v>0</v>
      </c>
      <c r="F18" s="113"/>
      <c r="G18" s="16"/>
      <c r="H18" s="18">
        <v>1000</v>
      </c>
      <c r="I18" s="19">
        <v>1.77E-2</v>
      </c>
      <c r="J18" s="19">
        <v>3.5499999999999997E-2</v>
      </c>
      <c r="K18" s="19">
        <v>1.66E-2</v>
      </c>
      <c r="L18" s="19">
        <v>6.3E-3</v>
      </c>
      <c r="M18" s="20"/>
      <c r="N18" s="20"/>
      <c r="O18" s="20"/>
      <c r="P18" s="20"/>
    </row>
    <row r="19" spans="1:17" ht="23.1" customHeight="1">
      <c r="A19" s="111" t="s">
        <v>1001</v>
      </c>
      <c r="B19" s="108">
        <f>+ROUND(B13*B18,0)</f>
        <v>0</v>
      </c>
      <c r="C19" s="97">
        <f>+ROUND(C13*C18,0)</f>
        <v>0</v>
      </c>
      <c r="D19" s="98">
        <v>0</v>
      </c>
      <c r="E19" s="98">
        <v>0</v>
      </c>
      <c r="F19" s="114"/>
      <c r="G19" s="16"/>
      <c r="H19" s="18">
        <v>2000</v>
      </c>
      <c r="I19" s="19">
        <v>1.6299999999999999E-2</v>
      </c>
      <c r="J19" s="19">
        <v>3.27E-2</v>
      </c>
      <c r="K19" s="19">
        <v>1.5300000000000001E-2</v>
      </c>
      <c r="L19" s="19">
        <v>3.5999999999999999E-3</v>
      </c>
      <c r="M19" s="20"/>
      <c r="N19" s="20"/>
      <c r="O19" s="20"/>
      <c r="P19" s="20"/>
    </row>
    <row r="20" spans="1:17" ht="23.1" customHeight="1">
      <c r="A20" s="21"/>
      <c r="B20" s="22"/>
      <c r="C20" s="22"/>
      <c r="D20" s="23"/>
      <c r="E20" s="23"/>
      <c r="F20" s="24"/>
      <c r="G20" s="16"/>
      <c r="H20" s="18">
        <v>3000</v>
      </c>
      <c r="I20" s="19">
        <v>1.5700000000000002E-2</v>
      </c>
      <c r="J20" s="19">
        <v>3.15E-2</v>
      </c>
      <c r="K20" s="19">
        <v>1.4800000000000001E-2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" t="s">
        <v>1002</v>
      </c>
      <c r="G21" s="16"/>
      <c r="H21" s="18">
        <v>5000</v>
      </c>
      <c r="I21" s="19">
        <v>1.54E-2</v>
      </c>
      <c r="J21" s="19">
        <v>3.0899999999999997E-2</v>
      </c>
      <c r="K21" s="19">
        <v>1.4499999999999999E-2</v>
      </c>
      <c r="L21" s="19">
        <v>2.7000000000000001E-3</v>
      </c>
      <c r="M21" s="20"/>
      <c r="N21" s="20"/>
      <c r="O21" s="20"/>
      <c r="P21" s="20"/>
    </row>
    <row r="22" spans="1:17" ht="23.1" customHeight="1">
      <c r="A22" s="14"/>
      <c r="B22" s="15"/>
      <c r="C22" s="15"/>
      <c r="D22" s="15"/>
      <c r="E22" s="15"/>
      <c r="F22" s="8" t="s">
        <v>991</v>
      </c>
      <c r="G22" s="16"/>
      <c r="H22" s="18">
        <v>10000</v>
      </c>
      <c r="I22" s="19">
        <v>1.5100000000000001E-2</v>
      </c>
      <c r="J22" s="19">
        <v>3.0099999999999998E-2</v>
      </c>
      <c r="K22" s="19">
        <v>1.41E-2</v>
      </c>
      <c r="L22" s="19">
        <v>2.5000000000000001E-3</v>
      </c>
      <c r="M22" s="20"/>
      <c r="N22" s="20"/>
      <c r="O22" s="20"/>
      <c r="P22" s="20"/>
    </row>
    <row r="23" spans="1:17" ht="23.1" customHeight="1">
      <c r="A23" s="587" t="s">
        <v>979</v>
      </c>
      <c r="B23" s="312" t="s">
        <v>980</v>
      </c>
      <c r="C23" s="313" t="s">
        <v>981</v>
      </c>
      <c r="D23" s="313" t="s">
        <v>982</v>
      </c>
      <c r="E23" s="313" t="s">
        <v>983</v>
      </c>
      <c r="F23" s="314" t="s">
        <v>984</v>
      </c>
      <c r="G23" s="16"/>
      <c r="H23" s="18">
        <v>20000</v>
      </c>
      <c r="I23" s="19">
        <v>1.46E-2</v>
      </c>
      <c r="J23" s="19">
        <v>2.9100000000000001E-2</v>
      </c>
      <c r="K23" s="19">
        <v>1.37E-2</v>
      </c>
      <c r="L23" s="19">
        <v>2.3E-3</v>
      </c>
      <c r="M23" s="20"/>
      <c r="N23" s="20"/>
      <c r="O23" s="20"/>
      <c r="P23" s="20"/>
    </row>
    <row r="24" spans="1:17" ht="23.1" customHeight="1">
      <c r="A24" s="120" t="s">
        <v>995</v>
      </c>
      <c r="B24" s="117">
        <f>B8</f>
        <v>5141</v>
      </c>
      <c r="C24" s="101">
        <v>0</v>
      </c>
      <c r="D24" s="101">
        <v>0</v>
      </c>
      <c r="E24" s="101">
        <v>0</v>
      </c>
      <c r="F24" s="116"/>
      <c r="G24" s="16"/>
      <c r="H24" s="18">
        <v>30000</v>
      </c>
      <c r="I24" s="19">
        <v>1.4499999999999999E-2</v>
      </c>
      <c r="J24" s="19">
        <v>2.8999999999999998E-2</v>
      </c>
      <c r="K24" s="19">
        <v>1.3500000000000002E-2</v>
      </c>
      <c r="L24" s="19">
        <v>2.3E-3</v>
      </c>
      <c r="M24" s="20"/>
      <c r="N24" s="20"/>
      <c r="O24" s="20"/>
      <c r="P24" s="20"/>
    </row>
    <row r="25" spans="1:17" ht="23.1" customHeight="1">
      <c r="A25" s="110" t="s">
        <v>996</v>
      </c>
      <c r="B25" s="118">
        <f>+I31</f>
        <v>10000</v>
      </c>
      <c r="C25" s="96">
        <v>0</v>
      </c>
      <c r="D25" s="96">
        <v>0</v>
      </c>
      <c r="E25" s="96">
        <v>0</v>
      </c>
      <c r="F25" s="113"/>
      <c r="G25" s="16"/>
      <c r="H25" s="18">
        <v>50000</v>
      </c>
      <c r="I25" s="19">
        <v>1.41E-2</v>
      </c>
      <c r="J25" s="19">
        <v>2.8399999999999998E-2</v>
      </c>
      <c r="K25" s="19">
        <v>1.3300000000000001E-2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997</v>
      </c>
      <c r="B26" s="118">
        <f>+I31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100000</v>
      </c>
      <c r="I26" s="19">
        <v>1.3999999999999999E-2</v>
      </c>
      <c r="J26" s="19">
        <v>2.7900000000000001E-2</v>
      </c>
      <c r="K26" s="19">
        <v>1.3000000000000001E-2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998</v>
      </c>
      <c r="B27" s="141">
        <f>+I32</f>
        <v>9.3699999999999992E-2</v>
      </c>
      <c r="C27" s="96">
        <v>0</v>
      </c>
      <c r="D27" s="96">
        <v>0</v>
      </c>
      <c r="E27" s="96">
        <v>0</v>
      </c>
      <c r="F27" s="113"/>
      <c r="G27" s="25"/>
      <c r="H27" s="18">
        <v>200000</v>
      </c>
      <c r="I27" s="19">
        <v>1.38E-2</v>
      </c>
      <c r="J27" s="19">
        <v>2.76E-2</v>
      </c>
      <c r="K27" s="19">
        <v>1.2800000000000001E-2</v>
      </c>
      <c r="L27" s="19">
        <v>2.0999999999999999E-3</v>
      </c>
      <c r="M27" s="20"/>
      <c r="N27" s="20"/>
      <c r="O27" s="20"/>
      <c r="P27" s="20"/>
    </row>
    <row r="28" spans="1:17" ht="23.1" customHeight="1">
      <c r="A28" s="110" t="s">
        <v>999</v>
      </c>
      <c r="B28" s="141">
        <f>+I32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300000</v>
      </c>
      <c r="I28" s="19">
        <v>1.37E-2</v>
      </c>
      <c r="J28" s="19">
        <v>2.7200000000000002E-2</v>
      </c>
      <c r="K28" s="19">
        <v>1.2500000000000001E-2</v>
      </c>
      <c r="L28" s="19">
        <v>1.9E-3</v>
      </c>
      <c r="M28" s="20"/>
      <c r="N28" s="20"/>
      <c r="O28" s="20"/>
      <c r="P28" s="20"/>
    </row>
    <row r="29" spans="1:17" ht="23.1" customHeight="1">
      <c r="A29" s="110" t="s">
        <v>1000</v>
      </c>
      <c r="B29" s="141">
        <f>+I32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500000</v>
      </c>
      <c r="I29" s="19">
        <v>1.34E-2</v>
      </c>
      <c r="J29" s="19">
        <v>2.7000000000000003E-2</v>
      </c>
      <c r="K29" s="19">
        <v>1.23E-2</v>
      </c>
      <c r="L29" s="19">
        <v>1.7000000000000001E-3</v>
      </c>
      <c r="M29" s="20"/>
      <c r="N29" s="20"/>
      <c r="O29" s="20"/>
      <c r="P29" s="20"/>
    </row>
    <row r="30" spans="1:17" ht="23.1" customHeight="1">
      <c r="A30" s="111" t="s">
        <v>1003</v>
      </c>
      <c r="B30" s="108">
        <f>+ROUND(B24*B29,0)</f>
        <v>482</v>
      </c>
      <c r="C30" s="97">
        <f>+ROUND(C24*C29,0)</f>
        <v>0</v>
      </c>
      <c r="D30" s="98">
        <v>0</v>
      </c>
      <c r="E30" s="98">
        <v>0</v>
      </c>
      <c r="F30" s="114"/>
      <c r="G30" s="9"/>
      <c r="H30" s="9" t="s">
        <v>1004</v>
      </c>
    </row>
    <row r="31" spans="1:17" ht="23.1" customHeight="1">
      <c r="A31" s="30"/>
      <c r="B31" s="31"/>
      <c r="C31" s="31"/>
      <c r="D31" s="32"/>
      <c r="E31" s="28"/>
      <c r="F31" s="33"/>
      <c r="G31" s="9"/>
      <c r="H31" s="17" t="s">
        <v>993</v>
      </c>
      <c r="I31" s="34">
        <v>10000</v>
      </c>
      <c r="J31" s="34">
        <v>20000</v>
      </c>
      <c r="K31" s="34">
        <v>30000</v>
      </c>
      <c r="L31" s="34">
        <v>40000</v>
      </c>
      <c r="M31" s="34">
        <v>50000</v>
      </c>
      <c r="N31" s="34">
        <v>70000</v>
      </c>
      <c r="O31" s="34">
        <v>100000</v>
      </c>
      <c r="P31" s="34">
        <v>150000</v>
      </c>
      <c r="Q31" s="34">
        <v>200000</v>
      </c>
    </row>
    <row r="32" spans="1:17" ht="21.95" customHeight="1">
      <c r="A32" s="2" t="s">
        <v>1005</v>
      </c>
      <c r="D32" s="12"/>
      <c r="G32" s="9"/>
      <c r="H32" s="17" t="s">
        <v>53</v>
      </c>
      <c r="I32" s="19">
        <v>9.3699999999999992E-2</v>
      </c>
      <c r="J32" s="19">
        <v>7.4999999999999997E-2</v>
      </c>
      <c r="K32" s="19">
        <v>6.5199999999999994E-2</v>
      </c>
      <c r="L32" s="19">
        <v>5.8799999999999998E-2</v>
      </c>
      <c r="M32" s="19">
        <v>5.4299999999999994E-2</v>
      </c>
      <c r="N32" s="19">
        <v>4.9100000000000005E-2</v>
      </c>
      <c r="O32" s="19">
        <v>4.4600000000000001E-2</v>
      </c>
      <c r="P32" s="19">
        <v>3.9199999999999999E-2</v>
      </c>
      <c r="Q32" s="19">
        <v>3.5299999999999998E-2</v>
      </c>
    </row>
    <row r="33" spans="1:17" ht="21.95" customHeight="1">
      <c r="A33" s="14"/>
      <c r="B33" s="15"/>
      <c r="C33" s="15"/>
      <c r="D33" s="15"/>
      <c r="E33" s="15"/>
      <c r="F33" s="8" t="s">
        <v>991</v>
      </c>
      <c r="G33" s="9"/>
      <c r="H33" s="9"/>
      <c r="I33" s="20"/>
      <c r="J33" s="20"/>
      <c r="K33" s="20"/>
      <c r="L33" s="20"/>
      <c r="M33" s="20"/>
      <c r="N33" s="20"/>
      <c r="O33" s="20"/>
      <c r="P33" s="20"/>
      <c r="Q33" s="20"/>
    </row>
    <row r="34" spans="1:17" ht="21.95" customHeight="1">
      <c r="A34" s="587" t="s">
        <v>979</v>
      </c>
      <c r="B34" s="312" t="s">
        <v>980</v>
      </c>
      <c r="C34" s="313" t="s">
        <v>981</v>
      </c>
      <c r="D34" s="313" t="s">
        <v>982</v>
      </c>
      <c r="E34" s="313" t="s">
        <v>983</v>
      </c>
      <c r="F34" s="314" t="s">
        <v>984</v>
      </c>
      <c r="G34" s="9"/>
      <c r="H34" s="9"/>
    </row>
    <row r="35" spans="1:17" ht="21.95" customHeight="1">
      <c r="A35" s="120" t="s">
        <v>995</v>
      </c>
      <c r="B35" s="117">
        <f>B24</f>
        <v>5141</v>
      </c>
      <c r="C35" s="101">
        <v>0</v>
      </c>
      <c r="D35" s="101">
        <v>0</v>
      </c>
      <c r="E35" s="101">
        <v>0</v>
      </c>
      <c r="F35" s="116"/>
      <c r="G35" s="9"/>
      <c r="H35" s="9"/>
    </row>
    <row r="36" spans="1:17" ht="21.95" customHeight="1">
      <c r="A36" s="110" t="s">
        <v>996</v>
      </c>
      <c r="B36" s="118">
        <f>H21</f>
        <v>5000</v>
      </c>
      <c r="C36" s="96">
        <v>0</v>
      </c>
      <c r="D36" s="96">
        <v>0</v>
      </c>
      <c r="E36" s="96">
        <v>0</v>
      </c>
      <c r="F36" s="113"/>
      <c r="G36" s="9"/>
    </row>
    <row r="37" spans="1:17" ht="21.95" customHeight="1">
      <c r="A37" s="110" t="s">
        <v>997</v>
      </c>
      <c r="B37" s="118">
        <f>H22</f>
        <v>10000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998</v>
      </c>
      <c r="B38" s="141">
        <f>L21</f>
        <v>2.7000000000000001E-3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999</v>
      </c>
      <c r="B39" s="141">
        <f>L22</f>
        <v>2.5000000000000001E-3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1000</v>
      </c>
      <c r="B40" s="141">
        <f>B38+((B39-B38)/(B37-B36))*(B35-B36)</f>
        <v>2.6943600000000002E-3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1" t="s">
        <v>1006</v>
      </c>
      <c r="B41" s="108">
        <f>+ROUND(B35*B40,0)</f>
        <v>14</v>
      </c>
      <c r="C41" s="97">
        <f>+ROUND(C35*C40,0)</f>
        <v>0</v>
      </c>
      <c r="D41" s="98">
        <v>0</v>
      </c>
      <c r="E41" s="98">
        <v>0</v>
      </c>
      <c r="F41" s="114"/>
    </row>
    <row r="42" spans="1:17" ht="21.95" customHeight="1"/>
    <row r="43" spans="1:17" ht="21.95" customHeight="1">
      <c r="A43" s="2" t="s">
        <v>1007</v>
      </c>
      <c r="D43" s="12"/>
    </row>
    <row r="44" spans="1:17" ht="21.95" customHeight="1">
      <c r="A44" s="78" t="s">
        <v>1008</v>
      </c>
      <c r="D44" s="12"/>
    </row>
    <row r="45" spans="1:17" ht="21.95" customHeight="1">
      <c r="A45" s="2" t="s">
        <v>1009</v>
      </c>
      <c r="D45" s="12"/>
    </row>
    <row r="46" spans="1:17" ht="21.95" customHeight="1">
      <c r="A46" s="78" t="s">
        <v>1010</v>
      </c>
      <c r="B46" s="2" t="s">
        <v>1011</v>
      </c>
      <c r="D46" s="12"/>
    </row>
    <row r="47" spans="1:17" ht="21.95" customHeight="1">
      <c r="A47" s="78" t="s">
        <v>1012</v>
      </c>
      <c r="D47" s="12"/>
    </row>
    <row r="48" spans="1:17" ht="21.95" customHeight="1">
      <c r="A48" s="14"/>
      <c r="B48" s="15"/>
      <c r="C48" s="15"/>
      <c r="D48" s="15"/>
      <c r="E48" s="15"/>
      <c r="F48" s="8"/>
    </row>
    <row r="49" spans="1:7" ht="21.95" customHeight="1">
      <c r="A49" s="587" t="s">
        <v>979</v>
      </c>
      <c r="B49" s="312" t="s">
        <v>980</v>
      </c>
      <c r="C49" s="313" t="s">
        <v>981</v>
      </c>
      <c r="D49" s="313" t="s">
        <v>982</v>
      </c>
      <c r="E49" s="313" t="s">
        <v>983</v>
      </c>
      <c r="F49" s="314" t="s">
        <v>984</v>
      </c>
    </row>
    <row r="50" spans="1:7" ht="21.95" customHeight="1">
      <c r="A50" s="120" t="s">
        <v>1013</v>
      </c>
      <c r="B50" s="190">
        <f>6.084*0.13^0.57*1000</f>
        <v>1901.6777106107509</v>
      </c>
      <c r="C50" s="101">
        <v>0</v>
      </c>
      <c r="D50" s="101">
        <v>0</v>
      </c>
      <c r="E50" s="101">
        <v>0</v>
      </c>
      <c r="F50" s="116"/>
    </row>
    <row r="51" spans="1:7" ht="21.95" customHeight="1">
      <c r="A51" s="110" t="s">
        <v>1014</v>
      </c>
      <c r="B51" s="118">
        <v>7590</v>
      </c>
      <c r="C51" s="96">
        <v>0</v>
      </c>
      <c r="D51" s="96">
        <v>0</v>
      </c>
      <c r="E51" s="96">
        <v>0</v>
      </c>
      <c r="F51" s="113"/>
    </row>
    <row r="52" spans="1:7" ht="21.95" customHeight="1">
      <c r="A52" s="110" t="s">
        <v>1015</v>
      </c>
      <c r="B52" s="118">
        <f>+ROUND(B51*3,0)</f>
        <v>22770</v>
      </c>
      <c r="C52" s="96"/>
      <c r="D52" s="96"/>
      <c r="E52" s="96"/>
      <c r="F52" s="113"/>
    </row>
    <row r="53" spans="1:7" ht="21.95" customHeight="1">
      <c r="A53" s="189" t="s">
        <v>1016</v>
      </c>
      <c r="B53" s="188">
        <f>+ROUND(B50*B52/1000000,0)</f>
        <v>43</v>
      </c>
      <c r="C53" s="137">
        <v>0</v>
      </c>
      <c r="D53" s="137">
        <v>0</v>
      </c>
      <c r="E53" s="137">
        <v>0</v>
      </c>
      <c r="F53" s="187"/>
    </row>
    <row r="54" spans="1:7" ht="21.95" customHeight="1">
      <c r="A54" s="21"/>
      <c r="B54" s="22"/>
      <c r="C54" s="23"/>
      <c r="D54" s="23"/>
      <c r="E54" s="23"/>
      <c r="F54" s="24"/>
    </row>
    <row r="55" spans="1:7" ht="21.95" customHeight="1">
      <c r="A55" s="2" t="s">
        <v>1017</v>
      </c>
      <c r="D55" s="12"/>
    </row>
    <row r="56" spans="1:7" ht="21.95" customHeight="1">
      <c r="A56" s="14"/>
      <c r="B56" s="15"/>
      <c r="C56" s="15"/>
      <c r="D56" s="15"/>
      <c r="E56" s="15"/>
      <c r="F56" s="8" t="s">
        <v>991</v>
      </c>
    </row>
    <row r="57" spans="1:7" ht="21.95" customHeight="1">
      <c r="A57" s="587" t="s">
        <v>979</v>
      </c>
      <c r="B57" s="312" t="s">
        <v>980</v>
      </c>
      <c r="C57" s="313" t="s">
        <v>981</v>
      </c>
      <c r="D57" s="313" t="s">
        <v>982</v>
      </c>
      <c r="E57" s="313" t="s">
        <v>983</v>
      </c>
      <c r="F57" s="314" t="s">
        <v>984</v>
      </c>
    </row>
    <row r="58" spans="1:7" ht="21.95" customHeight="1">
      <c r="A58" s="131" t="s">
        <v>989</v>
      </c>
      <c r="B58" s="128">
        <f>+B8</f>
        <v>5141</v>
      </c>
      <c r="C58" s="126">
        <f>+C8</f>
        <v>0</v>
      </c>
      <c r="D58" s="126">
        <f>+D8</f>
        <v>0</v>
      </c>
      <c r="E58" s="126">
        <f>+E8</f>
        <v>0</v>
      </c>
      <c r="F58" s="127"/>
      <c r="G58" s="2">
        <f>B63/B58</f>
        <v>1.1048434156778837</v>
      </c>
    </row>
    <row r="59" spans="1:7" ht="21.95" customHeight="1">
      <c r="A59" s="132" t="s">
        <v>1001</v>
      </c>
      <c r="B59" s="129">
        <f>+B19</f>
        <v>0</v>
      </c>
      <c r="C59" s="121">
        <f>+C19</f>
        <v>0</v>
      </c>
      <c r="D59" s="121">
        <f>+D19</f>
        <v>0</v>
      </c>
      <c r="E59" s="121">
        <f>+E19</f>
        <v>0</v>
      </c>
      <c r="F59" s="122"/>
    </row>
    <row r="60" spans="1:7" ht="21.95" customHeight="1">
      <c r="A60" s="132" t="s">
        <v>1040</v>
      </c>
      <c r="B60" s="129">
        <f>+B30</f>
        <v>482</v>
      </c>
      <c r="C60" s="121">
        <f>+C30</f>
        <v>0</v>
      </c>
      <c r="D60" s="121">
        <f>+D30</f>
        <v>0</v>
      </c>
      <c r="E60" s="121">
        <f>+E30</f>
        <v>0</v>
      </c>
      <c r="F60" s="122"/>
    </row>
    <row r="61" spans="1:7" ht="21.95" customHeight="1">
      <c r="A61" s="132" t="s">
        <v>1006</v>
      </c>
      <c r="B61" s="129">
        <f>+B41</f>
        <v>14</v>
      </c>
      <c r="C61" s="121">
        <f>+C41</f>
        <v>0</v>
      </c>
      <c r="D61" s="121">
        <f>+D41</f>
        <v>0</v>
      </c>
      <c r="E61" s="121">
        <f>+E41</f>
        <v>0</v>
      </c>
      <c r="F61" s="122"/>
    </row>
    <row r="62" spans="1:7" ht="21.95" customHeight="1">
      <c r="A62" s="132" t="s">
        <v>1018</v>
      </c>
      <c r="B62" s="129">
        <f>+B53</f>
        <v>43</v>
      </c>
      <c r="C62" s="121"/>
      <c r="D62" s="121"/>
      <c r="E62" s="121"/>
      <c r="F62" s="122"/>
    </row>
    <row r="63" spans="1:7" ht="21.95" customHeight="1">
      <c r="A63" s="133" t="s">
        <v>1019</v>
      </c>
      <c r="B63" s="130">
        <f>SUM(B58:B62)</f>
        <v>5680</v>
      </c>
      <c r="C63" s="123">
        <f>SUM(C58:C61)</f>
        <v>0</v>
      </c>
      <c r="D63" s="124"/>
      <c r="E63" s="124"/>
      <c r="F63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1041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+'가.공사비산출(주천)'!D13</f>
        <v>998</v>
      </c>
      <c r="C5" s="101">
        <v>0</v>
      </c>
      <c r="D5" s="101">
        <v>0</v>
      </c>
      <c r="E5" s="101">
        <v>0</v>
      </c>
      <c r="F5" s="102">
        <f>B5*$G$59</f>
        <v>1150.9840800919087</v>
      </c>
      <c r="G5" s="608">
        <f>F5+F8</f>
        <v>1150.9840800919087</v>
      </c>
    </row>
    <row r="6" spans="1:16" ht="23.1" customHeight="1">
      <c r="A6" s="110" t="s">
        <v>986</v>
      </c>
      <c r="B6" s="107">
        <f>+'가.공사비산출(주천)'!E21</f>
        <v>4303</v>
      </c>
      <c r="C6" s="96">
        <v>0</v>
      </c>
      <c r="D6" s="96">
        <v>0</v>
      </c>
      <c r="E6" s="96">
        <v>0</v>
      </c>
      <c r="F6" s="102">
        <f>B6*$G$59</f>
        <v>4962.609716067619</v>
      </c>
      <c r="G6" s="608">
        <f>F6+F7</f>
        <v>5876.0159199080917</v>
      </c>
    </row>
    <row r="7" spans="1:16" ht="23.1" customHeight="1">
      <c r="A7" s="110" t="s">
        <v>987</v>
      </c>
      <c r="B7" s="107">
        <f>+'가.공사비산출(주천)'!E27</f>
        <v>792</v>
      </c>
      <c r="C7" s="96">
        <v>0</v>
      </c>
      <c r="D7" s="96">
        <v>0</v>
      </c>
      <c r="E7" s="96">
        <v>0</v>
      </c>
      <c r="F7" s="102">
        <f>B7*$G$59</f>
        <v>913.4062038404727</v>
      </c>
      <c r="G7" s="5"/>
    </row>
    <row r="8" spans="1:16" ht="23.1" customHeight="1">
      <c r="A8" s="436" t="s">
        <v>988</v>
      </c>
      <c r="B8" s="107">
        <f>+'가.공사비산출(주천)'!E33</f>
        <v>0</v>
      </c>
      <c r="C8" s="96">
        <v>0</v>
      </c>
      <c r="D8" s="96">
        <v>0</v>
      </c>
      <c r="E8" s="96">
        <v>0</v>
      </c>
      <c r="F8" s="102">
        <f>B8*$G$59</f>
        <v>0</v>
      </c>
      <c r="G8" s="5"/>
    </row>
    <row r="9" spans="1:16" ht="23.1" customHeight="1">
      <c r="A9" s="111" t="s">
        <v>989</v>
      </c>
      <c r="B9" s="108">
        <f>SUM(B5:B8)</f>
        <v>6093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6093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4.163260000000002E-2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254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6093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571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6093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22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1103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26200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78600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87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6093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1.1532906614147382</v>
      </c>
    </row>
    <row r="60" spans="1:7" ht="21.95" customHeight="1">
      <c r="A60" s="132" t="s">
        <v>1001</v>
      </c>
      <c r="B60" s="129">
        <f>+B20</f>
        <v>254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571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22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87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7027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zoomScale="115" zoomScaleNormal="100" zoomScaleSheetLayoutView="115" workbookViewId="0"/>
    <sheetView workbookViewId="1"/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8" t="s">
        <v>64</v>
      </c>
      <c r="N3" s="978" t="s">
        <v>1022</v>
      </c>
      <c r="O3" s="978" t="s">
        <v>66</v>
      </c>
      <c r="P3" s="978"/>
      <c r="Q3" s="1012" t="s">
        <v>64</v>
      </c>
      <c r="R3" s="978" t="s">
        <v>1022</v>
      </c>
      <c r="S3" s="978" t="s">
        <v>66</v>
      </c>
      <c r="T3" s="978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8"/>
      <c r="N4" s="978"/>
      <c r="O4" s="592" t="s">
        <v>67</v>
      </c>
      <c r="P4" s="592" t="s">
        <v>68</v>
      </c>
      <c r="Q4" s="1012"/>
      <c r="R4" s="978"/>
      <c r="S4" s="592" t="s">
        <v>67</v>
      </c>
      <c r="T4" s="59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8" t="s">
        <v>69</v>
      </c>
      <c r="N5" s="662">
        <v>300</v>
      </c>
      <c r="O5" s="609">
        <v>512740</v>
      </c>
      <c r="P5" s="609">
        <v>782541</v>
      </c>
      <c r="Q5" s="993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8"/>
      <c r="N6" s="662">
        <v>400</v>
      </c>
      <c r="O6" s="609">
        <v>580188</v>
      </c>
      <c r="P6" s="609">
        <v>859007</v>
      </c>
      <c r="Q6" s="994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8"/>
      <c r="N7" s="662">
        <v>500</v>
      </c>
      <c r="O7" s="609">
        <v>624861</v>
      </c>
      <c r="P7" s="609">
        <v>912820</v>
      </c>
      <c r="Q7" s="994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8"/>
      <c r="N8" s="662">
        <v>600</v>
      </c>
      <c r="O8" s="609">
        <v>705821</v>
      </c>
      <c r="P8" s="609">
        <v>1016585</v>
      </c>
      <c r="Q8" s="994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8"/>
      <c r="N9" s="662">
        <v>700</v>
      </c>
      <c r="O9" s="609">
        <v>782918</v>
      </c>
      <c r="P9" s="609">
        <v>1102578</v>
      </c>
      <c r="Q9" s="994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8"/>
      <c r="N10" s="662">
        <v>800</v>
      </c>
      <c r="O10" s="609">
        <v>854676</v>
      </c>
      <c r="P10" s="609">
        <v>1183365</v>
      </c>
      <c r="Q10" s="994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96" t="s">
        <v>1028</v>
      </c>
      <c r="B11" s="997"/>
      <c r="C11" s="998"/>
      <c r="D11" s="999" t="s">
        <v>980</v>
      </c>
      <c r="E11" s="1000"/>
      <c r="F11" s="1000" t="s">
        <v>981</v>
      </c>
      <c r="G11" s="1000"/>
      <c r="H11" s="1000" t="s">
        <v>982</v>
      </c>
      <c r="I11" s="1000"/>
      <c r="J11" s="1000" t="s">
        <v>983</v>
      </c>
      <c r="K11" s="1001"/>
      <c r="L11" s="493"/>
      <c r="M11" s="978"/>
      <c r="N11" s="662">
        <v>900</v>
      </c>
      <c r="O11" s="609">
        <v>945775</v>
      </c>
      <c r="P11" s="609">
        <v>1283451</v>
      </c>
      <c r="Q11" s="994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1002" t="s">
        <v>1029</v>
      </c>
      <c r="B12" s="1003"/>
      <c r="C12" s="1004"/>
      <c r="D12" s="1005">
        <v>90</v>
      </c>
      <c r="E12" s="1006"/>
      <c r="F12" s="1006">
        <v>0</v>
      </c>
      <c r="G12" s="1006"/>
      <c r="H12" s="1006">
        <v>0</v>
      </c>
      <c r="I12" s="1006"/>
      <c r="J12" s="1006">
        <v>0</v>
      </c>
      <c r="K12" s="1007"/>
      <c r="L12" s="493"/>
      <c r="M12" s="978"/>
      <c r="N12" s="662">
        <v>1000</v>
      </c>
      <c r="O12" s="609">
        <v>1051853</v>
      </c>
      <c r="P12" s="609">
        <v>1398649</v>
      </c>
      <c r="Q12" s="994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1008" t="s">
        <v>1030</v>
      </c>
      <c r="B13" s="1009"/>
      <c r="C13" s="1010"/>
      <c r="D13" s="1011">
        <f>+ROUND(35.616*D12^0.7408,0)</f>
        <v>998</v>
      </c>
      <c r="E13" s="987"/>
      <c r="F13" s="987">
        <f>+ROUND(35.616*F12^0.7408,0)</f>
        <v>0</v>
      </c>
      <c r="G13" s="987"/>
      <c r="H13" s="987">
        <f>+ROUND(35.616*H12^0.7408,0)</f>
        <v>0</v>
      </c>
      <c r="I13" s="987"/>
      <c r="J13" s="987">
        <f>+ROUND(35.616*J12^0.7408,0)</f>
        <v>0</v>
      </c>
      <c r="K13" s="988"/>
      <c r="L13" s="493"/>
      <c r="M13" s="978"/>
      <c r="N13" s="662">
        <v>1100</v>
      </c>
      <c r="O13" s="609">
        <v>1188358</v>
      </c>
      <c r="P13" s="609">
        <v>1557399</v>
      </c>
      <c r="Q13" s="994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8"/>
      <c r="N14" s="662">
        <v>1200</v>
      </c>
      <c r="O14" s="609">
        <v>1313909</v>
      </c>
      <c r="P14" s="609">
        <v>1691805</v>
      </c>
      <c r="Q14" s="995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8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8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79" t="s">
        <v>979</v>
      </c>
      <c r="B17" s="989" t="s">
        <v>1032</v>
      </c>
      <c r="C17" s="983" t="s">
        <v>1033</v>
      </c>
      <c r="D17" s="985" t="s">
        <v>980</v>
      </c>
      <c r="E17" s="980"/>
      <c r="F17" s="980" t="s">
        <v>981</v>
      </c>
      <c r="G17" s="980"/>
      <c r="H17" s="980" t="s">
        <v>982</v>
      </c>
      <c r="I17" s="980"/>
      <c r="J17" s="980" t="s">
        <v>983</v>
      </c>
      <c r="K17" s="986"/>
      <c r="L17" s="493"/>
      <c r="M17" s="978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981"/>
      <c r="B18" s="990"/>
      <c r="C18" s="98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8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991" t="s">
        <v>989</v>
      </c>
      <c r="B19" s="496">
        <v>80</v>
      </c>
      <c r="C19" s="497">
        <f>+T5</f>
        <v>309684</v>
      </c>
      <c r="D19" s="117">
        <v>0</v>
      </c>
      <c r="E19" s="115">
        <f>+ROUND($C19*D19/1000000,0)</f>
        <v>0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8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992"/>
      <c r="B20" s="462">
        <v>200</v>
      </c>
      <c r="C20" s="463">
        <f>+P26</f>
        <v>737848</v>
      </c>
      <c r="D20" s="498">
        <v>5832</v>
      </c>
      <c r="E20" s="112">
        <f>+ROUND($C20*D20/1000000,0)</f>
        <v>4303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8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981"/>
      <c r="B21" s="483" t="s">
        <v>406</v>
      </c>
      <c r="C21" s="484"/>
      <c r="D21" s="188">
        <f t="shared" ref="D21:K21" si="0">SUM(D19:D20)</f>
        <v>5832</v>
      </c>
      <c r="E21" s="499">
        <f t="shared" si="0"/>
        <v>4303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8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8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8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8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79" t="s">
        <v>209</v>
      </c>
      <c r="B25" s="980"/>
      <c r="C25" s="983" t="s">
        <v>103</v>
      </c>
      <c r="D25" s="985" t="s">
        <v>9</v>
      </c>
      <c r="E25" s="980"/>
      <c r="F25" s="980" t="s">
        <v>10</v>
      </c>
      <c r="G25" s="980"/>
      <c r="H25" s="980" t="s">
        <v>34</v>
      </c>
      <c r="I25" s="980"/>
      <c r="J25" s="980" t="s">
        <v>12</v>
      </c>
      <c r="K25" s="986"/>
      <c r="L25" s="493"/>
      <c r="M25" s="978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981"/>
      <c r="B26" s="982"/>
      <c r="C26" s="98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8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976" t="s">
        <v>211</v>
      </c>
      <c r="B27" s="977"/>
      <c r="C27" s="500">
        <f>'가.공사비산출(한벌)'!C27</f>
        <v>3600000</v>
      </c>
      <c r="D27" s="501">
        <v>220</v>
      </c>
      <c r="E27" s="502">
        <f>+ROUND($C27*D27/1000000,0)</f>
        <v>792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8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8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8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8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79" t="s">
        <v>209</v>
      </c>
      <c r="B31" s="980"/>
      <c r="C31" s="983" t="s">
        <v>157</v>
      </c>
      <c r="D31" s="985" t="s">
        <v>9</v>
      </c>
      <c r="E31" s="980"/>
      <c r="F31" s="980" t="s">
        <v>10</v>
      </c>
      <c r="G31" s="980"/>
      <c r="H31" s="980" t="s">
        <v>34</v>
      </c>
      <c r="I31" s="980"/>
      <c r="J31" s="980" t="s">
        <v>12</v>
      </c>
      <c r="K31" s="986"/>
      <c r="L31" s="493"/>
      <c r="M31" s="978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981"/>
      <c r="B32" s="982"/>
      <c r="C32" s="98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8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976" t="s">
        <v>211</v>
      </c>
      <c r="B33" s="977"/>
      <c r="C33" s="504">
        <v>0</v>
      </c>
      <c r="D33" s="501">
        <v>0</v>
      </c>
      <c r="E33" s="502">
        <f>+ROUND(0.0292*(C33*60*24)+83.662,0)*D33</f>
        <v>0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8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8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8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8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8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8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8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8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8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8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8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8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8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8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8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8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8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8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8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S3:T3"/>
    <mergeCell ref="M3:M4"/>
    <mergeCell ref="N3:N4"/>
    <mergeCell ref="O3:P3"/>
    <mergeCell ref="Q3:Q4"/>
    <mergeCell ref="R3:R4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</mergeCells>
  <phoneticPr fontId="4" type="noConversion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64"/>
  <sheetViews>
    <sheetView view="pageBreakPreview" zoomScaleNormal="85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" width="9" style="2"/>
    <col min="25" max="25" width="9" style="2" customWidth="1"/>
    <col min="26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6" ht="23.1" customHeight="1">
      <c r="A1" s="1" t="s">
        <v>1078</v>
      </c>
      <c r="G1" s="3"/>
      <c r="H1" s="3"/>
    </row>
    <row r="2" spans="1:16" ht="23.1" customHeight="1">
      <c r="A2" s="2" t="s">
        <v>977</v>
      </c>
      <c r="G2" s="5"/>
    </row>
    <row r="3" spans="1:16" ht="23.1" customHeight="1">
      <c r="F3" s="8" t="s">
        <v>978</v>
      </c>
      <c r="G3" s="5"/>
    </row>
    <row r="4" spans="1:16" ht="23.1" customHeight="1">
      <c r="A4" s="587" t="s">
        <v>979</v>
      </c>
      <c r="B4" s="312" t="s">
        <v>980</v>
      </c>
      <c r="C4" s="313" t="s">
        <v>981</v>
      </c>
      <c r="D4" s="313" t="s">
        <v>982</v>
      </c>
      <c r="E4" s="313" t="s">
        <v>983</v>
      </c>
      <c r="F4" s="314" t="s">
        <v>984</v>
      </c>
      <c r="G4" s="5"/>
    </row>
    <row r="5" spans="1:16" ht="23.1" customHeight="1">
      <c r="A5" s="109" t="s">
        <v>985</v>
      </c>
      <c r="B5" s="106">
        <f>+'가.공사비산출(본대)'!D13</f>
        <v>998</v>
      </c>
      <c r="C5" s="101">
        <v>0</v>
      </c>
      <c r="D5" s="101">
        <v>0</v>
      </c>
      <c r="E5" s="101">
        <v>0</v>
      </c>
      <c r="F5" s="102">
        <f>B5*$G$59</f>
        <v>1169.0464924346632</v>
      </c>
      <c r="G5" s="608">
        <f>F5+F8</f>
        <v>1169.0464924346632</v>
      </c>
    </row>
    <row r="6" spans="1:16" ht="23.1" customHeight="1">
      <c r="A6" s="110" t="s">
        <v>986</v>
      </c>
      <c r="B6" s="107">
        <f>+'가.공사비산출(본대)'!E21</f>
        <v>1780</v>
      </c>
      <c r="C6" s="96">
        <v>0</v>
      </c>
      <c r="D6" s="96">
        <v>0</v>
      </c>
      <c r="E6" s="96">
        <v>0</v>
      </c>
      <c r="F6" s="102">
        <f>B6*$G$59</f>
        <v>2085.0729023383769</v>
      </c>
      <c r="G6" s="608">
        <f>F6+F7</f>
        <v>3088.9535075653371</v>
      </c>
    </row>
    <row r="7" spans="1:16" ht="23.1" customHeight="1">
      <c r="A7" s="110" t="s">
        <v>987</v>
      </c>
      <c r="B7" s="107">
        <f>+'가.공사비산출(본대)'!E27</f>
        <v>857</v>
      </c>
      <c r="C7" s="96">
        <v>0</v>
      </c>
      <c r="D7" s="96">
        <v>0</v>
      </c>
      <c r="E7" s="96">
        <v>0</v>
      </c>
      <c r="F7" s="102">
        <f>B7*$G$59</f>
        <v>1003.8806052269601</v>
      </c>
      <c r="G7" s="5"/>
    </row>
    <row r="8" spans="1:16" ht="23.1" customHeight="1">
      <c r="A8" s="436" t="s">
        <v>988</v>
      </c>
      <c r="B8" s="107">
        <f>+'가.공사비산출(본대)'!E33</f>
        <v>0</v>
      </c>
      <c r="C8" s="96">
        <v>0</v>
      </c>
      <c r="D8" s="96">
        <v>0</v>
      </c>
      <c r="E8" s="96">
        <v>0</v>
      </c>
      <c r="F8" s="102">
        <f>B8*$G$59</f>
        <v>0</v>
      </c>
      <c r="G8" s="5"/>
    </row>
    <row r="9" spans="1:16" ht="23.1" customHeight="1">
      <c r="A9" s="111" t="s">
        <v>989</v>
      </c>
      <c r="B9" s="108">
        <f>SUM(B5:B8)</f>
        <v>3635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</row>
    <row r="10" spans="1:16" ht="23.1" customHeight="1">
      <c r="A10" s="38"/>
      <c r="G10" s="5"/>
    </row>
    <row r="11" spans="1:16" ht="23.1" customHeight="1">
      <c r="A11" s="2" t="s">
        <v>990</v>
      </c>
      <c r="D11" s="12"/>
      <c r="G11" s="5"/>
    </row>
    <row r="12" spans="1:16" ht="23.1" customHeight="1">
      <c r="A12" s="14"/>
      <c r="B12" s="15"/>
      <c r="C12" s="15"/>
      <c r="D12" s="15"/>
      <c r="E12" s="15"/>
      <c r="F12" s="8" t="s">
        <v>991</v>
      </c>
      <c r="G12" s="16"/>
      <c r="H12" s="16" t="s">
        <v>992</v>
      </c>
    </row>
    <row r="13" spans="1:16" ht="23.1" customHeight="1">
      <c r="A13" s="587" t="s">
        <v>979</v>
      </c>
      <c r="B13" s="312" t="s">
        <v>980</v>
      </c>
      <c r="C13" s="313" t="s">
        <v>981</v>
      </c>
      <c r="D13" s="313" t="s">
        <v>982</v>
      </c>
      <c r="E13" s="313" t="s">
        <v>983</v>
      </c>
      <c r="F13" s="314" t="s">
        <v>984</v>
      </c>
      <c r="G13" s="16"/>
      <c r="H13" s="17" t="s">
        <v>993</v>
      </c>
      <c r="I13" s="17" t="s">
        <v>38</v>
      </c>
      <c r="J13" s="17" t="s">
        <v>39</v>
      </c>
      <c r="K13" s="17" t="s">
        <v>994</v>
      </c>
      <c r="L13" s="17" t="s">
        <v>41</v>
      </c>
    </row>
    <row r="14" spans="1:16" ht="23.1" customHeight="1">
      <c r="A14" s="120" t="s">
        <v>995</v>
      </c>
      <c r="B14" s="117">
        <f>+B9</f>
        <v>3635</v>
      </c>
      <c r="C14" s="101">
        <v>0</v>
      </c>
      <c r="D14" s="101">
        <v>0</v>
      </c>
      <c r="E14" s="101">
        <v>0</v>
      </c>
      <c r="F14" s="116"/>
      <c r="G14" s="16"/>
      <c r="H14" s="18">
        <v>50</v>
      </c>
      <c r="I14" s="19">
        <v>3.2400000000000005E-2</v>
      </c>
      <c r="J14" s="19">
        <v>6.4899999999999999E-2</v>
      </c>
      <c r="K14" s="19">
        <v>3.0200000000000001E-2</v>
      </c>
      <c r="L14" s="19">
        <v>1.0800000000000001E-2</v>
      </c>
      <c r="M14" s="20"/>
      <c r="N14" s="20"/>
      <c r="O14" s="20"/>
      <c r="P14" s="20"/>
    </row>
    <row r="15" spans="1:16" ht="23.1" customHeight="1">
      <c r="A15" s="110" t="s">
        <v>996</v>
      </c>
      <c r="B15" s="118">
        <f>H20</f>
        <v>2000</v>
      </c>
      <c r="C15" s="96">
        <v>0</v>
      </c>
      <c r="D15" s="96">
        <v>0</v>
      </c>
      <c r="E15" s="96">
        <v>0</v>
      </c>
      <c r="F15" s="113"/>
      <c r="G15" s="16"/>
      <c r="H15" s="18">
        <v>100</v>
      </c>
      <c r="I15" s="19">
        <v>3.04E-2</v>
      </c>
      <c r="J15" s="19">
        <v>6.0700000000000004E-2</v>
      </c>
      <c r="K15" s="19">
        <v>2.8500000000000001E-2</v>
      </c>
      <c r="L15" s="19">
        <v>9.0000000000000011E-3</v>
      </c>
      <c r="M15" s="20"/>
      <c r="N15" s="20"/>
      <c r="O15" s="20"/>
      <c r="P15" s="20"/>
    </row>
    <row r="16" spans="1:16" ht="23.1" customHeight="1">
      <c r="A16" s="110" t="s">
        <v>997</v>
      </c>
      <c r="B16" s="118">
        <f>H21</f>
        <v>3000</v>
      </c>
      <c r="C16" s="96">
        <v>0</v>
      </c>
      <c r="D16" s="96">
        <v>0</v>
      </c>
      <c r="E16" s="96">
        <v>0</v>
      </c>
      <c r="F16" s="113"/>
      <c r="G16" s="16"/>
      <c r="H16" s="18">
        <v>200</v>
      </c>
      <c r="I16" s="19">
        <v>2.4199999999999999E-2</v>
      </c>
      <c r="J16" s="19">
        <v>4.8499999999999995E-2</v>
      </c>
      <c r="K16" s="19">
        <v>2.2599999999999999E-2</v>
      </c>
      <c r="L16" s="19">
        <v>7.1999999999999998E-3</v>
      </c>
      <c r="M16" s="20"/>
      <c r="N16" s="20"/>
      <c r="O16" s="20"/>
      <c r="P16" s="20"/>
    </row>
    <row r="17" spans="1:17" ht="23.1" customHeight="1">
      <c r="A17" s="110" t="s">
        <v>998</v>
      </c>
      <c r="B17" s="141">
        <f>I20+J20</f>
        <v>4.9000000000000002E-2</v>
      </c>
      <c r="C17" s="96">
        <v>0</v>
      </c>
      <c r="D17" s="96">
        <v>0</v>
      </c>
      <c r="E17" s="96">
        <v>0</v>
      </c>
      <c r="F17" s="113"/>
      <c r="G17" s="16"/>
      <c r="H17" s="18">
        <v>300</v>
      </c>
      <c r="I17" s="19">
        <v>2.2200000000000001E-2</v>
      </c>
      <c r="J17" s="19">
        <v>4.4299999999999999E-2</v>
      </c>
      <c r="K17" s="19">
        <v>2.06E-2</v>
      </c>
      <c r="L17" s="19">
        <v>7.1999999999999998E-3</v>
      </c>
      <c r="M17" s="20"/>
      <c r="N17" s="20"/>
      <c r="O17" s="20"/>
      <c r="P17" s="20"/>
    </row>
    <row r="18" spans="1:17" ht="23.1" customHeight="1">
      <c r="A18" s="110" t="s">
        <v>999</v>
      </c>
      <c r="B18" s="141">
        <f>I21+J21</f>
        <v>4.7200000000000006E-2</v>
      </c>
      <c r="C18" s="96">
        <v>0</v>
      </c>
      <c r="D18" s="96">
        <v>0</v>
      </c>
      <c r="E18" s="96">
        <v>0</v>
      </c>
      <c r="F18" s="113"/>
      <c r="G18" s="16"/>
      <c r="H18" s="18">
        <v>500</v>
      </c>
      <c r="I18" s="19">
        <v>2.0099999999999996E-2</v>
      </c>
      <c r="J18" s="19">
        <v>4.0300000000000002E-2</v>
      </c>
      <c r="K18" s="19">
        <v>1.89E-2</v>
      </c>
      <c r="L18" s="19">
        <v>7.1999999999999998E-3</v>
      </c>
      <c r="M18" s="20"/>
      <c r="N18" s="20"/>
      <c r="O18" s="20"/>
      <c r="P18" s="20"/>
    </row>
    <row r="19" spans="1:17" ht="23.1" customHeight="1">
      <c r="A19" s="110" t="s">
        <v>1000</v>
      </c>
      <c r="B19" s="141">
        <f>B17+((B18-B17)/(B16-B15))*(B14-B15)</f>
        <v>4.6057000000000008E-2</v>
      </c>
      <c r="C19" s="96">
        <v>0</v>
      </c>
      <c r="D19" s="96">
        <v>0</v>
      </c>
      <c r="E19" s="96">
        <v>0</v>
      </c>
      <c r="F19" s="113"/>
      <c r="G19" s="16"/>
      <c r="H19" s="18">
        <v>1000</v>
      </c>
      <c r="I19" s="19">
        <v>1.77E-2</v>
      </c>
      <c r="J19" s="19">
        <v>3.5499999999999997E-2</v>
      </c>
      <c r="K19" s="19">
        <v>1.66E-2</v>
      </c>
      <c r="L19" s="19">
        <v>6.3E-3</v>
      </c>
      <c r="M19" s="20"/>
      <c r="N19" s="20"/>
      <c r="O19" s="20"/>
      <c r="P19" s="20"/>
    </row>
    <row r="20" spans="1:17" ht="23.1" customHeight="1">
      <c r="A20" s="111" t="s">
        <v>1001</v>
      </c>
      <c r="B20" s="108">
        <f>+ROUND(B14*B19,0)</f>
        <v>167</v>
      </c>
      <c r="C20" s="97">
        <f>+ROUND(C14*C19,0)</f>
        <v>0</v>
      </c>
      <c r="D20" s="98">
        <v>0</v>
      </c>
      <c r="E20" s="98">
        <v>0</v>
      </c>
      <c r="F20" s="114"/>
      <c r="G20" s="16"/>
      <c r="H20" s="18">
        <v>2000</v>
      </c>
      <c r="I20" s="19">
        <v>1.6299999999999999E-2</v>
      </c>
      <c r="J20" s="19">
        <v>3.27E-2</v>
      </c>
      <c r="K20" s="19">
        <v>1.5300000000000001E-2</v>
      </c>
      <c r="L20" s="19">
        <v>3.5999999999999999E-3</v>
      </c>
      <c r="M20" s="20"/>
      <c r="N20" s="20"/>
      <c r="O20" s="20"/>
      <c r="P20" s="20"/>
    </row>
    <row r="21" spans="1:17" ht="23.1" customHeight="1">
      <c r="A21" s="21"/>
      <c r="B21" s="22"/>
      <c r="C21" s="22"/>
      <c r="D21" s="23"/>
      <c r="E21" s="23"/>
      <c r="F21" s="24"/>
      <c r="G21" s="16"/>
      <c r="H21" s="18">
        <v>3000</v>
      </c>
      <c r="I21" s="19">
        <v>1.5700000000000002E-2</v>
      </c>
      <c r="J21" s="19">
        <v>3.15E-2</v>
      </c>
      <c r="K21" s="19">
        <v>1.4800000000000001E-2</v>
      </c>
      <c r="L21" s="19">
        <v>3.5999999999999999E-3</v>
      </c>
      <c r="M21" s="20"/>
      <c r="N21" s="20"/>
      <c r="O21" s="20"/>
      <c r="P21" s="20"/>
    </row>
    <row r="22" spans="1:17" ht="23.1" customHeight="1">
      <c r="A22" s="2" t="s">
        <v>1002</v>
      </c>
      <c r="G22" s="16"/>
      <c r="H22" s="18">
        <v>5000</v>
      </c>
      <c r="I22" s="19">
        <v>1.54E-2</v>
      </c>
      <c r="J22" s="19">
        <v>3.0899999999999997E-2</v>
      </c>
      <c r="K22" s="19">
        <v>1.4499999999999999E-2</v>
      </c>
      <c r="L22" s="19">
        <v>2.7000000000000001E-3</v>
      </c>
      <c r="M22" s="20"/>
      <c r="N22" s="20"/>
      <c r="O22" s="20"/>
      <c r="P22" s="20"/>
    </row>
    <row r="23" spans="1:17" ht="23.1" customHeight="1">
      <c r="A23" s="14"/>
      <c r="B23" s="15"/>
      <c r="C23" s="15"/>
      <c r="D23" s="15"/>
      <c r="E23" s="15"/>
      <c r="F23" s="8" t="s">
        <v>991</v>
      </c>
      <c r="G23" s="16"/>
      <c r="H23" s="18">
        <v>10000</v>
      </c>
      <c r="I23" s="19">
        <v>1.5100000000000001E-2</v>
      </c>
      <c r="J23" s="19">
        <v>3.0099999999999998E-2</v>
      </c>
      <c r="K23" s="19">
        <v>1.41E-2</v>
      </c>
      <c r="L23" s="19">
        <v>2.5000000000000001E-3</v>
      </c>
      <c r="M23" s="20"/>
      <c r="N23" s="20"/>
      <c r="O23" s="20"/>
      <c r="P23" s="20"/>
    </row>
    <row r="24" spans="1:17" ht="23.1" customHeight="1">
      <c r="A24" s="587" t="s">
        <v>979</v>
      </c>
      <c r="B24" s="312" t="s">
        <v>980</v>
      </c>
      <c r="C24" s="313" t="s">
        <v>981</v>
      </c>
      <c r="D24" s="313" t="s">
        <v>982</v>
      </c>
      <c r="E24" s="313" t="s">
        <v>983</v>
      </c>
      <c r="F24" s="314" t="s">
        <v>984</v>
      </c>
      <c r="G24" s="16"/>
      <c r="H24" s="18">
        <v>20000</v>
      </c>
      <c r="I24" s="19">
        <v>1.46E-2</v>
      </c>
      <c r="J24" s="19">
        <v>2.9100000000000001E-2</v>
      </c>
      <c r="K24" s="19">
        <v>1.37E-2</v>
      </c>
      <c r="L24" s="19">
        <v>2.3E-3</v>
      </c>
      <c r="M24" s="20"/>
      <c r="N24" s="20"/>
      <c r="O24" s="20"/>
      <c r="P24" s="20"/>
    </row>
    <row r="25" spans="1:17" ht="23.1" customHeight="1">
      <c r="A25" s="120" t="s">
        <v>995</v>
      </c>
      <c r="B25" s="117">
        <f>+B14</f>
        <v>3635</v>
      </c>
      <c r="C25" s="101">
        <v>0</v>
      </c>
      <c r="D25" s="101">
        <v>0</v>
      </c>
      <c r="E25" s="101">
        <v>0</v>
      </c>
      <c r="F25" s="116"/>
      <c r="G25" s="16"/>
      <c r="H25" s="18">
        <v>30000</v>
      </c>
      <c r="I25" s="19">
        <v>1.4499999999999999E-2</v>
      </c>
      <c r="J25" s="19">
        <v>2.8999999999999998E-2</v>
      </c>
      <c r="K25" s="19">
        <v>1.3500000000000002E-2</v>
      </c>
      <c r="L25" s="19">
        <v>2.3E-3</v>
      </c>
      <c r="M25" s="20"/>
      <c r="N25" s="20"/>
      <c r="O25" s="20"/>
      <c r="P25" s="20"/>
    </row>
    <row r="26" spans="1:17" ht="23.1" customHeight="1">
      <c r="A26" s="110" t="s">
        <v>996</v>
      </c>
      <c r="B26" s="118">
        <f>+I32</f>
        <v>10000</v>
      </c>
      <c r="C26" s="96">
        <v>0</v>
      </c>
      <c r="D26" s="96">
        <v>0</v>
      </c>
      <c r="E26" s="96">
        <v>0</v>
      </c>
      <c r="F26" s="113"/>
      <c r="G26" s="16"/>
      <c r="H26" s="18">
        <v>50000</v>
      </c>
      <c r="I26" s="19">
        <v>1.41E-2</v>
      </c>
      <c r="J26" s="19">
        <v>2.8399999999999998E-2</v>
      </c>
      <c r="K26" s="19">
        <v>1.3300000000000001E-2</v>
      </c>
      <c r="L26" s="19">
        <v>2.3E-3</v>
      </c>
      <c r="M26" s="20"/>
      <c r="N26" s="20"/>
      <c r="O26" s="20"/>
      <c r="P26" s="20"/>
    </row>
    <row r="27" spans="1:17" ht="23.1" customHeight="1">
      <c r="A27" s="110" t="s">
        <v>997</v>
      </c>
      <c r="B27" s="118">
        <f>+I32</f>
        <v>10000</v>
      </c>
      <c r="C27" s="96">
        <v>0</v>
      </c>
      <c r="D27" s="96">
        <v>0</v>
      </c>
      <c r="E27" s="96">
        <v>0</v>
      </c>
      <c r="F27" s="113"/>
      <c r="G27" s="25"/>
      <c r="H27" s="18">
        <v>100000</v>
      </c>
      <c r="I27" s="19">
        <v>1.3999999999999999E-2</v>
      </c>
      <c r="J27" s="19">
        <v>2.7900000000000001E-2</v>
      </c>
      <c r="K27" s="19">
        <v>1.3000000000000001E-2</v>
      </c>
      <c r="L27" s="19">
        <v>2.3E-3</v>
      </c>
      <c r="M27" s="20"/>
      <c r="N27" s="20"/>
      <c r="O27" s="20"/>
      <c r="P27" s="20"/>
    </row>
    <row r="28" spans="1:17" ht="23.1" customHeight="1">
      <c r="A28" s="110" t="s">
        <v>998</v>
      </c>
      <c r="B28" s="141">
        <f>+I33</f>
        <v>9.3699999999999992E-2</v>
      </c>
      <c r="C28" s="96">
        <v>0</v>
      </c>
      <c r="D28" s="96">
        <v>0</v>
      </c>
      <c r="E28" s="96">
        <v>0</v>
      </c>
      <c r="F28" s="113"/>
      <c r="G28" s="26"/>
      <c r="H28" s="18">
        <v>200000</v>
      </c>
      <c r="I28" s="19">
        <v>1.38E-2</v>
      </c>
      <c r="J28" s="19">
        <v>2.76E-2</v>
      </c>
      <c r="K28" s="19">
        <v>1.2800000000000001E-2</v>
      </c>
      <c r="L28" s="19">
        <v>2.0999999999999999E-3</v>
      </c>
      <c r="M28" s="20"/>
      <c r="N28" s="20"/>
      <c r="O28" s="20"/>
      <c r="P28" s="20"/>
    </row>
    <row r="29" spans="1:17" ht="23.1" customHeight="1">
      <c r="A29" s="110" t="s">
        <v>999</v>
      </c>
      <c r="B29" s="141">
        <f>+I33</f>
        <v>9.3699999999999992E-2</v>
      </c>
      <c r="C29" s="96">
        <v>0</v>
      </c>
      <c r="D29" s="96">
        <v>0</v>
      </c>
      <c r="E29" s="96">
        <v>0</v>
      </c>
      <c r="F29" s="113"/>
      <c r="G29" s="27"/>
      <c r="H29" s="18">
        <v>300000</v>
      </c>
      <c r="I29" s="19">
        <v>1.37E-2</v>
      </c>
      <c r="J29" s="19">
        <v>2.7200000000000002E-2</v>
      </c>
      <c r="K29" s="19">
        <v>1.2500000000000001E-2</v>
      </c>
      <c r="L29" s="19">
        <v>1.9E-3</v>
      </c>
      <c r="M29" s="20"/>
      <c r="N29" s="20"/>
      <c r="O29" s="20"/>
      <c r="P29" s="20"/>
    </row>
    <row r="30" spans="1:17" ht="23.1" customHeight="1">
      <c r="A30" s="110" t="s">
        <v>1000</v>
      </c>
      <c r="B30" s="141">
        <f>+I33</f>
        <v>9.3699999999999992E-2</v>
      </c>
      <c r="C30" s="96">
        <v>0</v>
      </c>
      <c r="D30" s="96">
        <v>0</v>
      </c>
      <c r="E30" s="96">
        <v>0</v>
      </c>
      <c r="F30" s="113"/>
      <c r="G30" s="9"/>
      <c r="H30" s="18">
        <v>500000</v>
      </c>
      <c r="I30" s="19">
        <v>1.34E-2</v>
      </c>
      <c r="J30" s="19">
        <v>2.7000000000000003E-2</v>
      </c>
      <c r="K30" s="19">
        <v>1.23E-2</v>
      </c>
      <c r="L30" s="19">
        <v>1.7000000000000001E-3</v>
      </c>
      <c r="M30" s="20"/>
      <c r="N30" s="20"/>
      <c r="O30" s="20"/>
      <c r="P30" s="20"/>
    </row>
    <row r="31" spans="1:17" ht="23.1" customHeight="1">
      <c r="A31" s="111" t="s">
        <v>1003</v>
      </c>
      <c r="B31" s="108">
        <f>+ROUND(B25*B30,0)</f>
        <v>341</v>
      </c>
      <c r="C31" s="97">
        <f>+ROUND(C25*C30,0)</f>
        <v>0</v>
      </c>
      <c r="D31" s="98">
        <v>0</v>
      </c>
      <c r="E31" s="98">
        <v>0</v>
      </c>
      <c r="F31" s="114"/>
      <c r="G31" s="9"/>
      <c r="H31" s="9" t="s">
        <v>1004</v>
      </c>
    </row>
    <row r="32" spans="1:17" ht="23.1" customHeight="1">
      <c r="A32" s="30"/>
      <c r="B32" s="31"/>
      <c r="C32" s="31"/>
      <c r="D32" s="32"/>
      <c r="E32" s="28"/>
      <c r="F32" s="33"/>
      <c r="G32" s="9"/>
      <c r="H32" s="17" t="s">
        <v>993</v>
      </c>
      <c r="I32" s="34">
        <v>10000</v>
      </c>
      <c r="J32" s="34">
        <v>20000</v>
      </c>
      <c r="K32" s="34">
        <v>30000</v>
      </c>
      <c r="L32" s="34">
        <v>40000</v>
      </c>
      <c r="M32" s="34">
        <v>50000</v>
      </c>
      <c r="N32" s="34">
        <v>70000</v>
      </c>
      <c r="O32" s="34">
        <v>100000</v>
      </c>
      <c r="P32" s="34">
        <v>150000</v>
      </c>
      <c r="Q32" s="34">
        <v>200000</v>
      </c>
    </row>
    <row r="33" spans="1:17" ht="21.95" customHeight="1">
      <c r="A33" s="2" t="s">
        <v>1005</v>
      </c>
      <c r="D33" s="12"/>
      <c r="G33" s="9"/>
      <c r="H33" s="17" t="s">
        <v>53</v>
      </c>
      <c r="I33" s="19">
        <v>9.3699999999999992E-2</v>
      </c>
      <c r="J33" s="19">
        <v>7.4999999999999997E-2</v>
      </c>
      <c r="K33" s="19">
        <v>6.5199999999999994E-2</v>
      </c>
      <c r="L33" s="19">
        <v>5.8799999999999998E-2</v>
      </c>
      <c r="M33" s="19">
        <v>5.4299999999999994E-2</v>
      </c>
      <c r="N33" s="19">
        <v>4.9100000000000005E-2</v>
      </c>
      <c r="O33" s="19">
        <v>4.4600000000000001E-2</v>
      </c>
      <c r="P33" s="19">
        <v>3.9199999999999999E-2</v>
      </c>
      <c r="Q33" s="19">
        <v>3.5299999999999998E-2</v>
      </c>
    </row>
    <row r="34" spans="1:17" ht="21.95" customHeight="1">
      <c r="A34" s="14"/>
      <c r="B34" s="15"/>
      <c r="C34" s="15"/>
      <c r="D34" s="15"/>
      <c r="E34" s="15"/>
      <c r="F34" s="8" t="s">
        <v>991</v>
      </c>
      <c r="G34" s="9"/>
      <c r="H34" s="9"/>
      <c r="I34" s="20"/>
      <c r="J34" s="20"/>
      <c r="K34" s="20"/>
      <c r="L34" s="20"/>
      <c r="M34" s="20"/>
      <c r="N34" s="20"/>
      <c r="O34" s="20"/>
      <c r="P34" s="20"/>
      <c r="Q34" s="20"/>
    </row>
    <row r="35" spans="1:17" ht="21.95" customHeight="1">
      <c r="A35" s="587" t="s">
        <v>979</v>
      </c>
      <c r="B35" s="312" t="s">
        <v>980</v>
      </c>
      <c r="C35" s="313" t="s">
        <v>981</v>
      </c>
      <c r="D35" s="313" t="s">
        <v>982</v>
      </c>
      <c r="E35" s="313" t="s">
        <v>983</v>
      </c>
      <c r="F35" s="314" t="s">
        <v>984</v>
      </c>
      <c r="G35" s="9"/>
      <c r="H35" s="9"/>
    </row>
    <row r="36" spans="1:17" ht="21.95" customHeight="1">
      <c r="A36" s="120" t="s">
        <v>995</v>
      </c>
      <c r="B36" s="117">
        <f>+B14</f>
        <v>3635</v>
      </c>
      <c r="C36" s="101">
        <v>0</v>
      </c>
      <c r="D36" s="101">
        <v>0</v>
      </c>
      <c r="E36" s="101">
        <v>0</v>
      </c>
      <c r="F36" s="116"/>
      <c r="G36" s="9"/>
      <c r="H36" s="9"/>
    </row>
    <row r="37" spans="1:17" ht="21.95" customHeight="1">
      <c r="A37" s="110" t="s">
        <v>996</v>
      </c>
      <c r="B37" s="118">
        <f>+B15</f>
        <v>2000</v>
      </c>
      <c r="C37" s="96">
        <v>0</v>
      </c>
      <c r="D37" s="96">
        <v>0</v>
      </c>
      <c r="E37" s="96">
        <v>0</v>
      </c>
      <c r="F37" s="113"/>
      <c r="G37" s="9"/>
    </row>
    <row r="38" spans="1:17" ht="21.95" customHeight="1">
      <c r="A38" s="110" t="s">
        <v>997</v>
      </c>
      <c r="B38" s="118">
        <f>+B16</f>
        <v>3000</v>
      </c>
      <c r="C38" s="96">
        <v>0</v>
      </c>
      <c r="D38" s="96">
        <v>0</v>
      </c>
      <c r="E38" s="96">
        <v>0</v>
      </c>
      <c r="F38" s="113"/>
    </row>
    <row r="39" spans="1:17" ht="21.95" customHeight="1">
      <c r="A39" s="110" t="s">
        <v>998</v>
      </c>
      <c r="B39" s="141">
        <f>L20</f>
        <v>3.5999999999999999E-3</v>
      </c>
      <c r="C39" s="96">
        <v>0</v>
      </c>
      <c r="D39" s="96">
        <v>0</v>
      </c>
      <c r="E39" s="96">
        <v>0</v>
      </c>
      <c r="F39" s="113"/>
    </row>
    <row r="40" spans="1:17" ht="21.95" customHeight="1">
      <c r="A40" s="110" t="s">
        <v>999</v>
      </c>
      <c r="B40" s="141">
        <f>L21</f>
        <v>3.5999999999999999E-3</v>
      </c>
      <c r="C40" s="96">
        <v>0</v>
      </c>
      <c r="D40" s="96">
        <v>0</v>
      </c>
      <c r="E40" s="96">
        <v>0</v>
      </c>
      <c r="F40" s="113"/>
    </row>
    <row r="41" spans="1:17" ht="21.95" customHeight="1">
      <c r="A41" s="110" t="s">
        <v>1000</v>
      </c>
      <c r="B41" s="141">
        <f>B39+((B40-B39)/(B38-B37))*(B36-B37)</f>
        <v>3.5999999999999999E-3</v>
      </c>
      <c r="C41" s="96">
        <v>0</v>
      </c>
      <c r="D41" s="96">
        <v>0</v>
      </c>
      <c r="E41" s="96">
        <v>0</v>
      </c>
      <c r="F41" s="113"/>
    </row>
    <row r="42" spans="1:17" ht="21.95" customHeight="1">
      <c r="A42" s="111" t="s">
        <v>1006</v>
      </c>
      <c r="B42" s="108">
        <f>+ROUND(B36*B41,0)</f>
        <v>13</v>
      </c>
      <c r="C42" s="97">
        <f>+ROUND(C36*C41,0)</f>
        <v>0</v>
      </c>
      <c r="D42" s="98">
        <v>0</v>
      </c>
      <c r="E42" s="98">
        <v>0</v>
      </c>
      <c r="F42" s="114"/>
    </row>
    <row r="43" spans="1:17" ht="21.95" customHeight="1"/>
    <row r="44" spans="1:17" ht="21.95" customHeight="1">
      <c r="A44" s="2" t="s">
        <v>1007</v>
      </c>
      <c r="D44" s="12"/>
    </row>
    <row r="45" spans="1:17" ht="21.95" customHeight="1">
      <c r="A45" s="78" t="s">
        <v>1008</v>
      </c>
      <c r="D45" s="12"/>
    </row>
    <row r="46" spans="1:17" ht="21.95" customHeight="1">
      <c r="A46" s="2" t="s">
        <v>1009</v>
      </c>
      <c r="D46" s="12"/>
    </row>
    <row r="47" spans="1:17" ht="21.95" customHeight="1">
      <c r="A47" s="78" t="s">
        <v>1010</v>
      </c>
      <c r="B47" s="2" t="s">
        <v>1011</v>
      </c>
      <c r="D47" s="12"/>
    </row>
    <row r="48" spans="1:17" ht="21.95" customHeight="1">
      <c r="A48" s="78" t="s">
        <v>1012</v>
      </c>
      <c r="D48" s="12"/>
    </row>
    <row r="49" spans="1:7" ht="21.95" customHeight="1">
      <c r="A49" s="14"/>
      <c r="B49" s="15"/>
      <c r="C49" s="15"/>
      <c r="D49" s="15"/>
      <c r="E49" s="15"/>
      <c r="F49" s="8"/>
    </row>
    <row r="50" spans="1:7" ht="21.95" customHeight="1">
      <c r="A50" s="587" t="s">
        <v>979</v>
      </c>
      <c r="B50" s="312" t="s">
        <v>980</v>
      </c>
      <c r="C50" s="313" t="s">
        <v>981</v>
      </c>
      <c r="D50" s="313" t="s">
        <v>982</v>
      </c>
      <c r="E50" s="313" t="s">
        <v>983</v>
      </c>
      <c r="F50" s="314" t="s">
        <v>984</v>
      </c>
    </row>
    <row r="51" spans="1:7" ht="21.95" customHeight="1">
      <c r="A51" s="120" t="s">
        <v>1013</v>
      </c>
      <c r="B51" s="190">
        <v>900</v>
      </c>
      <c r="C51" s="101">
        <v>0</v>
      </c>
      <c r="D51" s="101">
        <v>0</v>
      </c>
      <c r="E51" s="101">
        <v>0</v>
      </c>
      <c r="F51" s="116"/>
    </row>
    <row r="52" spans="1:7" ht="21.95" customHeight="1">
      <c r="A52" s="110" t="s">
        <v>1014</v>
      </c>
      <c r="B52" s="118">
        <v>37600</v>
      </c>
      <c r="C52" s="96">
        <v>0</v>
      </c>
      <c r="D52" s="96">
        <v>0</v>
      </c>
      <c r="E52" s="96">
        <v>0</v>
      </c>
      <c r="F52" s="113"/>
    </row>
    <row r="53" spans="1:7" ht="21.95" customHeight="1">
      <c r="A53" s="110" t="s">
        <v>1015</v>
      </c>
      <c r="B53" s="118">
        <f>+ROUND(B52*3,0)</f>
        <v>112800</v>
      </c>
      <c r="C53" s="96"/>
      <c r="D53" s="96"/>
      <c r="E53" s="96"/>
      <c r="F53" s="113"/>
    </row>
    <row r="54" spans="1:7" ht="21.95" customHeight="1">
      <c r="A54" s="189" t="s">
        <v>1016</v>
      </c>
      <c r="B54" s="188">
        <f>+ROUND(B51*B53/1000000,0)</f>
        <v>102</v>
      </c>
      <c r="C54" s="137">
        <v>0</v>
      </c>
      <c r="D54" s="137">
        <v>0</v>
      </c>
      <c r="E54" s="137">
        <v>0</v>
      </c>
      <c r="F54" s="187"/>
    </row>
    <row r="55" spans="1:7" ht="21.95" customHeight="1">
      <c r="A55" s="21"/>
      <c r="B55" s="22"/>
      <c r="C55" s="23"/>
      <c r="D55" s="23"/>
      <c r="E55" s="23"/>
      <c r="F55" s="24"/>
    </row>
    <row r="56" spans="1:7" ht="21.95" customHeight="1">
      <c r="A56" s="2" t="s">
        <v>1017</v>
      </c>
      <c r="D56" s="12"/>
    </row>
    <row r="57" spans="1:7" ht="21.95" customHeight="1">
      <c r="A57" s="14"/>
      <c r="B57" s="15"/>
      <c r="C57" s="15"/>
      <c r="D57" s="15"/>
      <c r="E57" s="15"/>
      <c r="F57" s="8" t="s">
        <v>991</v>
      </c>
    </row>
    <row r="58" spans="1:7" ht="21.95" customHeight="1">
      <c r="A58" s="587" t="s">
        <v>979</v>
      </c>
      <c r="B58" s="312" t="s">
        <v>980</v>
      </c>
      <c r="C58" s="313" t="s">
        <v>981</v>
      </c>
      <c r="D58" s="313" t="s">
        <v>982</v>
      </c>
      <c r="E58" s="313" t="s">
        <v>983</v>
      </c>
      <c r="F58" s="314" t="s">
        <v>984</v>
      </c>
    </row>
    <row r="59" spans="1:7" ht="21.95" customHeight="1">
      <c r="A59" s="131" t="s">
        <v>989</v>
      </c>
      <c r="B59" s="128">
        <f>+B9</f>
        <v>3635</v>
      </c>
      <c r="C59" s="126">
        <f>+C9</f>
        <v>0</v>
      </c>
      <c r="D59" s="126">
        <f>+D9</f>
        <v>0</v>
      </c>
      <c r="E59" s="126">
        <f>+E9</f>
        <v>0</v>
      </c>
      <c r="F59" s="127"/>
      <c r="G59" s="2">
        <f>B64/B59</f>
        <v>1.1713892709766163</v>
      </c>
    </row>
    <row r="60" spans="1:7" ht="21.95" customHeight="1">
      <c r="A60" s="132" t="s">
        <v>1001</v>
      </c>
      <c r="B60" s="129">
        <f>+B20</f>
        <v>167</v>
      </c>
      <c r="C60" s="121">
        <f>+C20</f>
        <v>0</v>
      </c>
      <c r="D60" s="121">
        <f>+D20</f>
        <v>0</v>
      </c>
      <c r="E60" s="121">
        <f>+E20</f>
        <v>0</v>
      </c>
      <c r="F60" s="122"/>
    </row>
    <row r="61" spans="1:7" ht="21.95" customHeight="1">
      <c r="A61" s="132" t="s">
        <v>1003</v>
      </c>
      <c r="B61" s="129">
        <f>+B31</f>
        <v>341</v>
      </c>
      <c r="C61" s="121">
        <f>+C31</f>
        <v>0</v>
      </c>
      <c r="D61" s="121">
        <f>+D31</f>
        <v>0</v>
      </c>
      <c r="E61" s="121">
        <f>+E31</f>
        <v>0</v>
      </c>
      <c r="F61" s="122"/>
    </row>
    <row r="62" spans="1:7" ht="21.95" customHeight="1">
      <c r="A62" s="132" t="s">
        <v>1006</v>
      </c>
      <c r="B62" s="129">
        <f>+B42</f>
        <v>13</v>
      </c>
      <c r="C62" s="121">
        <f>+C42</f>
        <v>0</v>
      </c>
      <c r="D62" s="121">
        <f>+D42</f>
        <v>0</v>
      </c>
      <c r="E62" s="121">
        <f>+E42</f>
        <v>0</v>
      </c>
      <c r="F62" s="122"/>
    </row>
    <row r="63" spans="1:7" ht="21.95" customHeight="1">
      <c r="A63" s="132" t="s">
        <v>1018</v>
      </c>
      <c r="B63" s="129">
        <f>+B54</f>
        <v>102</v>
      </c>
      <c r="C63" s="121">
        <v>0</v>
      </c>
      <c r="D63" s="121">
        <v>0</v>
      </c>
      <c r="E63" s="121">
        <v>0</v>
      </c>
      <c r="F63" s="122"/>
    </row>
    <row r="64" spans="1:7" ht="21.95" customHeight="1">
      <c r="A64" s="133" t="s">
        <v>1019</v>
      </c>
      <c r="B64" s="130">
        <f>SUM(B59:B63)</f>
        <v>4258</v>
      </c>
      <c r="C64" s="123">
        <f>SUM(C59:C62)</f>
        <v>0</v>
      </c>
      <c r="D64" s="123">
        <f>SUM(D59:D62)</f>
        <v>0</v>
      </c>
      <c r="E64" s="123">
        <f>SUM(E59:E62)</f>
        <v>0</v>
      </c>
      <c r="F64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16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954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+'가.관로신설(음성-오수지선)'!E24</f>
        <v>4211</v>
      </c>
      <c r="C5" s="101">
        <f>+'가.관로신설(음성-오수지선)'!G24</f>
        <v>2507</v>
      </c>
      <c r="D5" s="101">
        <f>+'가.관로신설(음성-오수지선)'!I24</f>
        <v>0</v>
      </c>
      <c r="E5" s="101">
        <f>+'가.관로신설(음성-오수지선)'!K24</f>
        <v>0</v>
      </c>
      <c r="F5" s="102"/>
      <c r="G5" s="5"/>
      <c r="H5" s="7" t="s">
        <v>174</v>
      </c>
      <c r="I5" s="74" t="s">
        <v>170</v>
      </c>
      <c r="J5" s="74" t="s">
        <v>171</v>
      </c>
      <c r="K5" s="74" t="s">
        <v>172</v>
      </c>
      <c r="L5" s="74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147</v>
      </c>
      <c r="B6" s="139">
        <f>+'나.배수설비(음성)'!E23</f>
        <v>897</v>
      </c>
      <c r="C6" s="94">
        <f>+'나.배수설비(음성)'!G23</f>
        <v>619</v>
      </c>
      <c r="D6" s="94">
        <f>+'나.배수설비(음성)'!I23</f>
        <v>0</v>
      </c>
      <c r="E6" s="94">
        <f>+'나.배수설비(음성)'!K23</f>
        <v>0</v>
      </c>
      <c r="F6" s="95"/>
      <c r="G6" s="5"/>
      <c r="H6" s="7" t="s">
        <v>394</v>
      </c>
      <c r="I6" s="70" t="e">
        <f>('가.관로신설(음성-오수지선)'!#REF!+'나.배수설비(음성)'!E18/'나.배수설비(음성)'!D18+'다.맨홀펌프장(음성)'!#REF!)/'1.2.5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148</v>
      </c>
      <c r="B7" s="107">
        <f>+'다.맨홀펌프장(음성)'!D15</f>
        <v>0</v>
      </c>
      <c r="C7" s="96">
        <f>+'다.맨홀펌프장(음성)'!F15</f>
        <v>0</v>
      </c>
      <c r="D7" s="96">
        <f>+'다.맨홀펌프장(음성)'!H15</f>
        <v>0</v>
      </c>
      <c r="E7" s="96">
        <f>+'다.맨홀펌프장(음성)'!J15</f>
        <v>0</v>
      </c>
      <c r="F7" s="95"/>
      <c r="G7" s="5"/>
      <c r="H7" s="7" t="s">
        <v>204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25</v>
      </c>
      <c r="B8" s="108">
        <f>SUM(B5:B7)</f>
        <v>5108</v>
      </c>
      <c r="C8" s="97">
        <f>SUM(C5:C7)</f>
        <v>3126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28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29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76" t="s">
        <v>8</v>
      </c>
      <c r="B12" s="105" t="s">
        <v>32</v>
      </c>
      <c r="C12" s="103" t="s">
        <v>33</v>
      </c>
      <c r="D12" s="103" t="s">
        <v>11</v>
      </c>
      <c r="E12" s="103" t="s">
        <v>35</v>
      </c>
      <c r="F12" s="104" t="s">
        <v>13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42</v>
      </c>
      <c r="B13" s="117">
        <f>+B8</f>
        <v>5108</v>
      </c>
      <c r="C13" s="117">
        <f>+C8</f>
        <v>3126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43</v>
      </c>
      <c r="B14" s="118">
        <f>IFERROR(INDEX($H$17:$L$33,MATCH(B13,$H$17:$H$33,1),1),0)</f>
        <v>5000</v>
      </c>
      <c r="C14" s="118">
        <f>IFERROR(INDEX($H$17:$L$33,MATCH(C13,$H$17:$H$33,1),1),0)</f>
        <v>3000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</v>
      </c>
      <c r="B15" s="118">
        <f>IFERROR(INDEX($H$17:$L$33,MATCH(B13,$H$17:$H$33,1)+1,1),0)</f>
        <v>10000</v>
      </c>
      <c r="C15" s="118">
        <f>IFERROR(INDEX($H$17:$L$33,MATCH(C13,$H$17:$H$33,1)+1,1),0)</f>
        <v>5000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30</v>
      </c>
    </row>
    <row r="16" spans="1:20" ht="20.100000000000001" customHeight="1">
      <c r="A16" s="110" t="s">
        <v>45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4.7200000000000006E-2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37</v>
      </c>
      <c r="I16" s="17" t="s">
        <v>38</v>
      </c>
      <c r="J16" s="17" t="s">
        <v>39</v>
      </c>
      <c r="K16" s="17" t="s">
        <v>40</v>
      </c>
      <c r="L16" s="17" t="s">
        <v>41</v>
      </c>
    </row>
    <row r="17" spans="1:16" ht="20.100000000000001" customHeight="1">
      <c r="A17" s="110" t="s">
        <v>46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4.6299999999999994E-2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47</v>
      </c>
      <c r="B18" s="141">
        <f>IFERROR(B16+((B17-B16)/(B15-B14))*(B13-B14),0)</f>
        <v>4.6276239999999996E-2</v>
      </c>
      <c r="C18" s="141">
        <f>IFERROR(C16+((C17-C16)/(C15-C14))*(C13-C14),0)</f>
        <v>4.7143300000000006E-2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</v>
      </c>
      <c r="B19" s="108">
        <f>+ROUND(B13*B18,0)</f>
        <v>236</v>
      </c>
      <c r="C19" s="97">
        <f>+ROUND(C13*C18,0)</f>
        <v>147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49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29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76" t="s">
        <v>8</v>
      </c>
      <c r="B23" s="105" t="s">
        <v>32</v>
      </c>
      <c r="C23" s="103" t="s">
        <v>33</v>
      </c>
      <c r="D23" s="103" t="s">
        <v>11</v>
      </c>
      <c r="E23" s="103" t="s">
        <v>35</v>
      </c>
      <c r="F23" s="104" t="s">
        <v>13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42</v>
      </c>
      <c r="B24" s="117">
        <f>+B13</f>
        <v>5108</v>
      </c>
      <c r="C24" s="115">
        <f>+C13</f>
        <v>3126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43</v>
      </c>
      <c r="B25" s="118">
        <f>I35</f>
        <v>10000</v>
      </c>
      <c r="C25" s="118">
        <f>J35</f>
        <v>20000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</v>
      </c>
      <c r="B26" s="118">
        <f>I35</f>
        <v>10000</v>
      </c>
      <c r="C26" s="118">
        <f>J35</f>
        <v>20000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45</v>
      </c>
      <c r="B27" s="141">
        <f>I36</f>
        <v>9.3699999999999992E-2</v>
      </c>
      <c r="C27" s="141">
        <f>J36</f>
        <v>7.4999999999999997E-2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</v>
      </c>
      <c r="B28" s="141">
        <f>I36</f>
        <v>9.3699999999999992E-2</v>
      </c>
      <c r="C28" s="141">
        <f>J36</f>
        <v>7.4999999999999997E-2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47</v>
      </c>
      <c r="B29" s="141">
        <f>I36</f>
        <v>9.3699999999999992E-2</v>
      </c>
      <c r="C29" s="141">
        <f>J36</f>
        <v>7.4999999999999997E-2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50</v>
      </c>
      <c r="B30" s="108">
        <f>+ROUND(B24*B29,0)</f>
        <v>479</v>
      </c>
      <c r="C30" s="97">
        <f>+ROUND(C24*C29,0)</f>
        <v>234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51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37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52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9"/>
    </row>
    <row r="39" spans="1:17" ht="20.100000000000001" customHeight="1">
      <c r="A39" s="76" t="s">
        <v>8</v>
      </c>
      <c r="B39" s="105" t="s">
        <v>32</v>
      </c>
      <c r="C39" s="103" t="s">
        <v>33</v>
      </c>
      <c r="D39" s="103" t="s">
        <v>11</v>
      </c>
      <c r="E39" s="103" t="s">
        <v>35</v>
      </c>
      <c r="F39" s="104" t="s">
        <v>13</v>
      </c>
      <c r="G39" s="9"/>
      <c r="H39" s="9"/>
    </row>
    <row r="40" spans="1:17" ht="20.100000000000001" customHeight="1">
      <c r="A40" s="120" t="s">
        <v>42</v>
      </c>
      <c r="B40" s="117">
        <f>+B13</f>
        <v>5108</v>
      </c>
      <c r="C40" s="115">
        <f>+C13</f>
        <v>3126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43</v>
      </c>
      <c r="B41" s="118">
        <f>IFERROR(INDEX($H$17:$L$33,MATCH(B8,$H$17:$H$33,1),1),0)</f>
        <v>5000</v>
      </c>
      <c r="C41" s="118">
        <f>IFERROR(INDEX($H$17:$L$33,MATCH(C8,$H$17:$H$33,1),1),0)</f>
        <v>3000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</v>
      </c>
      <c r="B42" s="118">
        <f>IFERROR(INDEX($H$17:$L$33,MATCH(B8,$H$17:$H$33,1)+1,1),0)</f>
        <v>10000</v>
      </c>
      <c r="C42" s="118">
        <f>IFERROR(INDEX($H$17:$L$33,MATCH(C8,$H$17:$H$33,1)+1,1),0)</f>
        <v>5000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45</v>
      </c>
      <c r="B43" s="141">
        <f>IFERROR(INDEX($H$17:$L$33,MATCH(B8,$H$17:$H$33,1),5),0)</f>
        <v>2.7000000000000001E-3</v>
      </c>
      <c r="C43" s="141">
        <f>IFERROR(INDEX($H$17:$L$33,MATCH(C8,$H$17:$H$33,1),5),0)</f>
        <v>3.5999999999999999E-3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</v>
      </c>
      <c r="B44" s="141">
        <f>IFERROR(INDEX($H$17:$L$33,MATCH(B8,$H$17:$H$33,1)+1,5),0)</f>
        <v>2.5000000000000001E-3</v>
      </c>
      <c r="C44" s="141">
        <f>IFERROR(INDEX($H$17:$L$33,MATCH(C8,$H$17:$H$33,1)+1,5),0)</f>
        <v>2.7000000000000001E-3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47</v>
      </c>
      <c r="B45" s="141">
        <f>IFERROR(B43+((B44-B43)/(B42-B41))*(B40-B41),0)</f>
        <v>2.6956800000000002E-3</v>
      </c>
      <c r="C45" s="141">
        <f>IFERROR(C43+((C44-C43)/(C42-C41))*(C40-C41),0)</f>
        <v>3.5433000000000001E-3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54</v>
      </c>
      <c r="B46" s="108">
        <f>+ROUND(B40*B45,0)</f>
        <v>14</v>
      </c>
      <c r="C46" s="97">
        <f>+ROUND(C40*C45,0)</f>
        <v>11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8</v>
      </c>
      <c r="B50" s="105" t="s">
        <v>32</v>
      </c>
      <c r="C50" s="103" t="s">
        <v>33</v>
      </c>
      <c r="D50" s="103" t="s">
        <v>11</v>
      </c>
      <c r="E50" s="103" t="s">
        <v>35</v>
      </c>
      <c r="F50" s="104" t="s">
        <v>13</v>
      </c>
    </row>
    <row r="51" spans="1:6" ht="20.100000000000001" customHeight="1">
      <c r="A51" s="131" t="s">
        <v>25</v>
      </c>
      <c r="B51" s="128">
        <f>+B8</f>
        <v>5108</v>
      </c>
      <c r="C51" s="126">
        <f>+C8</f>
        <v>3126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48</v>
      </c>
      <c r="B52" s="129">
        <f>+B19</f>
        <v>236</v>
      </c>
      <c r="C52" s="121">
        <f>+C19</f>
        <v>147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50</v>
      </c>
      <c r="B53" s="129">
        <f>+B30</f>
        <v>479</v>
      </c>
      <c r="C53" s="121">
        <f>+C30</f>
        <v>234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54</v>
      </c>
      <c r="B54" s="129">
        <f>+B46</f>
        <v>14</v>
      </c>
      <c r="C54" s="121">
        <f>+C46</f>
        <v>11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5837</v>
      </c>
      <c r="C55" s="123">
        <f>SUM(C51:C54)</f>
        <v>3518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"/>
  <sheetViews>
    <sheetView view="pageBreakPreview" zoomScale="115" zoomScaleNormal="100" zoomScaleSheetLayoutView="115" workbookViewId="0"/>
    <sheetView workbookViewId="1"/>
  </sheetViews>
  <sheetFormatPr defaultRowHeight="12"/>
  <cols>
    <col min="1" max="2" width="6.625" style="490" customWidth="1"/>
    <col min="3" max="3" width="8.625" style="490" customWidth="1"/>
    <col min="4" max="11" width="7.25" style="490" customWidth="1"/>
    <col min="12" max="13" width="12.125" style="490" customWidth="1"/>
    <col min="14" max="14" width="9.75" style="490" customWidth="1"/>
    <col min="15" max="15" width="11.5" style="490" bestFit="1" customWidth="1"/>
    <col min="16" max="16" width="9.75" style="490" customWidth="1"/>
    <col min="17" max="17" width="9.125" style="490" bestFit="1" customWidth="1"/>
    <col min="18" max="18" width="9.625" style="490" bestFit="1" customWidth="1"/>
    <col min="19" max="20" width="9.125" style="490" bestFit="1" customWidth="1"/>
    <col min="21" max="235" width="9" style="490"/>
    <col min="236" max="237" width="3.75" style="490" customWidth="1"/>
    <col min="238" max="238" width="15" style="490" customWidth="1"/>
    <col min="239" max="242" width="12.875" style="490" customWidth="1"/>
    <col min="243" max="243" width="12.125" style="490" customWidth="1"/>
    <col min="244" max="244" width="9" style="490"/>
    <col min="245" max="245" width="12.25" style="490" customWidth="1"/>
    <col min="246" max="246" width="9.625" style="490" customWidth="1"/>
    <col min="247" max="248" width="9.75" style="490" customWidth="1"/>
    <col min="249" max="249" width="9.375" style="490" customWidth="1"/>
    <col min="250" max="491" width="9" style="490"/>
    <col min="492" max="493" width="3.75" style="490" customWidth="1"/>
    <col min="494" max="494" width="15" style="490" customWidth="1"/>
    <col min="495" max="498" width="12.875" style="490" customWidth="1"/>
    <col min="499" max="499" width="12.125" style="490" customWidth="1"/>
    <col min="500" max="500" width="9" style="490"/>
    <col min="501" max="501" width="12.25" style="490" customWidth="1"/>
    <col min="502" max="502" width="9.625" style="490" customWidth="1"/>
    <col min="503" max="504" width="9.75" style="490" customWidth="1"/>
    <col min="505" max="505" width="9.375" style="490" customWidth="1"/>
    <col min="506" max="747" width="9" style="490"/>
    <col min="748" max="749" width="3.75" style="490" customWidth="1"/>
    <col min="750" max="750" width="15" style="490" customWidth="1"/>
    <col min="751" max="754" width="12.875" style="490" customWidth="1"/>
    <col min="755" max="755" width="12.125" style="490" customWidth="1"/>
    <col min="756" max="756" width="9" style="490"/>
    <col min="757" max="757" width="12.25" style="490" customWidth="1"/>
    <col min="758" max="758" width="9.625" style="490" customWidth="1"/>
    <col min="759" max="760" width="9.75" style="490" customWidth="1"/>
    <col min="761" max="761" width="9.375" style="490" customWidth="1"/>
    <col min="762" max="1003" width="9" style="490"/>
    <col min="1004" max="1005" width="3.75" style="490" customWidth="1"/>
    <col min="1006" max="1006" width="15" style="490" customWidth="1"/>
    <col min="1007" max="1010" width="12.875" style="490" customWidth="1"/>
    <col min="1011" max="1011" width="12.125" style="490" customWidth="1"/>
    <col min="1012" max="1012" width="9" style="490"/>
    <col min="1013" max="1013" width="12.25" style="490" customWidth="1"/>
    <col min="1014" max="1014" width="9.625" style="490" customWidth="1"/>
    <col min="1015" max="1016" width="9.75" style="490" customWidth="1"/>
    <col min="1017" max="1017" width="9.375" style="490" customWidth="1"/>
    <col min="1018" max="1259" width="9" style="490"/>
    <col min="1260" max="1261" width="3.75" style="490" customWidth="1"/>
    <col min="1262" max="1262" width="15" style="490" customWidth="1"/>
    <col min="1263" max="1266" width="12.875" style="490" customWidth="1"/>
    <col min="1267" max="1267" width="12.125" style="490" customWidth="1"/>
    <col min="1268" max="1268" width="9" style="490"/>
    <col min="1269" max="1269" width="12.25" style="490" customWidth="1"/>
    <col min="1270" max="1270" width="9.625" style="490" customWidth="1"/>
    <col min="1271" max="1272" width="9.75" style="490" customWidth="1"/>
    <col min="1273" max="1273" width="9.375" style="490" customWidth="1"/>
    <col min="1274" max="1515" width="9" style="490"/>
    <col min="1516" max="1517" width="3.75" style="490" customWidth="1"/>
    <col min="1518" max="1518" width="15" style="490" customWidth="1"/>
    <col min="1519" max="1522" width="12.875" style="490" customWidth="1"/>
    <col min="1523" max="1523" width="12.125" style="490" customWidth="1"/>
    <col min="1524" max="1524" width="9" style="490"/>
    <col min="1525" max="1525" width="12.25" style="490" customWidth="1"/>
    <col min="1526" max="1526" width="9.625" style="490" customWidth="1"/>
    <col min="1527" max="1528" width="9.75" style="490" customWidth="1"/>
    <col min="1529" max="1529" width="9.375" style="490" customWidth="1"/>
    <col min="1530" max="1771" width="9" style="490"/>
    <col min="1772" max="1773" width="3.75" style="490" customWidth="1"/>
    <col min="1774" max="1774" width="15" style="490" customWidth="1"/>
    <col min="1775" max="1778" width="12.875" style="490" customWidth="1"/>
    <col min="1779" max="1779" width="12.125" style="490" customWidth="1"/>
    <col min="1780" max="1780" width="9" style="490"/>
    <col min="1781" max="1781" width="12.25" style="490" customWidth="1"/>
    <col min="1782" max="1782" width="9.625" style="490" customWidth="1"/>
    <col min="1783" max="1784" width="9.75" style="490" customWidth="1"/>
    <col min="1785" max="1785" width="9.375" style="490" customWidth="1"/>
    <col min="1786" max="2027" width="9" style="490"/>
    <col min="2028" max="2029" width="3.75" style="490" customWidth="1"/>
    <col min="2030" max="2030" width="15" style="490" customWidth="1"/>
    <col min="2031" max="2034" width="12.875" style="490" customWidth="1"/>
    <col min="2035" max="2035" width="12.125" style="490" customWidth="1"/>
    <col min="2036" max="2036" width="9" style="490"/>
    <col min="2037" max="2037" width="12.25" style="490" customWidth="1"/>
    <col min="2038" max="2038" width="9.625" style="490" customWidth="1"/>
    <col min="2039" max="2040" width="9.75" style="490" customWidth="1"/>
    <col min="2041" max="2041" width="9.375" style="490" customWidth="1"/>
    <col min="2042" max="2283" width="9" style="490"/>
    <col min="2284" max="2285" width="3.75" style="490" customWidth="1"/>
    <col min="2286" max="2286" width="15" style="490" customWidth="1"/>
    <col min="2287" max="2290" width="12.875" style="490" customWidth="1"/>
    <col min="2291" max="2291" width="12.125" style="490" customWidth="1"/>
    <col min="2292" max="2292" width="9" style="490"/>
    <col min="2293" max="2293" width="12.25" style="490" customWidth="1"/>
    <col min="2294" max="2294" width="9.625" style="490" customWidth="1"/>
    <col min="2295" max="2296" width="9.75" style="490" customWidth="1"/>
    <col min="2297" max="2297" width="9.375" style="490" customWidth="1"/>
    <col min="2298" max="2539" width="9" style="490"/>
    <col min="2540" max="2541" width="3.75" style="490" customWidth="1"/>
    <col min="2542" max="2542" width="15" style="490" customWidth="1"/>
    <col min="2543" max="2546" width="12.875" style="490" customWidth="1"/>
    <col min="2547" max="2547" width="12.125" style="490" customWidth="1"/>
    <col min="2548" max="2548" width="9" style="490"/>
    <col min="2549" max="2549" width="12.25" style="490" customWidth="1"/>
    <col min="2550" max="2550" width="9.625" style="490" customWidth="1"/>
    <col min="2551" max="2552" width="9.75" style="490" customWidth="1"/>
    <col min="2553" max="2553" width="9.375" style="490" customWidth="1"/>
    <col min="2554" max="2795" width="9" style="490"/>
    <col min="2796" max="2797" width="3.75" style="490" customWidth="1"/>
    <col min="2798" max="2798" width="15" style="490" customWidth="1"/>
    <col min="2799" max="2802" width="12.875" style="490" customWidth="1"/>
    <col min="2803" max="2803" width="12.125" style="490" customWidth="1"/>
    <col min="2804" max="2804" width="9" style="490"/>
    <col min="2805" max="2805" width="12.25" style="490" customWidth="1"/>
    <col min="2806" max="2806" width="9.625" style="490" customWidth="1"/>
    <col min="2807" max="2808" width="9.75" style="490" customWidth="1"/>
    <col min="2809" max="2809" width="9.375" style="490" customWidth="1"/>
    <col min="2810" max="3051" width="9" style="490"/>
    <col min="3052" max="3053" width="3.75" style="490" customWidth="1"/>
    <col min="3054" max="3054" width="15" style="490" customWidth="1"/>
    <col min="3055" max="3058" width="12.875" style="490" customWidth="1"/>
    <col min="3059" max="3059" width="12.125" style="490" customWidth="1"/>
    <col min="3060" max="3060" width="9" style="490"/>
    <col min="3061" max="3061" width="12.25" style="490" customWidth="1"/>
    <col min="3062" max="3062" width="9.625" style="490" customWidth="1"/>
    <col min="3063" max="3064" width="9.75" style="490" customWidth="1"/>
    <col min="3065" max="3065" width="9.375" style="490" customWidth="1"/>
    <col min="3066" max="3307" width="9" style="490"/>
    <col min="3308" max="3309" width="3.75" style="490" customWidth="1"/>
    <col min="3310" max="3310" width="15" style="490" customWidth="1"/>
    <col min="3311" max="3314" width="12.875" style="490" customWidth="1"/>
    <col min="3315" max="3315" width="12.125" style="490" customWidth="1"/>
    <col min="3316" max="3316" width="9" style="490"/>
    <col min="3317" max="3317" width="12.25" style="490" customWidth="1"/>
    <col min="3318" max="3318" width="9.625" style="490" customWidth="1"/>
    <col min="3319" max="3320" width="9.75" style="490" customWidth="1"/>
    <col min="3321" max="3321" width="9.375" style="490" customWidth="1"/>
    <col min="3322" max="3563" width="9" style="490"/>
    <col min="3564" max="3565" width="3.75" style="490" customWidth="1"/>
    <col min="3566" max="3566" width="15" style="490" customWidth="1"/>
    <col min="3567" max="3570" width="12.875" style="490" customWidth="1"/>
    <col min="3571" max="3571" width="12.125" style="490" customWidth="1"/>
    <col min="3572" max="3572" width="9" style="490"/>
    <col min="3573" max="3573" width="12.25" style="490" customWidth="1"/>
    <col min="3574" max="3574" width="9.625" style="490" customWidth="1"/>
    <col min="3575" max="3576" width="9.75" style="490" customWidth="1"/>
    <col min="3577" max="3577" width="9.375" style="490" customWidth="1"/>
    <col min="3578" max="3819" width="9" style="490"/>
    <col min="3820" max="3821" width="3.75" style="490" customWidth="1"/>
    <col min="3822" max="3822" width="15" style="490" customWidth="1"/>
    <col min="3823" max="3826" width="12.875" style="490" customWidth="1"/>
    <col min="3827" max="3827" width="12.125" style="490" customWidth="1"/>
    <col min="3828" max="3828" width="9" style="490"/>
    <col min="3829" max="3829" width="12.25" style="490" customWidth="1"/>
    <col min="3830" max="3830" width="9.625" style="490" customWidth="1"/>
    <col min="3831" max="3832" width="9.75" style="490" customWidth="1"/>
    <col min="3833" max="3833" width="9.375" style="490" customWidth="1"/>
    <col min="3834" max="4075" width="9" style="490"/>
    <col min="4076" max="4077" width="3.75" style="490" customWidth="1"/>
    <col min="4078" max="4078" width="15" style="490" customWidth="1"/>
    <col min="4079" max="4082" width="12.875" style="490" customWidth="1"/>
    <col min="4083" max="4083" width="12.125" style="490" customWidth="1"/>
    <col min="4084" max="4084" width="9" style="490"/>
    <col min="4085" max="4085" width="12.25" style="490" customWidth="1"/>
    <col min="4086" max="4086" width="9.625" style="490" customWidth="1"/>
    <col min="4087" max="4088" width="9.75" style="490" customWidth="1"/>
    <col min="4089" max="4089" width="9.375" style="490" customWidth="1"/>
    <col min="4090" max="4331" width="9" style="490"/>
    <col min="4332" max="4333" width="3.75" style="490" customWidth="1"/>
    <col min="4334" max="4334" width="15" style="490" customWidth="1"/>
    <col min="4335" max="4338" width="12.875" style="490" customWidth="1"/>
    <col min="4339" max="4339" width="12.125" style="490" customWidth="1"/>
    <col min="4340" max="4340" width="9" style="490"/>
    <col min="4341" max="4341" width="12.25" style="490" customWidth="1"/>
    <col min="4342" max="4342" width="9.625" style="490" customWidth="1"/>
    <col min="4343" max="4344" width="9.75" style="490" customWidth="1"/>
    <col min="4345" max="4345" width="9.375" style="490" customWidth="1"/>
    <col min="4346" max="4587" width="9" style="490"/>
    <col min="4588" max="4589" width="3.75" style="490" customWidth="1"/>
    <col min="4590" max="4590" width="15" style="490" customWidth="1"/>
    <col min="4591" max="4594" width="12.875" style="490" customWidth="1"/>
    <col min="4595" max="4595" width="12.125" style="490" customWidth="1"/>
    <col min="4596" max="4596" width="9" style="490"/>
    <col min="4597" max="4597" width="12.25" style="490" customWidth="1"/>
    <col min="4598" max="4598" width="9.625" style="490" customWidth="1"/>
    <col min="4599" max="4600" width="9.75" style="490" customWidth="1"/>
    <col min="4601" max="4601" width="9.375" style="490" customWidth="1"/>
    <col min="4602" max="4843" width="9" style="490"/>
    <col min="4844" max="4845" width="3.75" style="490" customWidth="1"/>
    <col min="4846" max="4846" width="15" style="490" customWidth="1"/>
    <col min="4847" max="4850" width="12.875" style="490" customWidth="1"/>
    <col min="4851" max="4851" width="12.125" style="490" customWidth="1"/>
    <col min="4852" max="4852" width="9" style="490"/>
    <col min="4853" max="4853" width="12.25" style="490" customWidth="1"/>
    <col min="4854" max="4854" width="9.625" style="490" customWidth="1"/>
    <col min="4855" max="4856" width="9.75" style="490" customWidth="1"/>
    <col min="4857" max="4857" width="9.375" style="490" customWidth="1"/>
    <col min="4858" max="5099" width="9" style="490"/>
    <col min="5100" max="5101" width="3.75" style="490" customWidth="1"/>
    <col min="5102" max="5102" width="15" style="490" customWidth="1"/>
    <col min="5103" max="5106" width="12.875" style="490" customWidth="1"/>
    <col min="5107" max="5107" width="12.125" style="490" customWidth="1"/>
    <col min="5108" max="5108" width="9" style="490"/>
    <col min="5109" max="5109" width="12.25" style="490" customWidth="1"/>
    <col min="5110" max="5110" width="9.625" style="490" customWidth="1"/>
    <col min="5111" max="5112" width="9.75" style="490" customWidth="1"/>
    <col min="5113" max="5113" width="9.375" style="490" customWidth="1"/>
    <col min="5114" max="5355" width="9" style="490"/>
    <col min="5356" max="5357" width="3.75" style="490" customWidth="1"/>
    <col min="5358" max="5358" width="15" style="490" customWidth="1"/>
    <col min="5359" max="5362" width="12.875" style="490" customWidth="1"/>
    <col min="5363" max="5363" width="12.125" style="490" customWidth="1"/>
    <col min="5364" max="5364" width="9" style="490"/>
    <col min="5365" max="5365" width="12.25" style="490" customWidth="1"/>
    <col min="5366" max="5366" width="9.625" style="490" customWidth="1"/>
    <col min="5367" max="5368" width="9.75" style="490" customWidth="1"/>
    <col min="5369" max="5369" width="9.375" style="490" customWidth="1"/>
    <col min="5370" max="5611" width="9" style="490"/>
    <col min="5612" max="5613" width="3.75" style="490" customWidth="1"/>
    <col min="5614" max="5614" width="15" style="490" customWidth="1"/>
    <col min="5615" max="5618" width="12.875" style="490" customWidth="1"/>
    <col min="5619" max="5619" width="12.125" style="490" customWidth="1"/>
    <col min="5620" max="5620" width="9" style="490"/>
    <col min="5621" max="5621" width="12.25" style="490" customWidth="1"/>
    <col min="5622" max="5622" width="9.625" style="490" customWidth="1"/>
    <col min="5623" max="5624" width="9.75" style="490" customWidth="1"/>
    <col min="5625" max="5625" width="9.375" style="490" customWidth="1"/>
    <col min="5626" max="5867" width="9" style="490"/>
    <col min="5868" max="5869" width="3.75" style="490" customWidth="1"/>
    <col min="5870" max="5870" width="15" style="490" customWidth="1"/>
    <col min="5871" max="5874" width="12.875" style="490" customWidth="1"/>
    <col min="5875" max="5875" width="12.125" style="490" customWidth="1"/>
    <col min="5876" max="5876" width="9" style="490"/>
    <col min="5877" max="5877" width="12.25" style="490" customWidth="1"/>
    <col min="5878" max="5878" width="9.625" style="490" customWidth="1"/>
    <col min="5879" max="5880" width="9.75" style="490" customWidth="1"/>
    <col min="5881" max="5881" width="9.375" style="490" customWidth="1"/>
    <col min="5882" max="6123" width="9" style="490"/>
    <col min="6124" max="6125" width="3.75" style="490" customWidth="1"/>
    <col min="6126" max="6126" width="15" style="490" customWidth="1"/>
    <col min="6127" max="6130" width="12.875" style="490" customWidth="1"/>
    <col min="6131" max="6131" width="12.125" style="490" customWidth="1"/>
    <col min="6132" max="6132" width="9" style="490"/>
    <col min="6133" max="6133" width="12.25" style="490" customWidth="1"/>
    <col min="6134" max="6134" width="9.625" style="490" customWidth="1"/>
    <col min="6135" max="6136" width="9.75" style="490" customWidth="1"/>
    <col min="6137" max="6137" width="9.375" style="490" customWidth="1"/>
    <col min="6138" max="6379" width="9" style="490"/>
    <col min="6380" max="6381" width="3.75" style="490" customWidth="1"/>
    <col min="6382" max="6382" width="15" style="490" customWidth="1"/>
    <col min="6383" max="6386" width="12.875" style="490" customWidth="1"/>
    <col min="6387" max="6387" width="12.125" style="490" customWidth="1"/>
    <col min="6388" max="6388" width="9" style="490"/>
    <col min="6389" max="6389" width="12.25" style="490" customWidth="1"/>
    <col min="6390" max="6390" width="9.625" style="490" customWidth="1"/>
    <col min="6391" max="6392" width="9.75" style="490" customWidth="1"/>
    <col min="6393" max="6393" width="9.375" style="490" customWidth="1"/>
    <col min="6394" max="6635" width="9" style="490"/>
    <col min="6636" max="6637" width="3.75" style="490" customWidth="1"/>
    <col min="6638" max="6638" width="15" style="490" customWidth="1"/>
    <col min="6639" max="6642" width="12.875" style="490" customWidth="1"/>
    <col min="6643" max="6643" width="12.125" style="490" customWidth="1"/>
    <col min="6644" max="6644" width="9" style="490"/>
    <col min="6645" max="6645" width="12.25" style="490" customWidth="1"/>
    <col min="6646" max="6646" width="9.625" style="490" customWidth="1"/>
    <col min="6647" max="6648" width="9.75" style="490" customWidth="1"/>
    <col min="6649" max="6649" width="9.375" style="490" customWidth="1"/>
    <col min="6650" max="6891" width="9" style="490"/>
    <col min="6892" max="6893" width="3.75" style="490" customWidth="1"/>
    <col min="6894" max="6894" width="15" style="490" customWidth="1"/>
    <col min="6895" max="6898" width="12.875" style="490" customWidth="1"/>
    <col min="6899" max="6899" width="12.125" style="490" customWidth="1"/>
    <col min="6900" max="6900" width="9" style="490"/>
    <col min="6901" max="6901" width="12.25" style="490" customWidth="1"/>
    <col min="6902" max="6902" width="9.625" style="490" customWidth="1"/>
    <col min="6903" max="6904" width="9.75" style="490" customWidth="1"/>
    <col min="6905" max="6905" width="9.375" style="490" customWidth="1"/>
    <col min="6906" max="7147" width="9" style="490"/>
    <col min="7148" max="7149" width="3.75" style="490" customWidth="1"/>
    <col min="7150" max="7150" width="15" style="490" customWidth="1"/>
    <col min="7151" max="7154" width="12.875" style="490" customWidth="1"/>
    <col min="7155" max="7155" width="12.125" style="490" customWidth="1"/>
    <col min="7156" max="7156" width="9" style="490"/>
    <col min="7157" max="7157" width="12.25" style="490" customWidth="1"/>
    <col min="7158" max="7158" width="9.625" style="490" customWidth="1"/>
    <col min="7159" max="7160" width="9.75" style="490" customWidth="1"/>
    <col min="7161" max="7161" width="9.375" style="490" customWidth="1"/>
    <col min="7162" max="7403" width="9" style="490"/>
    <col min="7404" max="7405" width="3.75" style="490" customWidth="1"/>
    <col min="7406" max="7406" width="15" style="490" customWidth="1"/>
    <col min="7407" max="7410" width="12.875" style="490" customWidth="1"/>
    <col min="7411" max="7411" width="12.125" style="490" customWidth="1"/>
    <col min="7412" max="7412" width="9" style="490"/>
    <col min="7413" max="7413" width="12.25" style="490" customWidth="1"/>
    <col min="7414" max="7414" width="9.625" style="490" customWidth="1"/>
    <col min="7415" max="7416" width="9.75" style="490" customWidth="1"/>
    <col min="7417" max="7417" width="9.375" style="490" customWidth="1"/>
    <col min="7418" max="7659" width="9" style="490"/>
    <col min="7660" max="7661" width="3.75" style="490" customWidth="1"/>
    <col min="7662" max="7662" width="15" style="490" customWidth="1"/>
    <col min="7663" max="7666" width="12.875" style="490" customWidth="1"/>
    <col min="7667" max="7667" width="12.125" style="490" customWidth="1"/>
    <col min="7668" max="7668" width="9" style="490"/>
    <col min="7669" max="7669" width="12.25" style="490" customWidth="1"/>
    <col min="7670" max="7670" width="9.625" style="490" customWidth="1"/>
    <col min="7671" max="7672" width="9.75" style="490" customWidth="1"/>
    <col min="7673" max="7673" width="9.375" style="490" customWidth="1"/>
    <col min="7674" max="7915" width="9" style="490"/>
    <col min="7916" max="7917" width="3.75" style="490" customWidth="1"/>
    <col min="7918" max="7918" width="15" style="490" customWidth="1"/>
    <col min="7919" max="7922" width="12.875" style="490" customWidth="1"/>
    <col min="7923" max="7923" width="12.125" style="490" customWidth="1"/>
    <col min="7924" max="7924" width="9" style="490"/>
    <col min="7925" max="7925" width="12.25" style="490" customWidth="1"/>
    <col min="7926" max="7926" width="9.625" style="490" customWidth="1"/>
    <col min="7927" max="7928" width="9.75" style="490" customWidth="1"/>
    <col min="7929" max="7929" width="9.375" style="490" customWidth="1"/>
    <col min="7930" max="8171" width="9" style="490"/>
    <col min="8172" max="8173" width="3.75" style="490" customWidth="1"/>
    <col min="8174" max="8174" width="15" style="490" customWidth="1"/>
    <col min="8175" max="8178" width="12.875" style="490" customWidth="1"/>
    <col min="8179" max="8179" width="12.125" style="490" customWidth="1"/>
    <col min="8180" max="8180" width="9" style="490"/>
    <col min="8181" max="8181" width="12.25" style="490" customWidth="1"/>
    <col min="8182" max="8182" width="9.625" style="490" customWidth="1"/>
    <col min="8183" max="8184" width="9.75" style="490" customWidth="1"/>
    <col min="8185" max="8185" width="9.375" style="490" customWidth="1"/>
    <col min="8186" max="8427" width="9" style="490"/>
    <col min="8428" max="8429" width="3.75" style="490" customWidth="1"/>
    <col min="8430" max="8430" width="15" style="490" customWidth="1"/>
    <col min="8431" max="8434" width="12.875" style="490" customWidth="1"/>
    <col min="8435" max="8435" width="12.125" style="490" customWidth="1"/>
    <col min="8436" max="8436" width="9" style="490"/>
    <col min="8437" max="8437" width="12.25" style="490" customWidth="1"/>
    <col min="8438" max="8438" width="9.625" style="490" customWidth="1"/>
    <col min="8439" max="8440" width="9.75" style="490" customWidth="1"/>
    <col min="8441" max="8441" width="9.375" style="490" customWidth="1"/>
    <col min="8442" max="8683" width="9" style="490"/>
    <col min="8684" max="8685" width="3.75" style="490" customWidth="1"/>
    <col min="8686" max="8686" width="15" style="490" customWidth="1"/>
    <col min="8687" max="8690" width="12.875" style="490" customWidth="1"/>
    <col min="8691" max="8691" width="12.125" style="490" customWidth="1"/>
    <col min="8692" max="8692" width="9" style="490"/>
    <col min="8693" max="8693" width="12.25" style="490" customWidth="1"/>
    <col min="8694" max="8694" width="9.625" style="490" customWidth="1"/>
    <col min="8695" max="8696" width="9.75" style="490" customWidth="1"/>
    <col min="8697" max="8697" width="9.375" style="490" customWidth="1"/>
    <col min="8698" max="8939" width="9" style="490"/>
    <col min="8940" max="8941" width="3.75" style="490" customWidth="1"/>
    <col min="8942" max="8942" width="15" style="490" customWidth="1"/>
    <col min="8943" max="8946" width="12.875" style="490" customWidth="1"/>
    <col min="8947" max="8947" width="12.125" style="490" customWidth="1"/>
    <col min="8948" max="8948" width="9" style="490"/>
    <col min="8949" max="8949" width="12.25" style="490" customWidth="1"/>
    <col min="8950" max="8950" width="9.625" style="490" customWidth="1"/>
    <col min="8951" max="8952" width="9.75" style="490" customWidth="1"/>
    <col min="8953" max="8953" width="9.375" style="490" customWidth="1"/>
    <col min="8954" max="9195" width="9" style="490"/>
    <col min="9196" max="9197" width="3.75" style="490" customWidth="1"/>
    <col min="9198" max="9198" width="15" style="490" customWidth="1"/>
    <col min="9199" max="9202" width="12.875" style="490" customWidth="1"/>
    <col min="9203" max="9203" width="12.125" style="490" customWidth="1"/>
    <col min="9204" max="9204" width="9" style="490"/>
    <col min="9205" max="9205" width="12.25" style="490" customWidth="1"/>
    <col min="9206" max="9206" width="9.625" style="490" customWidth="1"/>
    <col min="9207" max="9208" width="9.75" style="490" customWidth="1"/>
    <col min="9209" max="9209" width="9.375" style="490" customWidth="1"/>
    <col min="9210" max="9451" width="9" style="490"/>
    <col min="9452" max="9453" width="3.75" style="490" customWidth="1"/>
    <col min="9454" max="9454" width="15" style="490" customWidth="1"/>
    <col min="9455" max="9458" width="12.875" style="490" customWidth="1"/>
    <col min="9459" max="9459" width="12.125" style="490" customWidth="1"/>
    <col min="9460" max="9460" width="9" style="490"/>
    <col min="9461" max="9461" width="12.25" style="490" customWidth="1"/>
    <col min="9462" max="9462" width="9.625" style="490" customWidth="1"/>
    <col min="9463" max="9464" width="9.75" style="490" customWidth="1"/>
    <col min="9465" max="9465" width="9.375" style="490" customWidth="1"/>
    <col min="9466" max="9707" width="9" style="490"/>
    <col min="9708" max="9709" width="3.75" style="490" customWidth="1"/>
    <col min="9710" max="9710" width="15" style="490" customWidth="1"/>
    <col min="9711" max="9714" width="12.875" style="490" customWidth="1"/>
    <col min="9715" max="9715" width="12.125" style="490" customWidth="1"/>
    <col min="9716" max="9716" width="9" style="490"/>
    <col min="9717" max="9717" width="12.25" style="490" customWidth="1"/>
    <col min="9718" max="9718" width="9.625" style="490" customWidth="1"/>
    <col min="9719" max="9720" width="9.75" style="490" customWidth="1"/>
    <col min="9721" max="9721" width="9.375" style="490" customWidth="1"/>
    <col min="9722" max="9963" width="9" style="490"/>
    <col min="9964" max="9965" width="3.75" style="490" customWidth="1"/>
    <col min="9966" max="9966" width="15" style="490" customWidth="1"/>
    <col min="9967" max="9970" width="12.875" style="490" customWidth="1"/>
    <col min="9971" max="9971" width="12.125" style="490" customWidth="1"/>
    <col min="9972" max="9972" width="9" style="490"/>
    <col min="9973" max="9973" width="12.25" style="490" customWidth="1"/>
    <col min="9974" max="9974" width="9.625" style="490" customWidth="1"/>
    <col min="9975" max="9976" width="9.75" style="490" customWidth="1"/>
    <col min="9977" max="9977" width="9.375" style="490" customWidth="1"/>
    <col min="9978" max="10219" width="9" style="490"/>
    <col min="10220" max="10221" width="3.75" style="490" customWidth="1"/>
    <col min="10222" max="10222" width="15" style="490" customWidth="1"/>
    <col min="10223" max="10226" width="12.875" style="490" customWidth="1"/>
    <col min="10227" max="10227" width="12.125" style="490" customWidth="1"/>
    <col min="10228" max="10228" width="9" style="490"/>
    <col min="10229" max="10229" width="12.25" style="490" customWidth="1"/>
    <col min="10230" max="10230" width="9.625" style="490" customWidth="1"/>
    <col min="10231" max="10232" width="9.75" style="490" customWidth="1"/>
    <col min="10233" max="10233" width="9.375" style="490" customWidth="1"/>
    <col min="10234" max="10475" width="9" style="490"/>
    <col min="10476" max="10477" width="3.75" style="490" customWidth="1"/>
    <col min="10478" max="10478" width="15" style="490" customWidth="1"/>
    <col min="10479" max="10482" width="12.875" style="490" customWidth="1"/>
    <col min="10483" max="10483" width="12.125" style="490" customWidth="1"/>
    <col min="10484" max="10484" width="9" style="490"/>
    <col min="10485" max="10485" width="12.25" style="490" customWidth="1"/>
    <col min="10486" max="10486" width="9.625" style="490" customWidth="1"/>
    <col min="10487" max="10488" width="9.75" style="490" customWidth="1"/>
    <col min="10489" max="10489" width="9.375" style="490" customWidth="1"/>
    <col min="10490" max="10731" width="9" style="490"/>
    <col min="10732" max="10733" width="3.75" style="490" customWidth="1"/>
    <col min="10734" max="10734" width="15" style="490" customWidth="1"/>
    <col min="10735" max="10738" width="12.875" style="490" customWidth="1"/>
    <col min="10739" max="10739" width="12.125" style="490" customWidth="1"/>
    <col min="10740" max="10740" width="9" style="490"/>
    <col min="10741" max="10741" width="12.25" style="490" customWidth="1"/>
    <col min="10742" max="10742" width="9.625" style="490" customWidth="1"/>
    <col min="10743" max="10744" width="9.75" style="490" customWidth="1"/>
    <col min="10745" max="10745" width="9.375" style="490" customWidth="1"/>
    <col min="10746" max="10987" width="9" style="490"/>
    <col min="10988" max="10989" width="3.75" style="490" customWidth="1"/>
    <col min="10990" max="10990" width="15" style="490" customWidth="1"/>
    <col min="10991" max="10994" width="12.875" style="490" customWidth="1"/>
    <col min="10995" max="10995" width="12.125" style="490" customWidth="1"/>
    <col min="10996" max="10996" width="9" style="490"/>
    <col min="10997" max="10997" width="12.25" style="490" customWidth="1"/>
    <col min="10998" max="10998" width="9.625" style="490" customWidth="1"/>
    <col min="10999" max="11000" width="9.75" style="490" customWidth="1"/>
    <col min="11001" max="11001" width="9.375" style="490" customWidth="1"/>
    <col min="11002" max="11243" width="9" style="490"/>
    <col min="11244" max="11245" width="3.75" style="490" customWidth="1"/>
    <col min="11246" max="11246" width="15" style="490" customWidth="1"/>
    <col min="11247" max="11250" width="12.875" style="490" customWidth="1"/>
    <col min="11251" max="11251" width="12.125" style="490" customWidth="1"/>
    <col min="11252" max="11252" width="9" style="490"/>
    <col min="11253" max="11253" width="12.25" style="490" customWidth="1"/>
    <col min="11254" max="11254" width="9.625" style="490" customWidth="1"/>
    <col min="11255" max="11256" width="9.75" style="490" customWidth="1"/>
    <col min="11257" max="11257" width="9.375" style="490" customWidth="1"/>
    <col min="11258" max="11499" width="9" style="490"/>
    <col min="11500" max="11501" width="3.75" style="490" customWidth="1"/>
    <col min="11502" max="11502" width="15" style="490" customWidth="1"/>
    <col min="11503" max="11506" width="12.875" style="490" customWidth="1"/>
    <col min="11507" max="11507" width="12.125" style="490" customWidth="1"/>
    <col min="11508" max="11508" width="9" style="490"/>
    <col min="11509" max="11509" width="12.25" style="490" customWidth="1"/>
    <col min="11510" max="11510" width="9.625" style="490" customWidth="1"/>
    <col min="11511" max="11512" width="9.75" style="490" customWidth="1"/>
    <col min="11513" max="11513" width="9.375" style="490" customWidth="1"/>
    <col min="11514" max="11755" width="9" style="490"/>
    <col min="11756" max="11757" width="3.75" style="490" customWidth="1"/>
    <col min="11758" max="11758" width="15" style="490" customWidth="1"/>
    <col min="11759" max="11762" width="12.875" style="490" customWidth="1"/>
    <col min="11763" max="11763" width="12.125" style="490" customWidth="1"/>
    <col min="11764" max="11764" width="9" style="490"/>
    <col min="11765" max="11765" width="12.25" style="490" customWidth="1"/>
    <col min="11766" max="11766" width="9.625" style="490" customWidth="1"/>
    <col min="11767" max="11768" width="9.75" style="490" customWidth="1"/>
    <col min="11769" max="11769" width="9.375" style="490" customWidth="1"/>
    <col min="11770" max="12011" width="9" style="490"/>
    <col min="12012" max="12013" width="3.75" style="490" customWidth="1"/>
    <col min="12014" max="12014" width="15" style="490" customWidth="1"/>
    <col min="12015" max="12018" width="12.875" style="490" customWidth="1"/>
    <col min="12019" max="12019" width="12.125" style="490" customWidth="1"/>
    <col min="12020" max="12020" width="9" style="490"/>
    <col min="12021" max="12021" width="12.25" style="490" customWidth="1"/>
    <col min="12022" max="12022" width="9.625" style="490" customWidth="1"/>
    <col min="12023" max="12024" width="9.75" style="490" customWidth="1"/>
    <col min="12025" max="12025" width="9.375" style="490" customWidth="1"/>
    <col min="12026" max="12267" width="9" style="490"/>
    <col min="12268" max="12269" width="3.75" style="490" customWidth="1"/>
    <col min="12270" max="12270" width="15" style="490" customWidth="1"/>
    <col min="12271" max="12274" width="12.875" style="490" customWidth="1"/>
    <col min="12275" max="12275" width="12.125" style="490" customWidth="1"/>
    <col min="12276" max="12276" width="9" style="490"/>
    <col min="12277" max="12277" width="12.25" style="490" customWidth="1"/>
    <col min="12278" max="12278" width="9.625" style="490" customWidth="1"/>
    <col min="12279" max="12280" width="9.75" style="490" customWidth="1"/>
    <col min="12281" max="12281" width="9.375" style="490" customWidth="1"/>
    <col min="12282" max="12523" width="9" style="490"/>
    <col min="12524" max="12525" width="3.75" style="490" customWidth="1"/>
    <col min="12526" max="12526" width="15" style="490" customWidth="1"/>
    <col min="12527" max="12530" width="12.875" style="490" customWidth="1"/>
    <col min="12531" max="12531" width="12.125" style="490" customWidth="1"/>
    <col min="12532" max="12532" width="9" style="490"/>
    <col min="12533" max="12533" width="12.25" style="490" customWidth="1"/>
    <col min="12534" max="12534" width="9.625" style="490" customWidth="1"/>
    <col min="12535" max="12536" width="9.75" style="490" customWidth="1"/>
    <col min="12537" max="12537" width="9.375" style="490" customWidth="1"/>
    <col min="12538" max="12779" width="9" style="490"/>
    <col min="12780" max="12781" width="3.75" style="490" customWidth="1"/>
    <col min="12782" max="12782" width="15" style="490" customWidth="1"/>
    <col min="12783" max="12786" width="12.875" style="490" customWidth="1"/>
    <col min="12787" max="12787" width="12.125" style="490" customWidth="1"/>
    <col min="12788" max="12788" width="9" style="490"/>
    <col min="12789" max="12789" width="12.25" style="490" customWidth="1"/>
    <col min="12790" max="12790" width="9.625" style="490" customWidth="1"/>
    <col min="12791" max="12792" width="9.75" style="490" customWidth="1"/>
    <col min="12793" max="12793" width="9.375" style="490" customWidth="1"/>
    <col min="12794" max="13035" width="9" style="490"/>
    <col min="13036" max="13037" width="3.75" style="490" customWidth="1"/>
    <col min="13038" max="13038" width="15" style="490" customWidth="1"/>
    <col min="13039" max="13042" width="12.875" style="490" customWidth="1"/>
    <col min="13043" max="13043" width="12.125" style="490" customWidth="1"/>
    <col min="13044" max="13044" width="9" style="490"/>
    <col min="13045" max="13045" width="12.25" style="490" customWidth="1"/>
    <col min="13046" max="13046" width="9.625" style="490" customWidth="1"/>
    <col min="13047" max="13048" width="9.75" style="490" customWidth="1"/>
    <col min="13049" max="13049" width="9.375" style="490" customWidth="1"/>
    <col min="13050" max="13291" width="9" style="490"/>
    <col min="13292" max="13293" width="3.75" style="490" customWidth="1"/>
    <col min="13294" max="13294" width="15" style="490" customWidth="1"/>
    <col min="13295" max="13298" width="12.875" style="490" customWidth="1"/>
    <col min="13299" max="13299" width="12.125" style="490" customWidth="1"/>
    <col min="13300" max="13300" width="9" style="490"/>
    <col min="13301" max="13301" width="12.25" style="490" customWidth="1"/>
    <col min="13302" max="13302" width="9.625" style="490" customWidth="1"/>
    <col min="13303" max="13304" width="9.75" style="490" customWidth="1"/>
    <col min="13305" max="13305" width="9.375" style="490" customWidth="1"/>
    <col min="13306" max="13547" width="9" style="490"/>
    <col min="13548" max="13549" width="3.75" style="490" customWidth="1"/>
    <col min="13550" max="13550" width="15" style="490" customWidth="1"/>
    <col min="13551" max="13554" width="12.875" style="490" customWidth="1"/>
    <col min="13555" max="13555" width="12.125" style="490" customWidth="1"/>
    <col min="13556" max="13556" width="9" style="490"/>
    <col min="13557" max="13557" width="12.25" style="490" customWidth="1"/>
    <col min="13558" max="13558" width="9.625" style="490" customWidth="1"/>
    <col min="13559" max="13560" width="9.75" style="490" customWidth="1"/>
    <col min="13561" max="13561" width="9.375" style="490" customWidth="1"/>
    <col min="13562" max="13803" width="9" style="490"/>
    <col min="13804" max="13805" width="3.75" style="490" customWidth="1"/>
    <col min="13806" max="13806" width="15" style="490" customWidth="1"/>
    <col min="13807" max="13810" width="12.875" style="490" customWidth="1"/>
    <col min="13811" max="13811" width="12.125" style="490" customWidth="1"/>
    <col min="13812" max="13812" width="9" style="490"/>
    <col min="13813" max="13813" width="12.25" style="490" customWidth="1"/>
    <col min="13814" max="13814" width="9.625" style="490" customWidth="1"/>
    <col min="13815" max="13816" width="9.75" style="490" customWidth="1"/>
    <col min="13817" max="13817" width="9.375" style="490" customWidth="1"/>
    <col min="13818" max="14059" width="9" style="490"/>
    <col min="14060" max="14061" width="3.75" style="490" customWidth="1"/>
    <col min="14062" max="14062" width="15" style="490" customWidth="1"/>
    <col min="14063" max="14066" width="12.875" style="490" customWidth="1"/>
    <col min="14067" max="14067" width="12.125" style="490" customWidth="1"/>
    <col min="14068" max="14068" width="9" style="490"/>
    <col min="14069" max="14069" width="12.25" style="490" customWidth="1"/>
    <col min="14070" max="14070" width="9.625" style="490" customWidth="1"/>
    <col min="14071" max="14072" width="9.75" style="490" customWidth="1"/>
    <col min="14073" max="14073" width="9.375" style="490" customWidth="1"/>
    <col min="14074" max="14315" width="9" style="490"/>
    <col min="14316" max="14317" width="3.75" style="490" customWidth="1"/>
    <col min="14318" max="14318" width="15" style="490" customWidth="1"/>
    <col min="14319" max="14322" width="12.875" style="490" customWidth="1"/>
    <col min="14323" max="14323" width="12.125" style="490" customWidth="1"/>
    <col min="14324" max="14324" width="9" style="490"/>
    <col min="14325" max="14325" width="12.25" style="490" customWidth="1"/>
    <col min="14326" max="14326" width="9.625" style="490" customWidth="1"/>
    <col min="14327" max="14328" width="9.75" style="490" customWidth="1"/>
    <col min="14329" max="14329" width="9.375" style="490" customWidth="1"/>
    <col min="14330" max="14571" width="9" style="490"/>
    <col min="14572" max="14573" width="3.75" style="490" customWidth="1"/>
    <col min="14574" max="14574" width="15" style="490" customWidth="1"/>
    <col min="14575" max="14578" width="12.875" style="490" customWidth="1"/>
    <col min="14579" max="14579" width="12.125" style="490" customWidth="1"/>
    <col min="14580" max="14580" width="9" style="490"/>
    <col min="14581" max="14581" width="12.25" style="490" customWidth="1"/>
    <col min="14582" max="14582" width="9.625" style="490" customWidth="1"/>
    <col min="14583" max="14584" width="9.75" style="490" customWidth="1"/>
    <col min="14585" max="14585" width="9.375" style="490" customWidth="1"/>
    <col min="14586" max="14827" width="9" style="490"/>
    <col min="14828" max="14829" width="3.75" style="490" customWidth="1"/>
    <col min="14830" max="14830" width="15" style="490" customWidth="1"/>
    <col min="14831" max="14834" width="12.875" style="490" customWidth="1"/>
    <col min="14835" max="14835" width="12.125" style="490" customWidth="1"/>
    <col min="14836" max="14836" width="9" style="490"/>
    <col min="14837" max="14837" width="12.25" style="490" customWidth="1"/>
    <col min="14838" max="14838" width="9.625" style="490" customWidth="1"/>
    <col min="14839" max="14840" width="9.75" style="490" customWidth="1"/>
    <col min="14841" max="14841" width="9.375" style="490" customWidth="1"/>
    <col min="14842" max="15083" width="9" style="490"/>
    <col min="15084" max="15085" width="3.75" style="490" customWidth="1"/>
    <col min="15086" max="15086" width="15" style="490" customWidth="1"/>
    <col min="15087" max="15090" width="12.875" style="490" customWidth="1"/>
    <col min="15091" max="15091" width="12.125" style="490" customWidth="1"/>
    <col min="15092" max="15092" width="9" style="490"/>
    <col min="15093" max="15093" width="12.25" style="490" customWidth="1"/>
    <col min="15094" max="15094" width="9.625" style="490" customWidth="1"/>
    <col min="15095" max="15096" width="9.75" style="490" customWidth="1"/>
    <col min="15097" max="15097" width="9.375" style="490" customWidth="1"/>
    <col min="15098" max="15339" width="9" style="490"/>
    <col min="15340" max="15341" width="3.75" style="490" customWidth="1"/>
    <col min="15342" max="15342" width="15" style="490" customWidth="1"/>
    <col min="15343" max="15346" width="12.875" style="490" customWidth="1"/>
    <col min="15347" max="15347" width="12.125" style="490" customWidth="1"/>
    <col min="15348" max="15348" width="9" style="490"/>
    <col min="15349" max="15349" width="12.25" style="490" customWidth="1"/>
    <col min="15350" max="15350" width="9.625" style="490" customWidth="1"/>
    <col min="15351" max="15352" width="9.75" style="490" customWidth="1"/>
    <col min="15353" max="15353" width="9.375" style="490" customWidth="1"/>
    <col min="15354" max="15595" width="9" style="490"/>
    <col min="15596" max="15597" width="3.75" style="490" customWidth="1"/>
    <col min="15598" max="15598" width="15" style="490" customWidth="1"/>
    <col min="15599" max="15602" width="12.875" style="490" customWidth="1"/>
    <col min="15603" max="15603" width="12.125" style="490" customWidth="1"/>
    <col min="15604" max="15604" width="9" style="490"/>
    <col min="15605" max="15605" width="12.25" style="490" customWidth="1"/>
    <col min="15606" max="15606" width="9.625" style="490" customWidth="1"/>
    <col min="15607" max="15608" width="9.75" style="490" customWidth="1"/>
    <col min="15609" max="15609" width="9.375" style="490" customWidth="1"/>
    <col min="15610" max="15851" width="9" style="490"/>
    <col min="15852" max="15853" width="3.75" style="490" customWidth="1"/>
    <col min="15854" max="15854" width="15" style="490" customWidth="1"/>
    <col min="15855" max="15858" width="12.875" style="490" customWidth="1"/>
    <col min="15859" max="15859" width="12.125" style="490" customWidth="1"/>
    <col min="15860" max="15860" width="9" style="490"/>
    <col min="15861" max="15861" width="12.25" style="490" customWidth="1"/>
    <col min="15862" max="15862" width="9.625" style="490" customWidth="1"/>
    <col min="15863" max="15864" width="9.75" style="490" customWidth="1"/>
    <col min="15865" max="15865" width="9.375" style="490" customWidth="1"/>
    <col min="15866" max="16107" width="9" style="490"/>
    <col min="16108" max="16109" width="3.75" style="490" customWidth="1"/>
    <col min="16110" max="16110" width="15" style="490" customWidth="1"/>
    <col min="16111" max="16114" width="12.875" style="490" customWidth="1"/>
    <col min="16115" max="16115" width="12.125" style="490" customWidth="1"/>
    <col min="16116" max="16116" width="9" style="490"/>
    <col min="16117" max="16117" width="12.25" style="490" customWidth="1"/>
    <col min="16118" max="16118" width="9.625" style="490" customWidth="1"/>
    <col min="16119" max="16120" width="9.75" style="490" customWidth="1"/>
    <col min="16121" max="16121" width="9.375" style="490" customWidth="1"/>
    <col min="16122" max="16384" width="9" style="490"/>
  </cols>
  <sheetData>
    <row r="1" spans="1:20" ht="20.100000000000001" customHeight="1">
      <c r="A1" s="489" t="s">
        <v>1020</v>
      </c>
      <c r="B1" s="489"/>
      <c r="C1" s="489"/>
      <c r="D1" s="489"/>
    </row>
    <row r="2" spans="1:20" ht="20.100000000000001" customHeight="1">
      <c r="A2" s="490" t="s">
        <v>1021</v>
      </c>
    </row>
    <row r="3" spans="1:20" ht="20.100000000000001" customHeight="1">
      <c r="A3" s="491" t="s">
        <v>1055</v>
      </c>
      <c r="B3" s="491"/>
      <c r="C3" s="491"/>
      <c r="D3" s="491"/>
      <c r="M3" s="978" t="s">
        <v>64</v>
      </c>
      <c r="N3" s="978" t="s">
        <v>511</v>
      </c>
      <c r="O3" s="978" t="s">
        <v>66</v>
      </c>
      <c r="P3" s="978"/>
      <c r="Q3" s="1012" t="s">
        <v>64</v>
      </c>
      <c r="R3" s="978" t="s">
        <v>511</v>
      </c>
      <c r="S3" s="978" t="s">
        <v>66</v>
      </c>
      <c r="T3" s="978"/>
    </row>
    <row r="4" spans="1:20" ht="20.100000000000001" customHeight="1">
      <c r="A4" s="491" t="s">
        <v>1023</v>
      </c>
      <c r="B4" s="491"/>
      <c r="C4" s="491"/>
      <c r="E4" s="491" t="s">
        <v>1024</v>
      </c>
      <c r="M4" s="978"/>
      <c r="N4" s="978"/>
      <c r="O4" s="662" t="s">
        <v>67</v>
      </c>
      <c r="P4" s="662" t="s">
        <v>68</v>
      </c>
      <c r="Q4" s="1012"/>
      <c r="R4" s="978"/>
      <c r="S4" s="662" t="s">
        <v>67</v>
      </c>
      <c r="T4" s="662" t="s">
        <v>68</v>
      </c>
    </row>
    <row r="5" spans="1:20" ht="20.100000000000001" customHeight="1">
      <c r="A5" s="491" t="s">
        <v>1057</v>
      </c>
      <c r="B5" s="491"/>
      <c r="C5" s="491"/>
      <c r="D5" s="491"/>
      <c r="M5" s="978" t="s">
        <v>69</v>
      </c>
      <c r="N5" s="662">
        <v>300</v>
      </c>
      <c r="O5" s="609">
        <v>512740</v>
      </c>
      <c r="P5" s="609">
        <v>782541</v>
      </c>
      <c r="Q5" s="993" t="s">
        <v>70</v>
      </c>
      <c r="R5" s="662">
        <v>80</v>
      </c>
      <c r="S5" s="609">
        <v>91404</v>
      </c>
      <c r="T5" s="609">
        <v>309684</v>
      </c>
    </row>
    <row r="6" spans="1:20" ht="20.100000000000001" customHeight="1">
      <c r="A6" s="491" t="s">
        <v>1025</v>
      </c>
      <c r="B6" s="491"/>
      <c r="C6" s="491"/>
      <c r="D6" s="491"/>
      <c r="M6" s="978"/>
      <c r="N6" s="662">
        <v>400</v>
      </c>
      <c r="O6" s="609">
        <v>580188</v>
      </c>
      <c r="P6" s="609">
        <v>859007</v>
      </c>
      <c r="Q6" s="994"/>
      <c r="R6" s="662">
        <v>100</v>
      </c>
      <c r="S6" s="609">
        <v>102960</v>
      </c>
      <c r="T6" s="609">
        <v>323665</v>
      </c>
    </row>
    <row r="7" spans="1:20" ht="20.100000000000001" customHeight="1">
      <c r="A7" s="491" t="s">
        <v>1056</v>
      </c>
      <c r="B7" s="491"/>
      <c r="C7" s="491"/>
      <c r="D7" s="491"/>
      <c r="M7" s="978"/>
      <c r="N7" s="662">
        <v>500</v>
      </c>
      <c r="O7" s="609">
        <v>624861</v>
      </c>
      <c r="P7" s="609">
        <v>912820</v>
      </c>
      <c r="Q7" s="994"/>
      <c r="R7" s="662">
        <v>150</v>
      </c>
      <c r="S7" s="609">
        <v>139786</v>
      </c>
      <c r="T7" s="609">
        <v>366708</v>
      </c>
    </row>
    <row r="8" spans="1:20" ht="20.100000000000001" customHeight="1">
      <c r="A8" s="491"/>
      <c r="B8" s="491"/>
      <c r="C8" s="491"/>
      <c r="D8" s="491"/>
      <c r="M8" s="978"/>
      <c r="N8" s="662">
        <v>600</v>
      </c>
      <c r="O8" s="609">
        <v>705821</v>
      </c>
      <c r="P8" s="609">
        <v>1016585</v>
      </c>
      <c r="Q8" s="994"/>
      <c r="R8" s="662">
        <v>200</v>
      </c>
      <c r="S8" s="609">
        <v>172293</v>
      </c>
      <c r="T8" s="609">
        <v>405664</v>
      </c>
    </row>
    <row r="9" spans="1:20" ht="20.100000000000001" customHeight="1">
      <c r="A9" s="491" t="s">
        <v>1026</v>
      </c>
      <c r="B9" s="491"/>
      <c r="C9" s="491"/>
      <c r="D9" s="491"/>
      <c r="M9" s="978"/>
      <c r="N9" s="662">
        <v>700</v>
      </c>
      <c r="O9" s="609">
        <v>782918</v>
      </c>
      <c r="P9" s="609">
        <v>1102578</v>
      </c>
      <c r="Q9" s="994"/>
      <c r="R9" s="662">
        <v>300</v>
      </c>
      <c r="S9" s="609">
        <v>248738</v>
      </c>
      <c r="T9" s="609">
        <v>494561</v>
      </c>
    </row>
    <row r="10" spans="1:20" ht="20.100000000000001" customHeight="1">
      <c r="A10" s="491"/>
      <c r="B10" s="491"/>
      <c r="C10" s="491"/>
      <c r="D10" s="491"/>
      <c r="K10" s="492" t="s">
        <v>1027</v>
      </c>
      <c r="L10" s="493"/>
      <c r="M10" s="978"/>
      <c r="N10" s="662">
        <v>800</v>
      </c>
      <c r="O10" s="609">
        <v>854676</v>
      </c>
      <c r="P10" s="609">
        <v>1183365</v>
      </c>
      <c r="Q10" s="994"/>
      <c r="R10" s="662">
        <v>400</v>
      </c>
      <c r="S10" s="609">
        <v>348039</v>
      </c>
      <c r="T10" s="609">
        <v>606519</v>
      </c>
    </row>
    <row r="11" spans="1:20" ht="20.100000000000001" customHeight="1">
      <c r="A11" s="996" t="s">
        <v>1028</v>
      </c>
      <c r="B11" s="997"/>
      <c r="C11" s="998"/>
      <c r="D11" s="999" t="s">
        <v>980</v>
      </c>
      <c r="E11" s="1000"/>
      <c r="F11" s="1000" t="s">
        <v>981</v>
      </c>
      <c r="G11" s="1000"/>
      <c r="H11" s="1000" t="s">
        <v>982</v>
      </c>
      <c r="I11" s="1000"/>
      <c r="J11" s="1000" t="s">
        <v>983</v>
      </c>
      <c r="K11" s="1001"/>
      <c r="L11" s="493"/>
      <c r="M11" s="978"/>
      <c r="N11" s="662">
        <v>900</v>
      </c>
      <c r="O11" s="609">
        <v>945775</v>
      </c>
      <c r="P11" s="609">
        <v>1283451</v>
      </c>
      <c r="Q11" s="994"/>
      <c r="R11" s="662">
        <v>500</v>
      </c>
      <c r="S11" s="609">
        <v>453129</v>
      </c>
      <c r="T11" s="609">
        <v>724142</v>
      </c>
    </row>
    <row r="12" spans="1:20" ht="20.100000000000001" customHeight="1">
      <c r="A12" s="1002" t="s">
        <v>1029</v>
      </c>
      <c r="B12" s="1003"/>
      <c r="C12" s="1004"/>
      <c r="D12" s="1005">
        <v>90</v>
      </c>
      <c r="E12" s="1006"/>
      <c r="F12" s="1006">
        <v>0</v>
      </c>
      <c r="G12" s="1006"/>
      <c r="H12" s="1006">
        <v>0</v>
      </c>
      <c r="I12" s="1006"/>
      <c r="J12" s="1006">
        <v>0</v>
      </c>
      <c r="K12" s="1007"/>
      <c r="L12" s="493"/>
      <c r="M12" s="978"/>
      <c r="N12" s="662">
        <v>1000</v>
      </c>
      <c r="O12" s="609">
        <v>1051853</v>
      </c>
      <c r="P12" s="609">
        <v>1398649</v>
      </c>
      <c r="Q12" s="994"/>
      <c r="R12" s="662">
        <v>600</v>
      </c>
      <c r="S12" s="609">
        <v>563069</v>
      </c>
      <c r="T12" s="609">
        <v>846789</v>
      </c>
    </row>
    <row r="13" spans="1:20" ht="20.100000000000001" customHeight="1">
      <c r="A13" s="1008" t="s">
        <v>1030</v>
      </c>
      <c r="B13" s="1009"/>
      <c r="C13" s="1010"/>
      <c r="D13" s="1011">
        <f>+ROUND(35.616*D12^0.7408,0)</f>
        <v>998</v>
      </c>
      <c r="E13" s="987"/>
      <c r="F13" s="987">
        <f>+ROUND(35.616*F12^0.7408,0)</f>
        <v>0</v>
      </c>
      <c r="G13" s="987"/>
      <c r="H13" s="987">
        <f>+ROUND(35.616*H12^0.7408,0)</f>
        <v>0</v>
      </c>
      <c r="I13" s="987"/>
      <c r="J13" s="987">
        <f>+ROUND(35.616*J12^0.7408,0)</f>
        <v>0</v>
      </c>
      <c r="K13" s="988"/>
      <c r="L13" s="493"/>
      <c r="M13" s="978"/>
      <c r="N13" s="662">
        <v>1100</v>
      </c>
      <c r="O13" s="609">
        <v>1188358</v>
      </c>
      <c r="P13" s="609">
        <v>1557399</v>
      </c>
      <c r="Q13" s="994"/>
      <c r="R13" s="662">
        <v>700</v>
      </c>
      <c r="S13" s="609">
        <v>708878</v>
      </c>
      <c r="T13" s="609">
        <v>1005274</v>
      </c>
    </row>
    <row r="14" spans="1:20" ht="20.100000000000001" customHeight="1">
      <c r="A14" s="491"/>
      <c r="B14" s="491"/>
      <c r="C14" s="491"/>
      <c r="D14" s="491"/>
      <c r="L14" s="493"/>
      <c r="M14" s="978"/>
      <c r="N14" s="662">
        <v>1200</v>
      </c>
      <c r="O14" s="609">
        <v>1313909</v>
      </c>
      <c r="P14" s="609">
        <v>1691805</v>
      </c>
      <c r="Q14" s="995"/>
      <c r="R14" s="662">
        <v>800</v>
      </c>
      <c r="S14" s="609">
        <v>860005</v>
      </c>
      <c r="T14" s="609">
        <v>1169007</v>
      </c>
    </row>
    <row r="15" spans="1:20" ht="20.100000000000001" customHeight="1">
      <c r="A15" s="490" t="s">
        <v>1031</v>
      </c>
      <c r="L15" s="493"/>
      <c r="M15" s="978"/>
      <c r="N15" s="662">
        <v>1350</v>
      </c>
      <c r="O15" s="609">
        <v>1519849</v>
      </c>
      <c r="P15" s="609">
        <v>1910605</v>
      </c>
    </row>
    <row r="16" spans="1:20" ht="20.100000000000001" customHeight="1">
      <c r="I16" s="492"/>
      <c r="K16" s="492" t="s">
        <v>1027</v>
      </c>
      <c r="L16" s="493"/>
      <c r="M16" s="978" t="s">
        <v>76</v>
      </c>
      <c r="N16" s="662">
        <v>300</v>
      </c>
      <c r="O16" s="609">
        <v>707247</v>
      </c>
      <c r="P16" s="609">
        <v>977038</v>
      </c>
    </row>
    <row r="17" spans="1:16" ht="20.100000000000001" customHeight="1">
      <c r="A17" s="979" t="s">
        <v>979</v>
      </c>
      <c r="B17" s="989" t="s">
        <v>1032</v>
      </c>
      <c r="C17" s="983" t="s">
        <v>1033</v>
      </c>
      <c r="D17" s="985" t="s">
        <v>980</v>
      </c>
      <c r="E17" s="980"/>
      <c r="F17" s="980" t="s">
        <v>981</v>
      </c>
      <c r="G17" s="980"/>
      <c r="H17" s="980" t="s">
        <v>982</v>
      </c>
      <c r="I17" s="980"/>
      <c r="J17" s="980" t="s">
        <v>983</v>
      </c>
      <c r="K17" s="986"/>
      <c r="L17" s="493"/>
      <c r="M17" s="978"/>
      <c r="N17" s="662">
        <v>400</v>
      </c>
      <c r="O17" s="609">
        <v>827275</v>
      </c>
      <c r="P17" s="609">
        <v>1106094</v>
      </c>
    </row>
    <row r="18" spans="1:16" ht="20.100000000000001" customHeight="1">
      <c r="A18" s="981"/>
      <c r="B18" s="990"/>
      <c r="C18" s="984"/>
      <c r="D18" s="494" t="s">
        <v>1034</v>
      </c>
      <c r="E18" s="594" t="s">
        <v>989</v>
      </c>
      <c r="F18" s="595" t="s">
        <v>1034</v>
      </c>
      <c r="G18" s="594" t="s">
        <v>989</v>
      </c>
      <c r="H18" s="595" t="s">
        <v>1034</v>
      </c>
      <c r="I18" s="594" t="s">
        <v>989</v>
      </c>
      <c r="J18" s="595" t="s">
        <v>1034</v>
      </c>
      <c r="K18" s="495" t="s">
        <v>989</v>
      </c>
      <c r="L18" s="493"/>
      <c r="M18" s="978"/>
      <c r="N18" s="662">
        <v>500</v>
      </c>
      <c r="O18" s="609">
        <v>935411</v>
      </c>
      <c r="P18" s="609">
        <v>1223371</v>
      </c>
    </row>
    <row r="19" spans="1:16" ht="20.100000000000001" customHeight="1">
      <c r="A19" s="991" t="s">
        <v>989</v>
      </c>
      <c r="B19" s="496">
        <v>80</v>
      </c>
      <c r="C19" s="497">
        <f>+T5</f>
        <v>309684</v>
      </c>
      <c r="D19" s="117">
        <v>0</v>
      </c>
      <c r="E19" s="115">
        <f>+ROUND($C19*D19/1000000,0)</f>
        <v>0</v>
      </c>
      <c r="F19" s="115"/>
      <c r="G19" s="115">
        <f>+ROUND($C19*F19/1000000,0)</f>
        <v>0</v>
      </c>
      <c r="H19" s="115"/>
      <c r="I19" s="115">
        <f>+ROUND($C19*H19/1000000,0)</f>
        <v>0</v>
      </c>
      <c r="J19" s="115"/>
      <c r="K19" s="497">
        <f>+ROUND($C19*J19/1000000,0)</f>
        <v>0</v>
      </c>
      <c r="L19" s="493"/>
      <c r="M19" s="978"/>
      <c r="N19" s="662">
        <v>600</v>
      </c>
      <c r="O19" s="609">
        <v>1068860</v>
      </c>
      <c r="P19" s="609">
        <v>1379624</v>
      </c>
    </row>
    <row r="20" spans="1:16" ht="20.100000000000001" customHeight="1">
      <c r="A20" s="992"/>
      <c r="B20" s="462">
        <v>200</v>
      </c>
      <c r="C20" s="463">
        <f>+P26</f>
        <v>737848</v>
      </c>
      <c r="D20" s="498">
        <v>2412</v>
      </c>
      <c r="E20" s="112">
        <f>+ROUND($C20*D20/1000000,0)</f>
        <v>1780</v>
      </c>
      <c r="F20" s="112"/>
      <c r="G20" s="112">
        <f>+ROUND($C20*F20/1000000,0)</f>
        <v>0</v>
      </c>
      <c r="H20" s="112"/>
      <c r="I20" s="112">
        <f>+ROUND($C20*H20/1000000,0)</f>
        <v>0</v>
      </c>
      <c r="J20" s="112"/>
      <c r="K20" s="463">
        <f>+ROUND($C20*J20/1000000,0)</f>
        <v>0</v>
      </c>
      <c r="L20" s="493"/>
      <c r="M20" s="978"/>
      <c r="N20" s="662">
        <v>700</v>
      </c>
      <c r="O20" s="609">
        <v>1206659</v>
      </c>
      <c r="P20" s="609">
        <v>1526319</v>
      </c>
    </row>
    <row r="21" spans="1:16" ht="20.100000000000001" customHeight="1">
      <c r="A21" s="981"/>
      <c r="B21" s="483" t="s">
        <v>406</v>
      </c>
      <c r="C21" s="484"/>
      <c r="D21" s="188">
        <f t="shared" ref="D21:K21" si="0">SUM(D19:D20)</f>
        <v>2412</v>
      </c>
      <c r="E21" s="499">
        <f t="shared" si="0"/>
        <v>1780</v>
      </c>
      <c r="F21" s="499">
        <f t="shared" si="0"/>
        <v>0</v>
      </c>
      <c r="G21" s="499">
        <f t="shared" si="0"/>
        <v>0</v>
      </c>
      <c r="H21" s="499">
        <f t="shared" si="0"/>
        <v>0</v>
      </c>
      <c r="I21" s="499">
        <f t="shared" si="0"/>
        <v>0</v>
      </c>
      <c r="J21" s="499">
        <f t="shared" si="0"/>
        <v>0</v>
      </c>
      <c r="K21" s="484">
        <f t="shared" si="0"/>
        <v>0</v>
      </c>
      <c r="L21" s="493"/>
      <c r="M21" s="978"/>
      <c r="N21" s="662">
        <v>800</v>
      </c>
      <c r="O21" s="609">
        <v>1373571</v>
      </c>
      <c r="P21" s="609">
        <v>1702260</v>
      </c>
    </row>
    <row r="22" spans="1:16" ht="20.100000000000001" customHeight="1">
      <c r="L22" s="493"/>
      <c r="M22" s="978"/>
      <c r="N22" s="662">
        <v>900</v>
      </c>
      <c r="O22" s="609">
        <v>1509424</v>
      </c>
      <c r="P22" s="609">
        <v>1847090</v>
      </c>
    </row>
    <row r="23" spans="1:16" ht="20.100000000000001" customHeight="1">
      <c r="A23" s="490" t="s">
        <v>951</v>
      </c>
      <c r="L23" s="493"/>
      <c r="M23" s="978"/>
      <c r="N23" s="662">
        <v>1000</v>
      </c>
      <c r="O23" s="609">
        <v>1730822</v>
      </c>
      <c r="P23" s="609">
        <v>2077609</v>
      </c>
    </row>
    <row r="24" spans="1:16" ht="20.100000000000001" customHeight="1">
      <c r="I24" s="492"/>
      <c r="K24" s="492" t="s">
        <v>512</v>
      </c>
      <c r="L24" s="493"/>
      <c r="M24" s="978"/>
      <c r="N24" s="662">
        <v>1100</v>
      </c>
      <c r="O24" s="609">
        <v>1990647</v>
      </c>
      <c r="P24" s="609">
        <v>2359688</v>
      </c>
    </row>
    <row r="25" spans="1:16" ht="20.100000000000001" customHeight="1">
      <c r="A25" s="979" t="s">
        <v>209</v>
      </c>
      <c r="B25" s="980"/>
      <c r="C25" s="983" t="s">
        <v>103</v>
      </c>
      <c r="D25" s="985" t="s">
        <v>9</v>
      </c>
      <c r="E25" s="980"/>
      <c r="F25" s="980" t="s">
        <v>10</v>
      </c>
      <c r="G25" s="980"/>
      <c r="H25" s="980" t="s">
        <v>34</v>
      </c>
      <c r="I25" s="980"/>
      <c r="J25" s="980" t="s">
        <v>12</v>
      </c>
      <c r="K25" s="986"/>
      <c r="L25" s="493"/>
      <c r="M25" s="978"/>
      <c r="N25" s="662">
        <v>1200</v>
      </c>
      <c r="O25" s="609">
        <v>2234280</v>
      </c>
      <c r="P25" s="609">
        <v>2612176</v>
      </c>
    </row>
    <row r="26" spans="1:16" ht="20.100000000000001" customHeight="1">
      <c r="A26" s="981"/>
      <c r="B26" s="982"/>
      <c r="C26" s="984"/>
      <c r="D26" s="494" t="s">
        <v>104</v>
      </c>
      <c r="E26" s="594" t="s">
        <v>211</v>
      </c>
      <c r="F26" s="595" t="s">
        <v>104</v>
      </c>
      <c r="G26" s="594" t="s">
        <v>211</v>
      </c>
      <c r="H26" s="595" t="s">
        <v>104</v>
      </c>
      <c r="I26" s="594" t="s">
        <v>211</v>
      </c>
      <c r="J26" s="595" t="s">
        <v>104</v>
      </c>
      <c r="K26" s="495" t="s">
        <v>211</v>
      </c>
      <c r="L26" s="493"/>
      <c r="M26" s="978" t="s">
        <v>77</v>
      </c>
      <c r="N26" s="662">
        <v>200</v>
      </c>
      <c r="O26" s="609">
        <v>476678</v>
      </c>
      <c r="P26" s="609">
        <v>737848</v>
      </c>
    </row>
    <row r="27" spans="1:16" ht="20.100000000000001" customHeight="1">
      <c r="A27" s="976" t="s">
        <v>211</v>
      </c>
      <c r="B27" s="977"/>
      <c r="C27" s="500">
        <f>'가.공사비산출(한벌)'!C27</f>
        <v>3600000</v>
      </c>
      <c r="D27" s="501">
        <v>238</v>
      </c>
      <c r="E27" s="502">
        <f>+ROUND($C27*D27/1000000,0)</f>
        <v>857</v>
      </c>
      <c r="F27" s="502">
        <v>0</v>
      </c>
      <c r="G27" s="502">
        <f>+ROUND($C27*F27/1000000,0)</f>
        <v>0</v>
      </c>
      <c r="H27" s="502">
        <v>0</v>
      </c>
      <c r="I27" s="502">
        <f>+ROUND($C27*H27/1000000,0)</f>
        <v>0</v>
      </c>
      <c r="J27" s="502">
        <v>0</v>
      </c>
      <c r="K27" s="500">
        <f>+ROUND($C27*J27/1000000,0)</f>
        <v>0</v>
      </c>
      <c r="L27" s="493"/>
      <c r="M27" s="978"/>
      <c r="N27" s="662">
        <v>300</v>
      </c>
      <c r="O27" s="609">
        <v>525101</v>
      </c>
      <c r="P27" s="609">
        <v>794902</v>
      </c>
    </row>
    <row r="28" spans="1:16" ht="20.100000000000001" customHeight="1">
      <c r="M28" s="978"/>
      <c r="N28" s="662">
        <v>400</v>
      </c>
      <c r="O28" s="609">
        <v>625778</v>
      </c>
      <c r="P28" s="609">
        <v>904597</v>
      </c>
    </row>
    <row r="29" spans="1:16" ht="20.100000000000001" customHeight="1">
      <c r="A29" s="490" t="s">
        <v>952</v>
      </c>
      <c r="M29" s="978"/>
      <c r="N29" s="662">
        <v>500</v>
      </c>
      <c r="O29" s="609">
        <v>711507</v>
      </c>
      <c r="P29" s="609">
        <v>999476</v>
      </c>
    </row>
    <row r="30" spans="1:16" ht="20.100000000000001" customHeight="1">
      <c r="I30" s="492"/>
      <c r="K30" s="492" t="s">
        <v>512</v>
      </c>
      <c r="M30" s="978"/>
      <c r="N30" s="662">
        <v>600</v>
      </c>
      <c r="O30" s="609">
        <v>810869</v>
      </c>
      <c r="P30" s="609">
        <v>1121644</v>
      </c>
    </row>
    <row r="31" spans="1:16" ht="20.100000000000001" customHeight="1">
      <c r="A31" s="979" t="s">
        <v>209</v>
      </c>
      <c r="B31" s="980"/>
      <c r="C31" s="983" t="s">
        <v>157</v>
      </c>
      <c r="D31" s="985" t="s">
        <v>9</v>
      </c>
      <c r="E31" s="980"/>
      <c r="F31" s="980" t="s">
        <v>10</v>
      </c>
      <c r="G31" s="980"/>
      <c r="H31" s="980" t="s">
        <v>34</v>
      </c>
      <c r="I31" s="980"/>
      <c r="J31" s="980" t="s">
        <v>12</v>
      </c>
      <c r="K31" s="986"/>
      <c r="L31" s="493"/>
      <c r="M31" s="978"/>
      <c r="N31" s="662">
        <v>700</v>
      </c>
      <c r="O31" s="609">
        <v>919311</v>
      </c>
      <c r="P31" s="609">
        <v>1238972</v>
      </c>
    </row>
    <row r="32" spans="1:16" ht="20.100000000000001" customHeight="1">
      <c r="A32" s="981"/>
      <c r="B32" s="982"/>
      <c r="C32" s="984"/>
      <c r="D32" s="494" t="s">
        <v>104</v>
      </c>
      <c r="E32" s="594" t="s">
        <v>211</v>
      </c>
      <c r="F32" s="595" t="s">
        <v>104</v>
      </c>
      <c r="G32" s="594" t="s">
        <v>211</v>
      </c>
      <c r="H32" s="595" t="s">
        <v>104</v>
      </c>
      <c r="I32" s="594" t="s">
        <v>211</v>
      </c>
      <c r="J32" s="595" t="s">
        <v>104</v>
      </c>
      <c r="K32" s="495" t="s">
        <v>211</v>
      </c>
      <c r="L32" s="503"/>
      <c r="M32" s="978"/>
      <c r="N32" s="662">
        <v>800</v>
      </c>
      <c r="O32" s="609">
        <v>1030780</v>
      </c>
      <c r="P32" s="609">
        <v>1359468</v>
      </c>
    </row>
    <row r="33" spans="1:16" ht="20.100000000000001" customHeight="1">
      <c r="A33" s="976" t="s">
        <v>211</v>
      </c>
      <c r="B33" s="977"/>
      <c r="C33" s="504">
        <v>0</v>
      </c>
      <c r="D33" s="501">
        <v>0</v>
      </c>
      <c r="E33" s="502">
        <f>+ROUND(0.0292*(C33*60*24)+83.662,0)*D33</f>
        <v>0</v>
      </c>
      <c r="F33" s="502">
        <v>0</v>
      </c>
      <c r="G33" s="502">
        <f>+ROUND($C33*F33/1000000,0)</f>
        <v>0</v>
      </c>
      <c r="H33" s="502">
        <v>0</v>
      </c>
      <c r="I33" s="502">
        <f>+ROUND($C33*H33/1000000,0)</f>
        <v>0</v>
      </c>
      <c r="J33" s="502">
        <v>0</v>
      </c>
      <c r="K33" s="500">
        <f>+ROUND($C33*J33/1000000,0)</f>
        <v>0</v>
      </c>
      <c r="L33" s="505"/>
      <c r="M33" s="978"/>
      <c r="N33" s="662">
        <v>900</v>
      </c>
      <c r="O33" s="609">
        <v>1120686</v>
      </c>
      <c r="P33" s="609">
        <v>1458352</v>
      </c>
    </row>
    <row r="34" spans="1:16" ht="20.100000000000001" customHeight="1">
      <c r="L34" s="505"/>
      <c r="M34" s="978"/>
      <c r="N34" s="662">
        <v>1000</v>
      </c>
      <c r="O34" s="609">
        <v>1252157</v>
      </c>
      <c r="P34" s="609">
        <v>1598943</v>
      </c>
    </row>
    <row r="35" spans="1:16" ht="20.100000000000001" customHeight="1">
      <c r="L35" s="506"/>
      <c r="M35" s="978"/>
      <c r="N35" s="662">
        <v>1200</v>
      </c>
      <c r="O35" s="609">
        <v>1519329</v>
      </c>
      <c r="P35" s="609">
        <v>1897235</v>
      </c>
    </row>
    <row r="36" spans="1:16" ht="20.100000000000001" customHeight="1">
      <c r="L36" s="506"/>
      <c r="M36" s="978" t="s">
        <v>78</v>
      </c>
      <c r="N36" s="662" t="s">
        <v>79</v>
      </c>
      <c r="O36" s="609">
        <v>1813280</v>
      </c>
      <c r="P36" s="609">
        <v>2098936</v>
      </c>
    </row>
    <row r="37" spans="1:16" ht="20.100000000000001" customHeight="1">
      <c r="L37" s="507"/>
      <c r="M37" s="978"/>
      <c r="N37" s="662" t="s">
        <v>80</v>
      </c>
      <c r="O37" s="609">
        <v>1980997</v>
      </c>
      <c r="P37" s="609">
        <v>2266643</v>
      </c>
    </row>
    <row r="38" spans="1:16" ht="20.100000000000001" customHeight="1">
      <c r="L38" s="506"/>
      <c r="M38" s="978"/>
      <c r="N38" s="662" t="s">
        <v>81</v>
      </c>
      <c r="O38" s="609">
        <v>2008266</v>
      </c>
      <c r="P38" s="609">
        <v>2293922</v>
      </c>
    </row>
    <row r="39" spans="1:16" ht="20.100000000000001" customHeight="1">
      <c r="L39" s="506"/>
      <c r="M39" s="978"/>
      <c r="N39" s="662" t="s">
        <v>82</v>
      </c>
      <c r="O39" s="609">
        <v>2087044</v>
      </c>
      <c r="P39" s="609">
        <v>2432231</v>
      </c>
    </row>
    <row r="40" spans="1:16" ht="20.100000000000001" customHeight="1">
      <c r="L40" s="506"/>
      <c r="M40" s="978"/>
      <c r="N40" s="662" t="s">
        <v>83</v>
      </c>
      <c r="O40" s="609">
        <v>2235747</v>
      </c>
      <c r="P40" s="609">
        <v>2580933</v>
      </c>
    </row>
    <row r="41" spans="1:16" ht="20.100000000000001" customHeight="1">
      <c r="L41" s="506"/>
      <c r="M41" s="978"/>
      <c r="N41" s="662" t="s">
        <v>84</v>
      </c>
      <c r="O41" s="609">
        <v>2493065</v>
      </c>
      <c r="P41" s="609">
        <v>2838251</v>
      </c>
    </row>
    <row r="42" spans="1:16" ht="20.100000000000001" customHeight="1">
      <c r="L42" s="506"/>
      <c r="M42" s="978"/>
      <c r="N42" s="662" t="s">
        <v>85</v>
      </c>
      <c r="O42" s="609">
        <v>2688377</v>
      </c>
      <c r="P42" s="609">
        <v>3033563</v>
      </c>
    </row>
    <row r="43" spans="1:16" ht="20.100000000000001" customHeight="1">
      <c r="L43" s="506"/>
      <c r="M43" s="978"/>
      <c r="N43" s="662" t="s">
        <v>86</v>
      </c>
      <c r="O43" s="609">
        <v>2712639</v>
      </c>
      <c r="P43" s="609">
        <v>3057825</v>
      </c>
    </row>
    <row r="44" spans="1:16" ht="20.100000000000001" customHeight="1">
      <c r="L44" s="506"/>
      <c r="M44" s="978"/>
      <c r="N44" s="662" t="s">
        <v>87</v>
      </c>
      <c r="O44" s="609">
        <v>3180065</v>
      </c>
      <c r="P44" s="609">
        <v>3525251</v>
      </c>
    </row>
    <row r="45" spans="1:16" ht="20.100000000000001" customHeight="1">
      <c r="L45" s="506"/>
      <c r="M45" s="978"/>
      <c r="N45" s="662" t="s">
        <v>88</v>
      </c>
      <c r="O45" s="609">
        <v>3443537</v>
      </c>
      <c r="P45" s="609">
        <v>3966580</v>
      </c>
    </row>
    <row r="46" spans="1:16" ht="20.100000000000001" customHeight="1">
      <c r="L46" s="507"/>
      <c r="M46" s="978"/>
      <c r="N46" s="662" t="s">
        <v>89</v>
      </c>
      <c r="O46" s="609">
        <v>3790171</v>
      </c>
      <c r="P46" s="609">
        <v>4313203</v>
      </c>
    </row>
    <row r="47" spans="1:16" ht="20.100000000000001" customHeight="1">
      <c r="L47" s="493"/>
      <c r="M47" s="978"/>
      <c r="N47" s="662" t="s">
        <v>90</v>
      </c>
      <c r="O47" s="609">
        <v>4445958</v>
      </c>
      <c r="P47" s="609">
        <v>4968990</v>
      </c>
    </row>
    <row r="48" spans="1:16" ht="20.100000000000001" customHeight="1">
      <c r="L48" s="508"/>
      <c r="M48" s="978"/>
      <c r="N48" s="662" t="s">
        <v>91</v>
      </c>
      <c r="O48" s="609">
        <v>4058779</v>
      </c>
      <c r="P48" s="609">
        <v>4581821</v>
      </c>
    </row>
    <row r="49" spans="12:18" ht="20.100000000000001" customHeight="1">
      <c r="L49" s="493"/>
      <c r="M49" s="978"/>
      <c r="N49" s="662" t="s">
        <v>92</v>
      </c>
      <c r="O49" s="609">
        <v>4541703</v>
      </c>
      <c r="P49" s="609">
        <v>5064746</v>
      </c>
    </row>
    <row r="50" spans="12:18" ht="20.100000000000001" customHeight="1">
      <c r="M50" s="978"/>
      <c r="N50" s="662" t="s">
        <v>93</v>
      </c>
      <c r="O50" s="609">
        <v>5297975</v>
      </c>
      <c r="P50" s="609">
        <v>5821007</v>
      </c>
    </row>
    <row r="51" spans="12:18" ht="20.100000000000001" customHeight="1">
      <c r="M51" s="978"/>
      <c r="N51" s="662" t="s">
        <v>94</v>
      </c>
      <c r="O51" s="609">
        <v>5625868</v>
      </c>
      <c r="P51" s="609">
        <v>6148911</v>
      </c>
    </row>
    <row r="52" spans="12:18" ht="20.100000000000001" customHeight="1"/>
    <row r="53" spans="12:18" ht="20.100000000000001" customHeight="1">
      <c r="M53" s="7" t="s">
        <v>152</v>
      </c>
      <c r="N53" s="7" t="s">
        <v>153</v>
      </c>
      <c r="O53" s="7"/>
      <c r="P53" s="509" t="s">
        <v>150</v>
      </c>
      <c r="Q53" s="509" t="s">
        <v>147</v>
      </c>
      <c r="R53" s="509" t="s">
        <v>154</v>
      </c>
    </row>
    <row r="54" spans="12:18" ht="20.100000000000001" customHeight="1">
      <c r="M54" s="7"/>
      <c r="N54" s="510" t="s">
        <v>150</v>
      </c>
      <c r="O54" s="510" t="s">
        <v>628</v>
      </c>
      <c r="P54" s="509"/>
      <c r="Q54" s="509"/>
      <c r="R54" s="509"/>
    </row>
    <row r="55" spans="12:18" ht="20.100000000000001" customHeight="1">
      <c r="M55" s="510">
        <v>193305871</v>
      </c>
      <c r="N55" s="510">
        <v>203845142</v>
      </c>
      <c r="O55" s="510">
        <v>24575776</v>
      </c>
      <c r="P55" s="511">
        <f>SUM(M55:O55)</f>
        <v>421726789</v>
      </c>
      <c r="Q55" s="512">
        <v>107</v>
      </c>
      <c r="R55" s="510">
        <f>+ROUND(P55/Q55,0)</f>
        <v>3941372</v>
      </c>
    </row>
    <row r="56" spans="12:18" ht="20.100000000000001" customHeight="1">
      <c r="M56" s="510">
        <v>95734914</v>
      </c>
      <c r="N56" s="510">
        <v>100519736</v>
      </c>
      <c r="O56" s="510">
        <v>12523120</v>
      </c>
      <c r="P56" s="511">
        <f t="shared" ref="P56:P65" si="1">SUM(M56:O56)</f>
        <v>208777770</v>
      </c>
      <c r="Q56" s="512">
        <v>73</v>
      </c>
      <c r="R56" s="510">
        <f t="shared" ref="R56:R66" si="2">+ROUND(P56/Q56,0)</f>
        <v>2859969</v>
      </c>
    </row>
    <row r="57" spans="12:18" ht="20.100000000000001" customHeight="1">
      <c r="M57" s="510">
        <v>89354702</v>
      </c>
      <c r="N57" s="510">
        <v>97903817</v>
      </c>
      <c r="O57" s="510">
        <v>7338888</v>
      </c>
      <c r="P57" s="511">
        <f t="shared" si="1"/>
        <v>194597407</v>
      </c>
      <c r="Q57" s="512">
        <v>52</v>
      </c>
      <c r="R57" s="510">
        <f t="shared" si="2"/>
        <v>3742258</v>
      </c>
    </row>
    <row r="58" spans="12:18" ht="20.100000000000001" customHeight="1">
      <c r="M58" s="510">
        <v>129103381</v>
      </c>
      <c r="N58" s="510">
        <v>131957129</v>
      </c>
      <c r="O58" s="510">
        <v>14451552</v>
      </c>
      <c r="P58" s="511">
        <f t="shared" si="1"/>
        <v>275512062</v>
      </c>
      <c r="Q58" s="512">
        <v>116</v>
      </c>
      <c r="R58" s="510">
        <f t="shared" si="2"/>
        <v>2375104</v>
      </c>
    </row>
    <row r="59" spans="12:18" ht="20.100000000000001" customHeight="1">
      <c r="M59" s="510">
        <v>21661400</v>
      </c>
      <c r="N59" s="510">
        <v>22533172</v>
      </c>
      <c r="O59" s="510">
        <v>2025766</v>
      </c>
      <c r="P59" s="511">
        <f t="shared" si="1"/>
        <v>46220338</v>
      </c>
      <c r="Q59" s="512">
        <v>19</v>
      </c>
      <c r="R59" s="510">
        <f t="shared" si="2"/>
        <v>2432649</v>
      </c>
    </row>
    <row r="60" spans="12:18" ht="20.100000000000001" customHeight="1">
      <c r="M60" s="510">
        <v>321519096</v>
      </c>
      <c r="N60" s="510">
        <v>271581762</v>
      </c>
      <c r="O60" s="510">
        <v>53437600</v>
      </c>
      <c r="P60" s="511">
        <f t="shared" si="1"/>
        <v>646538458</v>
      </c>
      <c r="Q60" s="512">
        <v>252</v>
      </c>
      <c r="R60" s="510">
        <f t="shared" si="2"/>
        <v>2565629</v>
      </c>
    </row>
    <row r="61" spans="12:18" ht="20.100000000000001" customHeight="1">
      <c r="M61" s="510">
        <v>508869614</v>
      </c>
      <c r="N61" s="510">
        <v>691056465</v>
      </c>
      <c r="O61" s="510">
        <v>66880104</v>
      </c>
      <c r="P61" s="511">
        <f t="shared" si="1"/>
        <v>1266806183</v>
      </c>
      <c r="Q61" s="512">
        <v>364</v>
      </c>
      <c r="R61" s="510">
        <f t="shared" si="2"/>
        <v>3480237</v>
      </c>
    </row>
    <row r="62" spans="12:18" ht="20.100000000000001" customHeight="1">
      <c r="M62" s="510">
        <v>388284221</v>
      </c>
      <c r="N62" s="510">
        <v>446895877</v>
      </c>
      <c r="O62" s="510">
        <v>43100796</v>
      </c>
      <c r="P62" s="511">
        <f t="shared" si="1"/>
        <v>878280894</v>
      </c>
      <c r="Q62" s="512">
        <v>294</v>
      </c>
      <c r="R62" s="510">
        <f t="shared" si="2"/>
        <v>2987350</v>
      </c>
    </row>
    <row r="63" spans="12:18" ht="20.100000000000001" customHeight="1">
      <c r="M63" s="510">
        <v>99787094</v>
      </c>
      <c r="N63" s="510">
        <v>108760799</v>
      </c>
      <c r="O63" s="510">
        <v>14516482</v>
      </c>
      <c r="P63" s="511">
        <f t="shared" si="1"/>
        <v>223064375</v>
      </c>
      <c r="Q63" s="512">
        <v>113</v>
      </c>
      <c r="R63" s="510">
        <f t="shared" si="2"/>
        <v>1974021</v>
      </c>
    </row>
    <row r="64" spans="12:18" ht="20.100000000000001" customHeight="1">
      <c r="M64" s="510">
        <v>38001052</v>
      </c>
      <c r="N64" s="510">
        <v>34898329</v>
      </c>
      <c r="O64" s="510">
        <v>7583968</v>
      </c>
      <c r="P64" s="511">
        <f t="shared" si="1"/>
        <v>80483349</v>
      </c>
      <c r="Q64" s="512">
        <f>23+34</f>
        <v>57</v>
      </c>
      <c r="R64" s="510">
        <f t="shared" si="2"/>
        <v>1411989</v>
      </c>
    </row>
    <row r="65" spans="13:18" ht="20.100000000000001" customHeight="1">
      <c r="M65" s="510">
        <v>40549116</v>
      </c>
      <c r="N65" s="510">
        <v>23501224</v>
      </c>
      <c r="O65" s="510">
        <v>4775574</v>
      </c>
      <c r="P65" s="511">
        <f t="shared" si="1"/>
        <v>68825914</v>
      </c>
      <c r="Q65" s="512">
        <v>32</v>
      </c>
      <c r="R65" s="510">
        <f t="shared" si="2"/>
        <v>2150810</v>
      </c>
    </row>
    <row r="66" spans="13:18" ht="20.100000000000001" customHeight="1">
      <c r="M66" s="510">
        <f>SUM(M55:M65)</f>
        <v>1926170461</v>
      </c>
      <c r="N66" s="510">
        <f>SUM(N55:N65)</f>
        <v>2133453452</v>
      </c>
      <c r="O66" s="510">
        <f>SUM(O55:O65)</f>
        <v>251209626</v>
      </c>
      <c r="P66" s="511">
        <f>SUM(P55:P65)</f>
        <v>4310833539</v>
      </c>
      <c r="Q66" s="512">
        <f>SUM(Q55:Q65)</f>
        <v>1479</v>
      </c>
      <c r="R66" s="510">
        <f t="shared" si="2"/>
        <v>2914695</v>
      </c>
    </row>
    <row r="67" spans="13:18" ht="20.100000000000001" customHeight="1"/>
    <row r="68" spans="13:18" ht="20.100000000000001" customHeight="1"/>
    <row r="69" spans="13:18" ht="20.100000000000001" customHeight="1"/>
    <row r="70" spans="13:18" ht="20.100000000000001" customHeight="1"/>
    <row r="71" spans="13:18" ht="20.100000000000001" customHeight="1"/>
  </sheetData>
  <mergeCells count="48">
    <mergeCell ref="S3:T3"/>
    <mergeCell ref="M3:M4"/>
    <mergeCell ref="N3:N4"/>
    <mergeCell ref="O3:P3"/>
    <mergeCell ref="Q3:Q4"/>
    <mergeCell ref="R3:R4"/>
    <mergeCell ref="M5:M15"/>
    <mergeCell ref="Q5:Q14"/>
    <mergeCell ref="A11:C11"/>
    <mergeCell ref="D11:E11"/>
    <mergeCell ref="F11:G11"/>
    <mergeCell ref="H11:I11"/>
    <mergeCell ref="J11:K11"/>
    <mergeCell ref="A12:C12"/>
    <mergeCell ref="D12:E12"/>
    <mergeCell ref="F12:G12"/>
    <mergeCell ref="H12:I12"/>
    <mergeCell ref="J12:K12"/>
    <mergeCell ref="A13:C13"/>
    <mergeCell ref="D13:E13"/>
    <mergeCell ref="F13:G13"/>
    <mergeCell ref="H13:I13"/>
    <mergeCell ref="J13:K13"/>
    <mergeCell ref="M16:M25"/>
    <mergeCell ref="A17:A18"/>
    <mergeCell ref="B17:B18"/>
    <mergeCell ref="C17:C18"/>
    <mergeCell ref="D17:E17"/>
    <mergeCell ref="F17:G17"/>
    <mergeCell ref="H17:I17"/>
    <mergeCell ref="J17:K17"/>
    <mergeCell ref="A19:A21"/>
    <mergeCell ref="A25:B26"/>
    <mergeCell ref="C25:C26"/>
    <mergeCell ref="D25:E25"/>
    <mergeCell ref="F25:G25"/>
    <mergeCell ref="H25:I25"/>
    <mergeCell ref="J25:K25"/>
    <mergeCell ref="A33:B33"/>
    <mergeCell ref="M36:M51"/>
    <mergeCell ref="A27:B27"/>
    <mergeCell ref="A31:B32"/>
    <mergeCell ref="C31:C32"/>
    <mergeCell ref="D31:E31"/>
    <mergeCell ref="F31:G31"/>
    <mergeCell ref="H31:I31"/>
    <mergeCell ref="M26:M35"/>
    <mergeCell ref="J31:K31"/>
  </mergeCells>
  <phoneticPr fontId="4" type="noConversion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tabSelected="1"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  <c r="L1" s="40" t="s">
        <v>401</v>
      </c>
    </row>
    <row r="2" spans="1:20" ht="20.100000000000001" customHeight="1">
      <c r="A2" s="2" t="s">
        <v>63</v>
      </c>
    </row>
    <row r="3" spans="1:20" ht="20.100000000000001" customHeight="1">
      <c r="A3" s="40" t="s">
        <v>974</v>
      </c>
      <c r="B3" s="40"/>
      <c r="C3" s="40"/>
      <c r="D3" s="40"/>
      <c r="M3" s="776" t="s">
        <v>64</v>
      </c>
      <c r="N3" s="776" t="s">
        <v>65</v>
      </c>
      <c r="O3" s="776" t="s">
        <v>66</v>
      </c>
      <c r="P3" s="776"/>
      <c r="Q3" s="844" t="s">
        <v>64</v>
      </c>
      <c r="R3" s="776" t="s">
        <v>65</v>
      </c>
      <c r="S3" s="776" t="s">
        <v>66</v>
      </c>
      <c r="T3" s="776"/>
    </row>
    <row r="4" spans="1:20" ht="20.100000000000001" customHeight="1">
      <c r="A4" s="40" t="s">
        <v>808</v>
      </c>
      <c r="B4" s="40"/>
      <c r="C4" s="40"/>
      <c r="D4" s="40"/>
      <c r="M4" s="776"/>
      <c r="N4" s="776"/>
      <c r="O4" s="43" t="s">
        <v>67</v>
      </c>
      <c r="P4" s="43" t="s">
        <v>68</v>
      </c>
      <c r="Q4" s="844"/>
      <c r="R4" s="776"/>
      <c r="S4" s="43" t="s">
        <v>67</v>
      </c>
      <c r="T4" s="43" t="s">
        <v>68</v>
      </c>
    </row>
    <row r="5" spans="1:20" ht="20.100000000000001" customHeight="1">
      <c r="A5" s="2" t="s">
        <v>4</v>
      </c>
      <c r="M5" s="169" t="s">
        <v>69</v>
      </c>
      <c r="N5" s="43">
        <v>300</v>
      </c>
      <c r="O5" s="44">
        <v>512740</v>
      </c>
      <c r="P5" s="44">
        <v>782541</v>
      </c>
      <c r="Q5" s="845" t="s">
        <v>70</v>
      </c>
      <c r="R5" s="43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71</v>
      </c>
      <c r="M6" s="169"/>
      <c r="N6" s="43">
        <v>400</v>
      </c>
      <c r="O6" s="44">
        <v>580188</v>
      </c>
      <c r="P6" s="44">
        <v>859007</v>
      </c>
      <c r="Q6" s="846"/>
      <c r="R6" s="43">
        <v>100</v>
      </c>
      <c r="S6" s="44">
        <v>102960</v>
      </c>
      <c r="T6" s="44">
        <v>323665</v>
      </c>
    </row>
    <row r="7" spans="1:20" ht="20.100000000000001" customHeight="1">
      <c r="A7" s="783" t="s">
        <v>8</v>
      </c>
      <c r="B7" s="785" t="s">
        <v>72</v>
      </c>
      <c r="C7" s="787" t="s">
        <v>73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169"/>
      <c r="N7" s="43">
        <v>500</v>
      </c>
      <c r="O7" s="44">
        <v>624861</v>
      </c>
      <c r="P7" s="44">
        <v>912820</v>
      </c>
      <c r="Q7" s="846"/>
      <c r="R7" s="43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169"/>
      <c r="N8" s="43">
        <v>600</v>
      </c>
      <c r="O8" s="44">
        <v>705821</v>
      </c>
      <c r="P8" s="44">
        <v>1016585</v>
      </c>
      <c r="Q8" s="846"/>
      <c r="R8" s="43">
        <v>200</v>
      </c>
      <c r="S8" s="44">
        <v>172293</v>
      </c>
      <c r="T8" s="44">
        <v>405664</v>
      </c>
    </row>
    <row r="9" spans="1:20" ht="20.100000000000001" customHeight="1">
      <c r="A9" s="848" t="s">
        <v>395</v>
      </c>
      <c r="B9" s="155">
        <v>80</v>
      </c>
      <c r="C9" s="156">
        <f>+T5</f>
        <v>309684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43">
        <v>700</v>
      </c>
      <c r="O9" s="44">
        <v>782918</v>
      </c>
      <c r="P9" s="44">
        <v>1102578</v>
      </c>
      <c r="Q9" s="846"/>
      <c r="R9" s="43">
        <v>300</v>
      </c>
      <c r="S9" s="44">
        <v>248738</v>
      </c>
      <c r="T9" s="44">
        <v>494561</v>
      </c>
    </row>
    <row r="10" spans="1:20" ht="20.100000000000001" customHeight="1">
      <c r="A10" s="780"/>
      <c r="B10" s="152">
        <v>200</v>
      </c>
      <c r="C10" s="153">
        <f>+P26</f>
        <v>737848</v>
      </c>
      <c r="D10" s="139">
        <v>254</v>
      </c>
      <c r="E10" s="94">
        <f t="shared" ref="E10:G11" si="0">+ROUND($C10*D10/1000000,0)</f>
        <v>187</v>
      </c>
      <c r="F10" s="94">
        <v>3398</v>
      </c>
      <c r="G10" s="94">
        <f t="shared" si="0"/>
        <v>2507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43">
        <v>800</v>
      </c>
      <c r="O10" s="44">
        <v>854676</v>
      </c>
      <c r="P10" s="44">
        <v>1183365</v>
      </c>
      <c r="Q10" s="846"/>
      <c r="R10" s="43">
        <v>400</v>
      </c>
      <c r="S10" s="44">
        <v>348039</v>
      </c>
      <c r="T10" s="44">
        <v>606519</v>
      </c>
    </row>
    <row r="11" spans="1:20" ht="20.100000000000001" customHeight="1">
      <c r="A11" s="780"/>
      <c r="B11" s="152">
        <v>300</v>
      </c>
      <c r="C11" s="153">
        <f>+P27</f>
        <v>794902</v>
      </c>
      <c r="D11" s="139">
        <v>0</v>
      </c>
      <c r="E11" s="94">
        <f t="shared" si="0"/>
        <v>0</v>
      </c>
      <c r="F11" s="94"/>
      <c r="G11" s="94">
        <f t="shared" si="0"/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43">
        <v>900</v>
      </c>
      <c r="O11" s="44">
        <v>945775</v>
      </c>
      <c r="P11" s="44">
        <v>1283451</v>
      </c>
      <c r="Q11" s="846"/>
      <c r="R11" s="43">
        <v>500</v>
      </c>
      <c r="S11" s="44">
        <v>453129</v>
      </c>
      <c r="T11" s="44">
        <v>724142</v>
      </c>
    </row>
    <row r="12" spans="1:20" ht="20.100000000000001" customHeight="1">
      <c r="A12" s="780"/>
      <c r="B12" s="152" t="s">
        <v>95</v>
      </c>
      <c r="C12" s="153"/>
      <c r="D12" s="139">
        <f>SUM(D9:D11)</f>
        <v>254</v>
      </c>
      <c r="E12" s="94">
        <f t="shared" ref="E12:K12" si="1">SUM(E9:E11)</f>
        <v>187</v>
      </c>
      <c r="F12" s="94">
        <f t="shared" si="1"/>
        <v>3398</v>
      </c>
      <c r="G12" s="94">
        <f t="shared" si="1"/>
        <v>2507</v>
      </c>
      <c r="H12" s="94">
        <f t="shared" si="1"/>
        <v>0</v>
      </c>
      <c r="I12" s="94">
        <f t="shared" si="1"/>
        <v>0</v>
      </c>
      <c r="J12" s="94">
        <f t="shared" si="1"/>
        <v>0</v>
      </c>
      <c r="K12" s="153">
        <f t="shared" si="1"/>
        <v>0</v>
      </c>
      <c r="L12" s="9"/>
      <c r="M12" s="169"/>
      <c r="N12" s="43">
        <v>1000</v>
      </c>
      <c r="O12" s="44">
        <v>1051853</v>
      </c>
      <c r="P12" s="44">
        <v>1398649</v>
      </c>
      <c r="Q12" s="846"/>
      <c r="R12" s="43">
        <v>600</v>
      </c>
      <c r="S12" s="44">
        <v>563069</v>
      </c>
      <c r="T12" s="44">
        <v>846789</v>
      </c>
    </row>
    <row r="13" spans="1:20" ht="20.100000000000001" customHeight="1">
      <c r="A13" s="840" t="s">
        <v>396</v>
      </c>
      <c r="B13" s="152">
        <v>80</v>
      </c>
      <c r="C13" s="153">
        <f>+C9</f>
        <v>309684</v>
      </c>
      <c r="D13" s="139">
        <v>0</v>
      </c>
      <c r="E13" s="94">
        <f>+ROUND($C13*D13/1000000,0)</f>
        <v>0</v>
      </c>
      <c r="F13" s="94"/>
      <c r="G13" s="94">
        <f>+ROUND($C13*F13/1000000,0)</f>
        <v>0</v>
      </c>
      <c r="H13" s="94"/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43">
        <v>1100</v>
      </c>
      <c r="O13" s="44">
        <v>1188358</v>
      </c>
      <c r="P13" s="44">
        <v>1557399</v>
      </c>
      <c r="Q13" s="846"/>
      <c r="R13" s="43">
        <v>700</v>
      </c>
      <c r="S13" s="44">
        <v>708878</v>
      </c>
      <c r="T13" s="44">
        <v>1005274</v>
      </c>
    </row>
    <row r="14" spans="1:20" ht="20.100000000000001" customHeight="1">
      <c r="A14" s="849"/>
      <c r="B14" s="152">
        <v>200</v>
      </c>
      <c r="C14" s="153">
        <f>+C10</f>
        <v>737848</v>
      </c>
      <c r="D14" s="139">
        <f>5275-2633</f>
        <v>2642</v>
      </c>
      <c r="E14" s="94">
        <f>+ROUND($C14*D14/1000000,0)</f>
        <v>1949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>
        <v>184</v>
      </c>
      <c r="M14" s="169"/>
      <c r="N14" s="43">
        <v>1200</v>
      </c>
      <c r="O14" s="44">
        <v>1313909</v>
      </c>
      <c r="P14" s="44">
        <v>1691805</v>
      </c>
      <c r="Q14" s="847"/>
      <c r="R14" s="43">
        <v>800</v>
      </c>
      <c r="S14" s="44">
        <v>860005</v>
      </c>
      <c r="T14" s="44">
        <v>1169007</v>
      </c>
    </row>
    <row r="15" spans="1:20" ht="20.100000000000001" customHeight="1">
      <c r="A15" s="849"/>
      <c r="B15" s="152">
        <v>300</v>
      </c>
      <c r="C15" s="153">
        <f>+C11</f>
        <v>794902</v>
      </c>
      <c r="D15" s="139">
        <v>1670</v>
      </c>
      <c r="E15" s="94">
        <f>+ROUND($C15*D15/1000000,0)</f>
        <v>1327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>
        <v>4155</v>
      </c>
      <c r="M15" s="169"/>
      <c r="N15" s="43">
        <v>1350</v>
      </c>
      <c r="O15" s="44">
        <v>1519849</v>
      </c>
      <c r="P15" s="44">
        <v>1910605</v>
      </c>
    </row>
    <row r="16" spans="1:20" ht="20.100000000000001" customHeight="1">
      <c r="A16" s="849"/>
      <c r="B16" s="152">
        <v>400</v>
      </c>
      <c r="C16" s="153">
        <f>+P28</f>
        <v>904597</v>
      </c>
      <c r="D16" s="139">
        <v>262</v>
      </c>
      <c r="E16" s="94">
        <f>+ROUND($C16*D16/1000000,0)</f>
        <v>237</v>
      </c>
      <c r="F16" s="94"/>
      <c r="G16" s="94">
        <f>+ROUND($C16*F16/1000000,0)</f>
        <v>0</v>
      </c>
      <c r="H16" s="94"/>
      <c r="I16" s="94">
        <f>+ROUND($C16*H16/1000000,0)</f>
        <v>0</v>
      </c>
      <c r="J16" s="94"/>
      <c r="K16" s="153">
        <f>+ROUND($C16*J16/1000000,0)</f>
        <v>0</v>
      </c>
      <c r="L16" s="9"/>
      <c r="M16" s="776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849"/>
      <c r="B17" s="152">
        <v>500</v>
      </c>
      <c r="C17" s="153">
        <f>+P29</f>
        <v>999476</v>
      </c>
      <c r="D17" s="139">
        <v>511</v>
      </c>
      <c r="E17" s="94">
        <f>+ROUND($C17*D17/1000000,0)</f>
        <v>511</v>
      </c>
      <c r="F17" s="94"/>
      <c r="G17" s="94">
        <f>+ROUND($C17*F17/1000000,0)</f>
        <v>0</v>
      </c>
      <c r="H17" s="94"/>
      <c r="I17" s="94">
        <f>+ROUND($C17*H17/1000000,0)</f>
        <v>0</v>
      </c>
      <c r="J17" s="94"/>
      <c r="K17" s="153">
        <f>+ROUND($C17*J17/1000000,0)</f>
        <v>0</v>
      </c>
      <c r="L17" s="9"/>
      <c r="M17" s="776"/>
      <c r="N17" s="43">
        <v>400</v>
      </c>
      <c r="O17" s="44">
        <v>827275</v>
      </c>
      <c r="P17" s="44">
        <v>1106094</v>
      </c>
    </row>
    <row r="18" spans="1:16" ht="20.100000000000001" customHeight="1">
      <c r="A18" s="848"/>
      <c r="B18" s="152" t="s">
        <v>95</v>
      </c>
      <c r="C18" s="153"/>
      <c r="D18" s="139">
        <f t="shared" ref="D18:K18" si="2">SUM(D13:D17)</f>
        <v>5085</v>
      </c>
      <c r="E18" s="94">
        <f t="shared" si="2"/>
        <v>4024</v>
      </c>
      <c r="F18" s="139">
        <f t="shared" si="2"/>
        <v>0</v>
      </c>
      <c r="G18" s="94">
        <f t="shared" si="2"/>
        <v>0</v>
      </c>
      <c r="H18" s="139">
        <f t="shared" si="2"/>
        <v>0</v>
      </c>
      <c r="I18" s="94">
        <f t="shared" si="2"/>
        <v>0</v>
      </c>
      <c r="J18" s="94">
        <f t="shared" si="2"/>
        <v>0</v>
      </c>
      <c r="K18" s="153">
        <f t="shared" si="2"/>
        <v>0</v>
      </c>
      <c r="L18" s="9"/>
      <c r="M18" s="776"/>
      <c r="N18" s="43">
        <v>500</v>
      </c>
      <c r="O18" s="44">
        <v>935411</v>
      </c>
      <c r="P18" s="44">
        <v>1223371</v>
      </c>
    </row>
    <row r="19" spans="1:16" ht="20.100000000000001" customHeight="1">
      <c r="A19" s="840" t="s">
        <v>56</v>
      </c>
      <c r="B19" s="152">
        <v>80</v>
      </c>
      <c r="C19" s="153">
        <f>C9</f>
        <v>309684</v>
      </c>
      <c r="D19" s="168">
        <f t="shared" ref="D19:K21" si="3">ROUND(D9+D13,0)</f>
        <v>0</v>
      </c>
      <c r="E19" s="94">
        <f t="shared" si="3"/>
        <v>0</v>
      </c>
      <c r="F19" s="94">
        <f t="shared" si="3"/>
        <v>0</v>
      </c>
      <c r="G19" s="94">
        <f t="shared" si="3"/>
        <v>0</v>
      </c>
      <c r="H19" s="94">
        <f t="shared" si="3"/>
        <v>0</v>
      </c>
      <c r="I19" s="94">
        <f t="shared" si="3"/>
        <v>0</v>
      </c>
      <c r="J19" s="94">
        <f t="shared" si="3"/>
        <v>0</v>
      </c>
      <c r="K19" s="153">
        <f t="shared" si="3"/>
        <v>0</v>
      </c>
      <c r="M19" s="776"/>
      <c r="N19" s="43">
        <v>600</v>
      </c>
      <c r="O19" s="44">
        <v>1068860</v>
      </c>
      <c r="P19" s="44">
        <v>1379624</v>
      </c>
    </row>
    <row r="20" spans="1:16" ht="20.100000000000001" customHeight="1">
      <c r="A20" s="849"/>
      <c r="B20" s="152">
        <v>200</v>
      </c>
      <c r="C20" s="153">
        <f>C10</f>
        <v>737848</v>
      </c>
      <c r="D20" s="168">
        <f t="shared" si="3"/>
        <v>2896</v>
      </c>
      <c r="E20" s="94">
        <f t="shared" si="3"/>
        <v>2136</v>
      </c>
      <c r="F20" s="94">
        <f t="shared" si="3"/>
        <v>3398</v>
      </c>
      <c r="G20" s="94">
        <f t="shared" si="3"/>
        <v>2507</v>
      </c>
      <c r="H20" s="94">
        <f t="shared" si="3"/>
        <v>0</v>
      </c>
      <c r="I20" s="94">
        <f t="shared" si="3"/>
        <v>0</v>
      </c>
      <c r="J20" s="94">
        <f t="shared" si="3"/>
        <v>0</v>
      </c>
      <c r="K20" s="153">
        <f t="shared" si="3"/>
        <v>0</v>
      </c>
      <c r="M20" s="776"/>
      <c r="N20" s="43">
        <v>700</v>
      </c>
      <c r="O20" s="44">
        <v>1206659</v>
      </c>
      <c r="P20" s="44">
        <v>1526319</v>
      </c>
    </row>
    <row r="21" spans="1:16" ht="20.100000000000001" customHeight="1">
      <c r="A21" s="849"/>
      <c r="B21" s="152">
        <v>300</v>
      </c>
      <c r="C21" s="153">
        <f>C11</f>
        <v>794902</v>
      </c>
      <c r="D21" s="168">
        <f t="shared" si="3"/>
        <v>1670</v>
      </c>
      <c r="E21" s="94">
        <f t="shared" si="3"/>
        <v>1327</v>
      </c>
      <c r="F21" s="94">
        <f t="shared" si="3"/>
        <v>0</v>
      </c>
      <c r="G21" s="94">
        <f t="shared" si="3"/>
        <v>0</v>
      </c>
      <c r="H21" s="94">
        <f t="shared" si="3"/>
        <v>0</v>
      </c>
      <c r="I21" s="94">
        <f t="shared" si="3"/>
        <v>0</v>
      </c>
      <c r="J21" s="94">
        <f t="shared" si="3"/>
        <v>0</v>
      </c>
      <c r="K21" s="153">
        <f t="shared" si="3"/>
        <v>0</v>
      </c>
      <c r="M21" s="776"/>
      <c r="N21" s="43">
        <v>800</v>
      </c>
      <c r="O21" s="44">
        <v>1373571</v>
      </c>
      <c r="P21" s="44">
        <v>1702260</v>
      </c>
    </row>
    <row r="22" spans="1:16" ht="20.100000000000001" customHeight="1">
      <c r="A22" s="849"/>
      <c r="B22" s="152">
        <v>400</v>
      </c>
      <c r="C22" s="664">
        <f>C16</f>
        <v>904597</v>
      </c>
      <c r="D22" s="665">
        <f>D16</f>
        <v>262</v>
      </c>
      <c r="E22" s="400">
        <f>E16</f>
        <v>237</v>
      </c>
      <c r="F22" s="665">
        <f>F16</f>
        <v>0</v>
      </c>
      <c r="G22" s="94">
        <f t="shared" ref="G22:K22" si="4">G16</f>
        <v>0</v>
      </c>
      <c r="H22" s="665">
        <f t="shared" si="4"/>
        <v>0</v>
      </c>
      <c r="I22" s="400">
        <f t="shared" si="4"/>
        <v>0</v>
      </c>
      <c r="J22" s="665">
        <f t="shared" si="4"/>
        <v>0</v>
      </c>
      <c r="K22" s="664">
        <f t="shared" si="4"/>
        <v>0</v>
      </c>
      <c r="M22" s="776"/>
      <c r="N22" s="43">
        <v>900</v>
      </c>
      <c r="O22" s="44">
        <v>1509424</v>
      </c>
      <c r="P22" s="44">
        <v>1847090</v>
      </c>
    </row>
    <row r="23" spans="1:16" ht="20.100000000000001" customHeight="1">
      <c r="A23" s="849"/>
      <c r="B23" s="152">
        <v>500</v>
      </c>
      <c r="C23" s="664">
        <f>C17</f>
        <v>999476</v>
      </c>
      <c r="D23" s="665">
        <f>D17</f>
        <v>511</v>
      </c>
      <c r="E23" s="400">
        <f>E17</f>
        <v>511</v>
      </c>
      <c r="F23" s="665">
        <f>F16</f>
        <v>0</v>
      </c>
      <c r="G23" s="94">
        <f t="shared" ref="G23:K23" si="5">G16</f>
        <v>0</v>
      </c>
      <c r="H23" s="665">
        <f t="shared" si="5"/>
        <v>0</v>
      </c>
      <c r="I23" s="400">
        <f t="shared" si="5"/>
        <v>0</v>
      </c>
      <c r="J23" s="665">
        <f t="shared" si="5"/>
        <v>0</v>
      </c>
      <c r="K23" s="664">
        <f t="shared" si="5"/>
        <v>0</v>
      </c>
      <c r="M23" s="776"/>
      <c r="N23" s="43">
        <v>1000</v>
      </c>
      <c r="O23" s="44">
        <v>1730822</v>
      </c>
      <c r="P23" s="44">
        <v>2077609</v>
      </c>
    </row>
    <row r="24" spans="1:16" ht="20.100000000000001" customHeight="1">
      <c r="A24" s="850"/>
      <c r="B24" s="167" t="s">
        <v>95</v>
      </c>
      <c r="C24" s="165"/>
      <c r="D24" s="166">
        <f t="shared" ref="D24:K24" si="6">SUM(D19:D23)</f>
        <v>5339</v>
      </c>
      <c r="E24" s="164">
        <f t="shared" si="6"/>
        <v>4211</v>
      </c>
      <c r="F24" s="164">
        <f t="shared" si="6"/>
        <v>3398</v>
      </c>
      <c r="G24" s="164">
        <f t="shared" si="6"/>
        <v>2507</v>
      </c>
      <c r="H24" s="164">
        <f t="shared" si="6"/>
        <v>0</v>
      </c>
      <c r="I24" s="164">
        <f t="shared" si="6"/>
        <v>0</v>
      </c>
      <c r="J24" s="164">
        <f t="shared" si="6"/>
        <v>0</v>
      </c>
      <c r="K24" s="165">
        <f t="shared" si="6"/>
        <v>0</v>
      </c>
      <c r="M24" s="776"/>
      <c r="N24" s="43">
        <v>1100</v>
      </c>
      <c r="O24" s="44">
        <v>1990647</v>
      </c>
      <c r="P24" s="44">
        <v>2359688</v>
      </c>
    </row>
    <row r="25" spans="1:16" ht="20.100000000000001" customHeight="1">
      <c r="M25" s="776"/>
      <c r="N25" s="43">
        <v>1200</v>
      </c>
      <c r="O25" s="44">
        <v>2234280</v>
      </c>
      <c r="P25" s="44">
        <v>2612176</v>
      </c>
    </row>
    <row r="26" spans="1:16" ht="20.100000000000001" customHeight="1">
      <c r="D26" s="2">
        <v>56391</v>
      </c>
      <c r="M26" s="776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M27" s="776"/>
      <c r="N27" s="43">
        <v>300</v>
      </c>
      <c r="O27" s="44">
        <v>525101</v>
      </c>
      <c r="P27" s="44">
        <v>794902</v>
      </c>
    </row>
    <row r="28" spans="1:16" ht="20.100000000000001" customHeight="1">
      <c r="M28" s="776"/>
      <c r="N28" s="43">
        <v>400</v>
      </c>
      <c r="O28" s="44">
        <v>625778</v>
      </c>
      <c r="P28" s="44">
        <v>904597</v>
      </c>
    </row>
    <row r="29" spans="1:16" ht="20.100000000000001" customHeight="1">
      <c r="M29" s="776"/>
      <c r="N29" s="43">
        <v>500</v>
      </c>
      <c r="O29" s="44">
        <v>711507</v>
      </c>
      <c r="P29" s="44">
        <v>999476</v>
      </c>
    </row>
    <row r="30" spans="1:16" ht="20.100000000000001" customHeight="1">
      <c r="M30" s="776"/>
      <c r="N30" s="43">
        <v>600</v>
      </c>
      <c r="O30" s="44">
        <v>810869</v>
      </c>
      <c r="P30" s="44">
        <v>1121644</v>
      </c>
    </row>
    <row r="31" spans="1:16" ht="20.100000000000001" customHeight="1">
      <c r="M31" s="776"/>
      <c r="N31" s="43">
        <v>700</v>
      </c>
      <c r="O31" s="44">
        <v>919311</v>
      </c>
      <c r="P31" s="44">
        <v>1238972</v>
      </c>
    </row>
    <row r="32" spans="1:16" ht="20.100000000000001" customHeight="1">
      <c r="M32" s="776"/>
      <c r="N32" s="43">
        <v>800</v>
      </c>
      <c r="O32" s="44">
        <v>1030780</v>
      </c>
      <c r="P32" s="44">
        <v>1359468</v>
      </c>
    </row>
    <row r="33" spans="13:16" ht="20.100000000000001" customHeight="1">
      <c r="M33" s="776"/>
      <c r="N33" s="43">
        <v>900</v>
      </c>
      <c r="O33" s="44">
        <v>1120686</v>
      </c>
      <c r="P33" s="44">
        <v>1458352</v>
      </c>
    </row>
    <row r="34" spans="13:16" ht="20.100000000000001" customHeight="1">
      <c r="M34" s="776"/>
      <c r="N34" s="43">
        <v>1000</v>
      </c>
      <c r="O34" s="44">
        <v>1252157</v>
      </c>
      <c r="P34" s="44">
        <v>1598943</v>
      </c>
    </row>
    <row r="35" spans="13:16" ht="20.100000000000001" customHeight="1">
      <c r="M35" s="776"/>
      <c r="N35" s="43">
        <v>1200</v>
      </c>
      <c r="O35" s="44">
        <v>1519329</v>
      </c>
      <c r="P35" s="44">
        <v>1897235</v>
      </c>
    </row>
    <row r="36" spans="13:16" ht="20.100000000000001" customHeight="1">
      <c r="M36" s="776" t="s">
        <v>78</v>
      </c>
      <c r="N36" s="43" t="s">
        <v>79</v>
      </c>
      <c r="O36" s="44">
        <v>1813280</v>
      </c>
      <c r="P36" s="44">
        <v>2098936</v>
      </c>
    </row>
    <row r="37" spans="13:16" ht="20.100000000000001" customHeight="1">
      <c r="M37" s="776"/>
      <c r="N37" s="43" t="s">
        <v>80</v>
      </c>
      <c r="O37" s="44">
        <v>1980997</v>
      </c>
      <c r="P37" s="44">
        <v>2266643</v>
      </c>
    </row>
    <row r="38" spans="13:16" ht="20.100000000000001" customHeight="1">
      <c r="M38" s="776"/>
      <c r="N38" s="43" t="s">
        <v>81</v>
      </c>
      <c r="O38" s="44">
        <v>2008266</v>
      </c>
      <c r="P38" s="44">
        <v>2293922</v>
      </c>
    </row>
    <row r="39" spans="13:16" ht="20.100000000000001" customHeight="1">
      <c r="M39" s="776"/>
      <c r="N39" s="43" t="s">
        <v>82</v>
      </c>
      <c r="O39" s="44">
        <v>2087044</v>
      </c>
      <c r="P39" s="44">
        <v>2432231</v>
      </c>
    </row>
    <row r="40" spans="13:16" ht="20.100000000000001" customHeight="1">
      <c r="M40" s="776"/>
      <c r="N40" s="43" t="s">
        <v>83</v>
      </c>
      <c r="O40" s="44">
        <v>2235747</v>
      </c>
      <c r="P40" s="44">
        <v>2580933</v>
      </c>
    </row>
    <row r="41" spans="13:16" ht="20.100000000000001" customHeight="1">
      <c r="M41" s="776"/>
      <c r="N41" s="43" t="s">
        <v>84</v>
      </c>
      <c r="O41" s="44">
        <v>2493065</v>
      </c>
      <c r="P41" s="44">
        <v>2838251</v>
      </c>
    </row>
    <row r="42" spans="13:16" ht="20.100000000000001" customHeight="1">
      <c r="M42" s="776"/>
      <c r="N42" s="43" t="s">
        <v>85</v>
      </c>
      <c r="O42" s="44">
        <v>2688377</v>
      </c>
      <c r="P42" s="44">
        <v>3033563</v>
      </c>
    </row>
    <row r="43" spans="13:16" ht="20.100000000000001" customHeight="1">
      <c r="M43" s="776"/>
      <c r="N43" s="43" t="s">
        <v>86</v>
      </c>
      <c r="O43" s="44">
        <v>2712639</v>
      </c>
      <c r="P43" s="44">
        <v>3057825</v>
      </c>
    </row>
    <row r="44" spans="13:16" ht="20.100000000000001" customHeight="1">
      <c r="M44" s="776"/>
      <c r="N44" s="43" t="s">
        <v>87</v>
      </c>
      <c r="O44" s="44">
        <v>3180065</v>
      </c>
      <c r="P44" s="44">
        <v>3525251</v>
      </c>
    </row>
    <row r="45" spans="13:16" ht="20.100000000000001" customHeight="1">
      <c r="M45" s="776"/>
      <c r="N45" s="43" t="s">
        <v>88</v>
      </c>
      <c r="O45" s="44">
        <v>3443537</v>
      </c>
      <c r="P45" s="44">
        <v>3966580</v>
      </c>
    </row>
    <row r="46" spans="13:16" ht="20.100000000000001" customHeight="1">
      <c r="M46" s="776"/>
      <c r="N46" s="43" t="s">
        <v>89</v>
      </c>
      <c r="O46" s="44">
        <v>3790171</v>
      </c>
      <c r="P46" s="44">
        <v>4313203</v>
      </c>
    </row>
    <row r="47" spans="13:16" ht="20.100000000000001" customHeight="1">
      <c r="M47" s="776"/>
      <c r="N47" s="43" t="s">
        <v>90</v>
      </c>
      <c r="O47" s="44">
        <v>4445958</v>
      </c>
      <c r="P47" s="44">
        <v>4968990</v>
      </c>
    </row>
    <row r="48" spans="13:16" ht="20.100000000000001" customHeight="1">
      <c r="M48" s="776"/>
      <c r="N48" s="43" t="s">
        <v>91</v>
      </c>
      <c r="O48" s="44">
        <v>4058779</v>
      </c>
      <c r="P48" s="44">
        <v>4581821</v>
      </c>
    </row>
    <row r="49" spans="13:16" ht="20.100000000000001" customHeight="1">
      <c r="M49" s="776"/>
      <c r="N49" s="43" t="s">
        <v>92</v>
      </c>
      <c r="O49" s="44">
        <v>4541703</v>
      </c>
      <c r="P49" s="44">
        <v>5064746</v>
      </c>
    </row>
    <row r="50" spans="13:16" ht="20.100000000000001" customHeight="1">
      <c r="M50" s="776"/>
      <c r="N50" s="43" t="s">
        <v>93</v>
      </c>
      <c r="O50" s="44">
        <v>5297975</v>
      </c>
      <c r="P50" s="44">
        <v>5821007</v>
      </c>
    </row>
    <row r="51" spans="13:16" ht="20.100000000000001" customHeight="1">
      <c r="M51" s="776"/>
      <c r="N51" s="43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A9:A12"/>
    <mergeCell ref="A19:A24"/>
    <mergeCell ref="A13:A18"/>
    <mergeCell ref="Q3:Q4"/>
    <mergeCell ref="R3:R4"/>
    <mergeCell ref="S3:T3"/>
    <mergeCell ref="H7:I7"/>
    <mergeCell ref="J7:K7"/>
    <mergeCell ref="M3:M4"/>
    <mergeCell ref="N3:N4"/>
    <mergeCell ref="O3:P3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252</v>
      </c>
      <c r="B1" s="1"/>
      <c r="C1" s="1"/>
      <c r="D1" s="1"/>
    </row>
    <row r="2" spans="1:18" ht="20.100000000000001" customHeight="1">
      <c r="A2" s="2" t="s">
        <v>63</v>
      </c>
    </row>
    <row r="3" spans="1:18" ht="20.100000000000001" customHeight="1">
      <c r="A3" s="40" t="s">
        <v>974</v>
      </c>
      <c r="B3" s="40"/>
      <c r="C3" s="40"/>
      <c r="D3" s="40"/>
      <c r="M3" s="10" t="s">
        <v>152</v>
      </c>
      <c r="N3" s="10" t="s">
        <v>153</v>
      </c>
      <c r="O3" s="10"/>
      <c r="P3" s="41" t="s">
        <v>150</v>
      </c>
      <c r="Q3" s="41" t="s">
        <v>149</v>
      </c>
      <c r="R3" s="41" t="s">
        <v>154</v>
      </c>
    </row>
    <row r="4" spans="1:18" ht="20.100000000000001" customHeight="1">
      <c r="A4" s="40"/>
      <c r="B4" s="40"/>
      <c r="C4" s="40"/>
      <c r="D4" s="40"/>
      <c r="M4" s="10"/>
      <c r="N4" s="11" t="s">
        <v>150</v>
      </c>
      <c r="O4" s="11" t="s">
        <v>151</v>
      </c>
      <c r="P4" s="41"/>
      <c r="Q4" s="41"/>
      <c r="R4" s="41"/>
    </row>
    <row r="5" spans="1:18" ht="20.100000000000001" customHeight="1">
      <c r="A5" s="2" t="s">
        <v>4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71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8</v>
      </c>
      <c r="B7" s="781"/>
      <c r="C7" s="787" t="s">
        <v>103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104</v>
      </c>
      <c r="E8" s="158" t="s">
        <v>75</v>
      </c>
      <c r="F8" s="157" t="s">
        <v>104</v>
      </c>
      <c r="G8" s="158" t="s">
        <v>75</v>
      </c>
      <c r="H8" s="157" t="s">
        <v>104</v>
      </c>
      <c r="I8" s="158" t="s">
        <v>75</v>
      </c>
      <c r="J8" s="157" t="s">
        <v>104</v>
      </c>
      <c r="K8" s="159" t="s">
        <v>75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8" t="s">
        <v>395</v>
      </c>
      <c r="B9" s="851"/>
      <c r="C9" s="156">
        <v>3600000</v>
      </c>
      <c r="D9" s="106">
        <v>0</v>
      </c>
      <c r="E9" s="101">
        <f t="shared" ref="E9:E20" si="2">+ROUND($C9*D9/1000000,0)</f>
        <v>0</v>
      </c>
      <c r="F9" s="101">
        <v>172</v>
      </c>
      <c r="G9" s="101">
        <f t="shared" ref="G9:G20" si="3">+ROUND($C9*F9/1000000,0)</f>
        <v>619</v>
      </c>
      <c r="H9" s="101">
        <v>0</v>
      </c>
      <c r="I9" s="101">
        <f t="shared" ref="I9:I20" si="4">+ROUND($C9*H9/1000000,0)</f>
        <v>0</v>
      </c>
      <c r="J9" s="101">
        <v>0</v>
      </c>
      <c r="K9" s="156">
        <f t="shared" ref="K9:K20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 t="s">
        <v>396</v>
      </c>
      <c r="B10" s="852"/>
      <c r="C10" s="153">
        <v>3600000</v>
      </c>
      <c r="D10" s="139">
        <v>294</v>
      </c>
      <c r="E10" s="94">
        <f>+ROUND($C10*D10/1000000,0)-161</f>
        <v>897</v>
      </c>
      <c r="F10" s="94"/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/>
      <c r="B11" s="852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>+ROUND($C21*D21/1000000,0)</f>
        <v>0</v>
      </c>
      <c r="F21" s="94">
        <v>0</v>
      </c>
      <c r="G21" s="94">
        <f>+ROUND($C21*F21/1000000,0)</f>
        <v>0</v>
      </c>
      <c r="H21" s="94">
        <v>0</v>
      </c>
      <c r="I21" s="94">
        <f>+ROUND($C21*H21/1000000,0)</f>
        <v>0</v>
      </c>
      <c r="J21" s="94">
        <v>0</v>
      </c>
      <c r="K21" s="153">
        <f>+ROUND($C21*J21/1000000,0)</f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>+ROUND($C22*D22/1000000,0)</f>
        <v>0</v>
      </c>
      <c r="F22" s="94">
        <v>0</v>
      </c>
      <c r="G22" s="94">
        <f>+ROUND($C22*F22/1000000,0)</f>
        <v>0</v>
      </c>
      <c r="H22" s="94">
        <v>0</v>
      </c>
      <c r="I22" s="94">
        <f>+ROUND($C22*H22/1000000,0)</f>
        <v>0</v>
      </c>
      <c r="J22" s="94">
        <v>0</v>
      </c>
      <c r="K22" s="153">
        <f>+ROUND($C22*J22/1000000,0)</f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56</v>
      </c>
      <c r="B23" s="777"/>
      <c r="C23" s="165">
        <v>3600000</v>
      </c>
      <c r="D23" s="166">
        <f t="shared" ref="D23:K23" si="6">SUM(D9:D22)</f>
        <v>294</v>
      </c>
      <c r="E23" s="164">
        <f t="shared" si="6"/>
        <v>897</v>
      </c>
      <c r="F23" s="166">
        <f t="shared" si="6"/>
        <v>172</v>
      </c>
      <c r="G23" s="164">
        <f t="shared" si="6"/>
        <v>619</v>
      </c>
      <c r="H23" s="166">
        <f t="shared" si="6"/>
        <v>0</v>
      </c>
      <c r="I23" s="164">
        <f t="shared" si="6"/>
        <v>0</v>
      </c>
      <c r="J23" s="166">
        <f t="shared" si="6"/>
        <v>0</v>
      </c>
      <c r="K23" s="164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259" t="s">
        <v>368</v>
      </c>
      <c r="N31" s="260"/>
      <c r="O31" s="261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Q36:U36"/>
    <mergeCell ref="M34:M35"/>
    <mergeCell ref="N34:N35"/>
    <mergeCell ref="O34:O35"/>
    <mergeCell ref="Q34:T34"/>
    <mergeCell ref="Q35:T35"/>
    <mergeCell ref="M30:O30"/>
    <mergeCell ref="Q30:T30"/>
    <mergeCell ref="Q31:T31"/>
    <mergeCell ref="M32:M33"/>
    <mergeCell ref="N32:N33"/>
    <mergeCell ref="O32:O33"/>
    <mergeCell ref="Q32:T32"/>
    <mergeCell ref="Q33:T33"/>
    <mergeCell ref="Q23:T23"/>
    <mergeCell ref="M25:M29"/>
    <mergeCell ref="N25:O25"/>
    <mergeCell ref="N26:N27"/>
    <mergeCell ref="N28:N29"/>
    <mergeCell ref="Q28:T28"/>
    <mergeCell ref="M19:O19"/>
    <mergeCell ref="M20:M24"/>
    <mergeCell ref="N20:O20"/>
    <mergeCell ref="N21:N22"/>
    <mergeCell ref="N23:N24"/>
    <mergeCell ref="A20:B20"/>
    <mergeCell ref="A23:B23"/>
    <mergeCell ref="A16:B16"/>
    <mergeCell ref="A13:B13"/>
    <mergeCell ref="A14:B14"/>
    <mergeCell ref="A15:B15"/>
    <mergeCell ref="A17:B17"/>
    <mergeCell ref="A18:B18"/>
    <mergeCell ref="A19:B19"/>
    <mergeCell ref="A21:B21"/>
    <mergeCell ref="A22:B22"/>
    <mergeCell ref="A7:B8"/>
    <mergeCell ref="A9:B9"/>
    <mergeCell ref="A10:B10"/>
    <mergeCell ref="A11:B11"/>
    <mergeCell ref="A12:B12"/>
    <mergeCell ref="C7:C8"/>
    <mergeCell ref="D7:E7"/>
    <mergeCell ref="F7:G7"/>
    <mergeCell ref="H7:I7"/>
    <mergeCell ref="J7:K7"/>
  </mergeCells>
  <phoneticPr fontId="4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251</v>
      </c>
      <c r="B1" s="1"/>
      <c r="C1" s="1"/>
    </row>
    <row r="2" spans="1:14" ht="20.100000000000001" customHeight="1">
      <c r="A2" s="2" t="s">
        <v>63</v>
      </c>
    </row>
    <row r="3" spans="1:14" ht="20.100000000000001" customHeight="1">
      <c r="A3" s="40" t="s">
        <v>155</v>
      </c>
      <c r="B3" s="40"/>
      <c r="C3" s="40"/>
      <c r="M3" s="2"/>
      <c r="N3" s="2"/>
    </row>
    <row r="4" spans="1:14" ht="20.100000000000001" customHeight="1">
      <c r="A4" s="40" t="s">
        <v>156</v>
      </c>
      <c r="B4" s="40"/>
      <c r="C4" s="40"/>
      <c r="M4" s="2"/>
      <c r="N4" s="2"/>
    </row>
    <row r="5" spans="1:14" ht="20.100000000000001" customHeight="1">
      <c r="A5" s="2" t="s">
        <v>4</v>
      </c>
      <c r="M5" s="2"/>
      <c r="N5" s="2"/>
    </row>
    <row r="6" spans="1:14" ht="20.100000000000001" customHeight="1">
      <c r="H6" s="8"/>
      <c r="J6" s="8" t="s">
        <v>71</v>
      </c>
      <c r="M6" s="2"/>
      <c r="N6" s="2"/>
    </row>
    <row r="7" spans="1:14" ht="20.100000000000001" customHeight="1">
      <c r="A7" s="783" t="s">
        <v>8</v>
      </c>
      <c r="B7" s="782"/>
      <c r="C7" s="789" t="s">
        <v>9</v>
      </c>
      <c r="D7" s="781"/>
      <c r="E7" s="781" t="s">
        <v>10</v>
      </c>
      <c r="F7" s="781"/>
      <c r="G7" s="781" t="s">
        <v>11</v>
      </c>
      <c r="H7" s="781"/>
      <c r="I7" s="781" t="s">
        <v>12</v>
      </c>
      <c r="J7" s="782"/>
      <c r="M7" s="2"/>
      <c r="N7" s="2"/>
    </row>
    <row r="8" spans="1:14" ht="30" customHeight="1">
      <c r="A8" s="784"/>
      <c r="B8" s="778"/>
      <c r="C8" s="316" t="s">
        <v>157</v>
      </c>
      <c r="D8" s="523" t="s">
        <v>75</v>
      </c>
      <c r="E8" s="522" t="s">
        <v>157</v>
      </c>
      <c r="F8" s="523" t="s">
        <v>75</v>
      </c>
      <c r="G8" s="522" t="s">
        <v>157</v>
      </c>
      <c r="H8" s="523" t="s">
        <v>75</v>
      </c>
      <c r="I8" s="522" t="s">
        <v>157</v>
      </c>
      <c r="J8" s="528" t="s">
        <v>75</v>
      </c>
      <c r="M8" s="2"/>
      <c r="N8" s="2"/>
    </row>
    <row r="9" spans="1:14" ht="20.100000000000001" customHeight="1">
      <c r="A9" s="848" t="s">
        <v>399</v>
      </c>
      <c r="B9" s="478"/>
      <c r="C9" s="480">
        <v>0.2</v>
      </c>
      <c r="D9" s="353">
        <f>+ROUND(0.0292*(C9*60*24)+83.662,0)</f>
        <v>92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94">
        <v>0</v>
      </c>
      <c r="K9" s="2">
        <v>5</v>
      </c>
      <c r="M9" s="2"/>
      <c r="N9" s="2"/>
    </row>
    <row r="10" spans="1:14" ht="20.100000000000001" customHeight="1">
      <c r="A10" s="780"/>
      <c r="B10" s="479"/>
      <c r="C10" s="481">
        <v>0.5</v>
      </c>
      <c r="D10" s="331">
        <f>+ROUND(0.0292*(C10*60*24)+83.662,0)</f>
        <v>105</v>
      </c>
      <c r="E10" s="331">
        <v>0</v>
      </c>
      <c r="F10" s="331">
        <v>0</v>
      </c>
      <c r="G10" s="331">
        <v>0</v>
      </c>
      <c r="H10" s="331">
        <v>0</v>
      </c>
      <c r="I10" s="331">
        <v>0</v>
      </c>
      <c r="J10" s="332">
        <v>0</v>
      </c>
      <c r="M10" s="2"/>
      <c r="N10" s="2"/>
    </row>
    <row r="11" spans="1:14" ht="20.100000000000001" customHeight="1">
      <c r="A11" s="780"/>
      <c r="B11" s="479"/>
      <c r="C11" s="481">
        <v>0.5</v>
      </c>
      <c r="D11" s="331">
        <f>+ROUND(0.0292*(C11*60*24)+83.662,0)</f>
        <v>105</v>
      </c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2">
        <v>0</v>
      </c>
      <c r="M11" s="2"/>
      <c r="N11" s="2"/>
    </row>
    <row r="12" spans="1:14" ht="20.100000000000001" customHeight="1">
      <c r="A12" s="780"/>
      <c r="B12" s="479"/>
      <c r="C12" s="481">
        <v>0.2</v>
      </c>
      <c r="D12" s="331">
        <f>+ROUND(0.0292*(C12*60*24)+83.662,0)</f>
        <v>92</v>
      </c>
      <c r="E12" s="331">
        <v>0</v>
      </c>
      <c r="F12" s="331">
        <v>0</v>
      </c>
      <c r="G12" s="331">
        <v>0</v>
      </c>
      <c r="H12" s="331">
        <v>0</v>
      </c>
      <c r="I12" s="331">
        <v>0</v>
      </c>
      <c r="J12" s="332">
        <v>0</v>
      </c>
      <c r="M12" s="2"/>
      <c r="N12" s="2"/>
    </row>
    <row r="13" spans="1:14" ht="20.100000000000001" customHeight="1">
      <c r="A13" s="780"/>
      <c r="B13" s="479"/>
      <c r="C13" s="481">
        <v>0.2</v>
      </c>
      <c r="D13" s="331">
        <f>+ROUND(0.0292*(C13*60*24)+83.662,0)</f>
        <v>92</v>
      </c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2">
        <v>0</v>
      </c>
      <c r="M13" s="2"/>
      <c r="N13" s="2"/>
    </row>
    <row r="14" spans="1:14" ht="20.100000000000001" customHeight="1">
      <c r="A14" s="780"/>
      <c r="B14" s="479" t="s">
        <v>96</v>
      </c>
      <c r="C14" s="481"/>
      <c r="D14" s="331"/>
      <c r="E14" s="331">
        <v>0</v>
      </c>
      <c r="F14" s="331">
        <v>0</v>
      </c>
      <c r="G14" s="331">
        <v>0</v>
      </c>
      <c r="H14" s="331">
        <v>0</v>
      </c>
      <c r="I14" s="331">
        <v>0</v>
      </c>
      <c r="J14" s="332">
        <v>0</v>
      </c>
      <c r="M14" s="2"/>
      <c r="N14" s="2"/>
    </row>
    <row r="15" spans="1:14" ht="20.100000000000001" customHeight="1">
      <c r="A15" s="784" t="s">
        <v>56</v>
      </c>
      <c r="B15" s="881"/>
      <c r="C15" s="482"/>
      <c r="D15" s="334">
        <f>+D14</f>
        <v>0</v>
      </c>
      <c r="E15" s="334">
        <v>0</v>
      </c>
      <c r="F15" s="334">
        <f>+F14</f>
        <v>0</v>
      </c>
      <c r="G15" s="334">
        <v>0</v>
      </c>
      <c r="H15" s="334">
        <f>+H14</f>
        <v>0</v>
      </c>
      <c r="I15" s="334">
        <v>0</v>
      </c>
      <c r="J15" s="335">
        <f>+J14</f>
        <v>0</v>
      </c>
      <c r="K15" s="2">
        <v>2</v>
      </c>
      <c r="M15" s="2"/>
      <c r="N15" s="2"/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K17" s="2">
        <v>8</v>
      </c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>
      <c r="M19" s="2"/>
      <c r="N19" s="2"/>
    </row>
    <row r="20" spans="3:14" ht="20.100000000000001" customHeight="1">
      <c r="M20" s="2"/>
      <c r="N20" s="2"/>
    </row>
    <row r="21" spans="3:14" ht="20.100000000000001" customHeight="1">
      <c r="M21" s="2"/>
      <c r="N21" s="2"/>
    </row>
    <row r="22" spans="3:14" ht="20.100000000000001" customHeight="1">
      <c r="M22" s="2"/>
      <c r="N22" s="2"/>
    </row>
    <row r="23" spans="3:14" ht="20.100000000000001" customHeight="1">
      <c r="M23" s="2"/>
      <c r="N23" s="2"/>
    </row>
    <row r="24" spans="3:14" ht="20.100000000000001" customHeight="1">
      <c r="M24" s="2"/>
      <c r="N24" s="2"/>
    </row>
    <row r="25" spans="3:14" ht="20.100000000000001" customHeight="1">
      <c r="M25" s="2"/>
      <c r="N25" s="2"/>
    </row>
    <row r="26" spans="3:14" ht="20.100000000000001" customHeight="1">
      <c r="M26" s="2"/>
      <c r="N26" s="2"/>
    </row>
    <row r="27" spans="3:14" ht="20.100000000000001" customHeight="1">
      <c r="K27" s="2">
        <v>2</v>
      </c>
      <c r="M27" s="2"/>
      <c r="N27" s="2"/>
    </row>
    <row r="28" spans="3:14" ht="20.100000000000001" customHeight="1">
      <c r="M28" s="2"/>
      <c r="N28" s="2"/>
    </row>
    <row r="29" spans="3:14" ht="20.100000000000001" customHeight="1">
      <c r="K29" s="2">
        <v>5</v>
      </c>
      <c r="M29" s="2"/>
      <c r="N29" s="2"/>
    </row>
    <row r="30" spans="3:14" ht="20.100000000000001" customHeight="1">
      <c r="M30" s="2"/>
      <c r="N30" s="2"/>
    </row>
    <row r="31" spans="3:14" ht="20.100000000000001" customHeight="1">
      <c r="M31" s="2"/>
      <c r="N31" s="2"/>
    </row>
    <row r="32" spans="3:14" ht="20.100000000000001" customHeight="1">
      <c r="M32" s="2"/>
      <c r="N32" s="2"/>
    </row>
    <row r="33" spans="11:14" ht="20.100000000000001" customHeight="1">
      <c r="M33" s="2"/>
      <c r="N33" s="2"/>
    </row>
    <row r="34" spans="11:14" ht="20.100000000000001" customHeight="1">
      <c r="M34" s="2"/>
      <c r="N34" s="2"/>
    </row>
    <row r="35" spans="11:14" ht="20.100000000000001" customHeight="1">
      <c r="M35" s="2"/>
      <c r="N35" s="2"/>
    </row>
    <row r="36" spans="11:14" ht="20.100000000000001" customHeight="1">
      <c r="K36" s="2">
        <v>3</v>
      </c>
      <c r="M36" s="2"/>
      <c r="N36" s="2"/>
    </row>
    <row r="37" spans="11:14" ht="20.100000000000001" customHeight="1"/>
    <row r="38" spans="11:14" ht="20.100000000000001" customHeight="1"/>
    <row r="39" spans="11:14" ht="20.100000000000001" customHeight="1"/>
    <row r="40" spans="11:14" ht="20.100000000000001" customHeight="1">
      <c r="M40" s="2"/>
      <c r="N40" s="2"/>
    </row>
    <row r="41" spans="11:14" ht="20.100000000000001" customHeight="1">
      <c r="M41" s="2"/>
      <c r="N41" s="2"/>
    </row>
    <row r="42" spans="11:14" ht="20.100000000000001" customHeight="1">
      <c r="M42" s="2"/>
      <c r="N42" s="2"/>
    </row>
    <row r="43" spans="11:14" ht="20.100000000000001" customHeight="1"/>
    <row r="44" spans="11:14" ht="20.100000000000001" customHeight="1"/>
    <row r="45" spans="11:14" ht="20.100000000000001" customHeight="1"/>
    <row r="46" spans="11:14" ht="20.100000000000001" customHeight="1"/>
    <row r="47" spans="11:14" ht="20.100000000000001" customHeight="1"/>
    <row r="48" spans="1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</sheetData>
  <mergeCells count="7">
    <mergeCell ref="A15:B15"/>
    <mergeCell ref="C7:D7"/>
    <mergeCell ref="E7:F7"/>
    <mergeCell ref="G7:H7"/>
    <mergeCell ref="I7:J7"/>
    <mergeCell ref="A9:A14"/>
    <mergeCell ref="A7:B8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955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 t="s">
        <v>175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60</v>
      </c>
      <c r="B5" s="106">
        <f>+'가.굴착교체(음성-오수지선)'!I23</f>
        <v>0</v>
      </c>
      <c r="C5" s="101">
        <f>+'가.굴착교체(음성-오수지선)'!K23</f>
        <v>380</v>
      </c>
      <c r="D5" s="101">
        <f>+'가.굴착교체(음성-오수지선)'!M23</f>
        <v>0</v>
      </c>
      <c r="E5" s="101">
        <f>+'가.굴착교체(음성-오수지선)'!O23</f>
        <v>0</v>
      </c>
      <c r="F5" s="102"/>
      <c r="G5" s="5"/>
      <c r="H5" s="7" t="s">
        <v>174</v>
      </c>
      <c r="I5" s="41" t="s">
        <v>170</v>
      </c>
      <c r="J5" s="41" t="s">
        <v>171</v>
      </c>
      <c r="K5" s="41" t="s">
        <v>172</v>
      </c>
      <c r="L5" s="41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97</v>
      </c>
      <c r="B6" s="139">
        <f>+'나.전체보수(음성-오수지선)'!E17</f>
        <v>0</v>
      </c>
      <c r="C6" s="94">
        <f>+'나.전체보수(음성-오수지선)'!G17</f>
        <v>1524</v>
      </c>
      <c r="D6" s="94">
        <f>+'나.전체보수(음성-오수지선)'!I17</f>
        <v>0</v>
      </c>
      <c r="E6" s="94">
        <f>+'나.전체보수(음성-오수지선)'!K17</f>
        <v>0</v>
      </c>
      <c r="F6" s="95"/>
      <c r="G6" s="5"/>
      <c r="H6" s="7" t="s">
        <v>168</v>
      </c>
      <c r="I6" s="70" t="e">
        <f>+B5/B9</f>
        <v>#DIV/0!</v>
      </c>
      <c r="J6" s="70">
        <f>+C5/C9</f>
        <v>0.17423200366804217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164</v>
      </c>
      <c r="B7" s="139">
        <f>+'다.부분보수(음성-오수지선)'!E17</f>
        <v>0</v>
      </c>
      <c r="C7" s="94">
        <f>+'다.부분보수(음성-오수지선)'!G17</f>
        <v>277</v>
      </c>
      <c r="D7" s="94">
        <f>+'다.부분보수(음성-오수지선)'!I17</f>
        <v>0</v>
      </c>
      <c r="E7" s="94">
        <f>+'다.부분보수(음성-오수지선)'!K17</f>
        <v>0</v>
      </c>
      <c r="F7" s="95"/>
      <c r="G7" s="5"/>
      <c r="H7" s="7" t="s">
        <v>169</v>
      </c>
      <c r="I7" s="71" t="e">
        <f>1-I6</f>
        <v>#DIV/0!</v>
      </c>
      <c r="J7" s="71">
        <f>1-J6</f>
        <v>0.82576799633195785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837</v>
      </c>
      <c r="B8" s="399">
        <f>ROUND('1.2.5 오수관로신설'!B7*0.03,0)</f>
        <v>0</v>
      </c>
      <c r="C8" s="399">
        <f>ROUND('1.2.5 오수관로신설'!C7*0.03,0)</f>
        <v>0</v>
      </c>
      <c r="D8" s="399">
        <f>ROUND('1.2.5 오수관로신설'!D7*0.03,0)</f>
        <v>0</v>
      </c>
      <c r="E8" s="399">
        <f>ROUND('1.2.5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25</v>
      </c>
      <c r="B9" s="108">
        <f>SUM(B5:B8)</f>
        <v>0</v>
      </c>
      <c r="C9" s="108">
        <f>SUM(C5:C8)</f>
        <v>2181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28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29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76" t="s">
        <v>8</v>
      </c>
      <c r="B13" s="105" t="s">
        <v>32</v>
      </c>
      <c r="C13" s="103" t="s">
        <v>33</v>
      </c>
      <c r="D13" s="103" t="s">
        <v>11</v>
      </c>
      <c r="E13" s="103" t="s">
        <v>35</v>
      </c>
      <c r="F13" s="104" t="s">
        <v>13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42</v>
      </c>
      <c r="B14" s="117">
        <f>+B9</f>
        <v>0</v>
      </c>
      <c r="C14" s="115">
        <f>+C9</f>
        <v>2181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43</v>
      </c>
      <c r="B15" s="118">
        <f>IFERROR(INDEX($H$21:$L$37,MATCH(B14,$H$21:$H$37,1),1),0)</f>
        <v>0</v>
      </c>
      <c r="C15" s="118">
        <f>IFERROR(INDEX($H$21:$L$37,MATCH(C14,$H$21:$H$37,1),1),0)</f>
        <v>2000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</v>
      </c>
      <c r="B16" s="118">
        <f>IFERROR(INDEX($H$21:$L$37,MATCH(B14,$H$21:$H$37,1)+1,1),0)</f>
        <v>0</v>
      </c>
      <c r="C16" s="118">
        <f>IFERROR(INDEX($H$21:$L$37,MATCH(C14,$H$21:$H$37,1)+1,1),0)</f>
        <v>3000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45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4.9000000000000002E-2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4.7200000000000006E-2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47</v>
      </c>
      <c r="B19" s="141">
        <f>IFERROR(B17+((B18-B17)/(B16-B15))*(B14-B15),0)</f>
        <v>0</v>
      </c>
      <c r="C19" s="141">
        <f>IFERROR(C17+((C18-C17)/(C16-C15))*(C14-C15),0)</f>
        <v>4.8674200000000001E-2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30</v>
      </c>
    </row>
    <row r="20" spans="1:20" ht="20.100000000000001" customHeight="1">
      <c r="A20" s="111" t="s">
        <v>48</v>
      </c>
      <c r="B20" s="108">
        <f>+ROUND(B14*B19,0)</f>
        <v>0</v>
      </c>
      <c r="C20" s="97">
        <f>+ROUND(C14*C19,0)</f>
        <v>106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37</v>
      </c>
      <c r="I20" s="17" t="s">
        <v>38</v>
      </c>
      <c r="J20" s="17" t="s">
        <v>39</v>
      </c>
      <c r="K20" s="17" t="s">
        <v>40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49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29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76" t="s">
        <v>8</v>
      </c>
      <c r="B24" s="105" t="s">
        <v>32</v>
      </c>
      <c r="C24" s="103" t="s">
        <v>33</v>
      </c>
      <c r="D24" s="103" t="s">
        <v>11</v>
      </c>
      <c r="E24" s="103" t="s">
        <v>35</v>
      </c>
      <c r="F24" s="104" t="s">
        <v>13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42</v>
      </c>
      <c r="B25" s="117">
        <f>+B14</f>
        <v>0</v>
      </c>
      <c r="C25" s="115">
        <f>+C14</f>
        <v>2181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43</v>
      </c>
      <c r="B26" s="118">
        <f>+I39</f>
        <v>10000</v>
      </c>
      <c r="C26" s="112">
        <f>+I39</f>
        <v>10000</v>
      </c>
      <c r="D26" s="112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</v>
      </c>
      <c r="B27" s="118">
        <f>+I39</f>
        <v>10000</v>
      </c>
      <c r="C27" s="112">
        <f>+I39</f>
        <v>10000</v>
      </c>
      <c r="D27" s="112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45</v>
      </c>
      <c r="B28" s="141">
        <f>+I40</f>
        <v>9.3699999999999992E-2</v>
      </c>
      <c r="C28" s="135">
        <f>+I40</f>
        <v>9.3699999999999992E-2</v>
      </c>
      <c r="D28" s="135">
        <f>+I40</f>
        <v>9.3699999999999992E-2</v>
      </c>
      <c r="E28" s="135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</v>
      </c>
      <c r="B29" s="141">
        <f>+I40</f>
        <v>9.3699999999999992E-2</v>
      </c>
      <c r="C29" s="135">
        <f>+I40</f>
        <v>9.3699999999999992E-2</v>
      </c>
      <c r="D29" s="135">
        <f>+I40</f>
        <v>9.3699999999999992E-2</v>
      </c>
      <c r="E29" s="135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47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35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50</v>
      </c>
      <c r="B31" s="108">
        <f>+ROUND(B25*B30,0)</f>
        <v>0</v>
      </c>
      <c r="C31" s="97">
        <f>+ROUND(C25*C30,0)</f>
        <v>204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52</v>
      </c>
      <c r="D38" s="12"/>
      <c r="G38" s="9"/>
      <c r="H38" s="9" t="s">
        <v>51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17" t="s">
        <v>37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76" t="s">
        <v>8</v>
      </c>
      <c r="B40" s="105" t="s">
        <v>32</v>
      </c>
      <c r="C40" s="103" t="s">
        <v>33</v>
      </c>
      <c r="D40" s="103" t="s">
        <v>11</v>
      </c>
      <c r="E40" s="103" t="s">
        <v>35</v>
      </c>
      <c r="F40" s="104" t="s">
        <v>13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42</v>
      </c>
      <c r="B41" s="117">
        <f>+B14</f>
        <v>0</v>
      </c>
      <c r="C41" s="115">
        <f>+C14</f>
        <v>2181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43</v>
      </c>
      <c r="B42" s="118">
        <f>IFERROR(INDEX($H$21:$L$37,MATCH(B9,$H$21:$H$37,1),1),0)</f>
        <v>0</v>
      </c>
      <c r="C42" s="118">
        <f>IFERROR(INDEX($H$21:$L$37,MATCH(C9,$H$21:$H$37,1),1),0)</f>
        <v>2000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</v>
      </c>
      <c r="B43" s="118">
        <f>IFERROR(INDEX($H$21:$L$37,MATCH(B9,$H$21:$H$37,1)+1,1),0)</f>
        <v>0</v>
      </c>
      <c r="C43" s="118">
        <f>IFERROR(INDEX($H$21:$L$37,MATCH(C9,$H$21:$H$37,1)+1,1),0)</f>
        <v>3000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45</v>
      </c>
      <c r="B44" s="141">
        <f>IFERROR(INDEX($H$21:$L$37,MATCH(B9,$H$21:$H$37,1),5),0)</f>
        <v>0</v>
      </c>
      <c r="C44" s="141">
        <f>IFERROR(INDEX($H$21:$L$37,MATCH(C9,$H$21:$H$37,1),5),0)</f>
        <v>3.5999999999999999E-3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46</v>
      </c>
      <c r="B45" s="141">
        <f>IFERROR(INDEX($H$21:$L$37,MATCH(B9,$H$21:$H$37,1)+1,5),0)</f>
        <v>0</v>
      </c>
      <c r="C45" s="141">
        <f>IFERROR(INDEX($H$21:$L$37,MATCH(C9,$H$21:$H$37,1)+1,5),0)</f>
        <v>3.5999999999999999E-3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  <c r="G45" s="9"/>
    </row>
    <row r="46" spans="1:17" ht="20.100000000000001" customHeight="1">
      <c r="A46" s="110" t="s">
        <v>47</v>
      </c>
      <c r="B46" s="141">
        <f>IFERROR(B44+((B45-B44)/(B43-B42))*(B41-B42),0)</f>
        <v>0</v>
      </c>
      <c r="C46" s="141">
        <f>IFERROR(C44+((C45-C44)/(C43-C42))*(C41-C42),0)</f>
        <v>3.5999999999999999E-3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108">
        <f>+ROUND(B41*B46,0)</f>
        <v>0</v>
      </c>
      <c r="C47" s="97">
        <f>+ROUND(C41*C46,0)</f>
        <v>8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8</v>
      </c>
      <c r="B51" s="105" t="s">
        <v>32</v>
      </c>
      <c r="C51" s="103" t="s">
        <v>33</v>
      </c>
      <c r="D51" s="103" t="s">
        <v>11</v>
      </c>
      <c r="E51" s="103" t="s">
        <v>35</v>
      </c>
      <c r="F51" s="104" t="s">
        <v>13</v>
      </c>
    </row>
    <row r="52" spans="1:6" ht="20.100000000000001" customHeight="1">
      <c r="A52" s="147" t="s">
        <v>25</v>
      </c>
      <c r="B52" s="148">
        <f>+B9</f>
        <v>0</v>
      </c>
      <c r="C52" s="149">
        <f>+C9</f>
        <v>2181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</v>
      </c>
      <c r="B53" s="129">
        <f>+B20</f>
        <v>0</v>
      </c>
      <c r="C53" s="121">
        <f>+C20</f>
        <v>106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50</v>
      </c>
      <c r="B54" s="129">
        <f>+B31</f>
        <v>0</v>
      </c>
      <c r="C54" s="121">
        <f>+C31</f>
        <v>204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8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2499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168</v>
      </c>
      <c r="B57" s="145"/>
      <c r="C57" s="146">
        <f>+ROUND(C56*J6,0)</f>
        <v>435</v>
      </c>
      <c r="D57" s="146"/>
      <c r="E57" s="146"/>
      <c r="F57" s="144"/>
    </row>
    <row r="58" spans="1:6" ht="20.100000000000001" customHeight="1">
      <c r="A58" s="143" t="s">
        <v>169</v>
      </c>
      <c r="B58" s="142">
        <f>+B56-B57</f>
        <v>0</v>
      </c>
      <c r="C58" s="137">
        <f>+C56-C57</f>
        <v>2064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/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8.625" style="2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246</v>
      </c>
      <c r="B1" s="64"/>
      <c r="C1" s="64"/>
      <c r="D1" s="1"/>
      <c r="E1" s="1"/>
      <c r="F1" s="1"/>
      <c r="G1" s="1"/>
      <c r="H1" s="1"/>
      <c r="P1" s="3">
        <v>1.5</v>
      </c>
      <c r="Q1" s="2" t="s">
        <v>99</v>
      </c>
    </row>
    <row r="2" spans="1:25" ht="20.100000000000001" customHeight="1">
      <c r="A2" s="2" t="s">
        <v>63</v>
      </c>
    </row>
    <row r="3" spans="1:25" ht="20.100000000000001" customHeight="1">
      <c r="A3" s="40" t="s">
        <v>974</v>
      </c>
      <c r="B3" s="65"/>
      <c r="C3" s="65"/>
      <c r="D3" s="40"/>
      <c r="E3" s="40"/>
      <c r="F3" s="40"/>
      <c r="G3" s="40"/>
      <c r="H3" s="40"/>
      <c r="Q3" s="776" t="s">
        <v>64</v>
      </c>
      <c r="R3" s="776" t="s">
        <v>65</v>
      </c>
      <c r="S3" s="776" t="s">
        <v>66</v>
      </c>
      <c r="T3" s="776"/>
      <c r="V3" s="844" t="s">
        <v>64</v>
      </c>
      <c r="W3" s="776" t="s">
        <v>511</v>
      </c>
      <c r="X3" s="776" t="s">
        <v>66</v>
      </c>
      <c r="Y3" s="776"/>
    </row>
    <row r="4" spans="1:25" ht="20.100000000000001" customHeight="1">
      <c r="A4" s="40" t="s">
        <v>98</v>
      </c>
      <c r="B4" s="65"/>
      <c r="C4" s="65"/>
      <c r="D4" s="40"/>
      <c r="E4" s="40"/>
      <c r="F4" s="40"/>
      <c r="G4" s="40"/>
      <c r="H4" s="40"/>
      <c r="Q4" s="776"/>
      <c r="R4" s="776"/>
      <c r="S4" s="43" t="s">
        <v>67</v>
      </c>
      <c r="T4" s="43" t="s">
        <v>68</v>
      </c>
      <c r="V4" s="844"/>
      <c r="W4" s="776"/>
      <c r="X4" s="578" t="s">
        <v>67</v>
      </c>
      <c r="Y4" s="578" t="s">
        <v>68</v>
      </c>
    </row>
    <row r="5" spans="1:25" ht="20.100000000000001" customHeight="1">
      <c r="A5" s="40" t="s">
        <v>158</v>
      </c>
      <c r="B5" s="65"/>
      <c r="C5" s="65"/>
      <c r="D5" s="40"/>
      <c r="E5" s="40"/>
      <c r="F5" s="40"/>
      <c r="G5" s="40"/>
      <c r="H5" s="40"/>
      <c r="Q5" s="776" t="s">
        <v>69</v>
      </c>
      <c r="R5" s="43">
        <v>300</v>
      </c>
      <c r="S5" s="44">
        <v>512740</v>
      </c>
      <c r="T5" s="44">
        <v>782541</v>
      </c>
      <c r="V5" s="845" t="s">
        <v>70</v>
      </c>
      <c r="W5" s="578">
        <v>80</v>
      </c>
      <c r="X5" s="44">
        <v>91404</v>
      </c>
      <c r="Y5" s="44">
        <v>309684</v>
      </c>
    </row>
    <row r="6" spans="1:25" ht="20.100000000000001" customHeight="1">
      <c r="A6" s="40" t="s">
        <v>165</v>
      </c>
      <c r="B6" s="65"/>
      <c r="C6" s="65"/>
      <c r="D6" s="40"/>
      <c r="E6" s="40"/>
      <c r="F6" s="40"/>
      <c r="G6" s="40"/>
      <c r="H6" s="40"/>
      <c r="Q6" s="776"/>
      <c r="R6" s="43">
        <v>400</v>
      </c>
      <c r="S6" s="44">
        <v>580188</v>
      </c>
      <c r="T6" s="44">
        <v>859007</v>
      </c>
      <c r="V6" s="846"/>
      <c r="W6" s="578">
        <v>100</v>
      </c>
      <c r="X6" s="44">
        <v>102960</v>
      </c>
      <c r="Y6" s="44">
        <v>323665</v>
      </c>
    </row>
    <row r="7" spans="1:25" ht="20.100000000000001" customHeight="1">
      <c r="A7" s="2" t="s">
        <v>4</v>
      </c>
      <c r="Q7" s="776"/>
      <c r="R7" s="43">
        <v>500</v>
      </c>
      <c r="S7" s="44">
        <v>624861</v>
      </c>
      <c r="T7" s="44">
        <v>912820</v>
      </c>
      <c r="V7" s="846"/>
      <c r="W7" s="578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71</v>
      </c>
      <c r="Q8" s="776"/>
      <c r="R8" s="43">
        <v>600</v>
      </c>
      <c r="S8" s="44">
        <v>705821</v>
      </c>
      <c r="T8" s="44">
        <v>1016585</v>
      </c>
      <c r="V8" s="846"/>
      <c r="W8" s="578">
        <v>200</v>
      </c>
      <c r="X8" s="44">
        <v>172293</v>
      </c>
      <c r="Y8" s="44">
        <v>405664</v>
      </c>
    </row>
    <row r="9" spans="1:25" ht="20.100000000000001" customHeight="1">
      <c r="A9" s="783" t="s">
        <v>160</v>
      </c>
      <c r="B9" s="781" t="s">
        <v>159</v>
      </c>
      <c r="C9" s="785" t="s">
        <v>161</v>
      </c>
      <c r="D9" s="785" t="s">
        <v>162</v>
      </c>
      <c r="E9" s="785" t="s">
        <v>163</v>
      </c>
      <c r="F9" s="785" t="s">
        <v>72</v>
      </c>
      <c r="G9" s="787" t="s">
        <v>73</v>
      </c>
      <c r="H9" s="789" t="s">
        <v>9</v>
      </c>
      <c r="I9" s="781"/>
      <c r="J9" s="781" t="s">
        <v>10</v>
      </c>
      <c r="K9" s="781"/>
      <c r="L9" s="781" t="s">
        <v>11</v>
      </c>
      <c r="M9" s="781"/>
      <c r="N9" s="781" t="s">
        <v>12</v>
      </c>
      <c r="O9" s="782"/>
      <c r="Q9" s="776"/>
      <c r="R9" s="43">
        <v>700</v>
      </c>
      <c r="S9" s="44">
        <v>782918</v>
      </c>
      <c r="T9" s="44">
        <v>1102578</v>
      </c>
      <c r="V9" s="846"/>
      <c r="W9" s="578">
        <v>300</v>
      </c>
      <c r="X9" s="44">
        <v>248738</v>
      </c>
      <c r="Y9" s="44">
        <v>494561</v>
      </c>
    </row>
    <row r="10" spans="1:25" ht="20.100000000000001" customHeight="1">
      <c r="A10" s="840"/>
      <c r="B10" s="889"/>
      <c r="C10" s="889"/>
      <c r="D10" s="888"/>
      <c r="E10" s="888"/>
      <c r="F10" s="888"/>
      <c r="G10" s="841"/>
      <c r="H10" s="316" t="s">
        <v>74</v>
      </c>
      <c r="I10" s="317" t="s">
        <v>75</v>
      </c>
      <c r="J10" s="318" t="s">
        <v>74</v>
      </c>
      <c r="K10" s="317" t="s">
        <v>75</v>
      </c>
      <c r="L10" s="318" t="s">
        <v>74</v>
      </c>
      <c r="M10" s="317" t="s">
        <v>75</v>
      </c>
      <c r="N10" s="318" t="s">
        <v>74</v>
      </c>
      <c r="O10" s="319" t="s">
        <v>75</v>
      </c>
      <c r="P10" s="67"/>
      <c r="Q10" s="776"/>
      <c r="R10" s="43">
        <v>800</v>
      </c>
      <c r="S10" s="44">
        <v>854676</v>
      </c>
      <c r="T10" s="44">
        <v>1183365</v>
      </c>
      <c r="V10" s="846"/>
      <c r="W10" s="578">
        <v>400</v>
      </c>
      <c r="X10" s="44">
        <v>348039</v>
      </c>
      <c r="Y10" s="44">
        <v>606519</v>
      </c>
    </row>
    <row r="11" spans="1:25" ht="20.100000000000001" customHeight="1">
      <c r="A11" s="882" t="s">
        <v>956</v>
      </c>
      <c r="B11" s="885" t="s">
        <v>956</v>
      </c>
      <c r="C11" s="885"/>
      <c r="D11" s="890"/>
      <c r="E11" s="574">
        <v>248</v>
      </c>
      <c r="F11" s="342">
        <v>150</v>
      </c>
      <c r="G11" s="343">
        <f>ROUND(Y7*$P$1,0)*0.95</f>
        <v>522558.89999999997</v>
      </c>
      <c r="H11" s="336"/>
      <c r="I11" s="322">
        <f t="shared" ref="I11:I22" si="0">+ROUND($G11*H11/1000000,0)</f>
        <v>0</v>
      </c>
      <c r="J11" s="323"/>
      <c r="K11" s="324">
        <f t="shared" ref="K11:K22" si="1">+ROUND($G11*J11/1000000,0)</f>
        <v>0</v>
      </c>
      <c r="L11" s="323"/>
      <c r="M11" s="324">
        <f t="shared" ref="M11:M21" si="2">+ROUND($G11*L11/1000000,0)</f>
        <v>0</v>
      </c>
      <c r="N11" s="323"/>
      <c r="O11" s="325">
        <f t="shared" ref="O11:O21" si="3">+ROUND($G11*N11/1000000,0)</f>
        <v>0</v>
      </c>
      <c r="P11" s="67"/>
      <c r="Q11" s="776"/>
      <c r="R11" s="43">
        <v>900</v>
      </c>
      <c r="S11" s="44">
        <v>945775</v>
      </c>
      <c r="T11" s="44">
        <v>1283451</v>
      </c>
      <c r="V11" s="846"/>
      <c r="W11" s="578">
        <v>500</v>
      </c>
      <c r="X11" s="44">
        <v>453129</v>
      </c>
      <c r="Y11" s="44">
        <v>724142</v>
      </c>
    </row>
    <row r="12" spans="1:25" ht="20.100000000000001" customHeight="1">
      <c r="A12" s="883"/>
      <c r="B12" s="886"/>
      <c r="C12" s="886"/>
      <c r="D12" s="891"/>
      <c r="E12" s="575">
        <v>9050</v>
      </c>
      <c r="F12" s="344">
        <v>200</v>
      </c>
      <c r="G12" s="345">
        <f>ROUND(T26*$P$1,0)</f>
        <v>1106772</v>
      </c>
      <c r="H12" s="337"/>
      <c r="I12" s="327">
        <f t="shared" si="0"/>
        <v>0</v>
      </c>
      <c r="J12" s="328">
        <v>84</v>
      </c>
      <c r="K12" s="329">
        <f t="shared" si="1"/>
        <v>93</v>
      </c>
      <c r="L12" s="328"/>
      <c r="M12" s="329">
        <f t="shared" si="2"/>
        <v>0</v>
      </c>
      <c r="N12" s="328"/>
      <c r="O12" s="330">
        <f t="shared" si="3"/>
        <v>0</v>
      </c>
      <c r="P12" s="67"/>
      <c r="Q12" s="776"/>
      <c r="R12" s="43">
        <v>1000</v>
      </c>
      <c r="S12" s="44">
        <v>1051853</v>
      </c>
      <c r="T12" s="44">
        <v>1398649</v>
      </c>
      <c r="V12" s="846"/>
      <c r="W12" s="578">
        <v>600</v>
      </c>
      <c r="X12" s="44">
        <v>563069</v>
      </c>
      <c r="Y12" s="44">
        <v>846789</v>
      </c>
    </row>
    <row r="13" spans="1:25" ht="20.100000000000001" customHeight="1">
      <c r="A13" s="883"/>
      <c r="B13" s="886"/>
      <c r="C13" s="886"/>
      <c r="D13" s="891"/>
      <c r="E13" s="575">
        <v>296</v>
      </c>
      <c r="F13" s="344">
        <v>250</v>
      </c>
      <c r="G13" s="573">
        <f>ROUND(((T26+T27)/2)*$P$1,0)</f>
        <v>1149563</v>
      </c>
      <c r="H13" s="337"/>
      <c r="I13" s="327">
        <f t="shared" si="0"/>
        <v>0</v>
      </c>
      <c r="J13" s="328">
        <v>3</v>
      </c>
      <c r="K13" s="329">
        <f t="shared" si="1"/>
        <v>3</v>
      </c>
      <c r="L13" s="328"/>
      <c r="M13" s="329">
        <f t="shared" si="2"/>
        <v>0</v>
      </c>
      <c r="N13" s="328"/>
      <c r="O13" s="330">
        <f t="shared" si="3"/>
        <v>0</v>
      </c>
      <c r="P13" s="67"/>
      <c r="Q13" s="776"/>
      <c r="R13" s="43">
        <v>1100</v>
      </c>
      <c r="S13" s="44">
        <v>1188358</v>
      </c>
      <c r="T13" s="44">
        <v>1557399</v>
      </c>
      <c r="V13" s="846"/>
      <c r="W13" s="578">
        <v>700</v>
      </c>
      <c r="X13" s="44">
        <v>708878</v>
      </c>
      <c r="Y13" s="44">
        <v>1005274</v>
      </c>
    </row>
    <row r="14" spans="1:25" ht="20.100000000000001" customHeight="1">
      <c r="A14" s="883"/>
      <c r="B14" s="886"/>
      <c r="C14" s="886"/>
      <c r="D14" s="891"/>
      <c r="E14" s="575">
        <v>19486</v>
      </c>
      <c r="F14" s="344">
        <v>300</v>
      </c>
      <c r="G14" s="345">
        <f>ROUND(T27*$P$1,0)</f>
        <v>1192353</v>
      </c>
      <c r="H14" s="337"/>
      <c r="I14" s="327">
        <f t="shared" si="0"/>
        <v>0</v>
      </c>
      <c r="J14" s="328">
        <v>181</v>
      </c>
      <c r="K14" s="329">
        <f t="shared" si="1"/>
        <v>216</v>
      </c>
      <c r="L14" s="328"/>
      <c r="M14" s="329">
        <f t="shared" si="2"/>
        <v>0</v>
      </c>
      <c r="N14" s="328"/>
      <c r="O14" s="330">
        <f t="shared" si="3"/>
        <v>0</v>
      </c>
      <c r="P14" s="67"/>
      <c r="Q14" s="776"/>
      <c r="R14" s="43">
        <v>1200</v>
      </c>
      <c r="S14" s="44">
        <v>1313909</v>
      </c>
      <c r="T14" s="44">
        <v>1691805</v>
      </c>
      <c r="V14" s="847"/>
      <c r="W14" s="578">
        <v>800</v>
      </c>
      <c r="X14" s="44">
        <v>860005</v>
      </c>
      <c r="Y14" s="44">
        <v>1169007</v>
      </c>
    </row>
    <row r="15" spans="1:25" ht="20.100000000000001" customHeight="1">
      <c r="A15" s="883"/>
      <c r="B15" s="886"/>
      <c r="C15" s="886"/>
      <c r="D15" s="891"/>
      <c r="E15" s="575">
        <v>4489</v>
      </c>
      <c r="F15" s="344">
        <v>400</v>
      </c>
      <c r="G15" s="345">
        <f>ROUND(T28*$P$1,0)</f>
        <v>1356896</v>
      </c>
      <c r="H15" s="337"/>
      <c r="I15" s="327">
        <f t="shared" si="0"/>
        <v>0</v>
      </c>
      <c r="J15" s="328">
        <v>42</v>
      </c>
      <c r="K15" s="329">
        <f t="shared" si="1"/>
        <v>57</v>
      </c>
      <c r="L15" s="328"/>
      <c r="M15" s="329">
        <f t="shared" si="2"/>
        <v>0</v>
      </c>
      <c r="N15" s="328"/>
      <c r="O15" s="330">
        <f t="shared" si="3"/>
        <v>0</v>
      </c>
      <c r="P15" s="67"/>
      <c r="Q15" s="776"/>
      <c r="R15" s="43">
        <v>1350</v>
      </c>
      <c r="S15" s="44">
        <v>1519849</v>
      </c>
      <c r="T15" s="44">
        <v>1910605</v>
      </c>
    </row>
    <row r="16" spans="1:25" ht="20.100000000000001" customHeight="1">
      <c r="A16" s="883"/>
      <c r="B16" s="886"/>
      <c r="C16" s="886"/>
      <c r="D16" s="891"/>
      <c r="E16" s="575"/>
      <c r="F16" s="344">
        <v>450</v>
      </c>
      <c r="G16" s="345">
        <f>ROUND(((T28+T29)/2)*$P$1,0)</f>
        <v>1428055</v>
      </c>
      <c r="H16" s="337"/>
      <c r="I16" s="327">
        <f t="shared" si="0"/>
        <v>0</v>
      </c>
      <c r="J16" s="328"/>
      <c r="K16" s="329">
        <f t="shared" si="1"/>
        <v>0</v>
      </c>
      <c r="L16" s="328"/>
      <c r="M16" s="329">
        <f t="shared" si="2"/>
        <v>0</v>
      </c>
      <c r="N16" s="328"/>
      <c r="O16" s="330">
        <f t="shared" si="3"/>
        <v>0</v>
      </c>
      <c r="P16" s="72" t="s">
        <v>195</v>
      </c>
      <c r="Q16" s="776" t="s">
        <v>76</v>
      </c>
      <c r="R16" s="43">
        <v>300</v>
      </c>
      <c r="S16" s="44">
        <v>707247</v>
      </c>
      <c r="T16" s="44">
        <v>977038</v>
      </c>
    </row>
    <row r="17" spans="1:23" ht="20.100000000000001" customHeight="1">
      <c r="A17" s="883"/>
      <c r="B17" s="886"/>
      <c r="C17" s="886"/>
      <c r="D17" s="891"/>
      <c r="E17" s="575">
        <v>646</v>
      </c>
      <c r="F17" s="344">
        <v>500</v>
      </c>
      <c r="G17" s="345">
        <f>ROUND(T29*$P$1,0)</f>
        <v>1499214</v>
      </c>
      <c r="H17" s="337"/>
      <c r="I17" s="331">
        <f t="shared" si="0"/>
        <v>0</v>
      </c>
      <c r="J17" s="328">
        <v>6</v>
      </c>
      <c r="K17" s="331">
        <f t="shared" si="1"/>
        <v>9</v>
      </c>
      <c r="L17" s="328"/>
      <c r="M17" s="331">
        <f t="shared" si="2"/>
        <v>0</v>
      </c>
      <c r="N17" s="328"/>
      <c r="O17" s="332">
        <f t="shared" si="3"/>
        <v>0</v>
      </c>
      <c r="P17" s="67"/>
      <c r="Q17" s="776"/>
      <c r="R17" s="43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883"/>
      <c r="B18" s="886"/>
      <c r="C18" s="886"/>
      <c r="D18" s="891"/>
      <c r="E18" s="575">
        <v>97</v>
      </c>
      <c r="F18" s="344">
        <v>600</v>
      </c>
      <c r="G18" s="345">
        <f>ROUND(T30*$P$1,0)</f>
        <v>1682466</v>
      </c>
      <c r="H18" s="337"/>
      <c r="I18" s="331">
        <f t="shared" si="0"/>
        <v>0</v>
      </c>
      <c r="J18" s="328">
        <v>1</v>
      </c>
      <c r="K18" s="331">
        <f t="shared" si="1"/>
        <v>2</v>
      </c>
      <c r="L18" s="328"/>
      <c r="M18" s="331">
        <f t="shared" si="2"/>
        <v>0</v>
      </c>
      <c r="N18" s="328"/>
      <c r="O18" s="332">
        <f t="shared" si="3"/>
        <v>0</v>
      </c>
      <c r="P18" s="67"/>
      <c r="Q18" s="776"/>
      <c r="R18" s="43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A19" s="883"/>
      <c r="B19" s="886"/>
      <c r="C19" s="886"/>
      <c r="D19" s="891"/>
      <c r="E19" s="575"/>
      <c r="F19" s="344">
        <v>800</v>
      </c>
      <c r="G19" s="345">
        <f>ROUND(T32*$P$1,0)</f>
        <v>2039202</v>
      </c>
      <c r="H19" s="337"/>
      <c r="I19" s="331">
        <f t="shared" si="0"/>
        <v>0</v>
      </c>
      <c r="J19" s="328"/>
      <c r="K19" s="331">
        <f t="shared" si="1"/>
        <v>0</v>
      </c>
      <c r="L19" s="328"/>
      <c r="M19" s="331">
        <f t="shared" si="2"/>
        <v>0</v>
      </c>
      <c r="N19" s="328"/>
      <c r="O19" s="332">
        <f t="shared" si="3"/>
        <v>0</v>
      </c>
      <c r="P19" s="67"/>
      <c r="Q19" s="776"/>
      <c r="R19" s="43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A20" s="883"/>
      <c r="B20" s="886"/>
      <c r="C20" s="886"/>
      <c r="D20" s="891"/>
      <c r="E20" s="575"/>
      <c r="F20" s="344">
        <v>1000</v>
      </c>
      <c r="G20" s="345">
        <f>ROUND(T34*$P$1,0)</f>
        <v>2398415</v>
      </c>
      <c r="H20" s="337"/>
      <c r="I20" s="331">
        <f t="shared" si="0"/>
        <v>0</v>
      </c>
      <c r="J20" s="328"/>
      <c r="K20" s="331">
        <f t="shared" si="1"/>
        <v>0</v>
      </c>
      <c r="L20" s="328"/>
      <c r="M20" s="331">
        <f t="shared" si="2"/>
        <v>0</v>
      </c>
      <c r="N20" s="328"/>
      <c r="O20" s="332">
        <f t="shared" si="3"/>
        <v>0</v>
      </c>
      <c r="P20" s="67"/>
      <c r="Q20" s="776"/>
      <c r="R20" s="43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A21" s="884"/>
      <c r="B21" s="887"/>
      <c r="C21" s="887"/>
      <c r="D21" s="892"/>
      <c r="E21" s="575"/>
      <c r="F21" s="344">
        <v>1200</v>
      </c>
      <c r="G21" s="345">
        <f>ROUND(T35*$P$1,0)</f>
        <v>2845853</v>
      </c>
      <c r="H21" s="337"/>
      <c r="I21" s="331">
        <f t="shared" si="0"/>
        <v>0</v>
      </c>
      <c r="J21" s="328"/>
      <c r="K21" s="331">
        <f t="shared" si="1"/>
        <v>0</v>
      </c>
      <c r="L21" s="328"/>
      <c r="M21" s="331">
        <f t="shared" si="2"/>
        <v>0</v>
      </c>
      <c r="N21" s="328"/>
      <c r="O21" s="332">
        <f t="shared" si="3"/>
        <v>0</v>
      </c>
      <c r="P21" s="67"/>
      <c r="Q21" s="776"/>
      <c r="R21" s="43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A22" s="349"/>
      <c r="B22" s="346"/>
      <c r="C22" s="346"/>
      <c r="D22" s="348"/>
      <c r="E22" s="331"/>
      <c r="F22" s="347"/>
      <c r="G22" s="350"/>
      <c r="H22" s="338">
        <v>0</v>
      </c>
      <c r="I22" s="331">
        <f t="shared" si="0"/>
        <v>0</v>
      </c>
      <c r="J22" s="331">
        <v>0</v>
      </c>
      <c r="K22" s="331">
        <f t="shared" si="1"/>
        <v>0</v>
      </c>
      <c r="L22" s="331">
        <f>+E22</f>
        <v>0</v>
      </c>
      <c r="M22" s="331">
        <f>+ROUND($G22*L22/1000000,0)</f>
        <v>0</v>
      </c>
      <c r="N22" s="331">
        <v>0</v>
      </c>
      <c r="O22" s="332">
        <f>+ROUND($G22*N22/1000000,0)</f>
        <v>0</v>
      </c>
      <c r="P22" s="67"/>
      <c r="Q22" s="776"/>
      <c r="R22" s="43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A23" s="305" t="s">
        <v>95</v>
      </c>
      <c r="B23" s="310"/>
      <c r="C23" s="310"/>
      <c r="D23" s="340">
        <f>SUM(D17:D22)</f>
        <v>0</v>
      </c>
      <c r="E23" s="192">
        <f>SUM(E11:E22)</f>
        <v>34312</v>
      </c>
      <c r="F23" s="341"/>
      <c r="G23" s="191"/>
      <c r="H23" s="320">
        <f t="shared" ref="H23:O23" si="4">SUM(H11:H22)</f>
        <v>0</v>
      </c>
      <c r="I23" s="192">
        <f t="shared" si="4"/>
        <v>0</v>
      </c>
      <c r="J23" s="192">
        <f t="shared" si="4"/>
        <v>317</v>
      </c>
      <c r="K23" s="192">
        <f t="shared" si="4"/>
        <v>380</v>
      </c>
      <c r="L23" s="192">
        <f t="shared" si="4"/>
        <v>0</v>
      </c>
      <c r="M23" s="192">
        <f t="shared" si="4"/>
        <v>0</v>
      </c>
      <c r="N23" s="192">
        <f t="shared" si="4"/>
        <v>0</v>
      </c>
      <c r="O23" s="192">
        <f t="shared" si="4"/>
        <v>0</v>
      </c>
      <c r="P23" s="67"/>
      <c r="Q23" s="776"/>
      <c r="R23" s="43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I24" s="2" t="s">
        <v>809</v>
      </c>
      <c r="J24" s="2" t="s">
        <v>810</v>
      </c>
      <c r="K24" s="2" t="s">
        <v>811</v>
      </c>
      <c r="P24" s="67"/>
      <c r="Q24" s="776"/>
      <c r="R24" s="43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E25" s="2">
        <v>2201</v>
      </c>
      <c r="F25" s="2">
        <v>250</v>
      </c>
      <c r="G25" s="2">
        <v>0.01</v>
      </c>
      <c r="H25" s="2">
        <f>ROUND($E$25*G25,0)</f>
        <v>22</v>
      </c>
      <c r="I25" s="2">
        <f>ROUND(H25*1,0)</f>
        <v>22</v>
      </c>
      <c r="J25" s="2">
        <f>ROUND(H25*0,0)</f>
        <v>0</v>
      </c>
      <c r="K25" s="2">
        <f>H25-I25-J25</f>
        <v>0</v>
      </c>
      <c r="P25" s="67"/>
      <c r="Q25" s="776"/>
      <c r="R25" s="43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300</v>
      </c>
      <c r="G26" s="2">
        <v>0.8</v>
      </c>
      <c r="H26" s="2">
        <f>ROUND($E$25*G26,0)+1</f>
        <v>1762</v>
      </c>
      <c r="I26" s="2">
        <f t="shared" ref="I26:I33" si="5">ROUND(H26*1,0)</f>
        <v>1762</v>
      </c>
      <c r="J26" s="2">
        <f t="shared" ref="J26:J33" si="6">ROUND(H26*0,0)</f>
        <v>0</v>
      </c>
      <c r="K26" s="2">
        <f t="shared" ref="K26:K33" si="7">H26-I26-J26</f>
        <v>0</v>
      </c>
      <c r="P26" s="67"/>
      <c r="Q26" s="776" t="s">
        <v>77</v>
      </c>
      <c r="R26" s="43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400</v>
      </c>
      <c r="G27" s="2">
        <v>0.17</v>
      </c>
      <c r="H27" s="2">
        <f t="shared" ref="H27:H35" si="8">ROUND($E$25*G27,0)</f>
        <v>374</v>
      </c>
      <c r="I27" s="2">
        <f t="shared" si="5"/>
        <v>374</v>
      </c>
      <c r="J27" s="2">
        <f t="shared" si="6"/>
        <v>0</v>
      </c>
      <c r="K27" s="2">
        <f t="shared" si="7"/>
        <v>0</v>
      </c>
      <c r="P27" s="67"/>
      <c r="Q27" s="776"/>
      <c r="R27" s="43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450</v>
      </c>
      <c r="G28" s="2">
        <v>0</v>
      </c>
      <c r="H28" s="2">
        <f t="shared" si="8"/>
        <v>0</v>
      </c>
      <c r="I28" s="2">
        <f t="shared" si="5"/>
        <v>0</v>
      </c>
      <c r="J28" s="2">
        <f t="shared" si="6"/>
        <v>0</v>
      </c>
      <c r="K28" s="2">
        <f t="shared" si="7"/>
        <v>0</v>
      </c>
      <c r="Q28" s="776"/>
      <c r="R28" s="43">
        <v>400</v>
      </c>
      <c r="S28" s="44">
        <v>625778</v>
      </c>
      <c r="T28" s="44">
        <v>904597</v>
      </c>
    </row>
    <row r="29" spans="1:23" ht="20.100000000000001" customHeight="1">
      <c r="F29" s="2">
        <v>500</v>
      </c>
      <c r="G29" s="2">
        <v>0.02</v>
      </c>
      <c r="H29" s="2">
        <f t="shared" si="8"/>
        <v>44</v>
      </c>
      <c r="I29" s="2">
        <f t="shared" si="5"/>
        <v>44</v>
      </c>
      <c r="J29" s="2">
        <f t="shared" si="6"/>
        <v>0</v>
      </c>
      <c r="K29" s="2">
        <f t="shared" si="7"/>
        <v>0</v>
      </c>
      <c r="Q29" s="776"/>
      <c r="R29" s="43">
        <v>500</v>
      </c>
      <c r="S29" s="44">
        <v>711507</v>
      </c>
      <c r="T29" s="44">
        <v>999476</v>
      </c>
    </row>
    <row r="30" spans="1:23" ht="20.100000000000001" customHeight="1">
      <c r="F30" s="2">
        <v>600</v>
      </c>
      <c r="G30" s="2">
        <v>0</v>
      </c>
      <c r="H30" s="2">
        <f t="shared" si="8"/>
        <v>0</v>
      </c>
      <c r="I30" s="2">
        <f t="shared" si="5"/>
        <v>0</v>
      </c>
      <c r="J30" s="2">
        <f t="shared" si="6"/>
        <v>0</v>
      </c>
      <c r="K30" s="2">
        <f t="shared" si="7"/>
        <v>0</v>
      </c>
      <c r="Q30" s="776"/>
      <c r="R30" s="43">
        <v>600</v>
      </c>
      <c r="S30" s="44">
        <v>810869</v>
      </c>
      <c r="T30" s="44">
        <v>1121644</v>
      </c>
    </row>
    <row r="31" spans="1:23" ht="20.100000000000001" customHeight="1">
      <c r="F31" s="2">
        <v>700</v>
      </c>
      <c r="G31" s="2">
        <v>0</v>
      </c>
      <c r="H31" s="2">
        <f t="shared" si="8"/>
        <v>0</v>
      </c>
      <c r="I31" s="2">
        <f t="shared" si="5"/>
        <v>0</v>
      </c>
      <c r="J31" s="2">
        <f t="shared" si="6"/>
        <v>0</v>
      </c>
      <c r="K31" s="2">
        <f t="shared" si="7"/>
        <v>0</v>
      </c>
      <c r="P31" s="67"/>
      <c r="Q31" s="776"/>
      <c r="R31" s="43">
        <v>700</v>
      </c>
      <c r="S31" s="44">
        <v>919311</v>
      </c>
      <c r="T31" s="44">
        <v>1238972</v>
      </c>
    </row>
    <row r="32" spans="1:23" ht="20.100000000000001" customHeight="1">
      <c r="F32" s="2">
        <v>800</v>
      </c>
      <c r="G32" s="2">
        <v>0</v>
      </c>
      <c r="H32" s="2">
        <f t="shared" si="8"/>
        <v>0</v>
      </c>
      <c r="I32" s="2">
        <f t="shared" si="5"/>
        <v>0</v>
      </c>
      <c r="J32" s="2">
        <f t="shared" si="6"/>
        <v>0</v>
      </c>
      <c r="K32" s="2">
        <f t="shared" si="7"/>
        <v>0</v>
      </c>
      <c r="P32" s="29"/>
      <c r="Q32" s="776"/>
      <c r="R32" s="43">
        <v>800</v>
      </c>
      <c r="S32" s="44">
        <v>1030780</v>
      </c>
      <c r="T32" s="44">
        <v>1359468</v>
      </c>
    </row>
    <row r="33" spans="6:20" ht="20.100000000000001" customHeight="1">
      <c r="F33" s="2">
        <v>900</v>
      </c>
      <c r="G33" s="2">
        <v>0</v>
      </c>
      <c r="H33" s="2">
        <f t="shared" si="8"/>
        <v>0</v>
      </c>
      <c r="I33" s="2">
        <f t="shared" si="5"/>
        <v>0</v>
      </c>
      <c r="J33" s="2">
        <f t="shared" si="6"/>
        <v>0</v>
      </c>
      <c r="K33" s="2">
        <f t="shared" si="7"/>
        <v>0</v>
      </c>
      <c r="P33" s="45"/>
      <c r="Q33" s="776"/>
      <c r="R33" s="43">
        <v>900</v>
      </c>
      <c r="S33" s="44">
        <v>1120686</v>
      </c>
      <c r="T33" s="44">
        <v>1458352</v>
      </c>
    </row>
    <row r="34" spans="6:20" ht="20.100000000000001" customHeight="1">
      <c r="F34" s="2">
        <v>1000</v>
      </c>
      <c r="G34" s="2">
        <v>0</v>
      </c>
      <c r="H34" s="2">
        <f t="shared" si="8"/>
        <v>0</v>
      </c>
      <c r="I34" s="2">
        <f>ROUND(H34*0.8,0)</f>
        <v>0</v>
      </c>
      <c r="J34" s="2">
        <f>ROUND(H34*0.15,0)</f>
        <v>0</v>
      </c>
      <c r="K34" s="2">
        <f>H34-I34-J34</f>
        <v>0</v>
      </c>
      <c r="P34" s="45"/>
      <c r="Q34" s="776"/>
      <c r="R34" s="43">
        <v>1000</v>
      </c>
      <c r="S34" s="44">
        <v>1252157</v>
      </c>
      <c r="T34" s="44">
        <v>1598943</v>
      </c>
    </row>
    <row r="35" spans="6:20" ht="20.100000000000001" customHeight="1">
      <c r="F35" s="2">
        <v>1200</v>
      </c>
      <c r="G35" s="2">
        <v>0</v>
      </c>
      <c r="H35" s="2">
        <f t="shared" si="8"/>
        <v>0</v>
      </c>
      <c r="I35" s="2">
        <f>ROUND(H35*0.8,0)</f>
        <v>0</v>
      </c>
      <c r="J35" s="2">
        <f>ROUND(H35*0.15,0)</f>
        <v>0</v>
      </c>
      <c r="K35" s="2">
        <f>H35-I35-J35</f>
        <v>0</v>
      </c>
      <c r="P35" s="35"/>
      <c r="Q35" s="776"/>
      <c r="R35" s="43">
        <v>1200</v>
      </c>
      <c r="S35" s="44">
        <v>1519329</v>
      </c>
      <c r="T35" s="44">
        <v>1897235</v>
      </c>
    </row>
    <row r="36" spans="6:20" ht="20.100000000000001" customHeight="1">
      <c r="P36" s="35"/>
      <c r="Q36" s="776" t="s">
        <v>78</v>
      </c>
      <c r="R36" s="43" t="s">
        <v>79</v>
      </c>
      <c r="S36" s="44">
        <v>1813280</v>
      </c>
      <c r="T36" s="44">
        <v>2098936</v>
      </c>
    </row>
    <row r="37" spans="6:20" ht="20.100000000000001" customHeight="1">
      <c r="P37" s="36"/>
      <c r="Q37" s="776"/>
      <c r="R37" s="43" t="s">
        <v>80</v>
      </c>
      <c r="S37" s="44">
        <v>1980997</v>
      </c>
      <c r="T37" s="44">
        <v>2266643</v>
      </c>
    </row>
    <row r="38" spans="6:20" ht="20.100000000000001" customHeight="1">
      <c r="P38" s="35"/>
      <c r="Q38" s="776"/>
      <c r="R38" s="43" t="s">
        <v>81</v>
      </c>
      <c r="S38" s="44">
        <v>2008266</v>
      </c>
      <c r="T38" s="44">
        <v>2293922</v>
      </c>
    </row>
    <row r="39" spans="6:20" ht="20.100000000000001" customHeight="1">
      <c r="P39" s="35"/>
      <c r="Q39" s="776"/>
      <c r="R39" s="43" t="s">
        <v>82</v>
      </c>
      <c r="S39" s="44">
        <v>2087044</v>
      </c>
      <c r="T39" s="44">
        <v>2432231</v>
      </c>
    </row>
    <row r="40" spans="6:20" ht="20.100000000000001" customHeight="1">
      <c r="P40" s="35"/>
      <c r="Q40" s="776"/>
      <c r="R40" s="43" t="s">
        <v>83</v>
      </c>
      <c r="S40" s="44">
        <v>2235747</v>
      </c>
      <c r="T40" s="44">
        <v>2580933</v>
      </c>
    </row>
    <row r="41" spans="6:20" ht="20.100000000000001" customHeight="1">
      <c r="P41" s="35"/>
      <c r="Q41" s="776"/>
      <c r="R41" s="43" t="s">
        <v>84</v>
      </c>
      <c r="S41" s="44">
        <v>2493065</v>
      </c>
      <c r="T41" s="44">
        <v>2838251</v>
      </c>
    </row>
    <row r="42" spans="6:20" ht="20.100000000000001" customHeight="1">
      <c r="P42" s="35"/>
      <c r="Q42" s="776"/>
      <c r="R42" s="43" t="s">
        <v>85</v>
      </c>
      <c r="S42" s="44">
        <v>2688377</v>
      </c>
      <c r="T42" s="44">
        <v>3033563</v>
      </c>
    </row>
    <row r="43" spans="6:20" ht="20.100000000000001" customHeight="1">
      <c r="P43" s="35"/>
      <c r="Q43" s="776"/>
      <c r="R43" s="43" t="s">
        <v>86</v>
      </c>
      <c r="S43" s="44">
        <v>2712639</v>
      </c>
      <c r="T43" s="44">
        <v>3057825</v>
      </c>
    </row>
    <row r="44" spans="6:20" ht="20.100000000000001" customHeight="1">
      <c r="P44" s="35"/>
      <c r="Q44" s="776"/>
      <c r="R44" s="43" t="s">
        <v>87</v>
      </c>
      <c r="S44" s="44">
        <v>3180065</v>
      </c>
      <c r="T44" s="44">
        <v>3525251</v>
      </c>
    </row>
    <row r="45" spans="6:20" ht="20.100000000000001" customHeight="1">
      <c r="P45" s="35"/>
      <c r="Q45" s="776"/>
      <c r="R45" s="43" t="s">
        <v>88</v>
      </c>
      <c r="S45" s="44">
        <v>3443537</v>
      </c>
      <c r="T45" s="44">
        <v>3966580</v>
      </c>
    </row>
    <row r="46" spans="6:20" ht="20.100000000000001" customHeight="1">
      <c r="P46" s="36"/>
      <c r="Q46" s="776"/>
      <c r="R46" s="43" t="s">
        <v>89</v>
      </c>
      <c r="S46" s="44">
        <v>3790171</v>
      </c>
      <c r="T46" s="44">
        <v>4313203</v>
      </c>
    </row>
    <row r="47" spans="6:20" ht="20.100000000000001" customHeight="1">
      <c r="P47" s="67"/>
      <c r="Q47" s="776"/>
      <c r="R47" s="43" t="s">
        <v>90</v>
      </c>
      <c r="S47" s="44">
        <v>4445958</v>
      </c>
      <c r="T47" s="44">
        <v>4968990</v>
      </c>
    </row>
    <row r="48" spans="6:20" ht="20.100000000000001" customHeight="1">
      <c r="P48" s="73"/>
      <c r="Q48" s="776"/>
      <c r="R48" s="43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76"/>
      <c r="R49" s="43" t="s">
        <v>92</v>
      </c>
      <c r="S49" s="44">
        <v>4541703</v>
      </c>
      <c r="T49" s="44">
        <v>5064746</v>
      </c>
    </row>
    <row r="50" spans="16:20" ht="20.100000000000001" customHeight="1">
      <c r="Q50" s="776"/>
      <c r="R50" s="43" t="s">
        <v>93</v>
      </c>
      <c r="S50" s="44">
        <v>5297975</v>
      </c>
      <c r="T50" s="44">
        <v>5821007</v>
      </c>
    </row>
    <row r="51" spans="16:20" ht="20.100000000000001" customHeight="1">
      <c r="Q51" s="776"/>
      <c r="R51" s="43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6">
    <mergeCell ref="Q26:Q35"/>
    <mergeCell ref="Q3:Q4"/>
    <mergeCell ref="R3:R4"/>
    <mergeCell ref="S3:T3"/>
    <mergeCell ref="E9:E10"/>
    <mergeCell ref="D11:D21"/>
    <mergeCell ref="V3:V4"/>
    <mergeCell ref="W3:W4"/>
    <mergeCell ref="X3:Y3"/>
    <mergeCell ref="V5:V14"/>
    <mergeCell ref="Q36:Q51"/>
    <mergeCell ref="Q16:Q25"/>
    <mergeCell ref="A11:A21"/>
    <mergeCell ref="B11:B21"/>
    <mergeCell ref="C11:C21"/>
    <mergeCell ref="Q5:Q15"/>
    <mergeCell ref="L9:M9"/>
    <mergeCell ref="N9:O9"/>
    <mergeCell ref="A9:A10"/>
    <mergeCell ref="F9:F10"/>
    <mergeCell ref="G9:G10"/>
    <mergeCell ref="H9:I9"/>
    <mergeCell ref="J9:K9"/>
    <mergeCell ref="B9:B10"/>
    <mergeCell ref="C9:C10"/>
    <mergeCell ref="D9:D10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247</v>
      </c>
      <c r="B1" s="1"/>
      <c r="C1" s="1"/>
      <c r="D1" s="1"/>
      <c r="L1" s="3">
        <v>1.3</v>
      </c>
      <c r="M1" s="2" t="s">
        <v>99</v>
      </c>
    </row>
    <row r="2" spans="1:21" ht="20.100000000000001" customHeight="1">
      <c r="A2" s="2" t="s">
        <v>63</v>
      </c>
      <c r="L2" s="3">
        <v>0.8</v>
      </c>
      <c r="M2" s="2" t="s">
        <v>196</v>
      </c>
    </row>
    <row r="3" spans="1:21" ht="20.100000000000001" customHeight="1">
      <c r="A3" s="4" t="s">
        <v>345</v>
      </c>
      <c r="M3" s="776" t="s">
        <v>64</v>
      </c>
      <c r="N3" s="776" t="s">
        <v>65</v>
      </c>
      <c r="O3" s="776" t="s">
        <v>66</v>
      </c>
      <c r="P3" s="776"/>
      <c r="R3" s="844" t="s">
        <v>64</v>
      </c>
      <c r="S3" s="776" t="s">
        <v>511</v>
      </c>
      <c r="T3" s="776" t="s">
        <v>66</v>
      </c>
      <c r="U3" s="776"/>
    </row>
    <row r="4" spans="1:21" ht="20.100000000000001" customHeight="1">
      <c r="A4" s="40" t="s">
        <v>197</v>
      </c>
      <c r="B4" s="40"/>
      <c r="C4" s="40"/>
      <c r="D4" s="40"/>
      <c r="M4" s="776"/>
      <c r="N4" s="776"/>
      <c r="O4" s="43" t="s">
        <v>67</v>
      </c>
      <c r="P4" s="43" t="s">
        <v>68</v>
      </c>
      <c r="R4" s="844"/>
      <c r="S4" s="776"/>
      <c r="T4" s="578" t="s">
        <v>67</v>
      </c>
      <c r="U4" s="578" t="s">
        <v>68</v>
      </c>
    </row>
    <row r="5" spans="1:21" ht="20.100000000000001" customHeight="1">
      <c r="A5" s="2" t="s">
        <v>4</v>
      </c>
      <c r="M5" s="776" t="s">
        <v>69</v>
      </c>
      <c r="N5" s="43">
        <v>300</v>
      </c>
      <c r="O5" s="44">
        <v>512740</v>
      </c>
      <c r="P5" s="44">
        <v>782541</v>
      </c>
      <c r="R5" s="845" t="s">
        <v>70</v>
      </c>
      <c r="S5" s="578">
        <v>80</v>
      </c>
      <c r="T5" s="44">
        <v>91404</v>
      </c>
      <c r="U5" s="44">
        <v>309684</v>
      </c>
    </row>
    <row r="6" spans="1:21" ht="20.100000000000001" customHeight="1">
      <c r="I6" s="8"/>
      <c r="K6" s="8" t="s">
        <v>71</v>
      </c>
      <c r="M6" s="776"/>
      <c r="N6" s="43">
        <v>400</v>
      </c>
      <c r="O6" s="44">
        <v>580188</v>
      </c>
      <c r="P6" s="44">
        <v>859007</v>
      </c>
      <c r="R6" s="846"/>
      <c r="S6" s="578">
        <v>100</v>
      </c>
      <c r="T6" s="44">
        <v>102960</v>
      </c>
      <c r="U6" s="44">
        <v>323665</v>
      </c>
    </row>
    <row r="7" spans="1:21" ht="20.100000000000001" customHeight="1">
      <c r="A7" s="783" t="s">
        <v>160</v>
      </c>
      <c r="B7" s="785" t="s">
        <v>72</v>
      </c>
      <c r="C7" s="787" t="s">
        <v>73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776"/>
      <c r="N7" s="43">
        <v>500</v>
      </c>
      <c r="O7" s="44">
        <v>624861</v>
      </c>
      <c r="P7" s="44">
        <v>912820</v>
      </c>
      <c r="R7" s="846"/>
      <c r="S7" s="578">
        <v>150</v>
      </c>
      <c r="T7" s="44">
        <v>139786</v>
      </c>
      <c r="U7" s="44">
        <v>366708</v>
      </c>
    </row>
    <row r="8" spans="1:21" ht="20.100000000000001" customHeight="1">
      <c r="A8" s="784"/>
      <c r="B8" s="786"/>
      <c r="C8" s="788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776"/>
      <c r="N8" s="43">
        <v>600</v>
      </c>
      <c r="O8" s="44">
        <v>705821</v>
      </c>
      <c r="P8" s="44">
        <v>1016585</v>
      </c>
      <c r="R8" s="846"/>
      <c r="S8" s="578">
        <v>200</v>
      </c>
      <c r="T8" s="44">
        <v>172293</v>
      </c>
      <c r="U8" s="44">
        <v>405664</v>
      </c>
    </row>
    <row r="9" spans="1:21" ht="20.100000000000001" customHeight="1">
      <c r="A9" s="893" t="s">
        <v>395</v>
      </c>
      <c r="B9" s="184">
        <v>150</v>
      </c>
      <c r="C9" s="576">
        <f>+ROUND(U7*$L$1*$L$2,0)*0.95</f>
        <v>362307.2</v>
      </c>
      <c r="D9" s="186"/>
      <c r="E9" s="177">
        <f>+ROUND($C9*D9/1000000,0)</f>
        <v>0</v>
      </c>
      <c r="F9" s="177">
        <v>14</v>
      </c>
      <c r="G9" s="177">
        <f>+ROUND($C9*F9/1000000,0)</f>
        <v>5</v>
      </c>
      <c r="H9" s="177"/>
      <c r="I9" s="177">
        <f>+ROUND($C9*H9/1000000,0)</f>
        <v>0</v>
      </c>
      <c r="J9" s="177"/>
      <c r="K9" s="185">
        <f>+ROUND($C9*J9/1000000,0)</f>
        <v>0</v>
      </c>
      <c r="M9" s="776"/>
      <c r="N9" s="43">
        <v>700</v>
      </c>
      <c r="O9" s="44">
        <v>782918</v>
      </c>
      <c r="P9" s="44">
        <v>1102578</v>
      </c>
      <c r="R9" s="846"/>
      <c r="S9" s="578">
        <v>300</v>
      </c>
      <c r="T9" s="44">
        <v>248738</v>
      </c>
      <c r="U9" s="44">
        <v>494561</v>
      </c>
    </row>
    <row r="10" spans="1:21" ht="20.100000000000001" customHeight="1">
      <c r="A10" s="894"/>
      <c r="B10" s="184">
        <v>200</v>
      </c>
      <c r="C10" s="576">
        <f>+ROUND(P26*$L$1*$L$2,0)</f>
        <v>767362</v>
      </c>
      <c r="D10" s="186"/>
      <c r="E10" s="177">
        <f t="shared" ref="E10:E16" si="0">+ROUND($C10*D10/1000000,0)</f>
        <v>0</v>
      </c>
      <c r="F10" s="177">
        <v>485</v>
      </c>
      <c r="G10" s="177">
        <f t="shared" ref="G10:G16" si="1">+ROUND($C10*F10/1000000,0)</f>
        <v>372</v>
      </c>
      <c r="H10" s="177"/>
      <c r="I10" s="177">
        <f t="shared" ref="I10:I15" si="2">+ROUND($C10*H10/1000000,0)</f>
        <v>0</v>
      </c>
      <c r="J10" s="177"/>
      <c r="K10" s="185">
        <f t="shared" ref="K10:K16" si="3">+ROUND($C10*J10/1000000,0)</f>
        <v>0</v>
      </c>
      <c r="L10" s="9"/>
      <c r="M10" s="776"/>
      <c r="N10" s="43">
        <v>800</v>
      </c>
      <c r="O10" s="44">
        <v>854676</v>
      </c>
      <c r="P10" s="44">
        <v>1183365</v>
      </c>
      <c r="R10" s="846"/>
      <c r="S10" s="578">
        <v>400</v>
      </c>
      <c r="T10" s="44">
        <v>348039</v>
      </c>
      <c r="U10" s="44">
        <v>606519</v>
      </c>
    </row>
    <row r="11" spans="1:21" ht="20.100000000000001" customHeight="1">
      <c r="A11" s="894"/>
      <c r="B11" s="184">
        <v>250</v>
      </c>
      <c r="C11" s="576">
        <f>+ROUND(((P27+P26)/2)*$L$1*$L$2,0)</f>
        <v>797030</v>
      </c>
      <c r="D11" s="186"/>
      <c r="E11" s="177">
        <f t="shared" si="0"/>
        <v>0</v>
      </c>
      <c r="F11" s="177">
        <v>16</v>
      </c>
      <c r="G11" s="177">
        <f t="shared" si="1"/>
        <v>13</v>
      </c>
      <c r="H11" s="177"/>
      <c r="I11" s="177">
        <f t="shared" si="2"/>
        <v>0</v>
      </c>
      <c r="J11" s="177"/>
      <c r="K11" s="185">
        <f t="shared" si="3"/>
        <v>0</v>
      </c>
      <c r="L11" s="9"/>
      <c r="M11" s="776"/>
      <c r="N11" s="43">
        <v>900</v>
      </c>
      <c r="O11" s="44">
        <v>945775</v>
      </c>
      <c r="P11" s="44">
        <v>1283451</v>
      </c>
      <c r="R11" s="846"/>
      <c r="S11" s="578">
        <v>500</v>
      </c>
      <c r="T11" s="44">
        <v>453129</v>
      </c>
      <c r="U11" s="44">
        <v>724142</v>
      </c>
    </row>
    <row r="12" spans="1:21" ht="20.100000000000001" customHeight="1">
      <c r="A12" s="894"/>
      <c r="B12" s="184">
        <v>300</v>
      </c>
      <c r="C12" s="576">
        <f>+ROUND(P27*$L$1*$L$2,0)</f>
        <v>826698</v>
      </c>
      <c r="D12" s="186"/>
      <c r="E12" s="177">
        <f t="shared" si="0"/>
        <v>0</v>
      </c>
      <c r="F12" s="177">
        <v>1045</v>
      </c>
      <c r="G12" s="177">
        <f t="shared" si="1"/>
        <v>864</v>
      </c>
      <c r="H12" s="177"/>
      <c r="I12" s="177">
        <f t="shared" si="2"/>
        <v>0</v>
      </c>
      <c r="J12" s="177"/>
      <c r="K12" s="185">
        <f t="shared" si="3"/>
        <v>0</v>
      </c>
      <c r="L12" s="9"/>
      <c r="M12" s="776"/>
      <c r="N12" s="43">
        <v>1000</v>
      </c>
      <c r="O12" s="44">
        <v>1051853</v>
      </c>
      <c r="P12" s="44">
        <v>1398649</v>
      </c>
      <c r="R12" s="846"/>
      <c r="S12" s="578">
        <v>600</v>
      </c>
      <c r="T12" s="44">
        <v>563069</v>
      </c>
      <c r="U12" s="44">
        <v>846789</v>
      </c>
    </row>
    <row r="13" spans="1:21" ht="20.100000000000001" customHeight="1">
      <c r="A13" s="894"/>
      <c r="B13" s="184">
        <v>400</v>
      </c>
      <c r="C13" s="576">
        <f>+ROUND(P28*$L$1*$L$2,0)</f>
        <v>940781</v>
      </c>
      <c r="D13" s="186"/>
      <c r="E13" s="177">
        <f t="shared" si="0"/>
        <v>0</v>
      </c>
      <c r="F13" s="177">
        <v>241</v>
      </c>
      <c r="G13" s="177">
        <f t="shared" si="1"/>
        <v>227</v>
      </c>
      <c r="H13" s="177"/>
      <c r="I13" s="177">
        <f t="shared" si="2"/>
        <v>0</v>
      </c>
      <c r="J13" s="177"/>
      <c r="K13" s="185">
        <f t="shared" si="3"/>
        <v>0</v>
      </c>
      <c r="L13" s="9"/>
      <c r="M13" s="776"/>
      <c r="N13" s="43">
        <v>1100</v>
      </c>
      <c r="O13" s="44">
        <v>1188358</v>
      </c>
      <c r="P13" s="44">
        <v>1557399</v>
      </c>
      <c r="R13" s="846"/>
      <c r="S13" s="578">
        <v>700</v>
      </c>
      <c r="T13" s="44">
        <v>708878</v>
      </c>
      <c r="U13" s="44">
        <v>1005274</v>
      </c>
    </row>
    <row r="14" spans="1:21" ht="20.100000000000001" customHeight="1">
      <c r="A14" s="894"/>
      <c r="B14" s="184">
        <v>500</v>
      </c>
      <c r="C14" s="576">
        <f>+ROUND(P29*$L$1*$L$2,0)</f>
        <v>1039455</v>
      </c>
      <c r="D14" s="186"/>
      <c r="E14" s="177">
        <f t="shared" si="0"/>
        <v>0</v>
      </c>
      <c r="F14" s="177">
        <v>35</v>
      </c>
      <c r="G14" s="177">
        <f t="shared" si="1"/>
        <v>36</v>
      </c>
      <c r="H14" s="177"/>
      <c r="I14" s="177">
        <f t="shared" si="2"/>
        <v>0</v>
      </c>
      <c r="J14" s="177"/>
      <c r="K14" s="185">
        <f t="shared" si="3"/>
        <v>0</v>
      </c>
      <c r="L14" s="9"/>
      <c r="M14" s="776"/>
      <c r="N14" s="43">
        <v>1200</v>
      </c>
      <c r="O14" s="44">
        <v>1313909</v>
      </c>
      <c r="P14" s="44">
        <v>1691805</v>
      </c>
      <c r="R14" s="847"/>
      <c r="S14" s="578">
        <v>800</v>
      </c>
      <c r="T14" s="44">
        <v>860005</v>
      </c>
      <c r="U14" s="44">
        <v>1169007</v>
      </c>
    </row>
    <row r="15" spans="1:21" ht="20.100000000000001" customHeight="1">
      <c r="A15" s="894"/>
      <c r="B15" s="178">
        <v>600</v>
      </c>
      <c r="C15" s="577">
        <f>+ROUND(P30*$L$1*$L$2,0)</f>
        <v>1166510</v>
      </c>
      <c r="D15" s="182"/>
      <c r="E15" s="177">
        <f t="shared" si="0"/>
        <v>0</v>
      </c>
      <c r="F15" s="176">
        <v>6</v>
      </c>
      <c r="G15" s="177">
        <f t="shared" si="1"/>
        <v>7</v>
      </c>
      <c r="H15" s="176"/>
      <c r="I15" s="177">
        <f t="shared" si="2"/>
        <v>0</v>
      </c>
      <c r="J15" s="176"/>
      <c r="K15" s="185">
        <f t="shared" si="3"/>
        <v>0</v>
      </c>
      <c r="L15" s="9"/>
      <c r="M15" s="776"/>
      <c r="N15" s="43">
        <v>1350</v>
      </c>
      <c r="O15" s="44">
        <v>1519849</v>
      </c>
      <c r="P15" s="44">
        <v>1910605</v>
      </c>
    </row>
    <row r="16" spans="1:21" ht="20.100000000000001" customHeight="1">
      <c r="A16" s="894"/>
      <c r="B16" s="178"/>
      <c r="C16" s="179"/>
      <c r="D16" s="182"/>
      <c r="E16" s="177">
        <f t="shared" si="0"/>
        <v>0</v>
      </c>
      <c r="F16" s="176"/>
      <c r="G16" s="177">
        <f t="shared" si="1"/>
        <v>0</v>
      </c>
      <c r="H16" s="176"/>
      <c r="I16" s="176">
        <f>+ROUND($C16*H16/1000000,0)</f>
        <v>0</v>
      </c>
      <c r="J16" s="176"/>
      <c r="K16" s="185">
        <f t="shared" si="3"/>
        <v>0</v>
      </c>
      <c r="L16" s="9"/>
      <c r="M16" s="776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895"/>
      <c r="B17" s="896" t="s">
        <v>95</v>
      </c>
      <c r="C17" s="897"/>
      <c r="D17" s="183">
        <f t="shared" ref="D17:K17" si="4">SUM(D9:D16)</f>
        <v>0</v>
      </c>
      <c r="E17" s="180">
        <f t="shared" si="4"/>
        <v>0</v>
      </c>
      <c r="F17" s="180">
        <f t="shared" si="4"/>
        <v>1842</v>
      </c>
      <c r="G17" s="180">
        <f t="shared" si="4"/>
        <v>1524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76"/>
      <c r="N17" s="43">
        <v>400</v>
      </c>
      <c r="O17" s="44">
        <v>827275</v>
      </c>
      <c r="P17" s="44">
        <v>1106094</v>
      </c>
    </row>
    <row r="18" spans="1:16" ht="20.100000000000001" customHeight="1">
      <c r="L18" s="9"/>
      <c r="M18" s="776"/>
      <c r="N18" s="43">
        <v>500</v>
      </c>
      <c r="O18" s="44">
        <v>935411</v>
      </c>
      <c r="P18" s="44">
        <v>1223371</v>
      </c>
    </row>
    <row r="19" spans="1:16" ht="20.100000000000001" customHeight="1">
      <c r="L19" s="9"/>
      <c r="M19" s="776"/>
      <c r="N19" s="43">
        <v>600</v>
      </c>
      <c r="O19" s="44">
        <v>1068860</v>
      </c>
      <c r="P19" s="44">
        <v>1379624</v>
      </c>
    </row>
    <row r="20" spans="1:16" ht="20.100000000000001" customHeight="1">
      <c r="L20" s="9"/>
      <c r="M20" s="776"/>
      <c r="N20" s="43">
        <v>700</v>
      </c>
      <c r="O20" s="44">
        <v>1206659</v>
      </c>
      <c r="P20" s="44">
        <v>1526319</v>
      </c>
    </row>
    <row r="21" spans="1:16" ht="20.100000000000001" customHeight="1">
      <c r="A21" s="4"/>
      <c r="L21" s="9"/>
      <c r="M21" s="776"/>
      <c r="N21" s="43">
        <v>800</v>
      </c>
      <c r="O21" s="44">
        <v>1373571</v>
      </c>
      <c r="P21" s="44">
        <v>1702260</v>
      </c>
    </row>
    <row r="22" spans="1:16" ht="20.100000000000001" customHeight="1">
      <c r="L22" s="9"/>
      <c r="M22" s="776"/>
      <c r="N22" s="43">
        <v>900</v>
      </c>
      <c r="O22" s="44">
        <v>1509424</v>
      </c>
      <c r="P22" s="44">
        <v>1847090</v>
      </c>
    </row>
    <row r="23" spans="1:16" ht="20.100000000000001" customHeight="1">
      <c r="L23" s="9"/>
      <c r="M23" s="776"/>
      <c r="N23" s="43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76"/>
      <c r="N24" s="43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76"/>
      <c r="N25" s="43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76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L27" s="9"/>
      <c r="M27" s="776"/>
      <c r="N27" s="43">
        <v>300</v>
      </c>
      <c r="O27" s="44">
        <v>525101</v>
      </c>
      <c r="P27" s="44">
        <v>794902</v>
      </c>
    </row>
    <row r="28" spans="1:16" ht="20.100000000000001" customHeight="1">
      <c r="M28" s="776"/>
      <c r="N28" s="43">
        <v>400</v>
      </c>
      <c r="O28" s="44">
        <v>625778</v>
      </c>
      <c r="P28" s="44">
        <v>904597</v>
      </c>
    </row>
    <row r="29" spans="1:16" ht="20.100000000000001" customHeight="1">
      <c r="M29" s="776"/>
      <c r="N29" s="43">
        <v>500</v>
      </c>
      <c r="O29" s="44">
        <v>711507</v>
      </c>
      <c r="P29" s="44">
        <v>999476</v>
      </c>
    </row>
    <row r="30" spans="1:16" ht="20.100000000000001" customHeight="1">
      <c r="M30" s="776"/>
      <c r="N30" s="43">
        <v>600</v>
      </c>
      <c r="O30" s="44">
        <v>810869</v>
      </c>
      <c r="P30" s="44">
        <v>1121644</v>
      </c>
    </row>
    <row r="31" spans="1:16" ht="20.100000000000001" customHeight="1">
      <c r="L31" s="9"/>
      <c r="M31" s="776"/>
      <c r="N31" s="43">
        <v>700</v>
      </c>
      <c r="O31" s="44">
        <v>919311</v>
      </c>
      <c r="P31" s="44">
        <v>1238972</v>
      </c>
    </row>
    <row r="32" spans="1:16" ht="20.100000000000001" customHeight="1">
      <c r="L32" s="29"/>
      <c r="M32" s="776"/>
      <c r="N32" s="43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76"/>
      <c r="N33" s="43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76"/>
      <c r="N34" s="43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76"/>
      <c r="N35" s="43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76" t="s">
        <v>78</v>
      </c>
      <c r="N36" s="43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76"/>
      <c r="N37" s="43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43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76"/>
      <c r="N39" s="43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43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43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43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43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43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43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76"/>
      <c r="N46" s="43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76"/>
      <c r="N47" s="43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76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43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S3:S4"/>
    <mergeCell ref="T3:U3"/>
    <mergeCell ref="M36:M51"/>
    <mergeCell ref="J7:K7"/>
    <mergeCell ref="B17:C17"/>
    <mergeCell ref="H7:I7"/>
    <mergeCell ref="R5:R14"/>
    <mergeCell ref="O3:P3"/>
    <mergeCell ref="M3:M4"/>
    <mergeCell ref="N3:N4"/>
    <mergeCell ref="R3:R4"/>
    <mergeCell ref="A9:A17"/>
    <mergeCell ref="M5:M15"/>
    <mergeCell ref="M16:M25"/>
    <mergeCell ref="M26:M35"/>
    <mergeCell ref="A7:A8"/>
    <mergeCell ref="B7:B8"/>
    <mergeCell ref="C7:C8"/>
    <mergeCell ref="D7:E7"/>
    <mergeCell ref="F7:G7"/>
  </mergeCells>
  <phoneticPr fontId="4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248</v>
      </c>
      <c r="B1" s="1"/>
      <c r="C1" s="1"/>
      <c r="D1" s="1"/>
      <c r="L1" s="3">
        <v>1.3</v>
      </c>
      <c r="M1" s="2" t="s">
        <v>99</v>
      </c>
    </row>
    <row r="2" spans="1:22" ht="20.100000000000001" customHeight="1">
      <c r="A2" s="2" t="s">
        <v>63</v>
      </c>
      <c r="L2" s="3">
        <v>0.5</v>
      </c>
      <c r="M2" s="2" t="s">
        <v>196</v>
      </c>
    </row>
    <row r="3" spans="1:22" ht="20.100000000000001" customHeight="1">
      <c r="A3" s="4" t="s">
        <v>345</v>
      </c>
      <c r="M3" s="776" t="s">
        <v>64</v>
      </c>
      <c r="N3" s="776" t="s">
        <v>65</v>
      </c>
      <c r="O3" s="776" t="s">
        <v>66</v>
      </c>
      <c r="P3" s="776"/>
      <c r="R3" s="776" t="s">
        <v>64</v>
      </c>
      <c r="S3" s="776" t="s">
        <v>65</v>
      </c>
      <c r="T3" s="813" t="s">
        <v>101</v>
      </c>
      <c r="U3" s="813" t="s">
        <v>102</v>
      </c>
      <c r="V3" s="813" t="s">
        <v>100</v>
      </c>
    </row>
    <row r="4" spans="1:22" ht="20.100000000000001" customHeight="1">
      <c r="A4" s="40" t="s">
        <v>812</v>
      </c>
      <c r="B4" s="40"/>
      <c r="C4" s="40"/>
      <c r="D4" s="40"/>
      <c r="M4" s="776"/>
      <c r="N4" s="776"/>
      <c r="O4" s="43" t="s">
        <v>67</v>
      </c>
      <c r="P4" s="43" t="s">
        <v>68</v>
      </c>
      <c r="R4" s="776"/>
      <c r="S4" s="776"/>
      <c r="T4" s="815"/>
      <c r="U4" s="815"/>
      <c r="V4" s="815"/>
    </row>
    <row r="5" spans="1:22" ht="20.100000000000001" customHeight="1">
      <c r="A5" s="2" t="s">
        <v>4</v>
      </c>
      <c r="M5" s="776" t="s">
        <v>69</v>
      </c>
      <c r="N5" s="43">
        <v>300</v>
      </c>
      <c r="O5" s="44">
        <v>512740</v>
      </c>
      <c r="P5" s="44">
        <v>782541</v>
      </c>
      <c r="R5" s="813" t="s">
        <v>164</v>
      </c>
      <c r="S5" s="43">
        <v>250</v>
      </c>
      <c r="T5" s="44">
        <v>436222.93999999994</v>
      </c>
      <c r="U5" s="816">
        <v>0.35</v>
      </c>
      <c r="V5" s="44">
        <f>+ROUND(T5+T5*$U$5,0)</f>
        <v>588901</v>
      </c>
    </row>
    <row r="6" spans="1:22" ht="20.100000000000001" customHeight="1">
      <c r="I6" s="8"/>
      <c r="K6" s="8" t="s">
        <v>71</v>
      </c>
      <c r="M6" s="776"/>
      <c r="N6" s="43">
        <v>400</v>
      </c>
      <c r="O6" s="44">
        <v>580188</v>
      </c>
      <c r="P6" s="44">
        <v>859007</v>
      </c>
      <c r="R6" s="814"/>
      <c r="S6" s="43">
        <v>300</v>
      </c>
      <c r="T6" s="44">
        <v>482485.98749999993</v>
      </c>
      <c r="U6" s="817"/>
      <c r="V6" s="44">
        <f t="shared" ref="V6:V16" si="0">+ROUND(T6+T6*$U$5,0)</f>
        <v>651356</v>
      </c>
    </row>
    <row r="7" spans="1:22" ht="20.100000000000001" customHeight="1">
      <c r="A7" s="783" t="s">
        <v>160</v>
      </c>
      <c r="B7" s="785" t="s">
        <v>72</v>
      </c>
      <c r="C7" s="787" t="s">
        <v>103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776"/>
      <c r="N7" s="43">
        <v>500</v>
      </c>
      <c r="O7" s="44">
        <v>624861</v>
      </c>
      <c r="P7" s="44">
        <v>912820</v>
      </c>
      <c r="R7" s="814"/>
      <c r="S7" s="43">
        <v>400</v>
      </c>
      <c r="T7" s="44">
        <v>645109.09</v>
      </c>
      <c r="U7" s="817"/>
      <c r="V7" s="44">
        <f t="shared" si="0"/>
        <v>870897</v>
      </c>
    </row>
    <row r="8" spans="1:22" ht="20.100000000000001" customHeight="1">
      <c r="A8" s="784"/>
      <c r="B8" s="786"/>
      <c r="C8" s="788"/>
      <c r="D8" s="160" t="s">
        <v>104</v>
      </c>
      <c r="E8" s="158" t="s">
        <v>75</v>
      </c>
      <c r="F8" s="157" t="s">
        <v>104</v>
      </c>
      <c r="G8" s="158" t="s">
        <v>75</v>
      </c>
      <c r="H8" s="157" t="s">
        <v>104</v>
      </c>
      <c r="I8" s="158" t="s">
        <v>75</v>
      </c>
      <c r="J8" s="157" t="s">
        <v>104</v>
      </c>
      <c r="K8" s="159" t="s">
        <v>75</v>
      </c>
      <c r="M8" s="776"/>
      <c r="N8" s="43">
        <v>600</v>
      </c>
      <c r="O8" s="44">
        <v>705821</v>
      </c>
      <c r="P8" s="44">
        <v>1016585</v>
      </c>
      <c r="R8" s="814"/>
      <c r="S8" s="43">
        <v>450</v>
      </c>
      <c r="T8" s="44">
        <v>695339.56749999989</v>
      </c>
      <c r="U8" s="817"/>
      <c r="V8" s="44">
        <f t="shared" si="0"/>
        <v>938708</v>
      </c>
    </row>
    <row r="9" spans="1:22" ht="20.100000000000001" customHeight="1">
      <c r="A9" s="893" t="s">
        <v>395</v>
      </c>
      <c r="B9" s="184">
        <v>150</v>
      </c>
      <c r="C9" s="185">
        <f>+ROUND(V5*L1,0)*0.9</f>
        <v>689013.9</v>
      </c>
      <c r="D9" s="186"/>
      <c r="E9" s="177">
        <f>+ROUND($C9*D9/1000000,0)</f>
        <v>0</v>
      </c>
      <c r="F9" s="177">
        <v>3</v>
      </c>
      <c r="G9" s="177">
        <f>+ROUND($C9*F9/1000000,0)</f>
        <v>2</v>
      </c>
      <c r="H9" s="177"/>
      <c r="I9" s="177">
        <f>+ROUND($C9*H9/1000000,0)</f>
        <v>0</v>
      </c>
      <c r="J9" s="177"/>
      <c r="K9" s="185">
        <f>+ROUND($C9*J9/1000000,0)</f>
        <v>0</v>
      </c>
      <c r="M9" s="776"/>
      <c r="N9" s="43">
        <v>700</v>
      </c>
      <c r="O9" s="44">
        <v>782918</v>
      </c>
      <c r="P9" s="44">
        <v>1102578</v>
      </c>
      <c r="R9" s="814"/>
      <c r="S9" s="43">
        <v>500</v>
      </c>
      <c r="T9" s="44">
        <v>853537.02499999991</v>
      </c>
      <c r="U9" s="817"/>
      <c r="V9" s="44">
        <f t="shared" si="0"/>
        <v>1152275</v>
      </c>
    </row>
    <row r="10" spans="1:22" ht="20.100000000000001" customHeight="1">
      <c r="A10" s="894"/>
      <c r="B10" s="184">
        <v>200</v>
      </c>
      <c r="C10" s="179">
        <f>+ROUND(V5*L1,0)*0.95</f>
        <v>727292.45</v>
      </c>
      <c r="D10" s="182"/>
      <c r="E10" s="176">
        <f t="shared" ref="E10:G16" si="1">+ROUND($C10*D10/1000000,0)</f>
        <v>0</v>
      </c>
      <c r="F10" s="176">
        <v>84</v>
      </c>
      <c r="G10" s="176">
        <f t="shared" si="1"/>
        <v>61</v>
      </c>
      <c r="H10" s="176"/>
      <c r="I10" s="176">
        <f t="shared" ref="I10:I16" si="2">+ROUND($C10*H10/1000000,0)</f>
        <v>0</v>
      </c>
      <c r="J10" s="176"/>
      <c r="K10" s="179">
        <f t="shared" ref="K10:K16" si="3">+ROUND($C10*J10/1000000,0)</f>
        <v>0</v>
      </c>
      <c r="L10" s="9"/>
      <c r="M10" s="776"/>
      <c r="N10" s="43">
        <v>800</v>
      </c>
      <c r="O10" s="44">
        <v>854676</v>
      </c>
      <c r="P10" s="44">
        <v>1183365</v>
      </c>
      <c r="R10" s="814"/>
      <c r="S10" s="43">
        <v>600</v>
      </c>
      <c r="T10" s="44">
        <v>938366.40749999986</v>
      </c>
      <c r="U10" s="817"/>
      <c r="V10" s="44">
        <f t="shared" si="0"/>
        <v>1266795</v>
      </c>
    </row>
    <row r="11" spans="1:22" ht="20.100000000000001" customHeight="1">
      <c r="A11" s="894"/>
      <c r="B11" s="184">
        <v>250</v>
      </c>
      <c r="C11" s="179">
        <f>+ROUND(V5*L1,0)</f>
        <v>765571</v>
      </c>
      <c r="D11" s="182"/>
      <c r="E11" s="176">
        <f t="shared" si="1"/>
        <v>0</v>
      </c>
      <c r="F11" s="176">
        <v>3</v>
      </c>
      <c r="G11" s="176">
        <f t="shared" si="1"/>
        <v>2</v>
      </c>
      <c r="H11" s="176"/>
      <c r="I11" s="176">
        <f t="shared" si="2"/>
        <v>0</v>
      </c>
      <c r="J11" s="176"/>
      <c r="K11" s="179">
        <f t="shared" si="3"/>
        <v>0</v>
      </c>
      <c r="L11" s="9"/>
      <c r="M11" s="776"/>
      <c r="N11" s="43">
        <v>900</v>
      </c>
      <c r="O11" s="44">
        <v>945775</v>
      </c>
      <c r="P11" s="44">
        <v>1283451</v>
      </c>
      <c r="R11" s="814"/>
      <c r="S11" s="43">
        <v>700</v>
      </c>
      <c r="T11" s="44">
        <v>1076378.9574999998</v>
      </c>
      <c r="U11" s="817"/>
      <c r="V11" s="44">
        <f t="shared" si="0"/>
        <v>1453112</v>
      </c>
    </row>
    <row r="12" spans="1:22" ht="20.100000000000001" customHeight="1">
      <c r="A12" s="894"/>
      <c r="B12" s="184">
        <v>300</v>
      </c>
      <c r="C12" s="179">
        <f>+ROUND(V6*L1,0)</f>
        <v>846763</v>
      </c>
      <c r="D12" s="182"/>
      <c r="E12" s="176">
        <f t="shared" si="1"/>
        <v>0</v>
      </c>
      <c r="F12" s="176">
        <v>181</v>
      </c>
      <c r="G12" s="176">
        <f t="shared" si="1"/>
        <v>153</v>
      </c>
      <c r="H12" s="176"/>
      <c r="I12" s="176">
        <f t="shared" si="2"/>
        <v>0</v>
      </c>
      <c r="J12" s="176"/>
      <c r="K12" s="179">
        <f t="shared" si="3"/>
        <v>0</v>
      </c>
      <c r="L12" s="9"/>
      <c r="M12" s="776"/>
      <c r="N12" s="43">
        <v>1000</v>
      </c>
      <c r="O12" s="44">
        <v>1051853</v>
      </c>
      <c r="P12" s="44">
        <v>1398649</v>
      </c>
      <c r="R12" s="814"/>
      <c r="S12" s="43">
        <v>800</v>
      </c>
      <c r="T12" s="44">
        <v>1273983.7524999999</v>
      </c>
      <c r="U12" s="817"/>
      <c r="V12" s="44">
        <f t="shared" si="0"/>
        <v>1719878</v>
      </c>
    </row>
    <row r="13" spans="1:22" ht="20.100000000000001" customHeight="1">
      <c r="A13" s="894"/>
      <c r="B13" s="184">
        <v>400</v>
      </c>
      <c r="C13" s="577">
        <f>+ROUND(V7*L1,0)</f>
        <v>1132166</v>
      </c>
      <c r="D13" s="182"/>
      <c r="E13" s="176">
        <f t="shared" si="1"/>
        <v>0</v>
      </c>
      <c r="F13" s="176">
        <v>42</v>
      </c>
      <c r="G13" s="176">
        <f t="shared" si="1"/>
        <v>48</v>
      </c>
      <c r="H13" s="176"/>
      <c r="I13" s="176">
        <f t="shared" si="2"/>
        <v>0</v>
      </c>
      <c r="J13" s="176"/>
      <c r="K13" s="179">
        <f t="shared" si="3"/>
        <v>0</v>
      </c>
      <c r="L13" s="9"/>
      <c r="M13" s="776"/>
      <c r="N13" s="43">
        <v>1100</v>
      </c>
      <c r="O13" s="44">
        <v>1188358</v>
      </c>
      <c r="P13" s="44">
        <v>1557399</v>
      </c>
      <c r="R13" s="814"/>
      <c r="S13" s="43">
        <v>900</v>
      </c>
      <c r="T13" s="44">
        <v>1434939.5399999998</v>
      </c>
      <c r="U13" s="817"/>
      <c r="V13" s="44">
        <f t="shared" si="0"/>
        <v>1937168</v>
      </c>
    </row>
    <row r="14" spans="1:22" ht="20.100000000000001" customHeight="1">
      <c r="A14" s="894"/>
      <c r="B14" s="184">
        <v>500</v>
      </c>
      <c r="C14" s="577">
        <f>+ROUND(V9*L1,0)</f>
        <v>1497958</v>
      </c>
      <c r="D14" s="182"/>
      <c r="E14" s="176">
        <f t="shared" si="1"/>
        <v>0</v>
      </c>
      <c r="F14" s="176">
        <v>6</v>
      </c>
      <c r="G14" s="176">
        <f t="shared" si="1"/>
        <v>9</v>
      </c>
      <c r="H14" s="176"/>
      <c r="I14" s="176">
        <f t="shared" si="2"/>
        <v>0</v>
      </c>
      <c r="J14" s="176"/>
      <c r="K14" s="179">
        <f t="shared" si="3"/>
        <v>0</v>
      </c>
      <c r="L14" s="72" t="s">
        <v>195</v>
      </c>
      <c r="M14" s="776"/>
      <c r="N14" s="43">
        <v>1200</v>
      </c>
      <c r="O14" s="44">
        <v>1313909</v>
      </c>
      <c r="P14" s="44">
        <v>1691805</v>
      </c>
      <c r="R14" s="814"/>
      <c r="S14" s="43">
        <v>1000</v>
      </c>
      <c r="T14" s="44">
        <v>1552984.7074999998</v>
      </c>
      <c r="U14" s="817"/>
      <c r="V14" s="44">
        <f t="shared" si="0"/>
        <v>2096529</v>
      </c>
    </row>
    <row r="15" spans="1:22" ht="20.100000000000001" customHeight="1">
      <c r="A15" s="894"/>
      <c r="B15" s="178">
        <v>600</v>
      </c>
      <c r="C15" s="577">
        <f>+ROUND(V10*L1,0)</f>
        <v>1646834</v>
      </c>
      <c r="D15" s="182"/>
      <c r="E15" s="176">
        <f t="shared" si="1"/>
        <v>0</v>
      </c>
      <c r="F15" s="176">
        <v>1</v>
      </c>
      <c r="G15" s="176">
        <f t="shared" si="1"/>
        <v>2</v>
      </c>
      <c r="H15" s="176"/>
      <c r="I15" s="176">
        <f t="shared" si="2"/>
        <v>0</v>
      </c>
      <c r="J15" s="176"/>
      <c r="K15" s="179">
        <f t="shared" si="3"/>
        <v>0</v>
      </c>
      <c r="L15" s="9"/>
      <c r="M15" s="776"/>
      <c r="N15" s="43">
        <v>1350</v>
      </c>
      <c r="O15" s="44">
        <v>1519849</v>
      </c>
      <c r="P15" s="44">
        <v>1910605</v>
      </c>
      <c r="R15" s="814"/>
      <c r="S15" s="43">
        <v>1100</v>
      </c>
      <c r="T15" s="44">
        <v>1686561.7249999999</v>
      </c>
      <c r="U15" s="817"/>
      <c r="V15" s="44">
        <f t="shared" si="0"/>
        <v>2276858</v>
      </c>
    </row>
    <row r="16" spans="1:22" ht="20.100000000000001" customHeight="1">
      <c r="A16" s="894"/>
      <c r="B16" s="178"/>
      <c r="C16" s="179"/>
      <c r="D16" s="182"/>
      <c r="E16" s="176">
        <f t="shared" si="1"/>
        <v>0</v>
      </c>
      <c r="F16" s="176"/>
      <c r="G16" s="176">
        <f t="shared" si="1"/>
        <v>0</v>
      </c>
      <c r="H16" s="176"/>
      <c r="I16" s="176">
        <f t="shared" si="2"/>
        <v>0</v>
      </c>
      <c r="J16" s="176"/>
      <c r="K16" s="179">
        <f t="shared" si="3"/>
        <v>0</v>
      </c>
      <c r="L16" s="9"/>
      <c r="M16" s="776" t="s">
        <v>76</v>
      </c>
      <c r="N16" s="43">
        <v>300</v>
      </c>
      <c r="O16" s="44">
        <v>707247</v>
      </c>
      <c r="P16" s="44">
        <v>977038</v>
      </c>
      <c r="R16" s="815"/>
      <c r="S16" s="43">
        <v>1200</v>
      </c>
      <c r="T16" s="44">
        <v>1780239.5724999998</v>
      </c>
      <c r="U16" s="818"/>
      <c r="V16" s="44">
        <f t="shared" si="0"/>
        <v>2403323</v>
      </c>
    </row>
    <row r="17" spans="1:16" ht="20.100000000000001" customHeight="1">
      <c r="A17" s="895"/>
      <c r="B17" s="896" t="s">
        <v>95</v>
      </c>
      <c r="C17" s="897"/>
      <c r="D17" s="183">
        <f t="shared" ref="D17:K17" si="4">SUM(D9:D16)</f>
        <v>0</v>
      </c>
      <c r="E17" s="180">
        <f t="shared" si="4"/>
        <v>0</v>
      </c>
      <c r="F17" s="180">
        <f t="shared" si="4"/>
        <v>320</v>
      </c>
      <c r="G17" s="180">
        <f t="shared" si="4"/>
        <v>277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76"/>
      <c r="N17" s="43">
        <v>400</v>
      </c>
      <c r="O17" s="44">
        <v>827275</v>
      </c>
      <c r="P17" s="44">
        <v>1106094</v>
      </c>
    </row>
    <row r="18" spans="1:16" ht="20.100000000000001" customHeight="1">
      <c r="L18" s="9"/>
      <c r="M18" s="776"/>
      <c r="N18" s="43">
        <v>500</v>
      </c>
      <c r="O18" s="44">
        <v>935411</v>
      </c>
      <c r="P18" s="44">
        <v>1223371</v>
      </c>
    </row>
    <row r="19" spans="1:16" ht="20.100000000000001" customHeight="1">
      <c r="L19" s="9"/>
      <c r="M19" s="776"/>
      <c r="N19" s="43">
        <v>600</v>
      </c>
      <c r="O19" s="44">
        <v>1068860</v>
      </c>
      <c r="P19" s="44">
        <v>1379624</v>
      </c>
    </row>
    <row r="20" spans="1:16" ht="20.100000000000001" customHeight="1">
      <c r="L20" s="9"/>
      <c r="M20" s="776"/>
      <c r="N20" s="43">
        <v>700</v>
      </c>
      <c r="O20" s="44">
        <v>1206659</v>
      </c>
      <c r="P20" s="44">
        <v>1526319</v>
      </c>
    </row>
    <row r="21" spans="1:16" ht="20.100000000000001" customHeight="1">
      <c r="L21" s="9"/>
      <c r="M21" s="776"/>
      <c r="N21" s="43">
        <v>800</v>
      </c>
      <c r="O21" s="44">
        <v>1373571</v>
      </c>
      <c r="P21" s="44">
        <v>1702260</v>
      </c>
    </row>
    <row r="22" spans="1:16" ht="20.100000000000001" customHeight="1">
      <c r="L22" s="9"/>
      <c r="M22" s="776"/>
      <c r="N22" s="43">
        <v>900</v>
      </c>
      <c r="O22" s="44">
        <v>1509424</v>
      </c>
      <c r="P22" s="44">
        <v>1847090</v>
      </c>
    </row>
    <row r="23" spans="1:16" ht="20.100000000000001" customHeight="1">
      <c r="L23" s="9"/>
      <c r="M23" s="776"/>
      <c r="N23" s="43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76"/>
      <c r="N24" s="43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76"/>
      <c r="N25" s="43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76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L27" s="9"/>
      <c r="M27" s="776"/>
      <c r="N27" s="43">
        <v>300</v>
      </c>
      <c r="O27" s="44">
        <v>525101</v>
      </c>
      <c r="P27" s="44">
        <v>794902</v>
      </c>
    </row>
    <row r="28" spans="1:16" ht="20.100000000000001" customHeight="1">
      <c r="M28" s="776"/>
      <c r="N28" s="43">
        <v>400</v>
      </c>
      <c r="O28" s="44">
        <v>625778</v>
      </c>
      <c r="P28" s="44">
        <v>904597</v>
      </c>
    </row>
    <row r="29" spans="1:16" ht="20.100000000000001" customHeight="1">
      <c r="M29" s="776"/>
      <c r="N29" s="43">
        <v>500</v>
      </c>
      <c r="O29" s="44">
        <v>711507</v>
      </c>
      <c r="P29" s="44">
        <v>999476</v>
      </c>
    </row>
    <row r="30" spans="1:16" ht="20.100000000000001" customHeight="1">
      <c r="M30" s="776"/>
      <c r="N30" s="43">
        <v>600</v>
      </c>
      <c r="O30" s="44">
        <v>810869</v>
      </c>
      <c r="P30" s="44">
        <v>1121644</v>
      </c>
    </row>
    <row r="31" spans="1:16" ht="20.100000000000001" customHeight="1">
      <c r="L31" s="9"/>
      <c r="M31" s="776"/>
      <c r="N31" s="43">
        <v>700</v>
      </c>
      <c r="O31" s="44">
        <v>919311</v>
      </c>
      <c r="P31" s="44">
        <v>1238972</v>
      </c>
    </row>
    <row r="32" spans="1:16" ht="20.100000000000001" customHeight="1">
      <c r="L32" s="29"/>
      <c r="M32" s="776"/>
      <c r="N32" s="43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76"/>
      <c r="N33" s="43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76"/>
      <c r="N34" s="43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76"/>
      <c r="N35" s="43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76" t="s">
        <v>78</v>
      </c>
      <c r="N36" s="43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76"/>
      <c r="N37" s="43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43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76"/>
      <c r="N39" s="43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43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43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43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43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43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43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76"/>
      <c r="N46" s="43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76"/>
      <c r="N47" s="43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76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43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V3:V4"/>
    <mergeCell ref="R5:R16"/>
    <mergeCell ref="U5:U16"/>
    <mergeCell ref="M26:M35"/>
    <mergeCell ref="J7:K7"/>
    <mergeCell ref="S3:S4"/>
    <mergeCell ref="T3:T4"/>
    <mergeCell ref="U3:U4"/>
    <mergeCell ref="F7:G7"/>
    <mergeCell ref="H7:I7"/>
    <mergeCell ref="A9:A17"/>
    <mergeCell ref="M36:M51"/>
    <mergeCell ref="R3:R4"/>
    <mergeCell ref="O3:P3"/>
    <mergeCell ref="M5:M15"/>
    <mergeCell ref="M16:M25"/>
    <mergeCell ref="M3:M4"/>
    <mergeCell ref="N3:N4"/>
    <mergeCell ref="B17:C17"/>
    <mergeCell ref="A7:A8"/>
    <mergeCell ref="B7:B8"/>
    <mergeCell ref="C7:C8"/>
    <mergeCell ref="D7:E7"/>
  </mergeCells>
  <phoneticPr fontId="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68"/>
  <sheetViews>
    <sheetView view="pageBreakPreview" zoomScaleNormal="100" zoomScaleSheetLayoutView="100" workbookViewId="0"/>
    <sheetView workbookViewId="1"/>
  </sheetViews>
  <sheetFormatPr defaultRowHeight="12"/>
  <cols>
    <col min="1" max="2" width="8.625" style="2" customWidth="1"/>
    <col min="3" max="9" width="8.625" style="3" customWidth="1"/>
    <col min="10" max="11" width="6.625" style="2" customWidth="1"/>
    <col min="12" max="220" width="9" style="2"/>
    <col min="221" max="222" width="3.75" style="2" customWidth="1"/>
    <col min="223" max="223" width="15" style="2" customWidth="1"/>
    <col min="224" max="227" width="12.875" style="2" customWidth="1"/>
    <col min="228" max="228" width="12.125" style="2" customWidth="1"/>
    <col min="229" max="229" width="9" style="2"/>
    <col min="230" max="230" width="12.25" style="2" customWidth="1"/>
    <col min="231" max="231" width="9.625" style="2" customWidth="1"/>
    <col min="232" max="233" width="9.75" style="2" customWidth="1"/>
    <col min="234" max="234" width="9.375" style="2" customWidth="1"/>
    <col min="235" max="476" width="9" style="2"/>
    <col min="477" max="478" width="3.75" style="2" customWidth="1"/>
    <col min="479" max="479" width="15" style="2" customWidth="1"/>
    <col min="480" max="483" width="12.875" style="2" customWidth="1"/>
    <col min="484" max="484" width="12.125" style="2" customWidth="1"/>
    <col min="485" max="485" width="9" style="2"/>
    <col min="486" max="486" width="12.25" style="2" customWidth="1"/>
    <col min="487" max="487" width="9.625" style="2" customWidth="1"/>
    <col min="488" max="489" width="9.75" style="2" customWidth="1"/>
    <col min="490" max="490" width="9.375" style="2" customWidth="1"/>
    <col min="491" max="732" width="9" style="2"/>
    <col min="733" max="734" width="3.75" style="2" customWidth="1"/>
    <col min="735" max="735" width="15" style="2" customWidth="1"/>
    <col min="736" max="739" width="12.875" style="2" customWidth="1"/>
    <col min="740" max="740" width="12.125" style="2" customWidth="1"/>
    <col min="741" max="741" width="9" style="2"/>
    <col min="742" max="742" width="12.25" style="2" customWidth="1"/>
    <col min="743" max="743" width="9.625" style="2" customWidth="1"/>
    <col min="744" max="745" width="9.75" style="2" customWidth="1"/>
    <col min="746" max="746" width="9.375" style="2" customWidth="1"/>
    <col min="747" max="988" width="9" style="2"/>
    <col min="989" max="990" width="3.75" style="2" customWidth="1"/>
    <col min="991" max="991" width="15" style="2" customWidth="1"/>
    <col min="992" max="995" width="12.875" style="2" customWidth="1"/>
    <col min="996" max="996" width="12.125" style="2" customWidth="1"/>
    <col min="997" max="997" width="9" style="2"/>
    <col min="998" max="998" width="12.25" style="2" customWidth="1"/>
    <col min="999" max="999" width="9.625" style="2" customWidth="1"/>
    <col min="1000" max="1001" width="9.75" style="2" customWidth="1"/>
    <col min="1002" max="1002" width="9.375" style="2" customWidth="1"/>
    <col min="1003" max="1244" width="9" style="2"/>
    <col min="1245" max="1246" width="3.75" style="2" customWidth="1"/>
    <col min="1247" max="1247" width="15" style="2" customWidth="1"/>
    <col min="1248" max="1251" width="12.875" style="2" customWidth="1"/>
    <col min="1252" max="1252" width="12.125" style="2" customWidth="1"/>
    <col min="1253" max="1253" width="9" style="2"/>
    <col min="1254" max="1254" width="12.25" style="2" customWidth="1"/>
    <col min="1255" max="1255" width="9.625" style="2" customWidth="1"/>
    <col min="1256" max="1257" width="9.75" style="2" customWidth="1"/>
    <col min="1258" max="1258" width="9.375" style="2" customWidth="1"/>
    <col min="1259" max="1500" width="9" style="2"/>
    <col min="1501" max="1502" width="3.75" style="2" customWidth="1"/>
    <col min="1503" max="1503" width="15" style="2" customWidth="1"/>
    <col min="1504" max="1507" width="12.875" style="2" customWidth="1"/>
    <col min="1508" max="1508" width="12.125" style="2" customWidth="1"/>
    <col min="1509" max="1509" width="9" style="2"/>
    <col min="1510" max="1510" width="12.25" style="2" customWidth="1"/>
    <col min="1511" max="1511" width="9.625" style="2" customWidth="1"/>
    <col min="1512" max="1513" width="9.75" style="2" customWidth="1"/>
    <col min="1514" max="1514" width="9.375" style="2" customWidth="1"/>
    <col min="1515" max="1756" width="9" style="2"/>
    <col min="1757" max="1758" width="3.75" style="2" customWidth="1"/>
    <col min="1759" max="1759" width="15" style="2" customWidth="1"/>
    <col min="1760" max="1763" width="12.875" style="2" customWidth="1"/>
    <col min="1764" max="1764" width="12.125" style="2" customWidth="1"/>
    <col min="1765" max="1765" width="9" style="2"/>
    <col min="1766" max="1766" width="12.25" style="2" customWidth="1"/>
    <col min="1767" max="1767" width="9.625" style="2" customWidth="1"/>
    <col min="1768" max="1769" width="9.75" style="2" customWidth="1"/>
    <col min="1770" max="1770" width="9.375" style="2" customWidth="1"/>
    <col min="1771" max="2012" width="9" style="2"/>
    <col min="2013" max="2014" width="3.75" style="2" customWidth="1"/>
    <col min="2015" max="2015" width="15" style="2" customWidth="1"/>
    <col min="2016" max="2019" width="12.875" style="2" customWidth="1"/>
    <col min="2020" max="2020" width="12.125" style="2" customWidth="1"/>
    <col min="2021" max="2021" width="9" style="2"/>
    <col min="2022" max="2022" width="12.25" style="2" customWidth="1"/>
    <col min="2023" max="2023" width="9.625" style="2" customWidth="1"/>
    <col min="2024" max="2025" width="9.75" style="2" customWidth="1"/>
    <col min="2026" max="2026" width="9.375" style="2" customWidth="1"/>
    <col min="2027" max="2268" width="9" style="2"/>
    <col min="2269" max="2270" width="3.75" style="2" customWidth="1"/>
    <col min="2271" max="2271" width="15" style="2" customWidth="1"/>
    <col min="2272" max="2275" width="12.875" style="2" customWidth="1"/>
    <col min="2276" max="2276" width="12.125" style="2" customWidth="1"/>
    <col min="2277" max="2277" width="9" style="2"/>
    <col min="2278" max="2278" width="12.25" style="2" customWidth="1"/>
    <col min="2279" max="2279" width="9.625" style="2" customWidth="1"/>
    <col min="2280" max="2281" width="9.75" style="2" customWidth="1"/>
    <col min="2282" max="2282" width="9.375" style="2" customWidth="1"/>
    <col min="2283" max="2524" width="9" style="2"/>
    <col min="2525" max="2526" width="3.75" style="2" customWidth="1"/>
    <col min="2527" max="2527" width="15" style="2" customWidth="1"/>
    <col min="2528" max="2531" width="12.875" style="2" customWidth="1"/>
    <col min="2532" max="2532" width="12.125" style="2" customWidth="1"/>
    <col min="2533" max="2533" width="9" style="2"/>
    <col min="2534" max="2534" width="12.25" style="2" customWidth="1"/>
    <col min="2535" max="2535" width="9.625" style="2" customWidth="1"/>
    <col min="2536" max="2537" width="9.75" style="2" customWidth="1"/>
    <col min="2538" max="2538" width="9.375" style="2" customWidth="1"/>
    <col min="2539" max="2780" width="9" style="2"/>
    <col min="2781" max="2782" width="3.75" style="2" customWidth="1"/>
    <col min="2783" max="2783" width="15" style="2" customWidth="1"/>
    <col min="2784" max="2787" width="12.875" style="2" customWidth="1"/>
    <col min="2788" max="2788" width="12.125" style="2" customWidth="1"/>
    <col min="2789" max="2789" width="9" style="2"/>
    <col min="2790" max="2790" width="12.25" style="2" customWidth="1"/>
    <col min="2791" max="2791" width="9.625" style="2" customWidth="1"/>
    <col min="2792" max="2793" width="9.75" style="2" customWidth="1"/>
    <col min="2794" max="2794" width="9.375" style="2" customWidth="1"/>
    <col min="2795" max="3036" width="9" style="2"/>
    <col min="3037" max="3038" width="3.75" style="2" customWidth="1"/>
    <col min="3039" max="3039" width="15" style="2" customWidth="1"/>
    <col min="3040" max="3043" width="12.875" style="2" customWidth="1"/>
    <col min="3044" max="3044" width="12.125" style="2" customWidth="1"/>
    <col min="3045" max="3045" width="9" style="2"/>
    <col min="3046" max="3046" width="12.25" style="2" customWidth="1"/>
    <col min="3047" max="3047" width="9.625" style="2" customWidth="1"/>
    <col min="3048" max="3049" width="9.75" style="2" customWidth="1"/>
    <col min="3050" max="3050" width="9.375" style="2" customWidth="1"/>
    <col min="3051" max="3292" width="9" style="2"/>
    <col min="3293" max="3294" width="3.75" style="2" customWidth="1"/>
    <col min="3295" max="3295" width="15" style="2" customWidth="1"/>
    <col min="3296" max="3299" width="12.875" style="2" customWidth="1"/>
    <col min="3300" max="3300" width="12.125" style="2" customWidth="1"/>
    <col min="3301" max="3301" width="9" style="2"/>
    <col min="3302" max="3302" width="12.25" style="2" customWidth="1"/>
    <col min="3303" max="3303" width="9.625" style="2" customWidth="1"/>
    <col min="3304" max="3305" width="9.75" style="2" customWidth="1"/>
    <col min="3306" max="3306" width="9.375" style="2" customWidth="1"/>
    <col min="3307" max="3548" width="9" style="2"/>
    <col min="3549" max="3550" width="3.75" style="2" customWidth="1"/>
    <col min="3551" max="3551" width="15" style="2" customWidth="1"/>
    <col min="3552" max="3555" width="12.875" style="2" customWidth="1"/>
    <col min="3556" max="3556" width="12.125" style="2" customWidth="1"/>
    <col min="3557" max="3557" width="9" style="2"/>
    <col min="3558" max="3558" width="12.25" style="2" customWidth="1"/>
    <col min="3559" max="3559" width="9.625" style="2" customWidth="1"/>
    <col min="3560" max="3561" width="9.75" style="2" customWidth="1"/>
    <col min="3562" max="3562" width="9.375" style="2" customWidth="1"/>
    <col min="3563" max="3804" width="9" style="2"/>
    <col min="3805" max="3806" width="3.75" style="2" customWidth="1"/>
    <col min="3807" max="3807" width="15" style="2" customWidth="1"/>
    <col min="3808" max="3811" width="12.875" style="2" customWidth="1"/>
    <col min="3812" max="3812" width="12.125" style="2" customWidth="1"/>
    <col min="3813" max="3813" width="9" style="2"/>
    <col min="3814" max="3814" width="12.25" style="2" customWidth="1"/>
    <col min="3815" max="3815" width="9.625" style="2" customWidth="1"/>
    <col min="3816" max="3817" width="9.75" style="2" customWidth="1"/>
    <col min="3818" max="3818" width="9.375" style="2" customWidth="1"/>
    <col min="3819" max="4060" width="9" style="2"/>
    <col min="4061" max="4062" width="3.75" style="2" customWidth="1"/>
    <col min="4063" max="4063" width="15" style="2" customWidth="1"/>
    <col min="4064" max="4067" width="12.875" style="2" customWidth="1"/>
    <col min="4068" max="4068" width="12.125" style="2" customWidth="1"/>
    <col min="4069" max="4069" width="9" style="2"/>
    <col min="4070" max="4070" width="12.25" style="2" customWidth="1"/>
    <col min="4071" max="4071" width="9.625" style="2" customWidth="1"/>
    <col min="4072" max="4073" width="9.75" style="2" customWidth="1"/>
    <col min="4074" max="4074" width="9.375" style="2" customWidth="1"/>
    <col min="4075" max="4316" width="9" style="2"/>
    <col min="4317" max="4318" width="3.75" style="2" customWidth="1"/>
    <col min="4319" max="4319" width="15" style="2" customWidth="1"/>
    <col min="4320" max="4323" width="12.875" style="2" customWidth="1"/>
    <col min="4324" max="4324" width="12.125" style="2" customWidth="1"/>
    <col min="4325" max="4325" width="9" style="2"/>
    <col min="4326" max="4326" width="12.25" style="2" customWidth="1"/>
    <col min="4327" max="4327" width="9.625" style="2" customWidth="1"/>
    <col min="4328" max="4329" width="9.75" style="2" customWidth="1"/>
    <col min="4330" max="4330" width="9.375" style="2" customWidth="1"/>
    <col min="4331" max="4572" width="9" style="2"/>
    <col min="4573" max="4574" width="3.75" style="2" customWidth="1"/>
    <col min="4575" max="4575" width="15" style="2" customWidth="1"/>
    <col min="4576" max="4579" width="12.875" style="2" customWidth="1"/>
    <col min="4580" max="4580" width="12.125" style="2" customWidth="1"/>
    <col min="4581" max="4581" width="9" style="2"/>
    <col min="4582" max="4582" width="12.25" style="2" customWidth="1"/>
    <col min="4583" max="4583" width="9.625" style="2" customWidth="1"/>
    <col min="4584" max="4585" width="9.75" style="2" customWidth="1"/>
    <col min="4586" max="4586" width="9.375" style="2" customWidth="1"/>
    <col min="4587" max="4828" width="9" style="2"/>
    <col min="4829" max="4830" width="3.75" style="2" customWidth="1"/>
    <col min="4831" max="4831" width="15" style="2" customWidth="1"/>
    <col min="4832" max="4835" width="12.875" style="2" customWidth="1"/>
    <col min="4836" max="4836" width="12.125" style="2" customWidth="1"/>
    <col min="4837" max="4837" width="9" style="2"/>
    <col min="4838" max="4838" width="12.25" style="2" customWidth="1"/>
    <col min="4839" max="4839" width="9.625" style="2" customWidth="1"/>
    <col min="4840" max="4841" width="9.75" style="2" customWidth="1"/>
    <col min="4842" max="4842" width="9.375" style="2" customWidth="1"/>
    <col min="4843" max="5084" width="9" style="2"/>
    <col min="5085" max="5086" width="3.75" style="2" customWidth="1"/>
    <col min="5087" max="5087" width="15" style="2" customWidth="1"/>
    <col min="5088" max="5091" width="12.875" style="2" customWidth="1"/>
    <col min="5092" max="5092" width="12.125" style="2" customWidth="1"/>
    <col min="5093" max="5093" width="9" style="2"/>
    <col min="5094" max="5094" width="12.25" style="2" customWidth="1"/>
    <col min="5095" max="5095" width="9.625" style="2" customWidth="1"/>
    <col min="5096" max="5097" width="9.75" style="2" customWidth="1"/>
    <col min="5098" max="5098" width="9.375" style="2" customWidth="1"/>
    <col min="5099" max="5340" width="9" style="2"/>
    <col min="5341" max="5342" width="3.75" style="2" customWidth="1"/>
    <col min="5343" max="5343" width="15" style="2" customWidth="1"/>
    <col min="5344" max="5347" width="12.875" style="2" customWidth="1"/>
    <col min="5348" max="5348" width="12.125" style="2" customWidth="1"/>
    <col min="5349" max="5349" width="9" style="2"/>
    <col min="5350" max="5350" width="12.25" style="2" customWidth="1"/>
    <col min="5351" max="5351" width="9.625" style="2" customWidth="1"/>
    <col min="5352" max="5353" width="9.75" style="2" customWidth="1"/>
    <col min="5354" max="5354" width="9.375" style="2" customWidth="1"/>
    <col min="5355" max="5596" width="9" style="2"/>
    <col min="5597" max="5598" width="3.75" style="2" customWidth="1"/>
    <col min="5599" max="5599" width="15" style="2" customWidth="1"/>
    <col min="5600" max="5603" width="12.875" style="2" customWidth="1"/>
    <col min="5604" max="5604" width="12.125" style="2" customWidth="1"/>
    <col min="5605" max="5605" width="9" style="2"/>
    <col min="5606" max="5606" width="12.25" style="2" customWidth="1"/>
    <col min="5607" max="5607" width="9.625" style="2" customWidth="1"/>
    <col min="5608" max="5609" width="9.75" style="2" customWidth="1"/>
    <col min="5610" max="5610" width="9.375" style="2" customWidth="1"/>
    <col min="5611" max="5852" width="9" style="2"/>
    <col min="5853" max="5854" width="3.75" style="2" customWidth="1"/>
    <col min="5855" max="5855" width="15" style="2" customWidth="1"/>
    <col min="5856" max="5859" width="12.875" style="2" customWidth="1"/>
    <col min="5860" max="5860" width="12.125" style="2" customWidth="1"/>
    <col min="5861" max="5861" width="9" style="2"/>
    <col min="5862" max="5862" width="12.25" style="2" customWidth="1"/>
    <col min="5863" max="5863" width="9.625" style="2" customWidth="1"/>
    <col min="5864" max="5865" width="9.75" style="2" customWidth="1"/>
    <col min="5866" max="5866" width="9.375" style="2" customWidth="1"/>
    <col min="5867" max="6108" width="9" style="2"/>
    <col min="6109" max="6110" width="3.75" style="2" customWidth="1"/>
    <col min="6111" max="6111" width="15" style="2" customWidth="1"/>
    <col min="6112" max="6115" width="12.875" style="2" customWidth="1"/>
    <col min="6116" max="6116" width="12.125" style="2" customWidth="1"/>
    <col min="6117" max="6117" width="9" style="2"/>
    <col min="6118" max="6118" width="12.25" style="2" customWidth="1"/>
    <col min="6119" max="6119" width="9.625" style="2" customWidth="1"/>
    <col min="6120" max="6121" width="9.75" style="2" customWidth="1"/>
    <col min="6122" max="6122" width="9.375" style="2" customWidth="1"/>
    <col min="6123" max="6364" width="9" style="2"/>
    <col min="6365" max="6366" width="3.75" style="2" customWidth="1"/>
    <col min="6367" max="6367" width="15" style="2" customWidth="1"/>
    <col min="6368" max="6371" width="12.875" style="2" customWidth="1"/>
    <col min="6372" max="6372" width="12.125" style="2" customWidth="1"/>
    <col min="6373" max="6373" width="9" style="2"/>
    <col min="6374" max="6374" width="12.25" style="2" customWidth="1"/>
    <col min="6375" max="6375" width="9.625" style="2" customWidth="1"/>
    <col min="6376" max="6377" width="9.75" style="2" customWidth="1"/>
    <col min="6378" max="6378" width="9.375" style="2" customWidth="1"/>
    <col min="6379" max="6620" width="9" style="2"/>
    <col min="6621" max="6622" width="3.75" style="2" customWidth="1"/>
    <col min="6623" max="6623" width="15" style="2" customWidth="1"/>
    <col min="6624" max="6627" width="12.875" style="2" customWidth="1"/>
    <col min="6628" max="6628" width="12.125" style="2" customWidth="1"/>
    <col min="6629" max="6629" width="9" style="2"/>
    <col min="6630" max="6630" width="12.25" style="2" customWidth="1"/>
    <col min="6631" max="6631" width="9.625" style="2" customWidth="1"/>
    <col min="6632" max="6633" width="9.75" style="2" customWidth="1"/>
    <col min="6634" max="6634" width="9.375" style="2" customWidth="1"/>
    <col min="6635" max="6876" width="9" style="2"/>
    <col min="6877" max="6878" width="3.75" style="2" customWidth="1"/>
    <col min="6879" max="6879" width="15" style="2" customWidth="1"/>
    <col min="6880" max="6883" width="12.875" style="2" customWidth="1"/>
    <col min="6884" max="6884" width="12.125" style="2" customWidth="1"/>
    <col min="6885" max="6885" width="9" style="2"/>
    <col min="6886" max="6886" width="12.25" style="2" customWidth="1"/>
    <col min="6887" max="6887" width="9.625" style="2" customWidth="1"/>
    <col min="6888" max="6889" width="9.75" style="2" customWidth="1"/>
    <col min="6890" max="6890" width="9.375" style="2" customWidth="1"/>
    <col min="6891" max="7132" width="9" style="2"/>
    <col min="7133" max="7134" width="3.75" style="2" customWidth="1"/>
    <col min="7135" max="7135" width="15" style="2" customWidth="1"/>
    <col min="7136" max="7139" width="12.875" style="2" customWidth="1"/>
    <col min="7140" max="7140" width="12.125" style="2" customWidth="1"/>
    <col min="7141" max="7141" width="9" style="2"/>
    <col min="7142" max="7142" width="12.25" style="2" customWidth="1"/>
    <col min="7143" max="7143" width="9.625" style="2" customWidth="1"/>
    <col min="7144" max="7145" width="9.75" style="2" customWidth="1"/>
    <col min="7146" max="7146" width="9.375" style="2" customWidth="1"/>
    <col min="7147" max="7388" width="9" style="2"/>
    <col min="7389" max="7390" width="3.75" style="2" customWidth="1"/>
    <col min="7391" max="7391" width="15" style="2" customWidth="1"/>
    <col min="7392" max="7395" width="12.875" style="2" customWidth="1"/>
    <col min="7396" max="7396" width="12.125" style="2" customWidth="1"/>
    <col min="7397" max="7397" width="9" style="2"/>
    <col min="7398" max="7398" width="12.25" style="2" customWidth="1"/>
    <col min="7399" max="7399" width="9.625" style="2" customWidth="1"/>
    <col min="7400" max="7401" width="9.75" style="2" customWidth="1"/>
    <col min="7402" max="7402" width="9.375" style="2" customWidth="1"/>
    <col min="7403" max="7644" width="9" style="2"/>
    <col min="7645" max="7646" width="3.75" style="2" customWidth="1"/>
    <col min="7647" max="7647" width="15" style="2" customWidth="1"/>
    <col min="7648" max="7651" width="12.875" style="2" customWidth="1"/>
    <col min="7652" max="7652" width="12.125" style="2" customWidth="1"/>
    <col min="7653" max="7653" width="9" style="2"/>
    <col min="7654" max="7654" width="12.25" style="2" customWidth="1"/>
    <col min="7655" max="7655" width="9.625" style="2" customWidth="1"/>
    <col min="7656" max="7657" width="9.75" style="2" customWidth="1"/>
    <col min="7658" max="7658" width="9.375" style="2" customWidth="1"/>
    <col min="7659" max="7900" width="9" style="2"/>
    <col min="7901" max="7902" width="3.75" style="2" customWidth="1"/>
    <col min="7903" max="7903" width="15" style="2" customWidth="1"/>
    <col min="7904" max="7907" width="12.875" style="2" customWidth="1"/>
    <col min="7908" max="7908" width="12.125" style="2" customWidth="1"/>
    <col min="7909" max="7909" width="9" style="2"/>
    <col min="7910" max="7910" width="12.25" style="2" customWidth="1"/>
    <col min="7911" max="7911" width="9.625" style="2" customWidth="1"/>
    <col min="7912" max="7913" width="9.75" style="2" customWidth="1"/>
    <col min="7914" max="7914" width="9.375" style="2" customWidth="1"/>
    <col min="7915" max="8156" width="9" style="2"/>
    <col min="8157" max="8158" width="3.75" style="2" customWidth="1"/>
    <col min="8159" max="8159" width="15" style="2" customWidth="1"/>
    <col min="8160" max="8163" width="12.875" style="2" customWidth="1"/>
    <col min="8164" max="8164" width="12.125" style="2" customWidth="1"/>
    <col min="8165" max="8165" width="9" style="2"/>
    <col min="8166" max="8166" width="12.25" style="2" customWidth="1"/>
    <col min="8167" max="8167" width="9.625" style="2" customWidth="1"/>
    <col min="8168" max="8169" width="9.75" style="2" customWidth="1"/>
    <col min="8170" max="8170" width="9.375" style="2" customWidth="1"/>
    <col min="8171" max="8412" width="9" style="2"/>
    <col min="8413" max="8414" width="3.75" style="2" customWidth="1"/>
    <col min="8415" max="8415" width="15" style="2" customWidth="1"/>
    <col min="8416" max="8419" width="12.875" style="2" customWidth="1"/>
    <col min="8420" max="8420" width="12.125" style="2" customWidth="1"/>
    <col min="8421" max="8421" width="9" style="2"/>
    <col min="8422" max="8422" width="12.25" style="2" customWidth="1"/>
    <col min="8423" max="8423" width="9.625" style="2" customWidth="1"/>
    <col min="8424" max="8425" width="9.75" style="2" customWidth="1"/>
    <col min="8426" max="8426" width="9.375" style="2" customWidth="1"/>
    <col min="8427" max="8668" width="9" style="2"/>
    <col min="8669" max="8670" width="3.75" style="2" customWidth="1"/>
    <col min="8671" max="8671" width="15" style="2" customWidth="1"/>
    <col min="8672" max="8675" width="12.875" style="2" customWidth="1"/>
    <col min="8676" max="8676" width="12.125" style="2" customWidth="1"/>
    <col min="8677" max="8677" width="9" style="2"/>
    <col min="8678" max="8678" width="12.25" style="2" customWidth="1"/>
    <col min="8679" max="8679" width="9.625" style="2" customWidth="1"/>
    <col min="8680" max="8681" width="9.75" style="2" customWidth="1"/>
    <col min="8682" max="8682" width="9.375" style="2" customWidth="1"/>
    <col min="8683" max="8924" width="9" style="2"/>
    <col min="8925" max="8926" width="3.75" style="2" customWidth="1"/>
    <col min="8927" max="8927" width="15" style="2" customWidth="1"/>
    <col min="8928" max="8931" width="12.875" style="2" customWidth="1"/>
    <col min="8932" max="8932" width="12.125" style="2" customWidth="1"/>
    <col min="8933" max="8933" width="9" style="2"/>
    <col min="8934" max="8934" width="12.25" style="2" customWidth="1"/>
    <col min="8935" max="8935" width="9.625" style="2" customWidth="1"/>
    <col min="8936" max="8937" width="9.75" style="2" customWidth="1"/>
    <col min="8938" max="8938" width="9.375" style="2" customWidth="1"/>
    <col min="8939" max="9180" width="9" style="2"/>
    <col min="9181" max="9182" width="3.75" style="2" customWidth="1"/>
    <col min="9183" max="9183" width="15" style="2" customWidth="1"/>
    <col min="9184" max="9187" width="12.875" style="2" customWidth="1"/>
    <col min="9188" max="9188" width="12.125" style="2" customWidth="1"/>
    <col min="9189" max="9189" width="9" style="2"/>
    <col min="9190" max="9190" width="12.25" style="2" customWidth="1"/>
    <col min="9191" max="9191" width="9.625" style="2" customWidth="1"/>
    <col min="9192" max="9193" width="9.75" style="2" customWidth="1"/>
    <col min="9194" max="9194" width="9.375" style="2" customWidth="1"/>
    <col min="9195" max="9436" width="9" style="2"/>
    <col min="9437" max="9438" width="3.75" style="2" customWidth="1"/>
    <col min="9439" max="9439" width="15" style="2" customWidth="1"/>
    <col min="9440" max="9443" width="12.875" style="2" customWidth="1"/>
    <col min="9444" max="9444" width="12.125" style="2" customWidth="1"/>
    <col min="9445" max="9445" width="9" style="2"/>
    <col min="9446" max="9446" width="12.25" style="2" customWidth="1"/>
    <col min="9447" max="9447" width="9.625" style="2" customWidth="1"/>
    <col min="9448" max="9449" width="9.75" style="2" customWidth="1"/>
    <col min="9450" max="9450" width="9.375" style="2" customWidth="1"/>
    <col min="9451" max="9692" width="9" style="2"/>
    <col min="9693" max="9694" width="3.75" style="2" customWidth="1"/>
    <col min="9695" max="9695" width="15" style="2" customWidth="1"/>
    <col min="9696" max="9699" width="12.875" style="2" customWidth="1"/>
    <col min="9700" max="9700" width="12.125" style="2" customWidth="1"/>
    <col min="9701" max="9701" width="9" style="2"/>
    <col min="9702" max="9702" width="12.25" style="2" customWidth="1"/>
    <col min="9703" max="9703" width="9.625" style="2" customWidth="1"/>
    <col min="9704" max="9705" width="9.75" style="2" customWidth="1"/>
    <col min="9706" max="9706" width="9.375" style="2" customWidth="1"/>
    <col min="9707" max="9948" width="9" style="2"/>
    <col min="9949" max="9950" width="3.75" style="2" customWidth="1"/>
    <col min="9951" max="9951" width="15" style="2" customWidth="1"/>
    <col min="9952" max="9955" width="12.875" style="2" customWidth="1"/>
    <col min="9956" max="9956" width="12.125" style="2" customWidth="1"/>
    <col min="9957" max="9957" width="9" style="2"/>
    <col min="9958" max="9958" width="12.25" style="2" customWidth="1"/>
    <col min="9959" max="9959" width="9.625" style="2" customWidth="1"/>
    <col min="9960" max="9961" width="9.75" style="2" customWidth="1"/>
    <col min="9962" max="9962" width="9.375" style="2" customWidth="1"/>
    <col min="9963" max="10204" width="9" style="2"/>
    <col min="10205" max="10206" width="3.75" style="2" customWidth="1"/>
    <col min="10207" max="10207" width="15" style="2" customWidth="1"/>
    <col min="10208" max="10211" width="12.875" style="2" customWidth="1"/>
    <col min="10212" max="10212" width="12.125" style="2" customWidth="1"/>
    <col min="10213" max="10213" width="9" style="2"/>
    <col min="10214" max="10214" width="12.25" style="2" customWidth="1"/>
    <col min="10215" max="10215" width="9.625" style="2" customWidth="1"/>
    <col min="10216" max="10217" width="9.75" style="2" customWidth="1"/>
    <col min="10218" max="10218" width="9.375" style="2" customWidth="1"/>
    <col min="10219" max="10460" width="9" style="2"/>
    <col min="10461" max="10462" width="3.75" style="2" customWidth="1"/>
    <col min="10463" max="10463" width="15" style="2" customWidth="1"/>
    <col min="10464" max="10467" width="12.875" style="2" customWidth="1"/>
    <col min="10468" max="10468" width="12.125" style="2" customWidth="1"/>
    <col min="10469" max="10469" width="9" style="2"/>
    <col min="10470" max="10470" width="12.25" style="2" customWidth="1"/>
    <col min="10471" max="10471" width="9.625" style="2" customWidth="1"/>
    <col min="10472" max="10473" width="9.75" style="2" customWidth="1"/>
    <col min="10474" max="10474" width="9.375" style="2" customWidth="1"/>
    <col min="10475" max="10716" width="9" style="2"/>
    <col min="10717" max="10718" width="3.75" style="2" customWidth="1"/>
    <col min="10719" max="10719" width="15" style="2" customWidth="1"/>
    <col min="10720" max="10723" width="12.875" style="2" customWidth="1"/>
    <col min="10724" max="10724" width="12.125" style="2" customWidth="1"/>
    <col min="10725" max="10725" width="9" style="2"/>
    <col min="10726" max="10726" width="12.25" style="2" customWidth="1"/>
    <col min="10727" max="10727" width="9.625" style="2" customWidth="1"/>
    <col min="10728" max="10729" width="9.75" style="2" customWidth="1"/>
    <col min="10730" max="10730" width="9.375" style="2" customWidth="1"/>
    <col min="10731" max="10972" width="9" style="2"/>
    <col min="10973" max="10974" width="3.75" style="2" customWidth="1"/>
    <col min="10975" max="10975" width="15" style="2" customWidth="1"/>
    <col min="10976" max="10979" width="12.875" style="2" customWidth="1"/>
    <col min="10980" max="10980" width="12.125" style="2" customWidth="1"/>
    <col min="10981" max="10981" width="9" style="2"/>
    <col min="10982" max="10982" width="12.25" style="2" customWidth="1"/>
    <col min="10983" max="10983" width="9.625" style="2" customWidth="1"/>
    <col min="10984" max="10985" width="9.75" style="2" customWidth="1"/>
    <col min="10986" max="10986" width="9.375" style="2" customWidth="1"/>
    <col min="10987" max="11228" width="9" style="2"/>
    <col min="11229" max="11230" width="3.75" style="2" customWidth="1"/>
    <col min="11231" max="11231" width="15" style="2" customWidth="1"/>
    <col min="11232" max="11235" width="12.875" style="2" customWidth="1"/>
    <col min="11236" max="11236" width="12.125" style="2" customWidth="1"/>
    <col min="11237" max="11237" width="9" style="2"/>
    <col min="11238" max="11238" width="12.25" style="2" customWidth="1"/>
    <col min="11239" max="11239" width="9.625" style="2" customWidth="1"/>
    <col min="11240" max="11241" width="9.75" style="2" customWidth="1"/>
    <col min="11242" max="11242" width="9.375" style="2" customWidth="1"/>
    <col min="11243" max="11484" width="9" style="2"/>
    <col min="11485" max="11486" width="3.75" style="2" customWidth="1"/>
    <col min="11487" max="11487" width="15" style="2" customWidth="1"/>
    <col min="11488" max="11491" width="12.875" style="2" customWidth="1"/>
    <col min="11492" max="11492" width="12.125" style="2" customWidth="1"/>
    <col min="11493" max="11493" width="9" style="2"/>
    <col min="11494" max="11494" width="12.25" style="2" customWidth="1"/>
    <col min="11495" max="11495" width="9.625" style="2" customWidth="1"/>
    <col min="11496" max="11497" width="9.75" style="2" customWidth="1"/>
    <col min="11498" max="11498" width="9.375" style="2" customWidth="1"/>
    <col min="11499" max="11740" width="9" style="2"/>
    <col min="11741" max="11742" width="3.75" style="2" customWidth="1"/>
    <col min="11743" max="11743" width="15" style="2" customWidth="1"/>
    <col min="11744" max="11747" width="12.875" style="2" customWidth="1"/>
    <col min="11748" max="11748" width="12.125" style="2" customWidth="1"/>
    <col min="11749" max="11749" width="9" style="2"/>
    <col min="11750" max="11750" width="12.25" style="2" customWidth="1"/>
    <col min="11751" max="11751" width="9.625" style="2" customWidth="1"/>
    <col min="11752" max="11753" width="9.75" style="2" customWidth="1"/>
    <col min="11754" max="11754" width="9.375" style="2" customWidth="1"/>
    <col min="11755" max="11996" width="9" style="2"/>
    <col min="11997" max="11998" width="3.75" style="2" customWidth="1"/>
    <col min="11999" max="11999" width="15" style="2" customWidth="1"/>
    <col min="12000" max="12003" width="12.875" style="2" customWidth="1"/>
    <col min="12004" max="12004" width="12.125" style="2" customWidth="1"/>
    <col min="12005" max="12005" width="9" style="2"/>
    <col min="12006" max="12006" width="12.25" style="2" customWidth="1"/>
    <col min="12007" max="12007" width="9.625" style="2" customWidth="1"/>
    <col min="12008" max="12009" width="9.75" style="2" customWidth="1"/>
    <col min="12010" max="12010" width="9.375" style="2" customWidth="1"/>
    <col min="12011" max="12252" width="9" style="2"/>
    <col min="12253" max="12254" width="3.75" style="2" customWidth="1"/>
    <col min="12255" max="12255" width="15" style="2" customWidth="1"/>
    <col min="12256" max="12259" width="12.875" style="2" customWidth="1"/>
    <col min="12260" max="12260" width="12.125" style="2" customWidth="1"/>
    <col min="12261" max="12261" width="9" style="2"/>
    <col min="12262" max="12262" width="12.25" style="2" customWidth="1"/>
    <col min="12263" max="12263" width="9.625" style="2" customWidth="1"/>
    <col min="12264" max="12265" width="9.75" style="2" customWidth="1"/>
    <col min="12266" max="12266" width="9.375" style="2" customWidth="1"/>
    <col min="12267" max="12508" width="9" style="2"/>
    <col min="12509" max="12510" width="3.75" style="2" customWidth="1"/>
    <col min="12511" max="12511" width="15" style="2" customWidth="1"/>
    <col min="12512" max="12515" width="12.875" style="2" customWidth="1"/>
    <col min="12516" max="12516" width="12.125" style="2" customWidth="1"/>
    <col min="12517" max="12517" width="9" style="2"/>
    <col min="12518" max="12518" width="12.25" style="2" customWidth="1"/>
    <col min="12519" max="12519" width="9.625" style="2" customWidth="1"/>
    <col min="12520" max="12521" width="9.75" style="2" customWidth="1"/>
    <col min="12522" max="12522" width="9.375" style="2" customWidth="1"/>
    <col min="12523" max="12764" width="9" style="2"/>
    <col min="12765" max="12766" width="3.75" style="2" customWidth="1"/>
    <col min="12767" max="12767" width="15" style="2" customWidth="1"/>
    <col min="12768" max="12771" width="12.875" style="2" customWidth="1"/>
    <col min="12772" max="12772" width="12.125" style="2" customWidth="1"/>
    <col min="12773" max="12773" width="9" style="2"/>
    <col min="12774" max="12774" width="12.25" style="2" customWidth="1"/>
    <col min="12775" max="12775" width="9.625" style="2" customWidth="1"/>
    <col min="12776" max="12777" width="9.75" style="2" customWidth="1"/>
    <col min="12778" max="12778" width="9.375" style="2" customWidth="1"/>
    <col min="12779" max="13020" width="9" style="2"/>
    <col min="13021" max="13022" width="3.75" style="2" customWidth="1"/>
    <col min="13023" max="13023" width="15" style="2" customWidth="1"/>
    <col min="13024" max="13027" width="12.875" style="2" customWidth="1"/>
    <col min="13028" max="13028" width="12.125" style="2" customWidth="1"/>
    <col min="13029" max="13029" width="9" style="2"/>
    <col min="13030" max="13030" width="12.25" style="2" customWidth="1"/>
    <col min="13031" max="13031" width="9.625" style="2" customWidth="1"/>
    <col min="13032" max="13033" width="9.75" style="2" customWidth="1"/>
    <col min="13034" max="13034" width="9.375" style="2" customWidth="1"/>
    <col min="13035" max="13276" width="9" style="2"/>
    <col min="13277" max="13278" width="3.75" style="2" customWidth="1"/>
    <col min="13279" max="13279" width="15" style="2" customWidth="1"/>
    <col min="13280" max="13283" width="12.875" style="2" customWidth="1"/>
    <col min="13284" max="13284" width="12.125" style="2" customWidth="1"/>
    <col min="13285" max="13285" width="9" style="2"/>
    <col min="13286" max="13286" width="12.25" style="2" customWidth="1"/>
    <col min="13287" max="13287" width="9.625" style="2" customWidth="1"/>
    <col min="13288" max="13289" width="9.75" style="2" customWidth="1"/>
    <col min="13290" max="13290" width="9.375" style="2" customWidth="1"/>
    <col min="13291" max="13532" width="9" style="2"/>
    <col min="13533" max="13534" width="3.75" style="2" customWidth="1"/>
    <col min="13535" max="13535" width="15" style="2" customWidth="1"/>
    <col min="13536" max="13539" width="12.875" style="2" customWidth="1"/>
    <col min="13540" max="13540" width="12.125" style="2" customWidth="1"/>
    <col min="13541" max="13541" width="9" style="2"/>
    <col min="13542" max="13542" width="12.25" style="2" customWidth="1"/>
    <col min="13543" max="13543" width="9.625" style="2" customWidth="1"/>
    <col min="13544" max="13545" width="9.75" style="2" customWidth="1"/>
    <col min="13546" max="13546" width="9.375" style="2" customWidth="1"/>
    <col min="13547" max="13788" width="9" style="2"/>
    <col min="13789" max="13790" width="3.75" style="2" customWidth="1"/>
    <col min="13791" max="13791" width="15" style="2" customWidth="1"/>
    <col min="13792" max="13795" width="12.875" style="2" customWidth="1"/>
    <col min="13796" max="13796" width="12.125" style="2" customWidth="1"/>
    <col min="13797" max="13797" width="9" style="2"/>
    <col min="13798" max="13798" width="12.25" style="2" customWidth="1"/>
    <col min="13799" max="13799" width="9.625" style="2" customWidth="1"/>
    <col min="13800" max="13801" width="9.75" style="2" customWidth="1"/>
    <col min="13802" max="13802" width="9.375" style="2" customWidth="1"/>
    <col min="13803" max="14044" width="9" style="2"/>
    <col min="14045" max="14046" width="3.75" style="2" customWidth="1"/>
    <col min="14047" max="14047" width="15" style="2" customWidth="1"/>
    <col min="14048" max="14051" width="12.875" style="2" customWidth="1"/>
    <col min="14052" max="14052" width="12.125" style="2" customWidth="1"/>
    <col min="14053" max="14053" width="9" style="2"/>
    <col min="14054" max="14054" width="12.25" style="2" customWidth="1"/>
    <col min="14055" max="14055" width="9.625" style="2" customWidth="1"/>
    <col min="14056" max="14057" width="9.75" style="2" customWidth="1"/>
    <col min="14058" max="14058" width="9.375" style="2" customWidth="1"/>
    <col min="14059" max="14300" width="9" style="2"/>
    <col min="14301" max="14302" width="3.75" style="2" customWidth="1"/>
    <col min="14303" max="14303" width="15" style="2" customWidth="1"/>
    <col min="14304" max="14307" width="12.875" style="2" customWidth="1"/>
    <col min="14308" max="14308" width="12.125" style="2" customWidth="1"/>
    <col min="14309" max="14309" width="9" style="2"/>
    <col min="14310" max="14310" width="12.25" style="2" customWidth="1"/>
    <col min="14311" max="14311" width="9.625" style="2" customWidth="1"/>
    <col min="14312" max="14313" width="9.75" style="2" customWidth="1"/>
    <col min="14314" max="14314" width="9.375" style="2" customWidth="1"/>
    <col min="14315" max="14556" width="9" style="2"/>
    <col min="14557" max="14558" width="3.75" style="2" customWidth="1"/>
    <col min="14559" max="14559" width="15" style="2" customWidth="1"/>
    <col min="14560" max="14563" width="12.875" style="2" customWidth="1"/>
    <col min="14564" max="14564" width="12.125" style="2" customWidth="1"/>
    <col min="14565" max="14565" width="9" style="2"/>
    <col min="14566" max="14566" width="12.25" style="2" customWidth="1"/>
    <col min="14567" max="14567" width="9.625" style="2" customWidth="1"/>
    <col min="14568" max="14569" width="9.75" style="2" customWidth="1"/>
    <col min="14570" max="14570" width="9.375" style="2" customWidth="1"/>
    <col min="14571" max="14812" width="9" style="2"/>
    <col min="14813" max="14814" width="3.75" style="2" customWidth="1"/>
    <col min="14815" max="14815" width="15" style="2" customWidth="1"/>
    <col min="14816" max="14819" width="12.875" style="2" customWidth="1"/>
    <col min="14820" max="14820" width="12.125" style="2" customWidth="1"/>
    <col min="14821" max="14821" width="9" style="2"/>
    <col min="14822" max="14822" width="12.25" style="2" customWidth="1"/>
    <col min="14823" max="14823" width="9.625" style="2" customWidth="1"/>
    <col min="14824" max="14825" width="9.75" style="2" customWidth="1"/>
    <col min="14826" max="14826" width="9.375" style="2" customWidth="1"/>
    <col min="14827" max="15068" width="9" style="2"/>
    <col min="15069" max="15070" width="3.75" style="2" customWidth="1"/>
    <col min="15071" max="15071" width="15" style="2" customWidth="1"/>
    <col min="15072" max="15075" width="12.875" style="2" customWidth="1"/>
    <col min="15076" max="15076" width="12.125" style="2" customWidth="1"/>
    <col min="15077" max="15077" width="9" style="2"/>
    <col min="15078" max="15078" width="12.25" style="2" customWidth="1"/>
    <col min="15079" max="15079" width="9.625" style="2" customWidth="1"/>
    <col min="15080" max="15081" width="9.75" style="2" customWidth="1"/>
    <col min="15082" max="15082" width="9.375" style="2" customWidth="1"/>
    <col min="15083" max="15324" width="9" style="2"/>
    <col min="15325" max="15326" width="3.75" style="2" customWidth="1"/>
    <col min="15327" max="15327" width="15" style="2" customWidth="1"/>
    <col min="15328" max="15331" width="12.875" style="2" customWidth="1"/>
    <col min="15332" max="15332" width="12.125" style="2" customWidth="1"/>
    <col min="15333" max="15333" width="9" style="2"/>
    <col min="15334" max="15334" width="12.25" style="2" customWidth="1"/>
    <col min="15335" max="15335" width="9.625" style="2" customWidth="1"/>
    <col min="15336" max="15337" width="9.75" style="2" customWidth="1"/>
    <col min="15338" max="15338" width="9.375" style="2" customWidth="1"/>
    <col min="15339" max="15580" width="9" style="2"/>
    <col min="15581" max="15582" width="3.75" style="2" customWidth="1"/>
    <col min="15583" max="15583" width="15" style="2" customWidth="1"/>
    <col min="15584" max="15587" width="12.875" style="2" customWidth="1"/>
    <col min="15588" max="15588" width="12.125" style="2" customWidth="1"/>
    <col min="15589" max="15589" width="9" style="2"/>
    <col min="15590" max="15590" width="12.25" style="2" customWidth="1"/>
    <col min="15591" max="15591" width="9.625" style="2" customWidth="1"/>
    <col min="15592" max="15593" width="9.75" style="2" customWidth="1"/>
    <col min="15594" max="15594" width="9.375" style="2" customWidth="1"/>
    <col min="15595" max="15836" width="9" style="2"/>
    <col min="15837" max="15838" width="3.75" style="2" customWidth="1"/>
    <col min="15839" max="15839" width="15" style="2" customWidth="1"/>
    <col min="15840" max="15843" width="12.875" style="2" customWidth="1"/>
    <col min="15844" max="15844" width="12.125" style="2" customWidth="1"/>
    <col min="15845" max="15845" width="9" style="2"/>
    <col min="15846" max="15846" width="12.25" style="2" customWidth="1"/>
    <col min="15847" max="15847" width="9.625" style="2" customWidth="1"/>
    <col min="15848" max="15849" width="9.75" style="2" customWidth="1"/>
    <col min="15850" max="15850" width="9.375" style="2" customWidth="1"/>
    <col min="15851" max="16092" width="9" style="2"/>
    <col min="16093" max="16094" width="3.75" style="2" customWidth="1"/>
    <col min="16095" max="16095" width="15" style="2" customWidth="1"/>
    <col min="16096" max="16099" width="12.875" style="2" customWidth="1"/>
    <col min="16100" max="16100" width="12.125" style="2" customWidth="1"/>
    <col min="16101" max="16101" width="9" style="2"/>
    <col min="16102" max="16102" width="12.25" style="2" customWidth="1"/>
    <col min="16103" max="16103" width="9.625" style="2" customWidth="1"/>
    <col min="16104" max="16105" width="9.75" style="2" customWidth="1"/>
    <col min="16106" max="16106" width="9.375" style="2" customWidth="1"/>
    <col min="16107" max="16384" width="9" style="2"/>
  </cols>
  <sheetData>
    <row r="1" spans="1:9" ht="20.100000000000001" customHeight="1">
      <c r="A1" s="1" t="s">
        <v>1066</v>
      </c>
      <c r="B1" s="1"/>
    </row>
    <row r="2" spans="1:9" ht="20.100000000000001" customHeight="1">
      <c r="A2" s="1" t="s">
        <v>1067</v>
      </c>
      <c r="B2" s="1"/>
    </row>
    <row r="3" spans="1:9" ht="20.100000000000001" customHeight="1">
      <c r="A3" s="1"/>
      <c r="B3" s="1"/>
      <c r="I3" s="3" t="s">
        <v>190</v>
      </c>
    </row>
    <row r="4" spans="1:9" ht="20.100000000000001" customHeight="1">
      <c r="A4" s="744" t="s">
        <v>174</v>
      </c>
      <c r="B4" s="745"/>
      <c r="C4" s="745"/>
      <c r="D4" s="746"/>
      <c r="E4" s="542" t="s">
        <v>95</v>
      </c>
      <c r="F4" s="679" t="s">
        <v>186</v>
      </c>
      <c r="G4" s="679" t="s">
        <v>187</v>
      </c>
      <c r="H4" s="679" t="s">
        <v>188</v>
      </c>
      <c r="I4" s="543" t="s">
        <v>189</v>
      </c>
    </row>
    <row r="5" spans="1:9" ht="20.100000000000001" customHeight="1">
      <c r="A5" s="760" t="s">
        <v>95</v>
      </c>
      <c r="B5" s="761"/>
      <c r="C5" s="761"/>
      <c r="D5" s="762"/>
      <c r="E5" s="563">
        <f t="shared" ref="E5:E32" si="0">SUM(F5:I5)</f>
        <v>223473.9</v>
      </c>
      <c r="F5" s="564">
        <f>+F21+F32</f>
        <v>143708.5</v>
      </c>
      <c r="G5" s="564">
        <f>+G21+G32</f>
        <v>31064.400000000001</v>
      </c>
      <c r="H5" s="564">
        <f>+H21+H32</f>
        <v>11395</v>
      </c>
      <c r="I5" s="680">
        <f>+I21+I32</f>
        <v>37306</v>
      </c>
    </row>
    <row r="6" spans="1:9" ht="20.100000000000001" customHeight="1">
      <c r="A6" s="754" t="s">
        <v>206</v>
      </c>
      <c r="B6" s="747" t="s">
        <v>177</v>
      </c>
      <c r="C6" s="747" t="s">
        <v>178</v>
      </c>
      <c r="D6" s="748"/>
      <c r="E6" s="559">
        <f t="shared" si="0"/>
        <v>78762.899999999994</v>
      </c>
      <c r="F6" s="560">
        <f>+'1.2 음성처리구역'!E16+'1.3 금왕처리구역'!E16+'1.4 대소처리구역'!E16+'1.5 생극처리구역'!E16+'1.6 감곡처리구역'!E16+'1.7 맹동처리구역'!E16</f>
        <v>42124.5</v>
      </c>
      <c r="G6" s="560">
        <f>+'1.2 음성처리구역'!F16+'1.3 금왕처리구역'!F16+'1.4 대소처리구역'!F16+'1.5 생극처리구역'!F16+'1.6 감곡처리구역'!F16+'1.7 맹동처리구역'!F16</f>
        <v>2309.3999999999996</v>
      </c>
      <c r="H6" s="560">
        <f>+'1.2 음성처리구역'!G16+'1.3 금왕처리구역'!G16+'1.4 대소처리구역'!G16+'1.5 생극처리구역'!G16+'1.6 감곡처리구역'!G16+'1.7 맹동처리구역'!G16</f>
        <v>0</v>
      </c>
      <c r="I6" s="681">
        <f>+'1.2 음성처리구역'!H16+'1.3 금왕처리구역'!H16+'1.4 대소처리구역'!H16+'1.5 생극처리구역'!H16+'1.6 감곡처리구역'!H16+'1.7 맹동처리구역'!H16</f>
        <v>34329</v>
      </c>
    </row>
    <row r="7" spans="1:9" ht="20.100000000000001" customHeight="1">
      <c r="A7" s="755"/>
      <c r="B7" s="747"/>
      <c r="C7" s="747" t="s">
        <v>179</v>
      </c>
      <c r="D7" s="748"/>
      <c r="E7" s="559">
        <f t="shared" si="0"/>
        <v>0</v>
      </c>
      <c r="F7" s="560">
        <f>+'1.2 음성처리구역'!E17+'1.3 금왕처리구역'!E17+'1.4 대소처리구역'!E17+'1.5 생극처리구역'!E17+'1.6 감곡처리구역'!E17+'1.7 맹동처리구역'!E17</f>
        <v>0</v>
      </c>
      <c r="G7" s="560">
        <f>+'1.2 음성처리구역'!F17+'1.3 금왕처리구역'!F17+'1.4 대소처리구역'!F17+'1.5 생극처리구역'!F17+'1.6 감곡처리구역'!F17+'1.7 맹동처리구역'!F17</f>
        <v>0</v>
      </c>
      <c r="H7" s="560">
        <f>+'1.2 음성처리구역'!G17+'1.3 금왕처리구역'!G17+'1.4 대소처리구역'!G17+'1.5 생극처리구역'!G17+'1.6 감곡처리구역'!G17+'1.7 맹동처리구역'!G17</f>
        <v>0</v>
      </c>
      <c r="I7" s="681">
        <f>+'1.2 음성처리구역'!H17+'1.3 금왕처리구역'!H17+'1.4 대소처리구역'!H17+'1.5 생극처리구역'!H17+'1.6 감곡처리구역'!H17+'1.7 맹동처리구역'!H17</f>
        <v>0</v>
      </c>
    </row>
    <row r="8" spans="1:9" ht="20.100000000000001" customHeight="1">
      <c r="A8" s="755"/>
      <c r="B8" s="753" t="s">
        <v>193</v>
      </c>
      <c r="C8" s="747" t="s">
        <v>180</v>
      </c>
      <c r="D8" s="678" t="s">
        <v>168</v>
      </c>
      <c r="E8" s="559">
        <f t="shared" si="0"/>
        <v>0</v>
      </c>
      <c r="F8" s="560">
        <f>+'1.2 음성처리구역'!E5+'1.3 금왕처리구역'!E5+'1.4 대소처리구역'!E5+'1.5 생극처리구역'!E5+'1.6 감곡처리구역'!E5+'1.7 맹동처리구역'!E5</f>
        <v>0</v>
      </c>
      <c r="G8" s="560">
        <f>+'1.2 음성처리구역'!F5+'1.3 금왕처리구역'!F5+'1.4 대소처리구역'!F5+'1.5 생극처리구역'!F5+'1.6 감곡처리구역'!F5+'1.7 맹동처리구역'!F5</f>
        <v>0</v>
      </c>
      <c r="H8" s="560">
        <f>+'1.2 음성처리구역'!G5+'1.3 금왕처리구역'!G5+'1.4 대소처리구역'!G5+'1.5 생극처리구역'!G5+'1.6 감곡처리구역'!G5+'1.7 맹동처리구역'!G5</f>
        <v>0</v>
      </c>
      <c r="I8" s="681">
        <f>+'1.2 음성처리구역'!H5+'1.3 금왕처리구역'!H5+'1.4 대소처리구역'!H5+'1.5 생극처리구역'!H5+'1.6 감곡처리구역'!H5+'1.7 맹동처리구역'!H5</f>
        <v>0</v>
      </c>
    </row>
    <row r="9" spans="1:9" ht="20.100000000000001" customHeight="1">
      <c r="A9" s="755"/>
      <c r="B9" s="747"/>
      <c r="C9" s="747"/>
      <c r="D9" s="678" t="s">
        <v>169</v>
      </c>
      <c r="E9" s="559">
        <f t="shared" si="0"/>
        <v>0</v>
      </c>
      <c r="F9" s="560">
        <f>+'1.2 음성처리구역'!E6+'1.3 금왕처리구역'!E6+'1.4 대소처리구역'!E6+'1.5 생극처리구역'!E6+'1.6 감곡처리구역'!E6+'1.7 맹동처리구역'!E6</f>
        <v>0</v>
      </c>
      <c r="G9" s="560">
        <f>+'1.2 음성처리구역'!F6+'1.3 금왕처리구역'!F6+'1.4 대소처리구역'!F6+'1.5 생극처리구역'!F6+'1.6 감곡처리구역'!F6+'1.7 맹동처리구역'!F6</f>
        <v>0</v>
      </c>
      <c r="H9" s="560">
        <f>+'1.2 음성처리구역'!G6+'1.3 금왕처리구역'!G6+'1.4 대소처리구역'!G6+'1.5 생극처리구역'!G6+'1.6 감곡처리구역'!G6+'1.7 맹동처리구역'!G6</f>
        <v>0</v>
      </c>
      <c r="I9" s="681">
        <f>+'1.2 음성처리구역'!H6+'1.3 금왕처리구역'!H6+'1.4 대소처리구역'!H6+'1.5 생극처리구역'!H6+'1.6 감곡처리구역'!H6+'1.7 맹동처리구역'!H6</f>
        <v>0</v>
      </c>
    </row>
    <row r="10" spans="1:9" ht="20.100000000000001" customHeight="1">
      <c r="A10" s="755"/>
      <c r="B10" s="747"/>
      <c r="C10" s="747"/>
      <c r="D10" s="678" t="s">
        <v>95</v>
      </c>
      <c r="E10" s="559">
        <f t="shared" si="0"/>
        <v>0</v>
      </c>
      <c r="F10" s="560">
        <f>SUM(F8:F9)</f>
        <v>0</v>
      </c>
      <c r="G10" s="560">
        <f>SUM(G8:G9)</f>
        <v>0</v>
      </c>
      <c r="H10" s="560">
        <f>SUM(H8:H9)</f>
        <v>0</v>
      </c>
      <c r="I10" s="681">
        <f>SUM(I8:I9)</f>
        <v>0</v>
      </c>
    </row>
    <row r="11" spans="1:9" ht="20.100000000000001" customHeight="1">
      <c r="A11" s="755"/>
      <c r="B11" s="753" t="s">
        <v>191</v>
      </c>
      <c r="C11" s="747" t="s">
        <v>183</v>
      </c>
      <c r="D11" s="748"/>
      <c r="E11" s="559">
        <f t="shared" si="0"/>
        <v>75002</v>
      </c>
      <c r="F11" s="560">
        <f>+'1.2 음성처리구역'!E8+'1.3 금왕처리구역'!E8+'1.4 대소처리구역'!E8+'1.5 생극처리구역'!E8+'1.6 감곡처리구역'!E8+'1.7 맹동처리구역'!E8</f>
        <v>53593</v>
      </c>
      <c r="G11" s="560">
        <f>+'1.2 음성처리구역'!F8+'1.3 금왕처리구역'!F8+'1.4 대소처리구역'!F8+'1.5 생극처리구역'!F8+'1.6 감곡처리구역'!F8+'1.7 맹동처리구역'!F8</f>
        <v>16158</v>
      </c>
      <c r="H11" s="560">
        <f>+'1.2 음성처리구역'!G8+'1.3 금왕처리구역'!G8+'1.4 대소처리구역'!G8+'1.5 생극처리구역'!G8+'1.6 감곡처리구역'!G8+'1.7 맹동처리구역'!G8</f>
        <v>5251</v>
      </c>
      <c r="I11" s="681">
        <f>+'1.2 음성처리구역'!H8+'1.3 금왕처리구역'!H8+'1.4 대소처리구역'!H8+'1.5 생극처리구역'!H8+'1.6 감곡처리구역'!H8+'1.7 맹동처리구역'!H8</f>
        <v>0</v>
      </c>
    </row>
    <row r="12" spans="1:9" ht="20.100000000000001" customHeight="1">
      <c r="A12" s="755"/>
      <c r="B12" s="747"/>
      <c r="C12" s="747" t="s">
        <v>180</v>
      </c>
      <c r="D12" s="678" t="s">
        <v>168</v>
      </c>
      <c r="E12" s="559">
        <f t="shared" si="0"/>
        <v>435</v>
      </c>
      <c r="F12" s="560">
        <f>+'1.2 음성처리구역'!E9+'1.3 금왕처리구역'!E9+'1.4 대소처리구역'!E9+'1.5 생극처리구역'!E9+'1.6 감곡처리구역'!E9+'1.7 맹동처리구역'!E9</f>
        <v>0</v>
      </c>
      <c r="G12" s="560">
        <f>+'1.2 음성처리구역'!F9+'1.3 금왕처리구역'!F9+'1.4 대소처리구역'!F9+'1.5 생극처리구역'!F9+'1.6 감곡처리구역'!F9+'1.7 맹동처리구역'!F9</f>
        <v>435</v>
      </c>
      <c r="H12" s="560">
        <f>+'1.2 음성처리구역'!G9+'1.3 금왕처리구역'!G9+'1.4 대소처리구역'!G9+'1.5 생극처리구역'!G9+'1.6 감곡처리구역'!G9+'1.7 맹동처리구역'!G9</f>
        <v>0</v>
      </c>
      <c r="I12" s="681">
        <f>+'1.2 음성처리구역'!H9+'1.3 금왕처리구역'!H9+'1.4 대소처리구역'!H9+'1.5 생극처리구역'!H9+'1.6 감곡처리구역'!H9+'1.7 맹동처리구역'!H9</f>
        <v>0</v>
      </c>
    </row>
    <row r="13" spans="1:9" ht="20.100000000000001" customHeight="1">
      <c r="A13" s="755"/>
      <c r="B13" s="747"/>
      <c r="C13" s="747"/>
      <c r="D13" s="678" t="s">
        <v>169</v>
      </c>
      <c r="E13" s="559">
        <f t="shared" si="0"/>
        <v>2064</v>
      </c>
      <c r="F13" s="560">
        <f>+'1.2 음성처리구역'!E10+'1.3 금왕처리구역'!E10+'1.4 대소처리구역'!E10+'1.5 생극처리구역'!E10+'1.6 감곡처리구역'!E10+'1.7 맹동처리구역'!E10</f>
        <v>0</v>
      </c>
      <c r="G13" s="560">
        <f>+'1.2 음성처리구역'!F10+'1.3 금왕처리구역'!F10+'1.4 대소처리구역'!F10+'1.5 생극처리구역'!F10+'1.6 감곡처리구역'!F10+'1.7 맹동처리구역'!F10</f>
        <v>2064</v>
      </c>
      <c r="H13" s="560">
        <f>+'1.2 음성처리구역'!G10+'1.3 금왕처리구역'!G10+'1.4 대소처리구역'!G10+'1.5 생극처리구역'!G10+'1.6 감곡처리구역'!G10+'1.7 맹동처리구역'!G10</f>
        <v>0</v>
      </c>
      <c r="I13" s="681">
        <f>+'1.2 음성처리구역'!H10+'1.3 금왕처리구역'!H10+'1.4 대소처리구역'!H10+'1.5 생극처리구역'!H10+'1.6 감곡처리구역'!H10+'1.7 맹동처리구역'!H10</f>
        <v>0</v>
      </c>
    </row>
    <row r="14" spans="1:9" ht="20.100000000000001" customHeight="1">
      <c r="A14" s="755"/>
      <c r="B14" s="747"/>
      <c r="C14" s="747"/>
      <c r="D14" s="678" t="s">
        <v>95</v>
      </c>
      <c r="E14" s="559">
        <f t="shared" si="0"/>
        <v>2499</v>
      </c>
      <c r="F14" s="560">
        <f>SUM(F12:F13)</f>
        <v>0</v>
      </c>
      <c r="G14" s="560">
        <f>SUM(G12:G13)</f>
        <v>2499</v>
      </c>
      <c r="H14" s="560">
        <f>SUM(H12:H13)</f>
        <v>0</v>
      </c>
      <c r="I14" s="681">
        <f>SUM(I12:I13)</f>
        <v>0</v>
      </c>
    </row>
    <row r="15" spans="1:9" ht="20.100000000000001" customHeight="1">
      <c r="A15" s="755"/>
      <c r="B15" s="753" t="s">
        <v>192</v>
      </c>
      <c r="C15" s="747" t="s">
        <v>183</v>
      </c>
      <c r="D15" s="748"/>
      <c r="E15" s="559">
        <f t="shared" si="0"/>
        <v>1108</v>
      </c>
      <c r="F15" s="560">
        <f>+'1.2 음성처리구역'!E12+'1.3 금왕처리구역'!E12+'1.4 대소처리구역'!E12+'1.5 생극처리구역'!E12+'1.6 감곡처리구역'!E12+'1.7 맹동처리구역'!E12</f>
        <v>1108</v>
      </c>
      <c r="G15" s="560">
        <f>+'1.2 음성처리구역'!F12+'1.3 금왕처리구역'!F12+'1.4 대소처리구역'!F12+'1.5 생극처리구역'!F12+'1.6 감곡처리구역'!F12+'1.7 맹동처리구역'!F12</f>
        <v>0</v>
      </c>
      <c r="H15" s="560">
        <f>+'1.2 음성처리구역'!G12+'1.3 금왕처리구역'!G12+'1.4 대소처리구역'!G12+'1.5 생극처리구역'!G12+'1.6 감곡처리구역'!G12+'1.7 맹동처리구역'!G12</f>
        <v>0</v>
      </c>
      <c r="I15" s="681">
        <f>+'1.2 음성처리구역'!H12+'1.3 금왕처리구역'!H12+'1.4 대소처리구역'!H12+'1.5 생극처리구역'!H12+'1.6 감곡처리구역'!H12+'1.7 맹동처리구역'!H12</f>
        <v>0</v>
      </c>
    </row>
    <row r="16" spans="1:9" ht="20.100000000000001" customHeight="1">
      <c r="A16" s="755"/>
      <c r="B16" s="747"/>
      <c r="C16" s="747" t="s">
        <v>180</v>
      </c>
      <c r="D16" s="678" t="s">
        <v>168</v>
      </c>
      <c r="E16" s="559">
        <f t="shared" si="0"/>
        <v>28637</v>
      </c>
      <c r="F16" s="560">
        <f>+'1.2 음성처리구역'!E13+'1.3 금왕처리구역'!E13+'1.4 대소처리구역'!E13+'1.5 생극처리구역'!E13+'1.6 감곡처리구역'!E13+'1.7 맹동처리구역'!E13</f>
        <v>9418</v>
      </c>
      <c r="G16" s="560">
        <f>+'1.2 음성처리구역'!F13+'1.3 금왕처리구역'!F13+'1.4 대소처리구역'!F13+'1.5 생극처리구역'!F13+'1.6 감곡처리구역'!F13+'1.7 맹동처리구역'!F13</f>
        <v>10098</v>
      </c>
      <c r="H16" s="560">
        <f>+'1.2 음성처리구역'!G13+'1.3 금왕처리구역'!G13+'1.4 대소처리구역'!G13+'1.5 생극처리구역'!G13+'1.6 감곡처리구역'!G13+'1.7 맹동처리구역'!G13</f>
        <v>6144</v>
      </c>
      <c r="I16" s="681">
        <f>+'1.2 음성처리구역'!H13+'1.3 금왕처리구역'!H13+'1.4 대소처리구역'!H13+'1.5 생극처리구역'!H13+'1.6 감곡처리구역'!H13+'1.7 맹동처리구역'!H13</f>
        <v>2977</v>
      </c>
    </row>
    <row r="17" spans="1:9" ht="20.100000000000001" customHeight="1">
      <c r="A17" s="755"/>
      <c r="B17" s="747"/>
      <c r="C17" s="747"/>
      <c r="D17" s="678" t="s">
        <v>169</v>
      </c>
      <c r="E17" s="559">
        <f t="shared" si="0"/>
        <v>0</v>
      </c>
      <c r="F17" s="560">
        <f>+'1.2 음성처리구역'!E14+'1.3 금왕처리구역'!E14+'1.4 대소처리구역'!E14+'1.5 생극처리구역'!E14+'1.6 감곡처리구역'!E14+'1.7 맹동처리구역'!E14</f>
        <v>0</v>
      </c>
      <c r="G17" s="560">
        <f>+'1.2 음성처리구역'!F14+'1.3 금왕처리구역'!F14+'1.4 대소처리구역'!F14+'1.5 생극처리구역'!F14+'1.6 감곡처리구역'!F14+'1.7 맹동처리구역'!F14</f>
        <v>0</v>
      </c>
      <c r="H17" s="560">
        <f>+'1.2 음성처리구역'!G14+'1.3 금왕처리구역'!G14+'1.4 대소처리구역'!G14+'1.5 생극처리구역'!G14+'1.6 감곡처리구역'!G14+'1.7 맹동처리구역'!G14</f>
        <v>0</v>
      </c>
      <c r="I17" s="681">
        <f>+'1.2 음성처리구역'!H14+'1.3 금왕처리구역'!H14+'1.4 대소처리구역'!H14+'1.5 생극처리구역'!H14+'1.6 감곡처리구역'!H14+'1.7 맹동처리구역'!H14</f>
        <v>0</v>
      </c>
    </row>
    <row r="18" spans="1:9" ht="20.100000000000001" customHeight="1">
      <c r="A18" s="755"/>
      <c r="B18" s="747"/>
      <c r="C18" s="747"/>
      <c r="D18" s="678" t="s">
        <v>95</v>
      </c>
      <c r="E18" s="559">
        <f t="shared" si="0"/>
        <v>28637</v>
      </c>
      <c r="F18" s="560">
        <f>SUM(F16:F17)</f>
        <v>9418</v>
      </c>
      <c r="G18" s="560">
        <f>SUM(G16:G17)</f>
        <v>10098</v>
      </c>
      <c r="H18" s="560">
        <f>SUM(H16:H17)</f>
        <v>6144</v>
      </c>
      <c r="I18" s="681">
        <f>SUM(I16:I17)</f>
        <v>2977</v>
      </c>
    </row>
    <row r="19" spans="1:9" ht="20.100000000000001" customHeight="1">
      <c r="A19" s="755"/>
      <c r="B19" s="749" t="s">
        <v>184</v>
      </c>
      <c r="C19" s="747" t="s">
        <v>919</v>
      </c>
      <c r="D19" s="748"/>
      <c r="E19" s="559">
        <f t="shared" si="0"/>
        <v>0</v>
      </c>
      <c r="F19" s="560">
        <f>+'1.2 음성처리구역'!E18+'1.3 금왕처리구역'!E18+'1.4 대소처리구역'!E18+'1.5 생극처리구역'!E18+'1.6 감곡처리구역'!E18+'1.7 맹동처리구역'!E18</f>
        <v>0</v>
      </c>
      <c r="G19" s="560">
        <f>+'1.2 음성처리구역'!F18+'1.3 금왕처리구역'!F18+'1.4 대소처리구역'!F18+'1.5 생극처리구역'!F18+'1.6 감곡처리구역'!F18+'1.7 맹동처리구역'!F18</f>
        <v>0</v>
      </c>
      <c r="H19" s="560">
        <f>+'1.2 음성처리구역'!G18+'1.3 금왕처리구역'!G18+'1.4 대소처리구역'!G18+'1.5 생극처리구역'!G18+'1.6 감곡처리구역'!G18+'1.7 맹동처리구역'!G18</f>
        <v>0</v>
      </c>
      <c r="I19" s="681">
        <f>+'1.2 음성처리구역'!H18+'1.3 금왕처리구역'!H18+'1.4 대소처리구역'!H18+'1.5 생극처리구역'!H18+'1.6 감곡처리구역'!H18+'1.7 맹동처리구역'!H18</f>
        <v>0</v>
      </c>
    </row>
    <row r="20" spans="1:9" ht="20.100000000000001" customHeight="1">
      <c r="A20" s="755"/>
      <c r="B20" s="750"/>
      <c r="C20" s="751" t="s">
        <v>905</v>
      </c>
      <c r="D20" s="752"/>
      <c r="E20" s="559">
        <f t="shared" si="0"/>
        <v>5842</v>
      </c>
      <c r="F20" s="560">
        <f>'1.3 금왕처리구역'!E19</f>
        <v>5842</v>
      </c>
      <c r="G20" s="560">
        <f>'1.3 금왕처리구역'!F19</f>
        <v>0</v>
      </c>
      <c r="H20" s="560">
        <f>'1.3 금왕처리구역'!G19</f>
        <v>0</v>
      </c>
      <c r="I20" s="681">
        <f>'1.3 금왕처리구역'!H19</f>
        <v>0</v>
      </c>
    </row>
    <row r="21" spans="1:9" ht="20.100000000000001" customHeight="1">
      <c r="A21" s="755"/>
      <c r="B21" s="756" t="s">
        <v>96</v>
      </c>
      <c r="C21" s="756"/>
      <c r="D21" s="757"/>
      <c r="E21" s="561">
        <f t="shared" si="0"/>
        <v>191850.9</v>
      </c>
      <c r="F21" s="562">
        <f>+F6+F7+F10+F11+F14+F15+F18+F19+F20</f>
        <v>112085.5</v>
      </c>
      <c r="G21" s="562">
        <f>+G6+G7+G10+G11+G14+G15+G18+G19+G20</f>
        <v>31064.400000000001</v>
      </c>
      <c r="H21" s="562">
        <f>+H6+H7+H10+H11+H14+H15+H18+H19+H20</f>
        <v>11395</v>
      </c>
      <c r="I21" s="682">
        <f>+I6+I7+I10+I11+I14+I15+I18+I19+I20</f>
        <v>37306</v>
      </c>
    </row>
    <row r="22" spans="1:9" ht="19.5" customHeight="1">
      <c r="A22" s="754" t="s">
        <v>207</v>
      </c>
      <c r="B22" s="747" t="s">
        <v>177</v>
      </c>
      <c r="C22" s="747" t="s">
        <v>178</v>
      </c>
      <c r="D22" s="748"/>
      <c r="E22" s="559">
        <f t="shared" si="0"/>
        <v>8552.5424630755861</v>
      </c>
      <c r="F22" s="560">
        <f>'소규모(출력x)'!E16</f>
        <v>8552.5424630755861</v>
      </c>
      <c r="G22" s="560">
        <f>'소규모(출력x)'!F16</f>
        <v>0</v>
      </c>
      <c r="H22" s="560">
        <f>'소규모(출력x)'!G16</f>
        <v>0</v>
      </c>
      <c r="I22" s="681">
        <f>'소규모(출력x)'!H16</f>
        <v>0</v>
      </c>
    </row>
    <row r="23" spans="1:9" ht="19.5" customHeight="1">
      <c r="A23" s="755"/>
      <c r="B23" s="747"/>
      <c r="C23" s="747" t="s">
        <v>194</v>
      </c>
      <c r="D23" s="748"/>
      <c r="E23" s="559">
        <f t="shared" si="0"/>
        <v>0</v>
      </c>
      <c r="F23" s="560">
        <f>'소규모(출력x)'!E17</f>
        <v>0</v>
      </c>
      <c r="G23" s="560">
        <f>'소규모(출력x)'!F17</f>
        <v>0</v>
      </c>
      <c r="H23" s="560">
        <f>'소규모(출력x)'!G17</f>
        <v>0</v>
      </c>
      <c r="I23" s="681">
        <f>'소규모(출력x)'!H17</f>
        <v>0</v>
      </c>
    </row>
    <row r="24" spans="1:9" ht="20.100000000000001" customHeight="1">
      <c r="A24" s="755"/>
      <c r="B24" s="753" t="s">
        <v>191</v>
      </c>
      <c r="C24" s="747" t="s">
        <v>183</v>
      </c>
      <c r="D24" s="748"/>
      <c r="E24" s="559">
        <f t="shared" si="0"/>
        <v>23070.457536924412</v>
      </c>
      <c r="F24" s="560">
        <f>'소규모(출력x)'!E8</f>
        <v>23070.457536924412</v>
      </c>
      <c r="G24" s="560">
        <f>'소규모(출력x)'!F8</f>
        <v>0</v>
      </c>
      <c r="H24" s="560">
        <f>'소규모(출력x)'!G8</f>
        <v>0</v>
      </c>
      <c r="I24" s="681">
        <f>'소규모(출력x)'!H8</f>
        <v>0</v>
      </c>
    </row>
    <row r="25" spans="1:9" ht="20.100000000000001" customHeight="1">
      <c r="A25" s="755"/>
      <c r="B25" s="747"/>
      <c r="C25" s="747" t="s">
        <v>180</v>
      </c>
      <c r="D25" s="678" t="s">
        <v>168</v>
      </c>
      <c r="E25" s="559">
        <f t="shared" si="0"/>
        <v>0</v>
      </c>
      <c r="F25" s="560">
        <v>0</v>
      </c>
      <c r="G25" s="560">
        <v>0</v>
      </c>
      <c r="H25" s="560">
        <v>0</v>
      </c>
      <c r="I25" s="681">
        <v>0</v>
      </c>
    </row>
    <row r="26" spans="1:9" ht="20.100000000000001" customHeight="1">
      <c r="A26" s="755"/>
      <c r="B26" s="747"/>
      <c r="C26" s="747"/>
      <c r="D26" s="678" t="s">
        <v>169</v>
      </c>
      <c r="E26" s="559">
        <f t="shared" si="0"/>
        <v>0</v>
      </c>
      <c r="F26" s="560">
        <v>0</v>
      </c>
      <c r="G26" s="560"/>
      <c r="H26" s="560">
        <v>0</v>
      </c>
      <c r="I26" s="681">
        <v>0</v>
      </c>
    </row>
    <row r="27" spans="1:9" ht="20.100000000000001" customHeight="1">
      <c r="A27" s="755"/>
      <c r="B27" s="747"/>
      <c r="C27" s="747"/>
      <c r="D27" s="678" t="s">
        <v>95</v>
      </c>
      <c r="E27" s="559">
        <f t="shared" si="0"/>
        <v>0</v>
      </c>
      <c r="F27" s="560">
        <f>SUM(F25:F26)</f>
        <v>0</v>
      </c>
      <c r="G27" s="560">
        <f>SUM(G25:G26)</f>
        <v>0</v>
      </c>
      <c r="H27" s="560">
        <f>SUM(H25:H26)</f>
        <v>0</v>
      </c>
      <c r="I27" s="681">
        <f>SUM(I25:I26)</f>
        <v>0</v>
      </c>
    </row>
    <row r="28" spans="1:9" ht="20.100000000000001" customHeight="1">
      <c r="A28" s="763"/>
      <c r="B28" s="753" t="s">
        <v>840</v>
      </c>
      <c r="C28" s="747" t="s">
        <v>183</v>
      </c>
      <c r="D28" s="748"/>
      <c r="E28" s="559">
        <f t="shared" si="0"/>
        <v>0</v>
      </c>
      <c r="F28" s="560">
        <f>'소규모(출력x)'!E12</f>
        <v>0</v>
      </c>
      <c r="G28" s="560">
        <f>'소규모(출력x)'!F12</f>
        <v>0</v>
      </c>
      <c r="H28" s="560">
        <v>0</v>
      </c>
      <c r="I28" s="681">
        <v>0</v>
      </c>
    </row>
    <row r="29" spans="1:9" ht="20.100000000000001" customHeight="1">
      <c r="A29" s="763"/>
      <c r="B29" s="747"/>
      <c r="C29" s="747" t="s">
        <v>180</v>
      </c>
      <c r="D29" s="678" t="s">
        <v>168</v>
      </c>
      <c r="E29" s="559">
        <f t="shared" si="0"/>
        <v>0</v>
      </c>
      <c r="F29" s="560">
        <v>0</v>
      </c>
      <c r="G29" s="560">
        <v>0</v>
      </c>
      <c r="H29" s="560">
        <v>0</v>
      </c>
      <c r="I29" s="681">
        <v>0</v>
      </c>
    </row>
    <row r="30" spans="1:9" ht="20.100000000000001" customHeight="1">
      <c r="A30" s="763"/>
      <c r="B30" s="747"/>
      <c r="C30" s="747"/>
      <c r="D30" s="678" t="s">
        <v>169</v>
      </c>
      <c r="E30" s="559">
        <f t="shared" si="0"/>
        <v>0</v>
      </c>
      <c r="F30" s="560">
        <v>0</v>
      </c>
      <c r="G30" s="560">
        <v>0</v>
      </c>
      <c r="H30" s="560">
        <v>0</v>
      </c>
      <c r="I30" s="681">
        <v>0</v>
      </c>
    </row>
    <row r="31" spans="1:9" ht="20.100000000000001" customHeight="1">
      <c r="A31" s="763"/>
      <c r="B31" s="747"/>
      <c r="C31" s="747"/>
      <c r="D31" s="678" t="s">
        <v>95</v>
      </c>
      <c r="E31" s="559">
        <f t="shared" si="0"/>
        <v>0</v>
      </c>
      <c r="F31" s="560">
        <v>0</v>
      </c>
      <c r="G31" s="560">
        <v>0</v>
      </c>
      <c r="H31" s="560">
        <v>0</v>
      </c>
      <c r="I31" s="681">
        <v>0</v>
      </c>
    </row>
    <row r="32" spans="1:9" ht="20.100000000000001" customHeight="1">
      <c r="A32" s="764"/>
      <c r="B32" s="758" t="s">
        <v>96</v>
      </c>
      <c r="C32" s="759"/>
      <c r="D32" s="759"/>
      <c r="E32" s="683">
        <f t="shared" si="0"/>
        <v>31623</v>
      </c>
      <c r="F32" s="684">
        <f>+F22+F23+F24+F27+F28+F31</f>
        <v>31623</v>
      </c>
      <c r="G32" s="684">
        <f>+G22+G23+G24+G27+G28+G31</f>
        <v>0</v>
      </c>
      <c r="H32" s="684">
        <f>+H22+H23+H24+H27+H28+H31</f>
        <v>0</v>
      </c>
      <c r="I32" s="685">
        <f>+I22+I23+I24+I27+I28+I31</f>
        <v>0</v>
      </c>
    </row>
    <row r="33" spans="1:9" ht="20.100000000000001" customHeight="1">
      <c r="A33" s="69"/>
      <c r="B33" s="69"/>
      <c r="C33" s="68"/>
      <c r="D33" s="68"/>
      <c r="E33" s="68"/>
      <c r="F33" s="68"/>
      <c r="G33" s="68"/>
      <c r="H33" s="68"/>
      <c r="I33" s="68"/>
    </row>
    <row r="34" spans="1:9" ht="20.100000000000001" customHeight="1">
      <c r="A34" s="69"/>
      <c r="B34" s="69"/>
      <c r="C34" s="68"/>
      <c r="D34" s="68"/>
      <c r="E34" s="68"/>
      <c r="F34" s="68"/>
      <c r="G34" s="68"/>
      <c r="H34" s="68"/>
      <c r="I34" s="68"/>
    </row>
    <row r="35" spans="1:9" ht="20.100000000000001" customHeight="1">
      <c r="A35" s="69"/>
      <c r="B35" s="69"/>
      <c r="C35" s="68"/>
      <c r="D35" s="68"/>
      <c r="E35" s="68"/>
      <c r="F35" s="68"/>
      <c r="G35" s="68"/>
      <c r="H35" s="68"/>
      <c r="I35" s="68"/>
    </row>
    <row r="36" spans="1:9" ht="20.100000000000001" customHeight="1">
      <c r="A36" s="69"/>
      <c r="B36" s="69"/>
      <c r="C36" s="68"/>
      <c r="D36" s="68"/>
      <c r="E36" s="68"/>
      <c r="F36" s="68"/>
      <c r="G36" s="68"/>
      <c r="H36" s="68"/>
      <c r="I36" s="68"/>
    </row>
    <row r="37" spans="1:9" ht="20.100000000000001" customHeight="1">
      <c r="A37" s="69"/>
      <c r="B37" s="69"/>
      <c r="C37" s="68"/>
      <c r="D37" s="68"/>
      <c r="E37" s="68"/>
      <c r="F37" s="68"/>
      <c r="G37" s="68"/>
      <c r="H37" s="68"/>
      <c r="I37" s="68"/>
    </row>
    <row r="38" spans="1:9" ht="20.100000000000001" customHeight="1">
      <c r="A38" s="69"/>
      <c r="B38" s="69"/>
      <c r="C38" s="68"/>
      <c r="D38" s="68"/>
      <c r="E38" s="68"/>
      <c r="F38" s="68"/>
      <c r="G38" s="68"/>
      <c r="H38" s="68"/>
      <c r="I38" s="68"/>
    </row>
    <row r="39" spans="1:9" ht="20.100000000000001" customHeight="1">
      <c r="A39" s="69"/>
      <c r="B39" s="69"/>
      <c r="C39" s="68"/>
      <c r="D39" s="68"/>
      <c r="E39" s="68"/>
      <c r="F39" s="68"/>
      <c r="G39" s="68"/>
      <c r="H39" s="68"/>
      <c r="I39" s="68"/>
    </row>
    <row r="40" spans="1:9" ht="20.100000000000001" customHeight="1">
      <c r="A40" s="69"/>
      <c r="B40" s="69"/>
      <c r="C40" s="68"/>
      <c r="D40" s="68"/>
      <c r="E40" s="68"/>
      <c r="F40" s="68"/>
      <c r="G40" s="68"/>
      <c r="H40" s="68"/>
      <c r="I40" s="68"/>
    </row>
    <row r="41" spans="1:9" ht="20.100000000000001" customHeight="1">
      <c r="A41" s="69"/>
      <c r="B41" s="69"/>
      <c r="C41" s="68"/>
      <c r="D41" s="68"/>
      <c r="E41" s="68"/>
      <c r="F41" s="68"/>
      <c r="G41" s="68"/>
      <c r="H41" s="68"/>
      <c r="I41" s="68"/>
    </row>
    <row r="42" spans="1:9" ht="20.100000000000001" customHeight="1">
      <c r="A42" s="69"/>
      <c r="B42" s="69"/>
      <c r="C42" s="68"/>
      <c r="D42" s="68"/>
      <c r="E42" s="68"/>
      <c r="F42" s="68"/>
      <c r="G42" s="68"/>
      <c r="H42" s="68"/>
      <c r="I42" s="68"/>
    </row>
    <row r="43" spans="1:9" ht="20.100000000000001" customHeight="1">
      <c r="A43" s="69"/>
      <c r="B43" s="69"/>
      <c r="C43" s="68"/>
      <c r="D43" s="68"/>
      <c r="E43" s="68"/>
      <c r="F43" s="68"/>
      <c r="G43" s="68"/>
      <c r="H43" s="68"/>
      <c r="I43" s="68"/>
    </row>
    <row r="44" spans="1:9" ht="20.100000000000001" customHeight="1">
      <c r="A44" s="69"/>
      <c r="B44" s="69"/>
      <c r="C44" s="68"/>
      <c r="D44" s="68"/>
      <c r="E44" s="68"/>
      <c r="F44" s="68"/>
      <c r="G44" s="68"/>
      <c r="H44" s="68"/>
      <c r="I44" s="68"/>
    </row>
    <row r="45" spans="1:9" ht="20.100000000000001" customHeight="1">
      <c r="A45" s="69"/>
      <c r="B45" s="69"/>
      <c r="C45" s="68"/>
      <c r="D45" s="68"/>
      <c r="E45" s="68"/>
      <c r="F45" s="68"/>
      <c r="G45" s="68"/>
      <c r="H45" s="68"/>
      <c r="I45" s="68"/>
    </row>
    <row r="46" spans="1:9" ht="20.100000000000001" customHeight="1">
      <c r="A46" s="69"/>
      <c r="B46" s="69"/>
      <c r="C46" s="68"/>
      <c r="D46" s="68"/>
      <c r="E46" s="68"/>
      <c r="F46" s="68"/>
      <c r="G46" s="68"/>
      <c r="H46" s="68"/>
      <c r="I46" s="68"/>
    </row>
    <row r="47" spans="1:9" ht="20.100000000000001" customHeight="1">
      <c r="A47" s="69"/>
      <c r="B47" s="69"/>
      <c r="C47" s="68"/>
      <c r="D47" s="68"/>
      <c r="E47" s="68"/>
      <c r="F47" s="68"/>
      <c r="G47" s="68"/>
      <c r="H47" s="68"/>
      <c r="I47" s="68"/>
    </row>
    <row r="48" spans="1:9" ht="20.100000000000001" customHeight="1">
      <c r="A48" s="69"/>
      <c r="B48" s="69"/>
      <c r="C48" s="68"/>
      <c r="D48" s="68"/>
      <c r="E48" s="68"/>
      <c r="F48" s="68"/>
      <c r="G48" s="68"/>
      <c r="H48" s="68"/>
      <c r="I48" s="68"/>
    </row>
    <row r="49" spans="1:9" ht="20.100000000000001" customHeight="1">
      <c r="A49" s="69"/>
      <c r="B49" s="69"/>
      <c r="C49" s="68"/>
      <c r="D49" s="68"/>
      <c r="E49" s="68"/>
      <c r="F49" s="68"/>
      <c r="G49" s="68"/>
      <c r="H49" s="68"/>
      <c r="I49" s="68"/>
    </row>
    <row r="50" spans="1:9" ht="20.100000000000001" customHeight="1">
      <c r="A50" s="69"/>
      <c r="B50" s="69"/>
      <c r="C50" s="68"/>
      <c r="D50" s="68"/>
      <c r="E50" s="68"/>
      <c r="F50" s="68"/>
      <c r="G50" s="68"/>
      <c r="H50" s="68"/>
      <c r="I50" s="68"/>
    </row>
    <row r="51" spans="1:9" ht="20.100000000000001" customHeight="1">
      <c r="A51" s="69"/>
      <c r="B51" s="69"/>
      <c r="C51" s="68"/>
      <c r="D51" s="68"/>
      <c r="E51" s="68"/>
      <c r="F51" s="68"/>
      <c r="G51" s="68"/>
      <c r="H51" s="68"/>
      <c r="I51" s="68"/>
    </row>
    <row r="52" spans="1:9" ht="20.100000000000001" customHeight="1">
      <c r="A52" s="69"/>
      <c r="B52" s="69"/>
      <c r="C52" s="68"/>
      <c r="D52" s="68"/>
      <c r="E52" s="68"/>
      <c r="F52" s="68"/>
      <c r="G52" s="68"/>
      <c r="H52" s="68"/>
      <c r="I52" s="68"/>
    </row>
    <row r="53" spans="1:9" ht="20.100000000000001" customHeight="1">
      <c r="A53" s="69"/>
      <c r="B53" s="69"/>
      <c r="C53" s="68"/>
      <c r="D53" s="68"/>
      <c r="E53" s="68"/>
      <c r="F53" s="68"/>
      <c r="G53" s="68"/>
      <c r="H53" s="68"/>
      <c r="I53" s="68"/>
    </row>
    <row r="54" spans="1:9" ht="20.100000000000001" customHeight="1">
      <c r="A54" s="69"/>
      <c r="B54" s="69"/>
      <c r="C54" s="68"/>
      <c r="D54" s="68"/>
      <c r="E54" s="68"/>
      <c r="F54" s="68"/>
      <c r="G54" s="68"/>
      <c r="H54" s="68"/>
      <c r="I54" s="68"/>
    </row>
    <row r="55" spans="1:9" ht="20.100000000000001" customHeight="1">
      <c r="A55" s="69"/>
      <c r="B55" s="69"/>
      <c r="C55" s="68"/>
      <c r="D55" s="68"/>
      <c r="E55" s="68"/>
      <c r="F55" s="68"/>
      <c r="G55" s="68"/>
      <c r="H55" s="68"/>
      <c r="I55" s="68"/>
    </row>
    <row r="56" spans="1:9" ht="20.100000000000001" customHeight="1">
      <c r="A56" s="69"/>
      <c r="B56" s="69"/>
      <c r="C56" s="68"/>
      <c r="D56" s="68"/>
      <c r="E56" s="68"/>
      <c r="F56" s="68"/>
      <c r="G56" s="68"/>
      <c r="H56" s="68"/>
      <c r="I56" s="68"/>
    </row>
    <row r="57" spans="1:9" ht="20.100000000000001" customHeight="1">
      <c r="A57" s="69"/>
      <c r="B57" s="69"/>
      <c r="C57" s="68"/>
      <c r="D57" s="68"/>
      <c r="E57" s="68"/>
      <c r="F57" s="68"/>
      <c r="G57" s="68"/>
      <c r="H57" s="68"/>
      <c r="I57" s="68"/>
    </row>
    <row r="58" spans="1:9" ht="20.100000000000001" customHeight="1">
      <c r="A58" s="69"/>
      <c r="B58" s="69"/>
      <c r="C58" s="68"/>
      <c r="D58" s="68"/>
      <c r="E58" s="68"/>
      <c r="F58" s="68"/>
      <c r="G58" s="68"/>
      <c r="H58" s="68"/>
      <c r="I58" s="68"/>
    </row>
    <row r="59" spans="1:9" ht="20.100000000000001" customHeight="1">
      <c r="A59" s="69"/>
      <c r="B59" s="69"/>
      <c r="C59" s="68"/>
      <c r="D59" s="68"/>
      <c r="E59" s="68"/>
      <c r="F59" s="68"/>
      <c r="G59" s="68"/>
      <c r="H59" s="68"/>
      <c r="I59" s="68"/>
    </row>
    <row r="60" spans="1:9" ht="20.100000000000001" customHeight="1">
      <c r="A60" s="69"/>
      <c r="B60" s="69"/>
      <c r="C60" s="68"/>
      <c r="D60" s="68"/>
      <c r="E60" s="68"/>
      <c r="F60" s="68"/>
      <c r="G60" s="68"/>
      <c r="H60" s="68"/>
      <c r="I60" s="68"/>
    </row>
    <row r="61" spans="1:9" ht="20.100000000000001" customHeight="1">
      <c r="A61" s="69"/>
      <c r="B61" s="69"/>
      <c r="C61" s="68"/>
      <c r="D61" s="68"/>
      <c r="E61" s="68"/>
      <c r="F61" s="68"/>
      <c r="G61" s="68"/>
      <c r="H61" s="68"/>
      <c r="I61" s="68"/>
    </row>
    <row r="62" spans="1:9" ht="20.100000000000001" customHeight="1">
      <c r="A62" s="69"/>
      <c r="B62" s="69"/>
      <c r="C62" s="68"/>
      <c r="D62" s="68"/>
      <c r="E62" s="68"/>
      <c r="F62" s="68"/>
      <c r="G62" s="68"/>
      <c r="H62" s="68"/>
      <c r="I62" s="68"/>
    </row>
    <row r="63" spans="1:9" ht="20.100000000000001" customHeight="1">
      <c r="A63" s="69"/>
      <c r="B63" s="69"/>
      <c r="C63" s="68"/>
      <c r="D63" s="68"/>
      <c r="E63" s="68"/>
      <c r="F63" s="68"/>
      <c r="G63" s="68"/>
      <c r="H63" s="68"/>
      <c r="I63" s="68"/>
    </row>
    <row r="64" spans="1:9" ht="20.100000000000001" customHeight="1">
      <c r="A64" s="69"/>
      <c r="B64" s="69"/>
      <c r="C64" s="68"/>
      <c r="D64" s="68"/>
      <c r="E64" s="68"/>
      <c r="F64" s="68"/>
      <c r="G64" s="68"/>
      <c r="H64" s="68"/>
      <c r="I64" s="68"/>
    </row>
    <row r="65" spans="1:9" ht="20.100000000000001" customHeight="1">
      <c r="A65" s="69"/>
      <c r="B65" s="69"/>
      <c r="C65" s="68"/>
      <c r="D65" s="68"/>
      <c r="E65" s="68"/>
      <c r="F65" s="68"/>
      <c r="G65" s="68"/>
      <c r="H65" s="68"/>
      <c r="I65" s="68"/>
    </row>
    <row r="66" spans="1:9" ht="20.100000000000001" customHeight="1">
      <c r="A66" s="69"/>
      <c r="B66" s="69"/>
      <c r="C66" s="68"/>
      <c r="D66" s="68"/>
      <c r="E66" s="68"/>
      <c r="F66" s="68"/>
      <c r="G66" s="68"/>
      <c r="H66" s="68"/>
      <c r="I66" s="68"/>
    </row>
    <row r="67" spans="1:9" ht="20.100000000000001" customHeight="1">
      <c r="A67" s="69"/>
      <c r="B67" s="69"/>
      <c r="C67" s="68"/>
      <c r="D67" s="68"/>
      <c r="E67" s="68"/>
      <c r="F67" s="68"/>
      <c r="G67" s="68"/>
      <c r="H67" s="68"/>
      <c r="I67" s="68"/>
    </row>
    <row r="68" spans="1:9" ht="20.100000000000001" customHeight="1">
      <c r="A68" s="69"/>
      <c r="B68" s="69"/>
      <c r="C68" s="68"/>
      <c r="D68" s="68"/>
      <c r="E68" s="68"/>
      <c r="F68" s="68"/>
      <c r="G68" s="68"/>
      <c r="H68" s="68"/>
      <c r="I68" s="68"/>
    </row>
  </sheetData>
  <mergeCells count="29">
    <mergeCell ref="B28:B31"/>
    <mergeCell ref="C28:D28"/>
    <mergeCell ref="C29:C31"/>
    <mergeCell ref="B32:D32"/>
    <mergeCell ref="A5:D5"/>
    <mergeCell ref="A22:A32"/>
    <mergeCell ref="B22:B23"/>
    <mergeCell ref="C22:D22"/>
    <mergeCell ref="C23:D23"/>
    <mergeCell ref="B24:B27"/>
    <mergeCell ref="C24:D24"/>
    <mergeCell ref="C25:C27"/>
    <mergeCell ref="C19:D19"/>
    <mergeCell ref="B6:B7"/>
    <mergeCell ref="B8:B10"/>
    <mergeCell ref="B11:B14"/>
    <mergeCell ref="A4:D4"/>
    <mergeCell ref="C6:D6"/>
    <mergeCell ref="C7:D7"/>
    <mergeCell ref="C8:C10"/>
    <mergeCell ref="B19:B20"/>
    <mergeCell ref="C20:D20"/>
    <mergeCell ref="B15:B18"/>
    <mergeCell ref="A6:A21"/>
    <mergeCell ref="B21:D21"/>
    <mergeCell ref="C11:D11"/>
    <mergeCell ref="C12:C14"/>
    <mergeCell ref="C15:D15"/>
    <mergeCell ref="C16:C18"/>
  </mergeCells>
  <phoneticPr fontId="4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957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302" t="s">
        <v>8</v>
      </c>
      <c r="B4" s="307" t="s">
        <v>9</v>
      </c>
      <c r="C4" s="308" t="s">
        <v>10</v>
      </c>
      <c r="D4" s="308" t="s">
        <v>11</v>
      </c>
      <c r="E4" s="308" t="s">
        <v>12</v>
      </c>
      <c r="F4" s="309" t="s">
        <v>13</v>
      </c>
      <c r="G4" s="5"/>
      <c r="H4" s="21" t="s">
        <v>201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+'가.관로신설(음성-우수지선)'!E32</f>
        <v>960</v>
      </c>
      <c r="C5" s="101">
        <f>+'가.관로신설(음성-우수지선)'!G32</f>
        <v>0</v>
      </c>
      <c r="D5" s="101">
        <f>+'가.관로신설(음성-우수지선)'!I32</f>
        <v>0</v>
      </c>
      <c r="E5" s="101">
        <f>+'가.관로신설(음성-우수지선)'!K32</f>
        <v>0</v>
      </c>
      <c r="F5" s="102"/>
      <c r="G5" s="5"/>
      <c r="H5" s="7" t="s">
        <v>174</v>
      </c>
      <c r="I5" s="302" t="s">
        <v>170</v>
      </c>
      <c r="J5" s="302" t="s">
        <v>171</v>
      </c>
      <c r="K5" s="302" t="s">
        <v>172</v>
      </c>
      <c r="L5" s="30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11" t="s">
        <v>25</v>
      </c>
      <c r="B6" s="108">
        <f>SUM(B5:B5)</f>
        <v>960</v>
      </c>
      <c r="C6" s="97">
        <f>SUM(C5:C5)</f>
        <v>0</v>
      </c>
      <c r="D6" s="97">
        <f>SUM(D5:D5)</f>
        <v>0</v>
      </c>
      <c r="E6" s="97">
        <f>SUM(E5:E5)</f>
        <v>0</v>
      </c>
      <c r="F6" s="99"/>
      <c r="G6" s="5"/>
      <c r="H6" s="7" t="s">
        <v>394</v>
      </c>
      <c r="I6" s="70" t="e">
        <f>('가.관로신설(음성-우수지선)'!#REF!+'나.배수설비(음성)'!E18/'나.배수설비(음성)'!D18+'다.맨홀펌프장(음성)'!#REF!)/'1.2.7 우수관로신설'!B6</f>
        <v>#REF!</v>
      </c>
      <c r="J6" s="70" t="e">
        <f>+#REF!/C9</f>
        <v>#REF!</v>
      </c>
      <c r="K6" s="70" t="e">
        <f>+#REF!/D9</f>
        <v>#REF!</v>
      </c>
      <c r="L6" s="70" t="e">
        <f>+#REF!/E9</f>
        <v>#REF!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38"/>
      <c r="G7" s="5"/>
      <c r="H7" s="7" t="s">
        <v>204</v>
      </c>
      <c r="I7" s="77" t="e">
        <f>+ROUND(B56*I6,0)</f>
        <v>#REF!</v>
      </c>
      <c r="J7" s="70" t="e">
        <f>+#REF!/C10</f>
        <v>#REF!</v>
      </c>
      <c r="K7" s="70" t="e">
        <f>+#REF!/D10</f>
        <v>#REF!</v>
      </c>
      <c r="L7" s="70" t="e">
        <f>+#REF!/E10</f>
        <v>#REF!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2" t="s">
        <v>28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4"/>
      <c r="B9" s="15"/>
      <c r="C9" s="15"/>
      <c r="D9" s="15"/>
      <c r="E9" s="15"/>
      <c r="F9" s="8" t="s">
        <v>29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02" t="s">
        <v>8</v>
      </c>
      <c r="B10" s="307" t="s">
        <v>32</v>
      </c>
      <c r="C10" s="308" t="s">
        <v>33</v>
      </c>
      <c r="D10" s="308" t="s">
        <v>11</v>
      </c>
      <c r="E10" s="308" t="s">
        <v>35</v>
      </c>
      <c r="F10" s="309" t="s">
        <v>13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20" t="s">
        <v>42</v>
      </c>
      <c r="B11" s="117">
        <f>+B6</f>
        <v>960</v>
      </c>
      <c r="C11" s="117">
        <f>+C6</f>
        <v>0</v>
      </c>
      <c r="D11" s="101">
        <v>0</v>
      </c>
      <c r="E11" s="101"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10" t="s">
        <v>43</v>
      </c>
      <c r="B12" s="118">
        <f>IFERROR(INDEX($H$17:$L$33,MATCH(B11,$H$17:$H$33,1),1),0)</f>
        <v>500</v>
      </c>
      <c r="C12" s="118">
        <f>IFERROR(INDEX($H$17:$L$33,MATCH(C11,$H$17:$H$33,1),1),0)</f>
        <v>0</v>
      </c>
      <c r="D12" s="118">
        <f>IFERROR(INDEX($H$17:$L$33,MATCH(D11,$H$17:$H$33,1),1),0)</f>
        <v>0</v>
      </c>
      <c r="E12" s="118">
        <f>IFERROR(INDEX($H$17:$L$33,MATCH(E11,$H$17:$H$33,1),1),0)</f>
        <v>0</v>
      </c>
      <c r="F12" s="113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10" t="s">
        <v>44</v>
      </c>
      <c r="B13" s="118">
        <f>IFERROR(INDEX($H$17:$L$33,MATCH(B11,$H$17:$H$33,1)+1,1),0)</f>
        <v>1000</v>
      </c>
      <c r="C13" s="118">
        <f>IFERROR(INDEX($H$17:$L$33,MATCH(C11,$H$17:$H$33,1)+1,1),0)</f>
        <v>0</v>
      </c>
      <c r="D13" s="118">
        <f>IFERROR(INDEX($H$17:$L$33,MATCH(D11,$H$17:$H$33,1)+1,1),0)</f>
        <v>0</v>
      </c>
      <c r="E13" s="118">
        <f>IFERROR(INDEX($H$17:$L$33,MATCH(E11,$H$17:$H$33,1)+1,1),0)</f>
        <v>0</v>
      </c>
      <c r="F13" s="113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</v>
      </c>
      <c r="B14" s="141">
        <f>IFERROR(INDEX($H$17:$L$33,MATCH(B11,$H$17:$H$33,1),2)+INDEX($H$17:$L$33,MATCH(B11,$H$17:$H$33,1),3),0)</f>
        <v>6.0399999999999995E-2</v>
      </c>
      <c r="C14" s="141">
        <f>IFERROR(INDEX($H$17:$L$33,MATCH(C11,$H$17:$H$33,1),2)+INDEX($H$17:$L$33,MATCH(C11,$H$17:$H$33,1),3),0)</f>
        <v>0</v>
      </c>
      <c r="D14" s="141">
        <f>IFERROR(INDEX($H$17:$L$33,MATCH(D11,$H$17:$H$33,1),2)+INDEX($H$17:$L$33,MATCH(D11,$H$17:$H$33,1),3),0)</f>
        <v>0</v>
      </c>
      <c r="E14" s="141">
        <f>IFERROR(INDEX($H$17:$L$33,MATCH(E11,$H$17:$H$33,1),2)+INDEX($H$17:$L$33,MATCH(E11,$H$17:$H$33,1),3),0)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46</v>
      </c>
      <c r="B15" s="141">
        <f>IFERROR(INDEX($H$17:$L$33,MATCH(B11,$H$17:$H$33,1)+1,2)+INDEX($H$17:$L$33,MATCH(B11,$H$17:$H$33,1)+1,3),0)</f>
        <v>5.3199999999999997E-2</v>
      </c>
      <c r="C15" s="141">
        <f>IFERROR(INDEX($H$17:$L$33,MATCH(C11,$H$17:$H$33,1)+1,2)+INDEX($H$17:$L$33,MATCH(C11,$H$17:$H$33,1)+1,3),0)</f>
        <v>0</v>
      </c>
      <c r="D15" s="141">
        <f>IFERROR(INDEX($H$17:$L$33,MATCH(D11,$H$17:$H$33,1)+1,2)+INDEX($H$17:$L$33,MATCH(D11,$H$17:$H$33,1)+1,3),0)</f>
        <v>0</v>
      </c>
      <c r="E15" s="141">
        <f>IFERROR(INDEX($H$17:$L$33,MATCH(E11,$H$17:$H$33,1)+1,2)+INDEX($H$17:$L$33,MATCH(E11,$H$17:$H$33,1)+1,3),0)</f>
        <v>0</v>
      </c>
      <c r="F15" s="113"/>
      <c r="G15" s="16"/>
      <c r="H15" s="16" t="s">
        <v>30</v>
      </c>
    </row>
    <row r="16" spans="1:20" ht="20.100000000000001" customHeight="1">
      <c r="A16" s="110" t="s">
        <v>47</v>
      </c>
      <c r="B16" s="141">
        <f>IFERROR(B14+((B15-B14)/(B13-B12))*(B11-B12),0)</f>
        <v>5.3775999999999997E-2</v>
      </c>
      <c r="C16" s="141">
        <f>IFERROR(C14+((C15-C14)/(C13-C12))*(C11-C12),0)</f>
        <v>0</v>
      </c>
      <c r="D16" s="141">
        <f>IFERROR(D14+((D15-D14)/(D13-D12))*(D11-D12),0)</f>
        <v>0</v>
      </c>
      <c r="E16" s="141">
        <f>IFERROR(E14+((E15-E14)/(E13-E12))*(E11-E12),0)</f>
        <v>0</v>
      </c>
      <c r="F16" s="113"/>
      <c r="G16" s="16"/>
      <c r="H16" s="17" t="s">
        <v>37</v>
      </c>
      <c r="I16" s="17" t="s">
        <v>38</v>
      </c>
      <c r="J16" s="17" t="s">
        <v>39</v>
      </c>
      <c r="K16" s="17" t="s">
        <v>40</v>
      </c>
      <c r="L16" s="17" t="s">
        <v>41</v>
      </c>
    </row>
    <row r="17" spans="1:16" ht="20.100000000000001" customHeight="1">
      <c r="A17" s="111" t="s">
        <v>48</v>
      </c>
      <c r="B17" s="108">
        <f>+ROUND(B11*B16,0)</f>
        <v>52</v>
      </c>
      <c r="C17" s="97">
        <f>+ROUND(C11*C16,0)</f>
        <v>0</v>
      </c>
      <c r="D17" s="98">
        <v>0</v>
      </c>
      <c r="E17" s="98">
        <v>0</v>
      </c>
      <c r="F17" s="114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21"/>
      <c r="B18" s="22"/>
      <c r="C18" s="22"/>
      <c r="D18" s="23"/>
      <c r="E18" s="23"/>
      <c r="F18" s="24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2" t="s">
        <v>49</v>
      </c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14"/>
      <c r="B20" s="15"/>
      <c r="C20" s="15"/>
      <c r="D20" s="15"/>
      <c r="E20" s="15"/>
      <c r="F20" s="8" t="s">
        <v>29</v>
      </c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302" t="s">
        <v>8</v>
      </c>
      <c r="B21" s="307" t="s">
        <v>32</v>
      </c>
      <c r="C21" s="308" t="s">
        <v>33</v>
      </c>
      <c r="D21" s="308" t="s">
        <v>11</v>
      </c>
      <c r="E21" s="308" t="s">
        <v>35</v>
      </c>
      <c r="F21" s="309" t="s">
        <v>13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20" t="s">
        <v>42</v>
      </c>
      <c r="B22" s="117">
        <f>+B11</f>
        <v>960</v>
      </c>
      <c r="C22" s="115">
        <f>+C11</f>
        <v>0</v>
      </c>
      <c r="D22" s="101">
        <v>0</v>
      </c>
      <c r="E22" s="101">
        <v>0</v>
      </c>
      <c r="F22" s="116"/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110" t="s">
        <v>43</v>
      </c>
      <c r="B23" s="118">
        <f>I35</f>
        <v>10000</v>
      </c>
      <c r="C23" s="118">
        <f>J35</f>
        <v>20000</v>
      </c>
      <c r="D23" s="96">
        <v>0</v>
      </c>
      <c r="E23" s="96">
        <v>0</v>
      </c>
      <c r="F23" s="113"/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10" t="s">
        <v>44</v>
      </c>
      <c r="B24" s="118">
        <f>I35</f>
        <v>10000</v>
      </c>
      <c r="C24" s="118">
        <f>J35</f>
        <v>20000</v>
      </c>
      <c r="D24" s="96">
        <v>0</v>
      </c>
      <c r="E24" s="96">
        <v>0</v>
      </c>
      <c r="F24" s="113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</v>
      </c>
      <c r="B25" s="141">
        <f>I36</f>
        <v>9.3699999999999992E-2</v>
      </c>
      <c r="C25" s="141">
        <f>J36</f>
        <v>7.4999999999999997E-2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46</v>
      </c>
      <c r="B26" s="141">
        <f>I36</f>
        <v>9.3699999999999992E-2</v>
      </c>
      <c r="C26" s="141">
        <f>J36</f>
        <v>7.4999999999999997E-2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47</v>
      </c>
      <c r="B27" s="141">
        <f>I36</f>
        <v>9.3699999999999992E-2</v>
      </c>
      <c r="C27" s="141">
        <f>J36</f>
        <v>7.4999999999999997E-2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1" t="s">
        <v>50</v>
      </c>
      <c r="B28" s="108">
        <f>+ROUND(B22*B27,0)</f>
        <v>90</v>
      </c>
      <c r="C28" s="97">
        <f>+ROUND(C22*C27,0)</f>
        <v>0</v>
      </c>
      <c r="D28" s="98">
        <v>0</v>
      </c>
      <c r="E28" s="98">
        <v>0</v>
      </c>
      <c r="F28" s="114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30"/>
      <c r="B29" s="31"/>
      <c r="C29" s="31"/>
      <c r="D29" s="32"/>
      <c r="E29" s="28"/>
      <c r="F29" s="3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30"/>
      <c r="B30" s="31"/>
      <c r="C30" s="31"/>
      <c r="D30" s="32"/>
      <c r="E30" s="28"/>
      <c r="F30" s="33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51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37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2" t="s">
        <v>52</v>
      </c>
      <c r="D38" s="12"/>
      <c r="G38" s="9"/>
      <c r="H38" s="9"/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</row>
    <row r="40" spans="1:17" ht="20.100000000000001" customHeight="1">
      <c r="A40" s="302" t="s">
        <v>8</v>
      </c>
      <c r="B40" s="307" t="s">
        <v>32</v>
      </c>
      <c r="C40" s="308" t="s">
        <v>33</v>
      </c>
      <c r="D40" s="308" t="s">
        <v>11</v>
      </c>
      <c r="E40" s="308" t="s">
        <v>35</v>
      </c>
      <c r="F40" s="309" t="s">
        <v>13</v>
      </c>
      <c r="G40" s="9"/>
    </row>
    <row r="41" spans="1:17" ht="20.100000000000001" customHeight="1">
      <c r="A41" s="120" t="s">
        <v>42</v>
      </c>
      <c r="B41" s="117">
        <f>+B11</f>
        <v>960</v>
      </c>
      <c r="C41" s="115">
        <f>+C11</f>
        <v>0</v>
      </c>
      <c r="D41" s="101">
        <v>0</v>
      </c>
      <c r="E41" s="101">
        <v>0</v>
      </c>
      <c r="F41" s="116"/>
    </row>
    <row r="42" spans="1:17" ht="20.100000000000001" customHeight="1">
      <c r="A42" s="110" t="s">
        <v>43</v>
      </c>
      <c r="B42" s="118">
        <f>IFERROR(INDEX($H$17:$L$33,MATCH(B6,$H$17:$H$33,1),1),0)</f>
        <v>500</v>
      </c>
      <c r="C42" s="118">
        <f>IFERROR(INDEX($H$17:$L$33,MATCH(C6,$H$17:$H$33,1),1),0)</f>
        <v>0</v>
      </c>
      <c r="D42" s="118">
        <f>IFERROR(INDEX($H$17:$L$33,MATCH(D6,$H$17:$H$33,1),1),0)</f>
        <v>0</v>
      </c>
      <c r="E42" s="118">
        <f>IFERROR(INDEX($H$17:$L$33,MATCH(E6,$H$17:$H$33,1),1),0)</f>
        <v>0</v>
      </c>
      <c r="F42" s="113"/>
    </row>
    <row r="43" spans="1:17" ht="20.100000000000001" customHeight="1">
      <c r="A43" s="110" t="s">
        <v>44</v>
      </c>
      <c r="B43" s="118">
        <f>IFERROR(INDEX($H$17:$L$33,MATCH(B6,$H$17:$H$33,1)+1,1),0)</f>
        <v>1000</v>
      </c>
      <c r="C43" s="118">
        <f>IFERROR(INDEX($H$17:$L$33,MATCH(C6,$H$17:$H$33,1)+1,1),0)</f>
        <v>0</v>
      </c>
      <c r="D43" s="118">
        <f>IFERROR(INDEX($H$17:$L$33,MATCH(D6,$H$17:$H$33,1)+1,1),0)</f>
        <v>0</v>
      </c>
      <c r="E43" s="118">
        <f>IFERROR(INDEX($H$17:$L$33,MATCH(E6,$H$17:$H$33,1)+1,1),0)</f>
        <v>0</v>
      </c>
      <c r="F43" s="113"/>
    </row>
    <row r="44" spans="1:17" ht="20.100000000000001" customHeight="1">
      <c r="A44" s="110" t="s">
        <v>45</v>
      </c>
      <c r="B44" s="141">
        <f>IFERROR(INDEX($H$17:$L$33,MATCH(B6,$H$17:$H$33,1),5),0)</f>
        <v>7.1999999999999998E-3</v>
      </c>
      <c r="C44" s="141">
        <f>IFERROR(INDEX($H$17:$L$33,MATCH(C6,$H$17:$H$33,1),5),0)</f>
        <v>0</v>
      </c>
      <c r="D44" s="141">
        <f>IFERROR(INDEX($H$17:$L$33,MATCH(D6,$H$17:$H$33,1),5),0)</f>
        <v>0</v>
      </c>
      <c r="E44" s="141">
        <f>IFERROR(INDEX($H$17:$L$33,MATCH(E6,$H$17:$H$33,1),5),0)</f>
        <v>0</v>
      </c>
      <c r="F44" s="113"/>
    </row>
    <row r="45" spans="1:17" ht="20.100000000000001" customHeight="1">
      <c r="A45" s="110" t="s">
        <v>46</v>
      </c>
      <c r="B45" s="141">
        <f>IFERROR(INDEX($H$17:$L$33,MATCH(B6,$H$17:$H$33,1)+1,5),0)</f>
        <v>6.3E-3</v>
      </c>
      <c r="C45" s="141">
        <f>IFERROR(INDEX($H$17:$L$33,MATCH(C6,$H$17:$H$33,1)+1,5),0)</f>
        <v>0</v>
      </c>
      <c r="D45" s="141">
        <f>IFERROR(INDEX($H$17:$L$33,MATCH(D6,$H$17:$H$33,1)+1,5),0)</f>
        <v>0</v>
      </c>
      <c r="E45" s="141">
        <f>IFERROR(INDEX($H$17:$L$33,MATCH(E6,$H$17:$H$33,1)+1,5),0)</f>
        <v>0</v>
      </c>
      <c r="F45" s="113"/>
    </row>
    <row r="46" spans="1:17" ht="20.100000000000001" customHeight="1">
      <c r="A46" s="110" t="s">
        <v>47</v>
      </c>
      <c r="B46" s="141">
        <f>IFERROR(B44+((B45-B44)/(B43-B42))*(B41-B42),0)</f>
        <v>6.3720000000000001E-3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108">
        <f>+ROUND(B41*B46,0)</f>
        <v>6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302" t="s">
        <v>8</v>
      </c>
      <c r="B51" s="307" t="s">
        <v>32</v>
      </c>
      <c r="C51" s="308" t="s">
        <v>33</v>
      </c>
      <c r="D51" s="308" t="s">
        <v>11</v>
      </c>
      <c r="E51" s="308" t="s">
        <v>35</v>
      </c>
      <c r="F51" s="309" t="s">
        <v>13</v>
      </c>
    </row>
    <row r="52" spans="1:6" ht="20.100000000000001" customHeight="1">
      <c r="A52" s="131" t="s">
        <v>25</v>
      </c>
      <c r="B52" s="128">
        <f>+B6</f>
        <v>960</v>
      </c>
      <c r="C52" s="126">
        <f>+C6</f>
        <v>0</v>
      </c>
      <c r="D52" s="126">
        <f>+D6</f>
        <v>0</v>
      </c>
      <c r="E52" s="126">
        <f>+E6</f>
        <v>0</v>
      </c>
      <c r="F52" s="127"/>
    </row>
    <row r="53" spans="1:6" ht="20.100000000000001" customHeight="1">
      <c r="A53" s="132" t="s">
        <v>48</v>
      </c>
      <c r="B53" s="129">
        <f>+B17</f>
        <v>52</v>
      </c>
      <c r="C53" s="121">
        <f>+C17</f>
        <v>0</v>
      </c>
      <c r="D53" s="121">
        <f>+D17</f>
        <v>0</v>
      </c>
      <c r="E53" s="121">
        <f>+E17</f>
        <v>0</v>
      </c>
      <c r="F53" s="122"/>
    </row>
    <row r="54" spans="1:6" ht="20.100000000000001" customHeight="1">
      <c r="A54" s="132" t="s">
        <v>50</v>
      </c>
      <c r="B54" s="129">
        <f>+B28</f>
        <v>90</v>
      </c>
      <c r="C54" s="121">
        <f>+C28</f>
        <v>0</v>
      </c>
      <c r="D54" s="121">
        <f>+D28</f>
        <v>0</v>
      </c>
      <c r="E54" s="121">
        <f>+E28</f>
        <v>0</v>
      </c>
      <c r="F54" s="122"/>
    </row>
    <row r="55" spans="1:6" ht="20.100000000000001" customHeight="1">
      <c r="A55" s="132" t="s">
        <v>54</v>
      </c>
      <c r="B55" s="129">
        <f>+B47</f>
        <v>6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1108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topLeftCell="A4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253</v>
      </c>
      <c r="B1" s="1"/>
      <c r="C1" s="1"/>
      <c r="D1" s="1"/>
      <c r="L1" s="40" t="s">
        <v>401</v>
      </c>
    </row>
    <row r="2" spans="1:20" ht="20.100000000000001" customHeight="1">
      <c r="A2" s="2" t="s">
        <v>63</v>
      </c>
    </row>
    <row r="3" spans="1:20" ht="20.100000000000001" customHeight="1">
      <c r="A3" s="40" t="s">
        <v>974</v>
      </c>
      <c r="B3" s="40"/>
      <c r="C3" s="40"/>
      <c r="D3" s="40"/>
      <c r="M3" s="776" t="s">
        <v>64</v>
      </c>
      <c r="N3" s="776" t="s">
        <v>65</v>
      </c>
      <c r="O3" s="776" t="s">
        <v>66</v>
      </c>
      <c r="P3" s="776"/>
      <c r="Q3" s="844" t="s">
        <v>64</v>
      </c>
      <c r="R3" s="776" t="s">
        <v>65</v>
      </c>
      <c r="S3" s="776" t="s">
        <v>66</v>
      </c>
      <c r="T3" s="776"/>
    </row>
    <row r="4" spans="1:20" ht="20.100000000000001" customHeight="1">
      <c r="A4" s="40" t="s">
        <v>808</v>
      </c>
      <c r="B4" s="40"/>
      <c r="C4" s="40"/>
      <c r="D4" s="40"/>
      <c r="M4" s="776"/>
      <c r="N4" s="776"/>
      <c r="O4" s="304" t="s">
        <v>67</v>
      </c>
      <c r="P4" s="304" t="s">
        <v>68</v>
      </c>
      <c r="Q4" s="844"/>
      <c r="R4" s="776"/>
      <c r="S4" s="304" t="s">
        <v>67</v>
      </c>
      <c r="T4" s="304" t="s">
        <v>68</v>
      </c>
    </row>
    <row r="5" spans="1:20" ht="20.100000000000001" customHeight="1">
      <c r="A5" s="2" t="s">
        <v>4</v>
      </c>
      <c r="M5" s="169" t="s">
        <v>69</v>
      </c>
      <c r="N5" s="304">
        <v>300</v>
      </c>
      <c r="O5" s="44">
        <v>512740</v>
      </c>
      <c r="P5" s="44">
        <v>782541</v>
      </c>
      <c r="Q5" s="845" t="s">
        <v>70</v>
      </c>
      <c r="R5" s="304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71</v>
      </c>
      <c r="M6" s="169"/>
      <c r="N6" s="304">
        <v>400</v>
      </c>
      <c r="O6" s="44">
        <v>580188</v>
      </c>
      <c r="P6" s="44">
        <v>859007</v>
      </c>
      <c r="Q6" s="846"/>
      <c r="R6" s="304">
        <v>100</v>
      </c>
      <c r="S6" s="44">
        <v>102960</v>
      </c>
      <c r="T6" s="44">
        <v>323665</v>
      </c>
    </row>
    <row r="7" spans="1:20" ht="20.100000000000001" customHeight="1">
      <c r="A7" s="783" t="s">
        <v>8</v>
      </c>
      <c r="B7" s="785" t="s">
        <v>72</v>
      </c>
      <c r="C7" s="787" t="s">
        <v>73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169"/>
      <c r="N7" s="304">
        <v>500</v>
      </c>
      <c r="O7" s="44">
        <v>624861</v>
      </c>
      <c r="P7" s="44">
        <v>912820</v>
      </c>
      <c r="Q7" s="846"/>
      <c r="R7" s="304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316" t="s">
        <v>74</v>
      </c>
      <c r="E8" s="523" t="s">
        <v>75</v>
      </c>
      <c r="F8" s="522" t="s">
        <v>74</v>
      </c>
      <c r="G8" s="523" t="s">
        <v>75</v>
      </c>
      <c r="H8" s="522" t="s">
        <v>74</v>
      </c>
      <c r="I8" s="523" t="s">
        <v>75</v>
      </c>
      <c r="J8" s="522" t="s">
        <v>74</v>
      </c>
      <c r="K8" s="528" t="s">
        <v>75</v>
      </c>
      <c r="M8" s="169"/>
      <c r="N8" s="304">
        <v>600</v>
      </c>
      <c r="O8" s="44">
        <v>705821</v>
      </c>
      <c r="P8" s="44">
        <v>1016585</v>
      </c>
      <c r="Q8" s="846"/>
      <c r="R8" s="304">
        <v>200</v>
      </c>
      <c r="S8" s="44">
        <v>172293</v>
      </c>
      <c r="T8" s="44">
        <v>405664</v>
      </c>
    </row>
    <row r="9" spans="1:20" ht="20.100000000000001" customHeight="1">
      <c r="A9" s="898" t="s">
        <v>400</v>
      </c>
      <c r="B9" s="155">
        <v>300</v>
      </c>
      <c r="C9" s="544"/>
      <c r="D9" s="545">
        <v>144</v>
      </c>
      <c r="E9" s="353">
        <v>67</v>
      </c>
      <c r="F9" s="353"/>
      <c r="G9" s="353"/>
      <c r="H9" s="353"/>
      <c r="I9" s="353"/>
      <c r="J9" s="353"/>
      <c r="K9" s="394"/>
      <c r="M9" s="169"/>
      <c r="N9" s="304">
        <v>700</v>
      </c>
      <c r="O9" s="44">
        <v>782918</v>
      </c>
      <c r="P9" s="44">
        <v>1102578</v>
      </c>
      <c r="Q9" s="846"/>
      <c r="R9" s="304">
        <v>300</v>
      </c>
      <c r="S9" s="44">
        <v>248738</v>
      </c>
      <c r="T9" s="44">
        <v>494561</v>
      </c>
    </row>
    <row r="10" spans="1:20" ht="20.100000000000001" customHeight="1">
      <c r="A10" s="849"/>
      <c r="B10" s="152">
        <v>400</v>
      </c>
      <c r="C10" s="315"/>
      <c r="D10" s="333">
        <v>206</v>
      </c>
      <c r="E10" s="331">
        <v>96</v>
      </c>
      <c r="F10" s="331"/>
      <c r="G10" s="331"/>
      <c r="H10" s="331"/>
      <c r="I10" s="331"/>
      <c r="J10" s="331"/>
      <c r="K10" s="332"/>
      <c r="L10" s="9"/>
      <c r="M10" s="169"/>
      <c r="N10" s="304">
        <v>800</v>
      </c>
      <c r="O10" s="44">
        <v>854676</v>
      </c>
      <c r="P10" s="44">
        <v>1183365</v>
      </c>
      <c r="Q10" s="846"/>
      <c r="R10" s="304">
        <v>400</v>
      </c>
      <c r="S10" s="44">
        <v>348039</v>
      </c>
      <c r="T10" s="44">
        <v>606519</v>
      </c>
    </row>
    <row r="11" spans="1:20" ht="20.100000000000001" customHeight="1">
      <c r="A11" s="849"/>
      <c r="B11" s="152">
        <v>450</v>
      </c>
      <c r="C11" s="315"/>
      <c r="D11" s="333">
        <v>206</v>
      </c>
      <c r="E11" s="331">
        <v>96</v>
      </c>
      <c r="F11" s="331"/>
      <c r="G11" s="331"/>
      <c r="H11" s="331"/>
      <c r="I11" s="331"/>
      <c r="J11" s="331"/>
      <c r="K11" s="332"/>
      <c r="L11" s="9"/>
      <c r="M11" s="169"/>
      <c r="N11" s="304">
        <v>900</v>
      </c>
      <c r="O11" s="44">
        <v>945775</v>
      </c>
      <c r="P11" s="44">
        <v>1283451</v>
      </c>
      <c r="Q11" s="846"/>
      <c r="R11" s="304">
        <v>500</v>
      </c>
      <c r="S11" s="44">
        <v>453129</v>
      </c>
      <c r="T11" s="44">
        <v>724142</v>
      </c>
    </row>
    <row r="12" spans="1:20" ht="20.100000000000001" customHeight="1">
      <c r="A12" s="849"/>
      <c r="B12" s="152">
        <v>500</v>
      </c>
      <c r="C12" s="315"/>
      <c r="D12" s="333">
        <v>433</v>
      </c>
      <c r="E12" s="331">
        <v>202</v>
      </c>
      <c r="F12" s="331"/>
      <c r="G12" s="331"/>
      <c r="H12" s="331"/>
      <c r="I12" s="331"/>
      <c r="J12" s="331"/>
      <c r="K12" s="332"/>
      <c r="L12" s="9"/>
      <c r="M12" s="169"/>
      <c r="N12" s="304">
        <v>1000</v>
      </c>
      <c r="O12" s="44">
        <v>1051853</v>
      </c>
      <c r="P12" s="44">
        <v>1398649</v>
      </c>
      <c r="Q12" s="846"/>
      <c r="R12" s="304">
        <v>600</v>
      </c>
      <c r="S12" s="44">
        <v>563069</v>
      </c>
      <c r="T12" s="44">
        <v>846789</v>
      </c>
    </row>
    <row r="13" spans="1:20" ht="20.100000000000001" customHeight="1">
      <c r="A13" s="849"/>
      <c r="B13" s="152">
        <v>600</v>
      </c>
      <c r="C13" s="315"/>
      <c r="D13" s="333">
        <v>743</v>
      </c>
      <c r="E13" s="331">
        <v>345</v>
      </c>
      <c r="F13" s="331"/>
      <c r="G13" s="331"/>
      <c r="H13" s="331"/>
      <c r="I13" s="331"/>
      <c r="J13" s="331"/>
      <c r="K13" s="332"/>
      <c r="L13" s="9"/>
      <c r="M13" s="169"/>
      <c r="N13" s="304">
        <v>1100</v>
      </c>
      <c r="O13" s="44">
        <v>1188358</v>
      </c>
      <c r="P13" s="44">
        <v>1557399</v>
      </c>
      <c r="Q13" s="846"/>
      <c r="R13" s="304">
        <v>700</v>
      </c>
      <c r="S13" s="44">
        <v>708878</v>
      </c>
      <c r="T13" s="44">
        <v>1005274</v>
      </c>
    </row>
    <row r="14" spans="1:20" ht="20.100000000000001" customHeight="1">
      <c r="A14" s="849"/>
      <c r="B14" s="152">
        <v>700</v>
      </c>
      <c r="C14" s="315"/>
      <c r="D14" s="333">
        <v>41</v>
      </c>
      <c r="E14" s="331">
        <v>19</v>
      </c>
      <c r="F14" s="331"/>
      <c r="G14" s="331"/>
      <c r="H14" s="331"/>
      <c r="I14" s="331"/>
      <c r="J14" s="331"/>
      <c r="K14" s="332"/>
      <c r="L14" s="9">
        <v>184</v>
      </c>
      <c r="M14" s="169"/>
      <c r="N14" s="304">
        <v>1200</v>
      </c>
      <c r="O14" s="44">
        <v>1313909</v>
      </c>
      <c r="P14" s="44">
        <v>1691805</v>
      </c>
      <c r="Q14" s="847"/>
      <c r="R14" s="304">
        <v>800</v>
      </c>
      <c r="S14" s="44">
        <v>860005</v>
      </c>
      <c r="T14" s="44">
        <v>1169007</v>
      </c>
    </row>
    <row r="15" spans="1:20" ht="20.100000000000001" customHeight="1">
      <c r="A15" s="849"/>
      <c r="B15" s="152">
        <v>800</v>
      </c>
      <c r="C15" s="315"/>
      <c r="D15" s="333">
        <v>165</v>
      </c>
      <c r="E15" s="331">
        <v>77</v>
      </c>
      <c r="F15" s="331"/>
      <c r="G15" s="331"/>
      <c r="H15" s="331"/>
      <c r="I15" s="331"/>
      <c r="J15" s="331"/>
      <c r="K15" s="332"/>
      <c r="L15" s="9">
        <v>4155</v>
      </c>
      <c r="M15" s="169"/>
      <c r="N15" s="304">
        <v>1350</v>
      </c>
      <c r="O15" s="44">
        <v>1519849</v>
      </c>
      <c r="P15" s="44">
        <v>1910605</v>
      </c>
    </row>
    <row r="16" spans="1:20" ht="20.100000000000001" customHeight="1">
      <c r="A16" s="849"/>
      <c r="B16" s="152">
        <v>900</v>
      </c>
      <c r="C16" s="315"/>
      <c r="D16" s="333">
        <v>21</v>
      </c>
      <c r="E16" s="331">
        <v>10</v>
      </c>
      <c r="F16" s="331"/>
      <c r="G16" s="331"/>
      <c r="H16" s="331"/>
      <c r="I16" s="331"/>
      <c r="J16" s="331"/>
      <c r="K16" s="332"/>
      <c r="L16" s="9"/>
      <c r="M16" s="813" t="s">
        <v>76</v>
      </c>
      <c r="N16" s="304">
        <v>300</v>
      </c>
      <c r="O16" s="44">
        <v>707247</v>
      </c>
      <c r="P16" s="44">
        <v>977038</v>
      </c>
    </row>
    <row r="17" spans="1:16" ht="20.100000000000001" customHeight="1">
      <c r="A17" s="849"/>
      <c r="B17" s="152">
        <v>1000</v>
      </c>
      <c r="C17" s="315"/>
      <c r="D17" s="333">
        <v>82</v>
      </c>
      <c r="E17" s="331">
        <v>38</v>
      </c>
      <c r="F17" s="331"/>
      <c r="G17" s="331"/>
      <c r="H17" s="331"/>
      <c r="I17" s="331"/>
      <c r="J17" s="331"/>
      <c r="K17" s="332"/>
      <c r="L17" s="9"/>
      <c r="M17" s="814"/>
      <c r="N17" s="304">
        <v>400</v>
      </c>
      <c r="O17" s="44">
        <v>827275</v>
      </c>
      <c r="P17" s="44">
        <v>1106094</v>
      </c>
    </row>
    <row r="18" spans="1:16" ht="20.100000000000001" customHeight="1">
      <c r="A18" s="849"/>
      <c r="B18" s="152">
        <v>1200</v>
      </c>
      <c r="C18" s="315"/>
      <c r="D18" s="333">
        <v>21</v>
      </c>
      <c r="E18" s="331">
        <v>10</v>
      </c>
      <c r="F18" s="331"/>
      <c r="G18" s="331"/>
      <c r="H18" s="331"/>
      <c r="I18" s="331"/>
      <c r="J18" s="331"/>
      <c r="K18" s="332"/>
      <c r="L18" s="9"/>
      <c r="M18" s="814"/>
      <c r="N18" s="304">
        <v>500</v>
      </c>
      <c r="O18" s="44">
        <v>935411</v>
      </c>
      <c r="P18" s="44">
        <v>1223371</v>
      </c>
    </row>
    <row r="19" spans="1:16" ht="20.100000000000001" customHeight="1">
      <c r="A19" s="849"/>
      <c r="B19" s="152"/>
      <c r="C19" s="315"/>
      <c r="D19" s="333">
        <v>0</v>
      </c>
      <c r="E19" s="331">
        <f>+ROUND($C19*D19/1000000,0)</f>
        <v>0</v>
      </c>
      <c r="F19" s="331"/>
      <c r="G19" s="331">
        <f>+ROUND($C19*F19/1000000,0)</f>
        <v>0</v>
      </c>
      <c r="H19" s="331"/>
      <c r="I19" s="331">
        <f>+ROUND($C19*H19/1000000,0)</f>
        <v>0</v>
      </c>
      <c r="J19" s="331"/>
      <c r="K19" s="332">
        <f>+ROUND($C19*J19/1000000,0)</f>
        <v>0</v>
      </c>
      <c r="L19" s="9"/>
      <c r="M19" s="814"/>
      <c r="N19" s="304">
        <v>600</v>
      </c>
      <c r="O19" s="44">
        <v>1068860</v>
      </c>
      <c r="P19" s="44">
        <v>1379624</v>
      </c>
    </row>
    <row r="20" spans="1:16" ht="20.100000000000001" customHeight="1">
      <c r="A20" s="848"/>
      <c r="B20" s="152" t="s">
        <v>95</v>
      </c>
      <c r="C20" s="315"/>
      <c r="D20" s="333">
        <f>SUM(D9:D19)</f>
        <v>2062</v>
      </c>
      <c r="E20" s="331">
        <f t="shared" ref="E20:K20" si="0">SUM(E9:E19)</f>
        <v>960</v>
      </c>
      <c r="F20" s="331">
        <f t="shared" si="0"/>
        <v>0</v>
      </c>
      <c r="G20" s="331">
        <f t="shared" si="0"/>
        <v>0</v>
      </c>
      <c r="H20" s="331">
        <f t="shared" si="0"/>
        <v>0</v>
      </c>
      <c r="I20" s="331">
        <f t="shared" si="0"/>
        <v>0</v>
      </c>
      <c r="J20" s="331">
        <f t="shared" si="0"/>
        <v>0</v>
      </c>
      <c r="K20" s="332">
        <f t="shared" si="0"/>
        <v>0</v>
      </c>
      <c r="L20" s="9"/>
      <c r="M20" s="814"/>
      <c r="N20" s="304">
        <v>700</v>
      </c>
      <c r="O20" s="44">
        <v>1206659</v>
      </c>
      <c r="P20" s="44">
        <v>1526319</v>
      </c>
    </row>
    <row r="21" spans="1:16" ht="20.100000000000001" customHeight="1">
      <c r="A21" s="840" t="s">
        <v>56</v>
      </c>
      <c r="B21" s="155">
        <v>300</v>
      </c>
      <c r="C21" s="315"/>
      <c r="D21" s="333">
        <f>D9</f>
        <v>144</v>
      </c>
      <c r="E21" s="331">
        <f t="shared" ref="E21:K21" si="1">E9</f>
        <v>67</v>
      </c>
      <c r="F21" s="331">
        <f t="shared" si="1"/>
        <v>0</v>
      </c>
      <c r="G21" s="331">
        <f t="shared" si="1"/>
        <v>0</v>
      </c>
      <c r="H21" s="331">
        <f t="shared" si="1"/>
        <v>0</v>
      </c>
      <c r="I21" s="331">
        <f t="shared" si="1"/>
        <v>0</v>
      </c>
      <c r="J21" s="331">
        <f t="shared" si="1"/>
        <v>0</v>
      </c>
      <c r="K21" s="332">
        <f t="shared" si="1"/>
        <v>0</v>
      </c>
      <c r="L21" s="9"/>
      <c r="M21" s="814"/>
      <c r="N21" s="304">
        <v>800</v>
      </c>
      <c r="O21" s="44">
        <v>1373571</v>
      </c>
      <c r="P21" s="44">
        <v>1702260</v>
      </c>
    </row>
    <row r="22" spans="1:16" ht="20.100000000000001" customHeight="1">
      <c r="A22" s="849"/>
      <c r="B22" s="152">
        <v>400</v>
      </c>
      <c r="C22" s="315"/>
      <c r="D22" s="333">
        <f t="shared" ref="D22:K22" si="2">D10</f>
        <v>206</v>
      </c>
      <c r="E22" s="331">
        <f t="shared" si="2"/>
        <v>96</v>
      </c>
      <c r="F22" s="331">
        <f t="shared" si="2"/>
        <v>0</v>
      </c>
      <c r="G22" s="331">
        <f t="shared" si="2"/>
        <v>0</v>
      </c>
      <c r="H22" s="331">
        <f t="shared" si="2"/>
        <v>0</v>
      </c>
      <c r="I22" s="331">
        <f t="shared" si="2"/>
        <v>0</v>
      </c>
      <c r="J22" s="331">
        <f t="shared" si="2"/>
        <v>0</v>
      </c>
      <c r="K22" s="332">
        <f t="shared" si="2"/>
        <v>0</v>
      </c>
      <c r="L22" s="9"/>
      <c r="M22" s="814"/>
      <c r="N22" s="304">
        <v>900</v>
      </c>
      <c r="O22" s="44">
        <v>1509424</v>
      </c>
      <c r="P22" s="44">
        <v>1847090</v>
      </c>
    </row>
    <row r="23" spans="1:16" ht="20.100000000000001" customHeight="1">
      <c r="A23" s="849"/>
      <c r="B23" s="152">
        <v>450</v>
      </c>
      <c r="C23" s="315"/>
      <c r="D23" s="333">
        <f t="shared" ref="D23:K23" si="3">D11</f>
        <v>206</v>
      </c>
      <c r="E23" s="331">
        <f t="shared" si="3"/>
        <v>96</v>
      </c>
      <c r="F23" s="331">
        <f t="shared" si="3"/>
        <v>0</v>
      </c>
      <c r="G23" s="331">
        <f t="shared" si="3"/>
        <v>0</v>
      </c>
      <c r="H23" s="331">
        <f t="shared" si="3"/>
        <v>0</v>
      </c>
      <c r="I23" s="331">
        <f t="shared" si="3"/>
        <v>0</v>
      </c>
      <c r="J23" s="331">
        <f t="shared" si="3"/>
        <v>0</v>
      </c>
      <c r="K23" s="332">
        <f t="shared" si="3"/>
        <v>0</v>
      </c>
      <c r="L23" s="9"/>
      <c r="M23" s="814"/>
      <c r="N23" s="304">
        <v>1000</v>
      </c>
      <c r="O23" s="44">
        <v>1730822</v>
      </c>
      <c r="P23" s="44">
        <v>2077609</v>
      </c>
    </row>
    <row r="24" spans="1:16" ht="20.100000000000001" customHeight="1">
      <c r="A24" s="849"/>
      <c r="B24" s="152">
        <v>500</v>
      </c>
      <c r="C24" s="315"/>
      <c r="D24" s="333">
        <f t="shared" ref="D24:K24" si="4">D12</f>
        <v>433</v>
      </c>
      <c r="E24" s="331">
        <f t="shared" si="4"/>
        <v>202</v>
      </c>
      <c r="F24" s="331">
        <f t="shared" si="4"/>
        <v>0</v>
      </c>
      <c r="G24" s="331">
        <f t="shared" si="4"/>
        <v>0</v>
      </c>
      <c r="H24" s="331">
        <f t="shared" si="4"/>
        <v>0</v>
      </c>
      <c r="I24" s="331">
        <f t="shared" si="4"/>
        <v>0</v>
      </c>
      <c r="J24" s="331">
        <f t="shared" si="4"/>
        <v>0</v>
      </c>
      <c r="K24" s="332">
        <f t="shared" si="4"/>
        <v>0</v>
      </c>
      <c r="L24" s="9"/>
      <c r="M24" s="814"/>
      <c r="N24" s="304">
        <v>1100</v>
      </c>
      <c r="O24" s="44">
        <v>1990647</v>
      </c>
      <c r="P24" s="44">
        <v>2359688</v>
      </c>
    </row>
    <row r="25" spans="1:16" ht="20.100000000000001" customHeight="1">
      <c r="A25" s="849"/>
      <c r="B25" s="152">
        <v>600</v>
      </c>
      <c r="C25" s="315"/>
      <c r="D25" s="333">
        <f t="shared" ref="D25:K25" si="5">D13</f>
        <v>743</v>
      </c>
      <c r="E25" s="331">
        <f t="shared" si="5"/>
        <v>345</v>
      </c>
      <c r="F25" s="331">
        <f t="shared" si="5"/>
        <v>0</v>
      </c>
      <c r="G25" s="331">
        <f t="shared" si="5"/>
        <v>0</v>
      </c>
      <c r="H25" s="331">
        <f t="shared" si="5"/>
        <v>0</v>
      </c>
      <c r="I25" s="331">
        <f t="shared" si="5"/>
        <v>0</v>
      </c>
      <c r="J25" s="331">
        <f t="shared" si="5"/>
        <v>0</v>
      </c>
      <c r="K25" s="332">
        <f t="shared" si="5"/>
        <v>0</v>
      </c>
      <c r="L25" s="9"/>
      <c r="M25" s="815"/>
      <c r="N25" s="304">
        <v>1200</v>
      </c>
      <c r="O25" s="44">
        <v>2234280</v>
      </c>
      <c r="P25" s="44">
        <v>2612176</v>
      </c>
    </row>
    <row r="26" spans="1:16" ht="20.100000000000001" customHeight="1">
      <c r="A26" s="849"/>
      <c r="B26" s="152">
        <v>700</v>
      </c>
      <c r="C26" s="315"/>
      <c r="D26" s="333">
        <f t="shared" ref="D26:K26" si="6">D14</f>
        <v>41</v>
      </c>
      <c r="E26" s="331">
        <f t="shared" si="6"/>
        <v>19</v>
      </c>
      <c r="F26" s="331">
        <f t="shared" si="6"/>
        <v>0</v>
      </c>
      <c r="G26" s="331">
        <f t="shared" si="6"/>
        <v>0</v>
      </c>
      <c r="H26" s="331">
        <f t="shared" si="6"/>
        <v>0</v>
      </c>
      <c r="I26" s="331">
        <f t="shared" si="6"/>
        <v>0</v>
      </c>
      <c r="J26" s="331">
        <f t="shared" si="6"/>
        <v>0</v>
      </c>
      <c r="K26" s="332">
        <f t="shared" si="6"/>
        <v>0</v>
      </c>
      <c r="L26" s="9"/>
      <c r="M26" s="776" t="s">
        <v>77</v>
      </c>
      <c r="N26" s="304">
        <v>200</v>
      </c>
      <c r="O26" s="44">
        <v>476678</v>
      </c>
      <c r="P26" s="44">
        <v>737848</v>
      </c>
    </row>
    <row r="27" spans="1:16" ht="20.100000000000001" customHeight="1">
      <c r="A27" s="849"/>
      <c r="B27" s="152">
        <v>800</v>
      </c>
      <c r="C27" s="315"/>
      <c r="D27" s="333">
        <f t="shared" ref="D27:K27" si="7">D15</f>
        <v>165</v>
      </c>
      <c r="E27" s="331">
        <f t="shared" si="7"/>
        <v>77</v>
      </c>
      <c r="F27" s="331">
        <f t="shared" si="7"/>
        <v>0</v>
      </c>
      <c r="G27" s="331">
        <f t="shared" si="7"/>
        <v>0</v>
      </c>
      <c r="H27" s="331">
        <f t="shared" si="7"/>
        <v>0</v>
      </c>
      <c r="I27" s="331">
        <f t="shared" si="7"/>
        <v>0</v>
      </c>
      <c r="J27" s="331">
        <f t="shared" si="7"/>
        <v>0</v>
      </c>
      <c r="K27" s="332">
        <f t="shared" si="7"/>
        <v>0</v>
      </c>
      <c r="L27" s="9"/>
      <c r="M27" s="776"/>
      <c r="N27" s="304">
        <v>300</v>
      </c>
      <c r="O27" s="44">
        <v>525101</v>
      </c>
      <c r="P27" s="44">
        <v>794902</v>
      </c>
    </row>
    <row r="28" spans="1:16" ht="20.100000000000001" customHeight="1">
      <c r="A28" s="849"/>
      <c r="B28" s="152">
        <v>900</v>
      </c>
      <c r="C28" s="315"/>
      <c r="D28" s="333">
        <f t="shared" ref="D28:K28" si="8">D16</f>
        <v>21</v>
      </c>
      <c r="E28" s="331">
        <f t="shared" si="8"/>
        <v>10</v>
      </c>
      <c r="F28" s="331">
        <f t="shared" si="8"/>
        <v>0</v>
      </c>
      <c r="G28" s="331">
        <f t="shared" si="8"/>
        <v>0</v>
      </c>
      <c r="H28" s="331">
        <f t="shared" si="8"/>
        <v>0</v>
      </c>
      <c r="I28" s="331">
        <f t="shared" si="8"/>
        <v>0</v>
      </c>
      <c r="J28" s="331">
        <f t="shared" si="8"/>
        <v>0</v>
      </c>
      <c r="K28" s="332">
        <f t="shared" si="8"/>
        <v>0</v>
      </c>
      <c r="M28" s="776"/>
      <c r="N28" s="304">
        <v>400</v>
      </c>
      <c r="O28" s="44">
        <v>625778</v>
      </c>
      <c r="P28" s="44">
        <v>904597</v>
      </c>
    </row>
    <row r="29" spans="1:16" ht="20.100000000000001" customHeight="1">
      <c r="A29" s="849"/>
      <c r="B29" s="152">
        <v>1000</v>
      </c>
      <c r="C29" s="315"/>
      <c r="D29" s="546">
        <f t="shared" ref="D29:K29" si="9">D17</f>
        <v>82</v>
      </c>
      <c r="E29" s="331">
        <f t="shared" si="9"/>
        <v>38</v>
      </c>
      <c r="F29" s="331">
        <f t="shared" si="9"/>
        <v>0</v>
      </c>
      <c r="G29" s="331">
        <f t="shared" si="9"/>
        <v>0</v>
      </c>
      <c r="H29" s="331">
        <f t="shared" si="9"/>
        <v>0</v>
      </c>
      <c r="I29" s="331">
        <f t="shared" si="9"/>
        <v>0</v>
      </c>
      <c r="J29" s="331">
        <f t="shared" si="9"/>
        <v>0</v>
      </c>
      <c r="K29" s="332">
        <f t="shared" si="9"/>
        <v>0</v>
      </c>
      <c r="M29" s="776"/>
      <c r="N29" s="304">
        <v>500</v>
      </c>
      <c r="O29" s="44">
        <v>711507</v>
      </c>
      <c r="P29" s="44">
        <v>999476</v>
      </c>
    </row>
    <row r="30" spans="1:16" ht="20.100000000000001" customHeight="1">
      <c r="A30" s="849"/>
      <c r="B30" s="152">
        <v>1200</v>
      </c>
      <c r="C30" s="315"/>
      <c r="D30" s="546">
        <f t="shared" ref="D30:K30" si="10">D18</f>
        <v>21</v>
      </c>
      <c r="E30" s="331">
        <f t="shared" si="10"/>
        <v>10</v>
      </c>
      <c r="F30" s="331">
        <f t="shared" si="10"/>
        <v>0</v>
      </c>
      <c r="G30" s="331">
        <f t="shared" si="10"/>
        <v>0</v>
      </c>
      <c r="H30" s="331">
        <f t="shared" si="10"/>
        <v>0</v>
      </c>
      <c r="I30" s="331">
        <f t="shared" si="10"/>
        <v>0</v>
      </c>
      <c r="J30" s="331">
        <f t="shared" si="10"/>
        <v>0</v>
      </c>
      <c r="K30" s="332">
        <f t="shared" si="10"/>
        <v>0</v>
      </c>
      <c r="M30" s="776"/>
      <c r="N30" s="304">
        <v>600</v>
      </c>
      <c r="O30" s="44">
        <v>810869</v>
      </c>
      <c r="P30" s="44">
        <v>1121644</v>
      </c>
    </row>
    <row r="31" spans="1:16" ht="20.100000000000001" customHeight="1">
      <c r="A31" s="849"/>
      <c r="B31" s="152"/>
      <c r="C31" s="315"/>
      <c r="D31" s="546">
        <f t="shared" ref="D31:K31" si="11">D19</f>
        <v>0</v>
      </c>
      <c r="E31" s="331">
        <f t="shared" si="11"/>
        <v>0</v>
      </c>
      <c r="F31" s="331">
        <f t="shared" si="11"/>
        <v>0</v>
      </c>
      <c r="G31" s="331">
        <f t="shared" si="11"/>
        <v>0</v>
      </c>
      <c r="H31" s="331">
        <f t="shared" si="11"/>
        <v>0</v>
      </c>
      <c r="I31" s="331">
        <f t="shared" si="11"/>
        <v>0</v>
      </c>
      <c r="J31" s="331">
        <f t="shared" si="11"/>
        <v>0</v>
      </c>
      <c r="K31" s="332">
        <f t="shared" si="11"/>
        <v>0</v>
      </c>
      <c r="L31" s="9"/>
      <c r="M31" s="776"/>
      <c r="N31" s="304">
        <v>700</v>
      </c>
      <c r="O31" s="44">
        <v>919311</v>
      </c>
      <c r="P31" s="44">
        <v>1238972</v>
      </c>
    </row>
    <row r="32" spans="1:16" ht="20.100000000000001" customHeight="1">
      <c r="A32" s="850"/>
      <c r="B32" s="167" t="s">
        <v>95</v>
      </c>
      <c r="C32" s="475"/>
      <c r="D32" s="485">
        <f t="shared" ref="D32:K32" si="12">SUM(D21:D31)</f>
        <v>2062</v>
      </c>
      <c r="E32" s="334">
        <f t="shared" si="12"/>
        <v>960</v>
      </c>
      <c r="F32" s="334">
        <f t="shared" si="12"/>
        <v>0</v>
      </c>
      <c r="G32" s="334">
        <f t="shared" si="12"/>
        <v>0</v>
      </c>
      <c r="H32" s="334">
        <f t="shared" si="12"/>
        <v>0</v>
      </c>
      <c r="I32" s="334">
        <f t="shared" si="12"/>
        <v>0</v>
      </c>
      <c r="J32" s="334">
        <f t="shared" si="12"/>
        <v>0</v>
      </c>
      <c r="K32" s="335">
        <f t="shared" si="12"/>
        <v>0</v>
      </c>
      <c r="L32" s="29"/>
      <c r="M32" s="776"/>
      <c r="N32" s="304">
        <v>800</v>
      </c>
      <c r="O32" s="44">
        <v>1030780</v>
      </c>
      <c r="P32" s="44">
        <v>1359468</v>
      </c>
    </row>
    <row r="33" spans="2:16" ht="20.100000000000001" customHeight="1">
      <c r="L33" s="45"/>
      <c r="M33" s="776"/>
      <c r="N33" s="304">
        <v>900</v>
      </c>
      <c r="O33" s="44">
        <v>1120686</v>
      </c>
      <c r="P33" s="44">
        <v>1458352</v>
      </c>
    </row>
    <row r="34" spans="2:16" ht="20.100000000000001" customHeight="1">
      <c r="D34" s="2">
        <v>56391</v>
      </c>
      <c r="L34" s="45"/>
      <c r="M34" s="776"/>
      <c r="N34" s="304">
        <v>1000</v>
      </c>
      <c r="O34" s="44">
        <v>1252157</v>
      </c>
      <c r="P34" s="44">
        <v>1598943</v>
      </c>
    </row>
    <row r="35" spans="2:16" ht="20.100000000000001" customHeight="1">
      <c r="L35" s="35"/>
      <c r="M35" s="776"/>
      <c r="N35" s="304">
        <v>1200</v>
      </c>
      <c r="O35" s="44">
        <v>1519329</v>
      </c>
      <c r="P35" s="44">
        <v>1897235</v>
      </c>
    </row>
    <row r="36" spans="2:16" ht="20.100000000000001" customHeight="1">
      <c r="B36" s="2">
        <v>960</v>
      </c>
      <c r="C36" s="2">
        <v>2062</v>
      </c>
      <c r="D36" s="2">
        <v>300</v>
      </c>
      <c r="E36" s="2">
        <v>7.0000000000000007E-2</v>
      </c>
      <c r="F36" s="2">
        <f>ROUND($C$36*E36,0)</f>
        <v>144</v>
      </c>
      <c r="G36" s="2">
        <f>ROUND($B$36*E36,0)</f>
        <v>67</v>
      </c>
      <c r="L36" s="35"/>
      <c r="M36" s="776" t="s">
        <v>78</v>
      </c>
      <c r="N36" s="304" t="s">
        <v>79</v>
      </c>
      <c r="O36" s="44">
        <v>1813280</v>
      </c>
      <c r="P36" s="44">
        <v>2098936</v>
      </c>
    </row>
    <row r="37" spans="2:16" ht="20.100000000000001" customHeight="1">
      <c r="D37" s="2">
        <v>400</v>
      </c>
      <c r="E37" s="2">
        <v>0.1</v>
      </c>
      <c r="F37" s="2">
        <f t="shared" ref="F37:F45" si="13">ROUND($C$36*E37,0)</f>
        <v>206</v>
      </c>
      <c r="G37" s="2">
        <f t="shared" ref="G37:G45" si="14">ROUND($B$36*E37,0)</f>
        <v>96</v>
      </c>
      <c r="L37" s="36"/>
      <c r="M37" s="776"/>
      <c r="N37" s="304" t="s">
        <v>80</v>
      </c>
      <c r="O37" s="44">
        <v>1980997</v>
      </c>
      <c r="P37" s="44">
        <v>2266643</v>
      </c>
    </row>
    <row r="38" spans="2:16" ht="20.100000000000001" customHeight="1">
      <c r="D38" s="2">
        <v>450</v>
      </c>
      <c r="E38" s="2">
        <v>0.1</v>
      </c>
      <c r="F38" s="2">
        <f t="shared" si="13"/>
        <v>206</v>
      </c>
      <c r="G38" s="2">
        <f t="shared" si="14"/>
        <v>96</v>
      </c>
      <c r="L38" s="35"/>
      <c r="M38" s="776"/>
      <c r="N38" s="304" t="s">
        <v>81</v>
      </c>
      <c r="O38" s="44">
        <v>2008266</v>
      </c>
      <c r="P38" s="44">
        <v>2293922</v>
      </c>
    </row>
    <row r="39" spans="2:16" ht="20.100000000000001" customHeight="1">
      <c r="D39" s="2">
        <v>500</v>
      </c>
      <c r="E39" s="2">
        <v>0.21</v>
      </c>
      <c r="F39" s="2">
        <f t="shared" si="13"/>
        <v>433</v>
      </c>
      <c r="G39" s="2">
        <f t="shared" si="14"/>
        <v>202</v>
      </c>
      <c r="L39" s="35"/>
      <c r="M39" s="776"/>
      <c r="N39" s="304" t="s">
        <v>82</v>
      </c>
      <c r="O39" s="44">
        <v>2087044</v>
      </c>
      <c r="P39" s="44">
        <v>2432231</v>
      </c>
    </row>
    <row r="40" spans="2:16" ht="20.100000000000001" customHeight="1">
      <c r="D40" s="2">
        <v>600</v>
      </c>
      <c r="E40" s="2">
        <v>0.36</v>
      </c>
      <c r="F40" s="2">
        <f>ROUND($C$36*E40,0)+1</f>
        <v>743</v>
      </c>
      <c r="G40" s="2">
        <f>ROUND($B$36*E40,0)-1</f>
        <v>345</v>
      </c>
      <c r="L40" s="35"/>
      <c r="M40" s="776"/>
      <c r="N40" s="304" t="s">
        <v>83</v>
      </c>
      <c r="O40" s="44">
        <v>2235747</v>
      </c>
      <c r="P40" s="44">
        <v>2580933</v>
      </c>
    </row>
    <row r="41" spans="2:16" ht="20.100000000000001" customHeight="1">
      <c r="D41" s="2">
        <v>700</v>
      </c>
      <c r="E41" s="2">
        <v>0.02</v>
      </c>
      <c r="F41" s="2">
        <f t="shared" si="13"/>
        <v>41</v>
      </c>
      <c r="G41" s="2">
        <f t="shared" si="14"/>
        <v>19</v>
      </c>
      <c r="L41" s="35"/>
      <c r="M41" s="776"/>
      <c r="N41" s="304" t="s">
        <v>84</v>
      </c>
      <c r="O41" s="44">
        <v>2493065</v>
      </c>
      <c r="P41" s="44">
        <v>2838251</v>
      </c>
    </row>
    <row r="42" spans="2:16" ht="20.100000000000001" customHeight="1">
      <c r="D42" s="2">
        <v>800</v>
      </c>
      <c r="E42" s="2">
        <v>0.08</v>
      </c>
      <c r="F42" s="2">
        <f t="shared" si="13"/>
        <v>165</v>
      </c>
      <c r="G42" s="2">
        <f t="shared" si="14"/>
        <v>77</v>
      </c>
      <c r="L42" s="35"/>
      <c r="M42" s="776"/>
      <c r="N42" s="304" t="s">
        <v>85</v>
      </c>
      <c r="O42" s="44">
        <v>2688377</v>
      </c>
      <c r="P42" s="44">
        <v>3033563</v>
      </c>
    </row>
    <row r="43" spans="2:16" ht="20.100000000000001" customHeight="1">
      <c r="D43" s="2">
        <v>900</v>
      </c>
      <c r="E43" s="2">
        <v>0.01</v>
      </c>
      <c r="F43" s="2">
        <f t="shared" si="13"/>
        <v>21</v>
      </c>
      <c r="G43" s="2">
        <f t="shared" si="14"/>
        <v>10</v>
      </c>
      <c r="L43" s="35"/>
      <c r="M43" s="776"/>
      <c r="N43" s="304" t="s">
        <v>86</v>
      </c>
      <c r="O43" s="44">
        <v>2712639</v>
      </c>
      <c r="P43" s="44">
        <v>3057825</v>
      </c>
    </row>
    <row r="44" spans="2:16" ht="20.100000000000001" customHeight="1">
      <c r="D44" s="2">
        <v>1000</v>
      </c>
      <c r="E44" s="2">
        <v>0.04</v>
      </c>
      <c r="F44" s="2">
        <f t="shared" si="13"/>
        <v>82</v>
      </c>
      <c r="G44" s="2">
        <f t="shared" si="14"/>
        <v>38</v>
      </c>
      <c r="L44" s="35"/>
      <c r="M44" s="776"/>
      <c r="N44" s="304" t="s">
        <v>87</v>
      </c>
      <c r="O44" s="44">
        <v>3180065</v>
      </c>
      <c r="P44" s="44">
        <v>3525251</v>
      </c>
    </row>
    <row r="45" spans="2:16" ht="20.100000000000001" customHeight="1">
      <c r="D45" s="2">
        <v>1200</v>
      </c>
      <c r="E45" s="2">
        <v>0.01</v>
      </c>
      <c r="F45" s="2">
        <f t="shared" si="13"/>
        <v>21</v>
      </c>
      <c r="G45" s="2">
        <f t="shared" si="14"/>
        <v>10</v>
      </c>
      <c r="L45" s="35"/>
      <c r="M45" s="776"/>
      <c r="N45" s="304" t="s">
        <v>88</v>
      </c>
      <c r="O45" s="44">
        <v>3443537</v>
      </c>
      <c r="P45" s="44">
        <v>3966580</v>
      </c>
    </row>
    <row r="46" spans="2:16" ht="20.100000000000001" customHeight="1">
      <c r="L46" s="36"/>
      <c r="M46" s="776"/>
      <c r="N46" s="304" t="s">
        <v>89</v>
      </c>
      <c r="O46" s="44">
        <v>3790171</v>
      </c>
      <c r="P46" s="44">
        <v>4313203</v>
      </c>
    </row>
    <row r="47" spans="2:16" ht="20.100000000000001" customHeight="1">
      <c r="L47" s="9"/>
      <c r="M47" s="776"/>
      <c r="N47" s="304" t="s">
        <v>90</v>
      </c>
      <c r="O47" s="44">
        <v>4445958</v>
      </c>
      <c r="P47" s="44">
        <v>4968990</v>
      </c>
    </row>
    <row r="48" spans="2:16" ht="20.100000000000001" customHeight="1">
      <c r="L48" s="37"/>
      <c r="M48" s="776"/>
      <c r="N48" s="304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304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304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304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19">
    <mergeCell ref="A21:A32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20"/>
    <mergeCell ref="S3:T3"/>
    <mergeCell ref="M3:M4"/>
    <mergeCell ref="N3:N4"/>
    <mergeCell ref="O3:P3"/>
    <mergeCell ref="Q3:Q4"/>
    <mergeCell ref="R3:R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8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59</v>
      </c>
      <c r="G2" s="3"/>
      <c r="H2" s="3"/>
    </row>
    <row r="3" spans="1:20" ht="18.6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60</v>
      </c>
      <c r="B5" s="106">
        <f>+'가.굴착교체(음성-우수)'!E28</f>
        <v>907</v>
      </c>
      <c r="C5" s="101">
        <f>+'가.굴착교체(음성-우수)'!G28</f>
        <v>2045</v>
      </c>
      <c r="D5" s="101">
        <f>+'가.굴착교체(음성-우수)'!I28</f>
        <v>1773</v>
      </c>
      <c r="E5" s="101">
        <f>+'가.굴착교체(음성-우수)'!K28</f>
        <v>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25</v>
      </c>
      <c r="B6" s="108">
        <f>SUM(B5:B5)</f>
        <v>907</v>
      </c>
      <c r="C6" s="97">
        <f>SUM(C5:C5)</f>
        <v>2045</v>
      </c>
      <c r="D6" s="97">
        <f>SUM(D5:D5)</f>
        <v>1773</v>
      </c>
      <c r="E6" s="97">
        <f>SUM(E5:E5)</f>
        <v>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28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29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76" t="s">
        <v>8</v>
      </c>
      <c r="B10" s="105" t="s">
        <v>32</v>
      </c>
      <c r="C10" s="103" t="s">
        <v>33</v>
      </c>
      <c r="D10" s="103" t="s">
        <v>11</v>
      </c>
      <c r="E10" s="103" t="s">
        <v>35</v>
      </c>
      <c r="F10" s="104" t="s">
        <v>13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42</v>
      </c>
      <c r="B11" s="117">
        <f>+B6</f>
        <v>907</v>
      </c>
      <c r="C11" s="117">
        <f>+C6</f>
        <v>2045</v>
      </c>
      <c r="D11" s="117">
        <f>+D6</f>
        <v>1773</v>
      </c>
      <c r="E11" s="117">
        <f>+E6</f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43</v>
      </c>
      <c r="B12" s="118">
        <f>IFERROR(INDEX($H$15:$L$31,MATCH(B11,$H$15:$H$31,1),1),0)</f>
        <v>500</v>
      </c>
      <c r="C12" s="118">
        <f>IFERROR(INDEX($H$15:$L$31,MATCH(C11,$H$15:$H$31,1),1),0)</f>
        <v>2000</v>
      </c>
      <c r="D12" s="118">
        <f>IFERROR(INDEX($H$15:$L$31,MATCH(D11,$H$15:$H$31,1),1),0)</f>
        <v>1000</v>
      </c>
      <c r="E12" s="118">
        <f>IFERROR(INDEX($H$15:$L$31,MATCH(E11,$H$15:$H$31,1),1),0)</f>
        <v>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</v>
      </c>
      <c r="B13" s="118">
        <f>IFERROR(INDEX($H$15:$L$31,MATCH(B11,$H$15:$H$31,1)+1,1),0)</f>
        <v>1000</v>
      </c>
      <c r="C13" s="118">
        <f>IFERROR(INDEX($H$15:$L$31,MATCH(C11,$H$15:$H$31,1)+1,1),0)</f>
        <v>3000</v>
      </c>
      <c r="D13" s="118">
        <f>IFERROR(INDEX($H$15:$L$31,MATCH(D11,$H$15:$H$31,1)+1,1),0)</f>
        <v>2000</v>
      </c>
      <c r="E13" s="118">
        <f>IFERROR(INDEX($H$15:$L$31,MATCH(E11,$H$15:$H$31,1)+1,1),0)</f>
        <v>0</v>
      </c>
      <c r="F13" s="113"/>
      <c r="G13" s="16"/>
      <c r="H13" s="16" t="s">
        <v>30</v>
      </c>
    </row>
    <row r="14" spans="1:20" ht="18.600000000000001" customHeight="1">
      <c r="A14" s="110" t="s">
        <v>45</v>
      </c>
      <c r="B14" s="141">
        <f>IFERROR(INDEX($H$15:$L$31,MATCH(B11,$H$15:$H$31,1),2)+INDEX($H$15:$L$31,MATCH(B11,$H$15:$H$31,1),3),0)</f>
        <v>6.0399999999999995E-2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5.3199999999999997E-2</v>
      </c>
      <c r="E14" s="141">
        <f>IFERROR(INDEX($H$15:$L$31,MATCH(E11,$H$15:$H$31,1),2)+INDEX($H$15:$L$31,MATCH(E11,$H$15:$H$31,1),3),0)</f>
        <v>0</v>
      </c>
      <c r="F14" s="113"/>
      <c r="G14" s="16"/>
      <c r="H14" s="17" t="s">
        <v>37</v>
      </c>
      <c r="I14" s="17" t="s">
        <v>38</v>
      </c>
      <c r="J14" s="17" t="s">
        <v>39</v>
      </c>
      <c r="K14" s="17" t="s">
        <v>40</v>
      </c>
      <c r="L14" s="17" t="s">
        <v>41</v>
      </c>
    </row>
    <row r="15" spans="1:20" ht="18.600000000000001" customHeight="1">
      <c r="A15" s="110" t="s">
        <v>46</v>
      </c>
      <c r="B15" s="141">
        <f>IFERROR(INDEX($H$15:$L$31,MATCH(B11,$H$15:$H$31,1)+1,2)+INDEX($H$15:$L$31,MATCH(B11,$H$15:$H$31,1)+1,3),0)</f>
        <v>5.3199999999999997E-2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4.9000000000000002E-2</v>
      </c>
      <c r="E15" s="141">
        <f>IFERROR(INDEX($H$15:$L$31,MATCH(E11,$H$15:$H$31,1)+1,2)+INDEX($H$15:$L$31,MATCH(E11,$H$15:$H$31,1)+1,3),0)</f>
        <v>0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47</v>
      </c>
      <c r="B16" s="141">
        <f>IFERROR(B14+((B15-B14)/(B13-B12))*(B11-B12),0)</f>
        <v>5.4539199999999996E-2</v>
      </c>
      <c r="C16" s="141">
        <f>IFERROR(C14+((C15-C14)/(C13-C12))*(C11-C12),0)</f>
        <v>4.8919000000000004E-2</v>
      </c>
      <c r="D16" s="141">
        <f>IFERROR(D14+((D15-D14)/(D13-D12))*(D11-D12),0)</f>
        <v>4.9953400000000002E-2</v>
      </c>
      <c r="E16" s="141">
        <f>IFERROR(E14+((E15-E14)/(E13-E12))*(E11-E12),0)</f>
        <v>0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</v>
      </c>
      <c r="B17" s="97">
        <f>+ROUND(B11*B16,0)</f>
        <v>49</v>
      </c>
      <c r="C17" s="97">
        <f>+ROUND(C11*C16,0)</f>
        <v>100</v>
      </c>
      <c r="D17" s="97">
        <f>+ROUND(D11*D16,0)</f>
        <v>89</v>
      </c>
      <c r="E17" s="108">
        <f>+ROUND(E11*E16,0)</f>
        <v>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49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29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76" t="s">
        <v>8</v>
      </c>
      <c r="B21" s="105" t="s">
        <v>32</v>
      </c>
      <c r="C21" s="103" t="s">
        <v>33</v>
      </c>
      <c r="D21" s="103" t="s">
        <v>11</v>
      </c>
      <c r="E21" s="103" t="s">
        <v>35</v>
      </c>
      <c r="F21" s="104" t="s">
        <v>13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42</v>
      </c>
      <c r="B22" s="117">
        <f>+B11</f>
        <v>907</v>
      </c>
      <c r="C22" s="117">
        <f>+C11</f>
        <v>2045</v>
      </c>
      <c r="D22" s="117">
        <f>+D11</f>
        <v>1773</v>
      </c>
      <c r="E22" s="117">
        <f>+E11</f>
        <v>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43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45</v>
      </c>
      <c r="B25" s="174">
        <f>I34</f>
        <v>9.3699999999999992E-2</v>
      </c>
      <c r="C25" s="174">
        <f>I34</f>
        <v>9.3699999999999992E-2</v>
      </c>
      <c r="D25" s="174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</v>
      </c>
      <c r="B26" s="174">
        <f>I34</f>
        <v>9.3699999999999992E-2</v>
      </c>
      <c r="C26" s="174">
        <f>I34</f>
        <v>9.3699999999999992E-2</v>
      </c>
      <c r="D26" s="174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47</v>
      </c>
      <c r="B27" s="174">
        <f>I34</f>
        <v>9.3699999999999992E-2</v>
      </c>
      <c r="C27" s="174">
        <f>I34</f>
        <v>9.3699999999999992E-2</v>
      </c>
      <c r="D27" s="174">
        <f>I34</f>
        <v>9.3699999999999992E-2</v>
      </c>
      <c r="E27" s="174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50</v>
      </c>
      <c r="B28" s="97">
        <f>+ROUND(B22*B27,0)</f>
        <v>85</v>
      </c>
      <c r="C28" s="97">
        <f>+ROUND(C22*C27,0)</f>
        <v>192</v>
      </c>
      <c r="D28" s="97">
        <f>+ROUND(D22*D27,0)</f>
        <v>166</v>
      </c>
      <c r="E28" s="108">
        <f>+ROUND(E22*E27,0)</f>
        <v>0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52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29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76" t="s">
        <v>8</v>
      </c>
      <c r="B32" s="105" t="s">
        <v>32</v>
      </c>
      <c r="C32" s="103" t="s">
        <v>33</v>
      </c>
      <c r="D32" s="103" t="s">
        <v>11</v>
      </c>
      <c r="E32" s="103" t="s">
        <v>35</v>
      </c>
      <c r="F32" s="104" t="s">
        <v>13</v>
      </c>
      <c r="G32" s="9"/>
      <c r="H32" s="9" t="s">
        <v>51</v>
      </c>
    </row>
    <row r="33" spans="1:17" ht="18.600000000000001" customHeight="1">
      <c r="A33" s="120" t="s">
        <v>42</v>
      </c>
      <c r="B33" s="117">
        <f>+B11</f>
        <v>907</v>
      </c>
      <c r="C33" s="117">
        <f>+C11</f>
        <v>2045</v>
      </c>
      <c r="D33" s="117">
        <f>+D11</f>
        <v>1773</v>
      </c>
      <c r="E33" s="117">
        <f>+E11</f>
        <v>0</v>
      </c>
      <c r="F33" s="116"/>
      <c r="G33" s="9"/>
      <c r="H33" s="17" t="s">
        <v>37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43</v>
      </c>
      <c r="B34" s="118">
        <f>IFERROR(INDEX($H$15:$L$31,MATCH(B6,$H$15:$H$31,1),1),0)</f>
        <v>500</v>
      </c>
      <c r="C34" s="118">
        <f>IFERROR(INDEX($H$15:$L$31,MATCH(C6,$H$15:$H$31,1),1),0)</f>
        <v>2000</v>
      </c>
      <c r="D34" s="118">
        <f>IFERROR(INDEX($H$15:$L$31,MATCH(D6,$H$15:$H$31,1),1),0)</f>
        <v>1000</v>
      </c>
      <c r="E34" s="118">
        <f>IFERROR(INDEX($H$15:$L$31,MATCH(E6,$H$15:$H$31,1),1),0)</f>
        <v>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</v>
      </c>
      <c r="B35" s="118">
        <f>IFERROR(INDEX($H$15:$L$31,MATCH(B6,$H$15:$H$31,1)+1,1),0)</f>
        <v>1000</v>
      </c>
      <c r="C35" s="118">
        <f>IFERROR(INDEX($H$15:$L$31,MATCH(C6,$H$15:$H$31,1)+1,1),0)</f>
        <v>3000</v>
      </c>
      <c r="D35" s="118">
        <f>IFERROR(INDEX($H$15:$L$31,MATCH(D6,$H$15:$H$31,1)+1,1),0)</f>
        <v>2000</v>
      </c>
      <c r="E35" s="118">
        <f>IFERROR(INDEX($H$15:$L$31,MATCH(E6,$H$15:$H$31,1)+1,1),0)</f>
        <v>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45</v>
      </c>
      <c r="B36" s="141">
        <f>IFERROR(INDEX($H$15:$L$31,MATCH(B6,$H$15:$H$31,1),5),0)</f>
        <v>7.1999999999999998E-3</v>
      </c>
      <c r="C36" s="141">
        <f>IFERROR(INDEX($H$15:$L$31,MATCH(C6,$H$15:$H$31,1),5),0)</f>
        <v>3.5999999999999999E-3</v>
      </c>
      <c r="D36" s="141">
        <f>IFERROR(INDEX($H$15:$L$31,MATCH(D6,$H$15:$H$31,1),5),0)</f>
        <v>6.3E-3</v>
      </c>
      <c r="E36" s="141">
        <f>IFERROR(INDEX($H$15:$L$31,MATCH(E6,$H$15:$H$31,1),5),0)</f>
        <v>0</v>
      </c>
      <c r="F36" s="113"/>
      <c r="G36" s="9"/>
      <c r="H36" s="9"/>
    </row>
    <row r="37" spans="1:17" ht="18.600000000000001" customHeight="1">
      <c r="A37" s="110" t="s">
        <v>46</v>
      </c>
      <c r="B37" s="141">
        <f>IFERROR(INDEX($H$15:$L$31,MATCH(B6,$H$15:$H$31,1)+1,5),0)</f>
        <v>6.3E-3</v>
      </c>
      <c r="C37" s="141">
        <f>IFERROR(INDEX($H$15:$L$31,MATCH(C6,$H$15:$H$31,1)+1,5),0)</f>
        <v>3.5999999999999999E-3</v>
      </c>
      <c r="D37" s="141">
        <f>IFERROR(INDEX($H$15:$L$31,MATCH(D6,$H$15:$H$31,1)+1,5),0)</f>
        <v>3.5999999999999999E-3</v>
      </c>
      <c r="E37" s="141">
        <f>IFERROR(INDEX($H$15:$L$31,MATCH(E6,$H$15:$H$31,1)+1,5),0)</f>
        <v>0</v>
      </c>
      <c r="F37" s="113"/>
      <c r="G37" s="9"/>
      <c r="H37" s="9"/>
    </row>
    <row r="38" spans="1:17" ht="18.600000000000001" customHeight="1">
      <c r="A38" s="110" t="s">
        <v>47</v>
      </c>
      <c r="B38" s="141">
        <f>IFERROR(B36+((B37-B36)/(B35-B34))*(B33-B34),0)</f>
        <v>6.4673999999999999E-3</v>
      </c>
      <c r="C38" s="141">
        <f>IFERROR(C36+((C37-C36)/(C35-C34))*(C33-C34),0)</f>
        <v>3.5999999999999999E-3</v>
      </c>
      <c r="D38" s="141">
        <f>IFERROR(D36+((D37-D36)/(D35-D34))*(D33-D34),0)</f>
        <v>4.2129000000000003E-3</v>
      </c>
      <c r="E38" s="141">
        <f>IFERROR(E36+((E37-E36)/(E35-E34))*(E33-E34),0)</f>
        <v>0</v>
      </c>
      <c r="F38" s="113"/>
      <c r="G38" s="9"/>
    </row>
    <row r="39" spans="1:17" ht="18.600000000000001" customHeight="1">
      <c r="A39" s="111" t="s">
        <v>54</v>
      </c>
      <c r="B39" s="97">
        <f>+ROUND(B33*B38,0)</f>
        <v>6</v>
      </c>
      <c r="C39" s="97">
        <f>+ROUND(C33*C38,0)</f>
        <v>7</v>
      </c>
      <c r="D39" s="97">
        <f>+ROUND(D33*D38,0)</f>
        <v>7</v>
      </c>
      <c r="E39" s="108">
        <f>+ROUND(E33*E38,0)</f>
        <v>0</v>
      </c>
      <c r="F39" s="114"/>
    </row>
    <row r="40" spans="1:17" ht="18.600000000000001" customHeight="1"/>
    <row r="41" spans="1:17" ht="18.600000000000001" customHeight="1">
      <c r="A41" s="2" t="s">
        <v>55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29</v>
      </c>
    </row>
    <row r="43" spans="1:17" ht="18.600000000000001" customHeight="1">
      <c r="A43" s="76" t="s">
        <v>8</v>
      </c>
      <c r="B43" s="105" t="s">
        <v>32</v>
      </c>
      <c r="C43" s="103" t="s">
        <v>33</v>
      </c>
      <c r="D43" s="103" t="s">
        <v>11</v>
      </c>
      <c r="E43" s="103" t="s">
        <v>35</v>
      </c>
      <c r="F43" s="104" t="s">
        <v>13</v>
      </c>
    </row>
    <row r="44" spans="1:17" ht="18.600000000000001" customHeight="1">
      <c r="A44" s="131" t="s">
        <v>25</v>
      </c>
      <c r="B44" s="128">
        <f>+B6</f>
        <v>907</v>
      </c>
      <c r="C44" s="126">
        <f>+C6</f>
        <v>2045</v>
      </c>
      <c r="D44" s="126">
        <f>+D6</f>
        <v>1773</v>
      </c>
      <c r="E44" s="126">
        <f>+E6</f>
        <v>0</v>
      </c>
      <c r="F44" s="127"/>
    </row>
    <row r="45" spans="1:17" ht="18.600000000000001" customHeight="1">
      <c r="A45" s="132" t="s">
        <v>48</v>
      </c>
      <c r="B45" s="129">
        <f>+B17</f>
        <v>49</v>
      </c>
      <c r="C45" s="121">
        <f>+C17</f>
        <v>100</v>
      </c>
      <c r="D45" s="121">
        <f>+D17</f>
        <v>89</v>
      </c>
      <c r="E45" s="121">
        <f>+E17</f>
        <v>0</v>
      </c>
      <c r="F45" s="122"/>
    </row>
    <row r="46" spans="1:17" ht="18.600000000000001" customHeight="1">
      <c r="A46" s="132" t="s">
        <v>50</v>
      </c>
      <c r="B46" s="129">
        <f>+B28</f>
        <v>85</v>
      </c>
      <c r="C46" s="121">
        <f>+C28</f>
        <v>192</v>
      </c>
      <c r="D46" s="121">
        <f>+D28</f>
        <v>166</v>
      </c>
      <c r="E46" s="121">
        <f>+E28</f>
        <v>0</v>
      </c>
      <c r="F46" s="122"/>
    </row>
    <row r="47" spans="1:17" ht="18.600000000000001" customHeight="1">
      <c r="A47" s="132" t="s">
        <v>54</v>
      </c>
      <c r="B47" s="129">
        <f>+B39</f>
        <v>6</v>
      </c>
      <c r="C47" s="121">
        <f>+C39</f>
        <v>7</v>
      </c>
      <c r="D47" s="121">
        <f>+D39</f>
        <v>7</v>
      </c>
      <c r="E47" s="121">
        <f>+E39</f>
        <v>0</v>
      </c>
      <c r="F47" s="122"/>
    </row>
    <row r="48" spans="1:17" ht="18.600000000000001" customHeight="1">
      <c r="A48" s="133" t="s">
        <v>56</v>
      </c>
      <c r="B48" s="130">
        <f>SUM(B44:B47)</f>
        <v>1047</v>
      </c>
      <c r="C48" s="123">
        <f>SUM(C44:C47)</f>
        <v>2344</v>
      </c>
      <c r="D48" s="123">
        <f>SUM(D44:D47)</f>
        <v>2035</v>
      </c>
      <c r="E48" s="123">
        <f>SUM(E44:E47)</f>
        <v>0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4" zoomScaleNormal="100" zoomScaleSheetLayoutView="100" workbookViewId="0"/>
    <sheetView topLeftCell="A7" workbookViewId="1">
      <selection activeCell="D28" sqref="D28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246</v>
      </c>
      <c r="B1" s="1"/>
      <c r="C1" s="1"/>
      <c r="D1" s="1"/>
      <c r="L1" s="2">
        <v>1.3</v>
      </c>
      <c r="M1" s="2" t="s">
        <v>99</v>
      </c>
    </row>
    <row r="2" spans="1:16" ht="20.100000000000001" customHeight="1">
      <c r="A2" s="2" t="s">
        <v>63</v>
      </c>
    </row>
    <row r="3" spans="1:16" ht="20.100000000000001" customHeight="1">
      <c r="A3" s="40" t="s">
        <v>974</v>
      </c>
      <c r="B3" s="40"/>
      <c r="C3" s="40"/>
      <c r="D3" s="40"/>
      <c r="M3" s="776" t="s">
        <v>64</v>
      </c>
      <c r="N3" s="776" t="s">
        <v>65</v>
      </c>
      <c r="O3" s="776" t="s">
        <v>66</v>
      </c>
      <c r="P3" s="776"/>
    </row>
    <row r="4" spans="1:16" ht="20.100000000000001" customHeight="1">
      <c r="A4" s="40" t="s">
        <v>205</v>
      </c>
      <c r="B4" s="40"/>
      <c r="C4" s="40"/>
      <c r="D4" s="40"/>
      <c r="M4" s="776"/>
      <c r="N4" s="776"/>
      <c r="O4" s="43" t="s">
        <v>67</v>
      </c>
      <c r="P4" s="43" t="s">
        <v>68</v>
      </c>
    </row>
    <row r="5" spans="1:16" ht="20.100000000000001" customHeight="1">
      <c r="A5" s="40" t="s">
        <v>208</v>
      </c>
      <c r="B5" s="40"/>
      <c r="C5" s="40"/>
      <c r="D5" s="40"/>
      <c r="M5" s="776" t="s">
        <v>69</v>
      </c>
      <c r="N5" s="43">
        <v>300</v>
      </c>
      <c r="O5" s="44">
        <v>512740</v>
      </c>
      <c r="P5" s="44">
        <v>782541</v>
      </c>
    </row>
    <row r="6" spans="1:16" ht="20.100000000000001" customHeight="1">
      <c r="A6" s="40" t="s">
        <v>808</v>
      </c>
      <c r="B6" s="40"/>
      <c r="C6" s="40"/>
      <c r="D6" s="40"/>
      <c r="M6" s="776"/>
      <c r="N6" s="43">
        <v>400</v>
      </c>
      <c r="O6" s="44">
        <v>580188</v>
      </c>
      <c r="P6" s="44">
        <v>859007</v>
      </c>
    </row>
    <row r="7" spans="1:16" ht="20.100000000000001" customHeight="1">
      <c r="A7" s="2" t="s">
        <v>4</v>
      </c>
      <c r="M7" s="776"/>
      <c r="N7" s="43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71</v>
      </c>
      <c r="M8" s="776"/>
      <c r="N8" s="43">
        <v>600</v>
      </c>
      <c r="O8" s="44">
        <v>705821</v>
      </c>
      <c r="P8" s="44">
        <v>1016585</v>
      </c>
    </row>
    <row r="9" spans="1:16" ht="20.100000000000001" customHeight="1">
      <c r="A9" s="783" t="s">
        <v>8</v>
      </c>
      <c r="B9" s="785" t="s">
        <v>72</v>
      </c>
      <c r="C9" s="787" t="s">
        <v>73</v>
      </c>
      <c r="D9" s="789" t="s">
        <v>9</v>
      </c>
      <c r="E9" s="781"/>
      <c r="F9" s="781" t="s">
        <v>10</v>
      </c>
      <c r="G9" s="781"/>
      <c r="H9" s="781" t="s">
        <v>11</v>
      </c>
      <c r="I9" s="781"/>
      <c r="J9" s="781" t="s">
        <v>12</v>
      </c>
      <c r="K9" s="782"/>
      <c r="M9" s="776"/>
      <c r="N9" s="43">
        <v>700</v>
      </c>
      <c r="O9" s="44">
        <v>782918</v>
      </c>
      <c r="P9" s="44">
        <v>1102578</v>
      </c>
    </row>
    <row r="10" spans="1:16" ht="20.100000000000001" customHeight="1">
      <c r="A10" s="840"/>
      <c r="B10" s="888"/>
      <c r="C10" s="841"/>
      <c r="D10" s="316" t="s">
        <v>74</v>
      </c>
      <c r="E10" s="523" t="s">
        <v>75</v>
      </c>
      <c r="F10" s="522" t="s">
        <v>74</v>
      </c>
      <c r="G10" s="523" t="s">
        <v>75</v>
      </c>
      <c r="H10" s="522" t="s">
        <v>74</v>
      </c>
      <c r="I10" s="523" t="s">
        <v>75</v>
      </c>
      <c r="J10" s="522" t="s">
        <v>74</v>
      </c>
      <c r="K10" s="528" t="s">
        <v>75</v>
      </c>
      <c r="L10" s="9"/>
      <c r="M10" s="776"/>
      <c r="N10" s="43">
        <v>800</v>
      </c>
      <c r="O10" s="44">
        <v>854676</v>
      </c>
      <c r="P10" s="44">
        <v>1183365</v>
      </c>
    </row>
    <row r="11" spans="1:16" ht="20.100000000000001" customHeight="1">
      <c r="A11" s="901" t="s">
        <v>393</v>
      </c>
      <c r="B11" s="534">
        <v>300</v>
      </c>
      <c r="C11" s="667">
        <f>+ROUND(P5*L1,0)</f>
        <v>1017303</v>
      </c>
      <c r="D11" s="670"/>
      <c r="E11" s="322">
        <f t="shared" ref="E11:G18" si="0">+ROUND($C11*D11/1000000,0)</f>
        <v>0</v>
      </c>
      <c r="F11" s="322"/>
      <c r="G11" s="322">
        <f t="shared" si="0"/>
        <v>0</v>
      </c>
      <c r="H11" s="322"/>
      <c r="I11" s="322">
        <f t="shared" ref="I11:I18" si="1">+ROUND($C11*H11/1000000,0)</f>
        <v>0</v>
      </c>
      <c r="J11" s="322">
        <v>0</v>
      </c>
      <c r="K11" s="671">
        <f t="shared" ref="K11:K21" si="2">+ROUND($C11*J11/1000000,0)</f>
        <v>0</v>
      </c>
      <c r="L11" s="9"/>
      <c r="M11" s="776"/>
      <c r="N11" s="43">
        <v>900</v>
      </c>
      <c r="O11" s="44">
        <v>945775</v>
      </c>
      <c r="P11" s="44">
        <v>1283451</v>
      </c>
    </row>
    <row r="12" spans="1:16" ht="20.100000000000001" customHeight="1">
      <c r="A12" s="902"/>
      <c r="B12" s="663">
        <v>400</v>
      </c>
      <c r="C12" s="668">
        <f>+ROUND(P6*L1,0)</f>
        <v>1116709</v>
      </c>
      <c r="D12" s="672"/>
      <c r="E12" s="327">
        <f t="shared" si="0"/>
        <v>0</v>
      </c>
      <c r="F12" s="327">
        <v>62</v>
      </c>
      <c r="G12" s="327">
        <f t="shared" si="0"/>
        <v>69</v>
      </c>
      <c r="H12" s="327"/>
      <c r="I12" s="327">
        <f t="shared" si="1"/>
        <v>0</v>
      </c>
      <c r="J12" s="327"/>
      <c r="K12" s="673">
        <f t="shared" si="2"/>
        <v>0</v>
      </c>
      <c r="L12" s="9"/>
      <c r="M12" s="776"/>
      <c r="N12" s="43">
        <v>1000</v>
      </c>
      <c r="O12" s="44">
        <v>1051853</v>
      </c>
      <c r="P12" s="44">
        <v>1398649</v>
      </c>
    </row>
    <row r="13" spans="1:16" ht="20.100000000000001" customHeight="1">
      <c r="A13" s="902"/>
      <c r="B13" s="663">
        <v>450</v>
      </c>
      <c r="C13" s="668">
        <f>(C12+C14)/2</f>
        <v>1151687.5</v>
      </c>
      <c r="D13" s="672"/>
      <c r="E13" s="327">
        <f t="shared" si="0"/>
        <v>0</v>
      </c>
      <c r="F13" s="327">
        <v>76</v>
      </c>
      <c r="G13" s="327">
        <f t="shared" si="0"/>
        <v>88</v>
      </c>
      <c r="H13" s="327">
        <v>49</v>
      </c>
      <c r="I13" s="327">
        <f t="shared" si="1"/>
        <v>56</v>
      </c>
      <c r="J13" s="327"/>
      <c r="K13" s="673">
        <f t="shared" si="2"/>
        <v>0</v>
      </c>
      <c r="L13" s="9"/>
      <c r="M13" s="776"/>
      <c r="N13" s="43">
        <v>1100</v>
      </c>
      <c r="O13" s="44">
        <v>1188358</v>
      </c>
      <c r="P13" s="44">
        <v>1557399</v>
      </c>
    </row>
    <row r="14" spans="1:16" ht="20.100000000000001" customHeight="1">
      <c r="A14" s="902"/>
      <c r="B14" s="663">
        <v>500</v>
      </c>
      <c r="C14" s="668">
        <f>+ROUND(P7*L1,0)</f>
        <v>1186666</v>
      </c>
      <c r="D14" s="672"/>
      <c r="E14" s="327">
        <f t="shared" si="0"/>
        <v>0</v>
      </c>
      <c r="F14" s="327">
        <v>188</v>
      </c>
      <c r="G14" s="327">
        <f t="shared" si="0"/>
        <v>223</v>
      </c>
      <c r="H14" s="327">
        <v>140</v>
      </c>
      <c r="I14" s="327">
        <f t="shared" si="1"/>
        <v>166</v>
      </c>
      <c r="J14" s="327"/>
      <c r="K14" s="673">
        <f t="shared" si="2"/>
        <v>0</v>
      </c>
      <c r="L14" s="9"/>
      <c r="M14" s="776"/>
      <c r="N14" s="43">
        <v>1200</v>
      </c>
      <c r="O14" s="44">
        <v>1313909</v>
      </c>
      <c r="P14" s="44">
        <v>1691805</v>
      </c>
    </row>
    <row r="15" spans="1:16" ht="20.100000000000001" customHeight="1">
      <c r="A15" s="902"/>
      <c r="B15" s="663">
        <v>600</v>
      </c>
      <c r="C15" s="668">
        <f>+ROUND(P8*L1,0)</f>
        <v>1321561</v>
      </c>
      <c r="D15" s="672"/>
      <c r="E15" s="327">
        <f t="shared" si="0"/>
        <v>0</v>
      </c>
      <c r="F15" s="327">
        <v>382</v>
      </c>
      <c r="G15" s="327">
        <f t="shared" si="0"/>
        <v>505</v>
      </c>
      <c r="H15" s="327">
        <v>158</v>
      </c>
      <c r="I15" s="327">
        <f t="shared" si="1"/>
        <v>209</v>
      </c>
      <c r="J15" s="327"/>
      <c r="K15" s="673">
        <f t="shared" si="2"/>
        <v>0</v>
      </c>
      <c r="L15" s="9"/>
      <c r="M15" s="776"/>
      <c r="N15" s="43">
        <v>1350</v>
      </c>
      <c r="O15" s="44">
        <v>1519849</v>
      </c>
      <c r="P15" s="44">
        <v>1910605</v>
      </c>
    </row>
    <row r="16" spans="1:16" ht="20.100000000000001" customHeight="1">
      <c r="A16" s="902"/>
      <c r="B16" s="663">
        <v>700</v>
      </c>
      <c r="C16" s="668">
        <f>+ROUND(P9*$L$1,0)</f>
        <v>1433351</v>
      </c>
      <c r="D16" s="672"/>
      <c r="E16" s="327">
        <f t="shared" si="0"/>
        <v>0</v>
      </c>
      <c r="F16" s="327">
        <v>0</v>
      </c>
      <c r="G16" s="327">
        <f t="shared" si="0"/>
        <v>0</v>
      </c>
      <c r="H16" s="327">
        <v>50</v>
      </c>
      <c r="I16" s="327">
        <f t="shared" si="1"/>
        <v>72</v>
      </c>
      <c r="J16" s="327"/>
      <c r="K16" s="673">
        <f t="shared" si="2"/>
        <v>0</v>
      </c>
      <c r="L16" s="9"/>
      <c r="M16" s="776" t="s">
        <v>76</v>
      </c>
      <c r="N16" s="43">
        <v>300</v>
      </c>
      <c r="O16" s="44">
        <v>707247</v>
      </c>
      <c r="P16" s="44">
        <v>977038</v>
      </c>
    </row>
    <row r="17" spans="1:16" ht="20.100000000000001" customHeight="1">
      <c r="A17" s="902"/>
      <c r="B17" s="663">
        <v>800</v>
      </c>
      <c r="C17" s="668">
        <f>+ROUND(P10*$L$1,0)</f>
        <v>1538375</v>
      </c>
      <c r="D17" s="672"/>
      <c r="E17" s="327">
        <f t="shared" si="0"/>
        <v>0</v>
      </c>
      <c r="F17" s="327">
        <v>319</v>
      </c>
      <c r="G17" s="327">
        <f t="shared" si="0"/>
        <v>491</v>
      </c>
      <c r="H17" s="327">
        <v>25</v>
      </c>
      <c r="I17" s="327">
        <f t="shared" si="1"/>
        <v>38</v>
      </c>
      <c r="J17" s="327"/>
      <c r="K17" s="673">
        <f t="shared" si="2"/>
        <v>0</v>
      </c>
      <c r="L17" s="9"/>
      <c r="M17" s="776"/>
      <c r="N17" s="43">
        <v>400</v>
      </c>
      <c r="O17" s="44">
        <v>827275</v>
      </c>
      <c r="P17" s="44">
        <v>1106094</v>
      </c>
    </row>
    <row r="18" spans="1:16" ht="20.100000000000001" customHeight="1">
      <c r="A18" s="902"/>
      <c r="B18" s="663">
        <v>900</v>
      </c>
      <c r="C18" s="668">
        <f>+ROUND(P11*$L$1,0)</f>
        <v>1668486</v>
      </c>
      <c r="D18" s="672"/>
      <c r="E18" s="327">
        <f t="shared" si="0"/>
        <v>0</v>
      </c>
      <c r="F18" s="327">
        <v>0</v>
      </c>
      <c r="G18" s="327">
        <f t="shared" si="0"/>
        <v>0</v>
      </c>
      <c r="H18" s="327">
        <v>73</v>
      </c>
      <c r="I18" s="327">
        <f t="shared" si="1"/>
        <v>122</v>
      </c>
      <c r="J18" s="327"/>
      <c r="K18" s="673">
        <f t="shared" si="2"/>
        <v>0</v>
      </c>
      <c r="L18" s="9"/>
      <c r="M18" s="776"/>
      <c r="N18" s="43">
        <v>500</v>
      </c>
      <c r="O18" s="44">
        <v>935411</v>
      </c>
      <c r="P18" s="44">
        <v>1223371</v>
      </c>
    </row>
    <row r="19" spans="1:16" ht="20.100000000000001" customHeight="1">
      <c r="A19" s="902"/>
      <c r="B19" s="663">
        <v>1000</v>
      </c>
      <c r="C19" s="668">
        <f>+ROUND(P12*$L$1,0)</f>
        <v>1818244</v>
      </c>
      <c r="D19" s="672"/>
      <c r="E19" s="327">
        <f t="shared" ref="E19:G21" si="3">+ROUND($C19*D19/1000000,0)</f>
        <v>0</v>
      </c>
      <c r="F19" s="327">
        <v>144</v>
      </c>
      <c r="G19" s="327">
        <f t="shared" si="3"/>
        <v>262</v>
      </c>
      <c r="H19" s="327"/>
      <c r="I19" s="327">
        <f>+ROUND($C19*H19/1000000,0)</f>
        <v>0</v>
      </c>
      <c r="J19" s="327"/>
      <c r="K19" s="673">
        <f t="shared" si="2"/>
        <v>0</v>
      </c>
      <c r="L19" s="9"/>
      <c r="M19" s="776"/>
      <c r="N19" s="43">
        <v>600</v>
      </c>
      <c r="O19" s="44">
        <v>1068860</v>
      </c>
      <c r="P19" s="44">
        <v>1379624</v>
      </c>
    </row>
    <row r="20" spans="1:16" ht="20.100000000000001" customHeight="1">
      <c r="A20" s="902"/>
      <c r="B20" s="663">
        <v>1200</v>
      </c>
      <c r="C20" s="668">
        <f t="shared" ref="C20" si="4">+ROUND(P14*$L$1,0)</f>
        <v>2199347</v>
      </c>
      <c r="D20" s="672"/>
      <c r="E20" s="327">
        <f t="shared" si="3"/>
        <v>0</v>
      </c>
      <c r="F20" s="327">
        <v>175</v>
      </c>
      <c r="G20" s="327">
        <f t="shared" si="3"/>
        <v>385</v>
      </c>
      <c r="H20" s="327">
        <v>74</v>
      </c>
      <c r="I20" s="327">
        <f>+ROUND($C20*H20/1000000,0)</f>
        <v>163</v>
      </c>
      <c r="J20" s="327"/>
      <c r="K20" s="673">
        <f t="shared" si="2"/>
        <v>0</v>
      </c>
      <c r="L20" s="9"/>
      <c r="M20" s="776"/>
      <c r="N20" s="43">
        <v>700</v>
      </c>
      <c r="O20" s="44">
        <v>1206659</v>
      </c>
      <c r="P20" s="44">
        <v>1526319</v>
      </c>
    </row>
    <row r="21" spans="1:16" ht="20.100000000000001" customHeight="1">
      <c r="A21" s="902"/>
      <c r="B21" s="663" t="s">
        <v>932</v>
      </c>
      <c r="C21" s="668">
        <f>+ROUND(P36*0.25*$L$1,0)</f>
        <v>682154</v>
      </c>
      <c r="D21" s="672"/>
      <c r="E21" s="327">
        <f t="shared" si="3"/>
        <v>0</v>
      </c>
      <c r="F21" s="327"/>
      <c r="G21" s="327">
        <f t="shared" si="3"/>
        <v>0</v>
      </c>
      <c r="H21" s="327"/>
      <c r="I21" s="327">
        <f>+ROUND($C21*H21/1000000,0)</f>
        <v>0</v>
      </c>
      <c r="J21" s="327"/>
      <c r="K21" s="673">
        <f t="shared" si="2"/>
        <v>0</v>
      </c>
      <c r="L21" s="9"/>
      <c r="M21" s="776"/>
      <c r="N21" s="43">
        <v>800</v>
      </c>
      <c r="O21" s="44">
        <v>1373571</v>
      </c>
      <c r="P21" s="44">
        <v>1702260</v>
      </c>
    </row>
    <row r="22" spans="1:16" ht="20.100000000000001" customHeight="1">
      <c r="A22" s="902"/>
      <c r="B22" s="663" t="s">
        <v>933</v>
      </c>
      <c r="C22" s="668">
        <f>+ROUND(P36*L1,0)</f>
        <v>2728617</v>
      </c>
      <c r="D22" s="672"/>
      <c r="E22" s="327">
        <f t="shared" ref="E22:E26" si="5">+ROUND($C22*D22/1000000,0)</f>
        <v>0</v>
      </c>
      <c r="F22" s="327">
        <v>8</v>
      </c>
      <c r="G22" s="327">
        <f t="shared" ref="G22:G27" si="6">+ROUND($C22*F22/1000000,0)</f>
        <v>22</v>
      </c>
      <c r="H22" s="327">
        <v>347</v>
      </c>
      <c r="I22" s="327">
        <f t="shared" ref="I22:I27" si="7">+ROUND($C22*H22/1000000,0)</f>
        <v>947</v>
      </c>
      <c r="J22" s="327"/>
      <c r="K22" s="673">
        <f t="shared" ref="K22:K27" si="8">+ROUND($C22*J22/1000000,0)</f>
        <v>0</v>
      </c>
      <c r="L22" s="9"/>
      <c r="M22" s="776"/>
      <c r="N22" s="43">
        <v>900</v>
      </c>
      <c r="O22" s="44">
        <v>1509424</v>
      </c>
      <c r="P22" s="44">
        <v>1847090</v>
      </c>
    </row>
    <row r="23" spans="1:16" ht="20.100000000000001" customHeight="1">
      <c r="A23" s="902"/>
      <c r="B23" s="663" t="s">
        <v>934</v>
      </c>
      <c r="C23" s="668">
        <f>+ROUND(P38*L1,0)</f>
        <v>2982099</v>
      </c>
      <c r="D23" s="672"/>
      <c r="E23" s="327">
        <f t="shared" si="5"/>
        <v>0</v>
      </c>
      <c r="F23" s="327"/>
      <c r="G23" s="327">
        <f t="shared" si="6"/>
        <v>0</v>
      </c>
      <c r="H23" s="327"/>
      <c r="I23" s="327">
        <f t="shared" si="7"/>
        <v>0</v>
      </c>
      <c r="J23" s="327"/>
      <c r="K23" s="673">
        <f t="shared" si="8"/>
        <v>0</v>
      </c>
      <c r="L23" s="9"/>
      <c r="M23" s="776"/>
      <c r="N23" s="43">
        <v>1000</v>
      </c>
      <c r="O23" s="44">
        <v>1730822</v>
      </c>
      <c r="P23" s="44">
        <v>2077609</v>
      </c>
    </row>
    <row r="24" spans="1:16" ht="20.100000000000001" customHeight="1">
      <c r="A24" s="902"/>
      <c r="B24" s="663" t="s">
        <v>935</v>
      </c>
      <c r="C24" s="668">
        <f>+ROUND(P40*L1,0)</f>
        <v>3355213</v>
      </c>
      <c r="D24" s="672"/>
      <c r="E24" s="327">
        <f t="shared" si="5"/>
        <v>0</v>
      </c>
      <c r="F24" s="327"/>
      <c r="G24" s="327">
        <f t="shared" si="6"/>
        <v>0</v>
      </c>
      <c r="H24" s="327"/>
      <c r="I24" s="327">
        <f t="shared" si="7"/>
        <v>0</v>
      </c>
      <c r="J24" s="327"/>
      <c r="K24" s="673">
        <f t="shared" si="8"/>
        <v>0</v>
      </c>
      <c r="L24" s="9"/>
      <c r="M24" s="776"/>
      <c r="N24" s="43">
        <v>1100</v>
      </c>
      <c r="O24" s="44">
        <v>1990647</v>
      </c>
      <c r="P24" s="44">
        <v>2359688</v>
      </c>
    </row>
    <row r="25" spans="1:16" ht="20.100000000000001" customHeight="1">
      <c r="A25" s="902"/>
      <c r="B25" s="663" t="s">
        <v>936</v>
      </c>
      <c r="C25" s="668">
        <f>+ROUND(P44*L1,0)</f>
        <v>4582826</v>
      </c>
      <c r="D25" s="672"/>
      <c r="E25" s="327"/>
      <c r="F25" s="327"/>
      <c r="G25" s="327"/>
      <c r="H25" s="327">
        <v>0</v>
      </c>
      <c r="I25" s="327">
        <f t="shared" si="7"/>
        <v>0</v>
      </c>
      <c r="J25" s="327"/>
      <c r="K25" s="673"/>
      <c r="L25" s="9"/>
      <c r="M25" s="776"/>
      <c r="N25" s="43">
        <v>1200</v>
      </c>
      <c r="O25" s="44">
        <v>2234280</v>
      </c>
      <c r="P25" s="44">
        <v>2612176</v>
      </c>
    </row>
    <row r="26" spans="1:16" ht="20.100000000000001" customHeight="1">
      <c r="A26" s="902"/>
      <c r="B26" s="663" t="s">
        <v>937</v>
      </c>
      <c r="C26" s="668">
        <f>+ROUND(P47*L1,0)</f>
        <v>6459687</v>
      </c>
      <c r="D26" s="672"/>
      <c r="E26" s="327">
        <f t="shared" si="5"/>
        <v>0</v>
      </c>
      <c r="F26" s="327"/>
      <c r="G26" s="327">
        <f t="shared" si="6"/>
        <v>0</v>
      </c>
      <c r="H26" s="327"/>
      <c r="I26" s="327">
        <f t="shared" si="7"/>
        <v>0</v>
      </c>
      <c r="J26" s="327"/>
      <c r="K26" s="673">
        <f t="shared" si="8"/>
        <v>0</v>
      </c>
      <c r="L26" s="9"/>
      <c r="M26" s="776" t="s">
        <v>77</v>
      </c>
      <c r="N26" s="43">
        <v>200</v>
      </c>
      <c r="O26" s="44">
        <v>476678</v>
      </c>
      <c r="P26" s="44">
        <v>737848</v>
      </c>
    </row>
    <row r="27" spans="1:16" ht="20.100000000000001" customHeight="1">
      <c r="A27" s="902"/>
      <c r="B27" s="903" t="s">
        <v>938</v>
      </c>
      <c r="C27" s="904"/>
      <c r="D27" s="672">
        <v>1132.5</v>
      </c>
      <c r="E27" s="327">
        <v>907</v>
      </c>
      <c r="F27" s="327"/>
      <c r="G27" s="327">
        <f t="shared" si="6"/>
        <v>0</v>
      </c>
      <c r="H27" s="327"/>
      <c r="I27" s="327">
        <f t="shared" si="7"/>
        <v>0</v>
      </c>
      <c r="J27" s="327"/>
      <c r="K27" s="673">
        <f t="shared" si="8"/>
        <v>0</v>
      </c>
      <c r="L27" s="9"/>
      <c r="M27" s="776"/>
      <c r="N27" s="43">
        <v>300</v>
      </c>
      <c r="O27" s="44">
        <v>525101</v>
      </c>
      <c r="P27" s="44">
        <v>794902</v>
      </c>
    </row>
    <row r="28" spans="1:16" ht="20.100000000000001" customHeight="1">
      <c r="A28" s="669"/>
      <c r="B28" s="899" t="s">
        <v>95</v>
      </c>
      <c r="C28" s="900"/>
      <c r="D28" s="674">
        <f t="shared" ref="D28:K28" si="9">SUM(D11:D27)</f>
        <v>1132.5</v>
      </c>
      <c r="E28" s="675">
        <f t="shared" si="9"/>
        <v>907</v>
      </c>
      <c r="F28" s="675">
        <f t="shared" si="9"/>
        <v>1354</v>
      </c>
      <c r="G28" s="675">
        <f t="shared" si="9"/>
        <v>2045</v>
      </c>
      <c r="H28" s="675">
        <f t="shared" si="9"/>
        <v>916</v>
      </c>
      <c r="I28" s="675">
        <f t="shared" si="9"/>
        <v>1773</v>
      </c>
      <c r="J28" s="675">
        <f t="shared" si="9"/>
        <v>0</v>
      </c>
      <c r="K28" s="676">
        <f t="shared" si="9"/>
        <v>0</v>
      </c>
      <c r="L28" s="9"/>
      <c r="M28" s="776"/>
      <c r="N28" s="43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76"/>
      <c r="N29" s="43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76"/>
      <c r="N30" s="43">
        <v>600</v>
      </c>
      <c r="O30" s="44">
        <v>810869</v>
      </c>
      <c r="P30" s="44">
        <v>1121644</v>
      </c>
    </row>
    <row r="31" spans="1:16" ht="20.100000000000001" customHeight="1">
      <c r="C31" s="2">
        <v>3183</v>
      </c>
      <c r="D31" s="2">
        <v>250</v>
      </c>
      <c r="E31" s="2">
        <v>0</v>
      </c>
      <c r="F31" s="2">
        <f t="shared" ref="F31:F41" si="10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76"/>
      <c r="N31" s="43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0.06</v>
      </c>
      <c r="F32" s="2">
        <f t="shared" si="10"/>
        <v>191</v>
      </c>
      <c r="G32" s="2">
        <f t="shared" ref="G32:G39" si="11">ROUND(F32*1,0)</f>
        <v>191</v>
      </c>
      <c r="H32" s="2">
        <f t="shared" ref="H32:H39" si="12">ROUND(F32*0,0)</f>
        <v>0</v>
      </c>
      <c r="I32" s="2">
        <f t="shared" ref="I32:I39" si="13">F32-G32-H32</f>
        <v>0</v>
      </c>
      <c r="L32" s="9"/>
      <c r="M32" s="776"/>
      <c r="N32" s="43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0.11</v>
      </c>
      <c r="F33" s="2">
        <f t="shared" si="10"/>
        <v>350</v>
      </c>
      <c r="G33" s="2">
        <f t="shared" si="11"/>
        <v>350</v>
      </c>
      <c r="H33" s="2">
        <f t="shared" si="12"/>
        <v>0</v>
      </c>
      <c r="I33" s="2">
        <f t="shared" si="13"/>
        <v>0</v>
      </c>
      <c r="L33" s="29"/>
      <c r="M33" s="776"/>
      <c r="N33" s="43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7.0000000000000007E-2</v>
      </c>
      <c r="F34" s="2">
        <f t="shared" si="10"/>
        <v>223</v>
      </c>
      <c r="G34" s="2">
        <f t="shared" si="11"/>
        <v>223</v>
      </c>
      <c r="H34" s="2">
        <f t="shared" si="12"/>
        <v>0</v>
      </c>
      <c r="I34" s="2">
        <f t="shared" si="13"/>
        <v>0</v>
      </c>
      <c r="L34" s="45"/>
      <c r="M34" s="776"/>
      <c r="N34" s="43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</v>
      </c>
      <c r="F35" s="2">
        <f t="shared" si="10"/>
        <v>318</v>
      </c>
      <c r="G35" s="2">
        <f t="shared" si="11"/>
        <v>318</v>
      </c>
      <c r="H35" s="2">
        <f t="shared" si="12"/>
        <v>0</v>
      </c>
      <c r="I35" s="2">
        <f t="shared" si="13"/>
        <v>0</v>
      </c>
      <c r="L35" s="45"/>
      <c r="M35" s="776"/>
      <c r="N35" s="43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0.45</v>
      </c>
      <c r="F36" s="2">
        <f t="shared" si="10"/>
        <v>1432</v>
      </c>
      <c r="G36" s="2">
        <f t="shared" si="11"/>
        <v>1432</v>
      </c>
      <c r="H36" s="2">
        <f t="shared" si="12"/>
        <v>0</v>
      </c>
      <c r="I36" s="2">
        <f t="shared" si="13"/>
        <v>0</v>
      </c>
      <c r="L36" s="35"/>
      <c r="M36" s="776" t="s">
        <v>78</v>
      </c>
      <c r="N36" s="43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0.02</v>
      </c>
      <c r="F37" s="2">
        <f t="shared" si="10"/>
        <v>64</v>
      </c>
      <c r="G37" s="2">
        <f t="shared" si="11"/>
        <v>64</v>
      </c>
      <c r="H37" s="2">
        <f t="shared" si="12"/>
        <v>0</v>
      </c>
      <c r="I37" s="2">
        <f t="shared" si="13"/>
        <v>0</v>
      </c>
      <c r="L37" s="35"/>
      <c r="M37" s="776"/>
      <c r="N37" s="43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0.11</v>
      </c>
      <c r="F38" s="2">
        <f t="shared" si="10"/>
        <v>350</v>
      </c>
      <c r="G38" s="2">
        <f t="shared" si="11"/>
        <v>350</v>
      </c>
      <c r="H38" s="2">
        <f t="shared" si="12"/>
        <v>0</v>
      </c>
      <c r="I38" s="2">
        <f t="shared" si="13"/>
        <v>0</v>
      </c>
      <c r="L38" s="36"/>
      <c r="M38" s="776"/>
      <c r="N38" s="43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10"/>
        <v>32</v>
      </c>
      <c r="G39" s="2">
        <f t="shared" si="11"/>
        <v>32</v>
      </c>
      <c r="H39" s="2">
        <f t="shared" si="12"/>
        <v>0</v>
      </c>
      <c r="I39" s="2">
        <f t="shared" si="13"/>
        <v>0</v>
      </c>
      <c r="L39" s="35"/>
      <c r="M39" s="776"/>
      <c r="N39" s="43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0.06</v>
      </c>
      <c r="F40" s="2">
        <f t="shared" si="10"/>
        <v>191</v>
      </c>
      <c r="G40" s="2">
        <f>ROUND(F40*0.8,0)</f>
        <v>153</v>
      </c>
      <c r="H40" s="2">
        <f>ROUND(F40*0.15,0)</f>
        <v>29</v>
      </c>
      <c r="I40" s="2">
        <f>F40-G40-H40</f>
        <v>9</v>
      </c>
      <c r="L40" s="35"/>
      <c r="M40" s="776"/>
      <c r="N40" s="43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0.01</v>
      </c>
      <c r="F41" s="2">
        <f t="shared" si="10"/>
        <v>32</v>
      </c>
      <c r="G41" s="2">
        <f>ROUND(F41*0.8,0)</f>
        <v>26</v>
      </c>
      <c r="H41" s="2">
        <f>ROUND(F41*0.15,0)</f>
        <v>5</v>
      </c>
      <c r="I41" s="2">
        <f>F41-G41-H41</f>
        <v>1</v>
      </c>
      <c r="L41" s="35"/>
      <c r="M41" s="776"/>
      <c r="N41" s="43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76"/>
      <c r="N42" s="43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76"/>
      <c r="N43" s="43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76"/>
      <c r="N44" s="43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76"/>
      <c r="N45" s="43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76"/>
      <c r="N46" s="43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76"/>
      <c r="N47" s="43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76"/>
      <c r="N48" s="43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76"/>
      <c r="N49" s="43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76"/>
      <c r="N50" s="43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43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J9:K9"/>
    <mergeCell ref="M16:M25"/>
    <mergeCell ref="B28:C28"/>
    <mergeCell ref="M26:M35"/>
    <mergeCell ref="A9:A10"/>
    <mergeCell ref="B9:B10"/>
    <mergeCell ref="C9:C10"/>
    <mergeCell ref="D9:E9"/>
    <mergeCell ref="F9:G9"/>
    <mergeCell ref="H9:I9"/>
    <mergeCell ref="A11:A27"/>
    <mergeCell ref="B27:C27"/>
    <mergeCell ref="M36:M51"/>
    <mergeCell ref="M3:M4"/>
    <mergeCell ref="N3:N4"/>
    <mergeCell ref="O3:P3"/>
    <mergeCell ref="M5:M15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1" sqref="B11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  <c r="H1" s="4" t="s">
        <v>398</v>
      </c>
    </row>
    <row r="2" spans="1:19" ht="20.100000000000001" customHeight="1">
      <c r="A2" s="2" t="s">
        <v>0</v>
      </c>
      <c r="G2" s="3"/>
      <c r="H2" s="4" t="s">
        <v>397</v>
      </c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385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379</v>
      </c>
      <c r="O6" s="3" t="s">
        <v>380</v>
      </c>
      <c r="P6" s="3" t="s">
        <v>381</v>
      </c>
      <c r="Q6" s="3" t="s">
        <v>382</v>
      </c>
      <c r="R6" s="3" t="s">
        <v>383</v>
      </c>
      <c r="S6" s="3" t="s">
        <v>384</v>
      </c>
    </row>
    <row r="7" spans="1:19" ht="20.100000000000001" customHeight="1">
      <c r="A7" s="2" t="s">
        <v>4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167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76" t="s">
        <v>8</v>
      </c>
      <c r="B9" s="105" t="s">
        <v>9</v>
      </c>
      <c r="C9" s="103" t="s">
        <v>10</v>
      </c>
      <c r="D9" s="103" t="s">
        <v>11</v>
      </c>
      <c r="E9" s="103" t="s">
        <v>12</v>
      </c>
      <c r="F9" s="104" t="s">
        <v>13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166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25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28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29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76" t="s">
        <v>8</v>
      </c>
      <c r="B15" s="105" t="s">
        <v>32</v>
      </c>
      <c r="C15" s="103" t="s">
        <v>33</v>
      </c>
      <c r="D15" s="103" t="s">
        <v>11</v>
      </c>
      <c r="E15" s="103" t="s">
        <v>35</v>
      </c>
      <c r="F15" s="104" t="s">
        <v>13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42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43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30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45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47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49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29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76" t="s">
        <v>8</v>
      </c>
      <c r="B26" s="105" t="s">
        <v>32</v>
      </c>
      <c r="C26" s="103" t="s">
        <v>33</v>
      </c>
      <c r="D26" s="103" t="s">
        <v>11</v>
      </c>
      <c r="E26" s="103" t="s">
        <v>35</v>
      </c>
      <c r="F26" s="104" t="s">
        <v>13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42</v>
      </c>
      <c r="B27" s="117"/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43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45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47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50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51</v>
      </c>
    </row>
    <row r="37" spans="1:17" ht="20.100000000000001" customHeight="1">
      <c r="A37" s="2" t="s">
        <v>52</v>
      </c>
      <c r="D37" s="12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76" t="s">
        <v>8</v>
      </c>
      <c r="B39" s="105" t="s">
        <v>32</v>
      </c>
      <c r="C39" s="103" t="s">
        <v>33</v>
      </c>
      <c r="D39" s="103" t="s">
        <v>11</v>
      </c>
      <c r="E39" s="103" t="s">
        <v>35</v>
      </c>
      <c r="F39" s="104" t="s">
        <v>13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42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43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45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47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54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8</v>
      </c>
      <c r="B50" s="105" t="s">
        <v>32</v>
      </c>
      <c r="C50" s="103" t="s">
        <v>33</v>
      </c>
      <c r="D50" s="103" t="s">
        <v>11</v>
      </c>
      <c r="E50" s="103" t="s">
        <v>35</v>
      </c>
      <c r="F50" s="104" t="s">
        <v>13</v>
      </c>
    </row>
    <row r="51" spans="1:6" ht="20.100000000000001" customHeight="1">
      <c r="A51" s="131" t="s">
        <v>25</v>
      </c>
      <c r="B51" s="128">
        <f>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50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54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6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1069</v>
      </c>
    </row>
    <row r="2" spans="1:8" ht="20.100000000000001" customHeight="1">
      <c r="A2" s="1" t="s">
        <v>706</v>
      </c>
    </row>
    <row r="3" spans="1:8" ht="20.100000000000001" customHeight="1">
      <c r="A3" s="1"/>
      <c r="H3" s="3" t="s">
        <v>404</v>
      </c>
    </row>
    <row r="4" spans="1:8" ht="20.100000000000001" customHeight="1">
      <c r="A4" s="744" t="s">
        <v>405</v>
      </c>
      <c r="B4" s="745"/>
      <c r="C4" s="746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20" si="0">SUM(E5:H5)</f>
        <v>0</v>
      </c>
      <c r="E5" s="447">
        <f>+'1.3.4 오수간선및차집관로 교체및보수'!B56</f>
        <v>0</v>
      </c>
      <c r="F5" s="447">
        <f>+'1.3.4 오수간선및차집관로 교체및보수'!C56</f>
        <v>0</v>
      </c>
      <c r="G5" s="447">
        <f>+'1.3.4 오수간선및차집관로 교체및보수'!D56</f>
        <v>0</v>
      </c>
      <c r="H5" s="448">
        <f>+'1.3.4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+'1.3.4 오수간선및차집관로 교체및보수'!B57</f>
        <v>0</v>
      </c>
      <c r="F6" s="447">
        <f>+'1.3.4 오수간선및차집관로 교체및보수'!C57</f>
        <v>0</v>
      </c>
      <c r="G6" s="447">
        <f>+'1.3.4 오수간선및차집관로 교체및보수'!D57</f>
        <v>0</v>
      </c>
      <c r="H6" s="448">
        <f>+'1.3.4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27310</v>
      </c>
      <c r="E8" s="447">
        <f>+'1.3.5 오수관로신설'!B55</f>
        <v>21676</v>
      </c>
      <c r="F8" s="447">
        <f>+'1.3.5 오수관로신설'!C55</f>
        <v>5634</v>
      </c>
      <c r="G8" s="447">
        <f>+'1.3.5 오수관로신설'!D55</f>
        <v>0</v>
      </c>
      <c r="H8" s="448">
        <f>+'1.3.5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+'1.3.6 오수관로 교체및보수'!B56</f>
        <v>0</v>
      </c>
      <c r="F9" s="447">
        <v>0</v>
      </c>
      <c r="G9" s="447">
        <f>+'1.3.6 오수관로 교체및보수'!D56</f>
        <v>0</v>
      </c>
      <c r="H9" s="448">
        <f>+'1.3.6 오수관로 교체및보수'!E56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+'1.3.6 오수관로 교체및보수'!B57</f>
        <v>0</v>
      </c>
      <c r="F10" s="447">
        <v>0</v>
      </c>
      <c r="G10" s="447">
        <f>+'1.3.6 오수관로 교체및보수'!D57</f>
        <v>0</v>
      </c>
      <c r="H10" s="448">
        <f>+'1.3.6 오수관로 교체및보수'!E57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8355</v>
      </c>
      <c r="E13" s="447">
        <f>+'1.3.7 우수관로 교체 및 보수'!B48</f>
        <v>3065</v>
      </c>
      <c r="F13" s="447">
        <f>+'1.3.7 우수관로 교체 및 보수'!C48</f>
        <v>3152</v>
      </c>
      <c r="G13" s="447">
        <f>+'1.3.7 우수관로 교체 및 보수'!D48</f>
        <v>1087</v>
      </c>
      <c r="H13" s="448">
        <f>+'1.3.7 우수관로 교체 및 보수'!E48</f>
        <v>1051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8355</v>
      </c>
      <c r="E15" s="447">
        <f>SUM(E13:E14)</f>
        <v>3065</v>
      </c>
      <c r="F15" s="447">
        <f>SUM(F13:F14)</f>
        <v>3152</v>
      </c>
      <c r="G15" s="447">
        <f>SUM(G13:G14)</f>
        <v>1087</v>
      </c>
      <c r="H15" s="448">
        <f>SUM(H13:H14)</f>
        <v>1051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19542.5</v>
      </c>
      <c r="E16" s="450">
        <f>+'1.3.2 공공하수처리시설 신증설'!B56</f>
        <v>10143</v>
      </c>
      <c r="F16" s="450">
        <f>+'1.3.2 공공하수처리시설 신증설'!C56</f>
        <v>0</v>
      </c>
      <c r="G16" s="450">
        <f>+'1.3.2 공공하수처리시설 신증설'!D56</f>
        <v>0</v>
      </c>
      <c r="H16" s="451">
        <f>+'1.3.2 공공하수처리시설 신증설'!E56</f>
        <v>9399.5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+'1.3.3 공공하수처리시설 기능정상화'!B56</f>
        <v>0</v>
      </c>
      <c r="F17" s="447">
        <f>+'1.3.3 공공하수처리시설 기능정상화'!C56</f>
        <v>0</v>
      </c>
      <c r="G17" s="447">
        <f>+'1.3.3 공공하수처리시설 기능정상화'!D56</f>
        <v>0</v>
      </c>
      <c r="H17" s="448">
        <f>+'1.3.3 공공하수처리시설 기능정상화'!E56</f>
        <v>0</v>
      </c>
    </row>
    <row r="18" spans="1:8" ht="20.100000000000001" customHeight="1">
      <c r="A18" s="905" t="s">
        <v>425</v>
      </c>
      <c r="B18" s="747" t="s">
        <v>919</v>
      </c>
      <c r="C18" s="765"/>
      <c r="D18" s="446">
        <f t="shared" si="0"/>
        <v>0</v>
      </c>
      <c r="E18" s="447">
        <f>+'1.3.8 하수저류시설'!B55</f>
        <v>0</v>
      </c>
      <c r="F18" s="447">
        <f>+'1.3.8 하수저류시설'!C55</f>
        <v>0</v>
      </c>
      <c r="G18" s="447">
        <f>+'1.3.8 하수저류시설'!D55</f>
        <v>0</v>
      </c>
      <c r="H18" s="448">
        <f>+'1.3.8 하수저류시설'!E55</f>
        <v>0</v>
      </c>
    </row>
    <row r="19" spans="1:8" ht="20.100000000000001" customHeight="1">
      <c r="A19" s="773"/>
      <c r="B19" s="751" t="s">
        <v>905</v>
      </c>
      <c r="C19" s="906"/>
      <c r="D19" s="446">
        <f t="shared" si="0"/>
        <v>5842</v>
      </c>
      <c r="E19" s="455">
        <f>'1.3.9 하수찌꺼지 처리시설'!B55</f>
        <v>5842</v>
      </c>
      <c r="F19" s="455"/>
      <c r="G19" s="455"/>
      <c r="H19" s="456"/>
    </row>
    <row r="20" spans="1:8" ht="20.100000000000001" customHeight="1">
      <c r="A20" s="766" t="s">
        <v>406</v>
      </c>
      <c r="B20" s="767"/>
      <c r="C20" s="768"/>
      <c r="D20" s="452">
        <f t="shared" si="0"/>
        <v>61049.5</v>
      </c>
      <c r="E20" s="453">
        <f>+E16+E17+E7+E8+E11+E12+E15+E18+E19</f>
        <v>40726</v>
      </c>
      <c r="F20" s="453">
        <f>+F16+F17+F7+F8+F11+F12+F15+F18+F19</f>
        <v>8786</v>
      </c>
      <c r="G20" s="453">
        <f>+G16+G17+G7+G8+G11+G12+G15+G18+G19</f>
        <v>1087</v>
      </c>
      <c r="H20" s="454">
        <f>+H16+H17+H7+H8+H11+H12+H15+H18+H19</f>
        <v>10450.5</v>
      </c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  <row r="56" spans="1:8" ht="20.100000000000001" customHeight="1">
      <c r="A56" s="69"/>
      <c r="B56" s="68"/>
      <c r="C56" s="68"/>
      <c r="D56" s="68"/>
      <c r="E56" s="68"/>
      <c r="F56" s="68"/>
      <c r="G56" s="68"/>
      <c r="H56" s="68"/>
    </row>
  </sheetData>
  <mergeCells count="16">
    <mergeCell ref="A4:C4"/>
    <mergeCell ref="A5:A7"/>
    <mergeCell ref="B5:B7"/>
    <mergeCell ref="A8:A11"/>
    <mergeCell ref="B8:C8"/>
    <mergeCell ref="B9:B11"/>
    <mergeCell ref="B18:C18"/>
    <mergeCell ref="A20:C20"/>
    <mergeCell ref="A12:A15"/>
    <mergeCell ref="B12:C12"/>
    <mergeCell ref="B13:B15"/>
    <mergeCell ref="A16:A17"/>
    <mergeCell ref="B16:C16"/>
    <mergeCell ref="B17:C17"/>
    <mergeCell ref="A18:A19"/>
    <mergeCell ref="B19:C19"/>
  </mergeCells>
  <phoneticPr fontId="4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topLeftCell="A25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975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2000</v>
      </c>
      <c r="C9" s="101">
        <v>0</v>
      </c>
      <c r="D9" s="101">
        <v>0</v>
      </c>
      <c r="E9" s="101">
        <v>1500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v>2000</v>
      </c>
      <c r="C10" s="96">
        <v>0</v>
      </c>
      <c r="D10" s="96">
        <v>0</v>
      </c>
      <c r="E10" s="96">
        <v>1000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v>2000</v>
      </c>
      <c r="C11" s="96">
        <v>0</v>
      </c>
      <c r="D11" s="96">
        <v>0</v>
      </c>
      <c r="E11" s="96">
        <v>2000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448</v>
      </c>
      <c r="B12" s="107">
        <f>K16</f>
        <v>8884</v>
      </c>
      <c r="C12" s="96">
        <v>0</v>
      </c>
      <c r="D12" s="96">
        <v>0</v>
      </c>
      <c r="E12" s="96">
        <f>K16</f>
        <v>8884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450</v>
      </c>
      <c r="B13" s="107">
        <f>K16</f>
        <v>8884</v>
      </c>
      <c r="C13" s="96">
        <v>0</v>
      </c>
      <c r="D13" s="96">
        <v>0</v>
      </c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K16</f>
        <v>8884</v>
      </c>
      <c r="C14" s="98">
        <v>0</v>
      </c>
      <c r="D14" s="97">
        <v>0</v>
      </c>
      <c r="E14" s="108">
        <f>IFERROR(E12+((E13-E12)/(E11-E10))*(E9-E10),0)</f>
        <v>8232.5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8884</v>
      </c>
      <c r="C19" s="115">
        <f>+C14</f>
        <v>0</v>
      </c>
      <c r="D19" s="101">
        <f>D14</f>
        <v>0</v>
      </c>
      <c r="E19" s="101">
        <f>E14</f>
        <v>8232.5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5000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10000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4.6299999999999994E-2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4.5199999999999997E-2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4.5445519999999996E-2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4.5588849999999993E-2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404</v>
      </c>
      <c r="C25" s="97">
        <f>+ROUND(C19*C24,0)</f>
        <v>0</v>
      </c>
      <c r="D25" s="97">
        <f>+ROUND(D19*D24,0)</f>
        <v>0</v>
      </c>
      <c r="E25" s="97">
        <f>+ROUND(E19*E24,0)</f>
        <v>375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8884</v>
      </c>
      <c r="C30" s="115"/>
      <c r="D30" s="117">
        <f>+D19</f>
        <v>0</v>
      </c>
      <c r="E30" s="117">
        <f>+E19</f>
        <v>8232.5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/>
      <c r="E31" s="96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/>
      <c r="D32" s="112"/>
      <c r="E32" s="96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74"/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/>
      <c r="D34" s="174"/>
      <c r="E34" s="135">
        <f>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/>
      <c r="D35" s="135"/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832</v>
      </c>
      <c r="C36" s="97">
        <f>+ROUND(C30*C35,0)</f>
        <v>0</v>
      </c>
      <c r="D36" s="97">
        <f>+ROUND(D30*D35,0)</f>
        <v>0</v>
      </c>
      <c r="E36" s="97">
        <f>+ROUND(E30*E35,0)</f>
        <v>771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8884</v>
      </c>
      <c r="C41" s="115"/>
      <c r="D41" s="115">
        <f>+D19</f>
        <v>0</v>
      </c>
      <c r="E41" s="101">
        <f>E14</f>
        <v>8232.5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5000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10000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2.7000000000000001E-3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2.5000000000000001E-3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2.5446399999999999E-3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2.5707E-3</v>
      </c>
      <c r="F46" s="113"/>
    </row>
    <row r="47" spans="1:17" ht="20.100000000000001" customHeight="1">
      <c r="A47" s="111" t="s">
        <v>478</v>
      </c>
      <c r="B47" s="97">
        <f>+ROUND(B41*B46,0)</f>
        <v>23</v>
      </c>
      <c r="C47" s="97">
        <f>+ROUND(C41*C46,0)</f>
        <v>0</v>
      </c>
      <c r="D47" s="97">
        <f>+ROUND(D41*D46,0)</f>
        <v>0</v>
      </c>
      <c r="E47" s="97">
        <f>+ROUND(E41*E46,0)</f>
        <v>21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8884</v>
      </c>
      <c r="C52" s="126">
        <f>+C14</f>
        <v>0</v>
      </c>
      <c r="D52" s="126">
        <f>+D14</f>
        <v>0</v>
      </c>
      <c r="E52" s="126">
        <f>+E14</f>
        <v>8232.5</v>
      </c>
      <c r="F52" s="127"/>
    </row>
    <row r="53" spans="1:6" ht="20.100000000000001" customHeight="1">
      <c r="A53" s="132" t="s">
        <v>480</v>
      </c>
      <c r="B53" s="129">
        <f>+B25</f>
        <v>404</v>
      </c>
      <c r="C53" s="121">
        <f>+C25</f>
        <v>0</v>
      </c>
      <c r="D53" s="121">
        <f>+D25</f>
        <v>0</v>
      </c>
      <c r="E53" s="121">
        <f>+E25</f>
        <v>375</v>
      </c>
      <c r="F53" s="122"/>
    </row>
    <row r="54" spans="1:6" ht="20.100000000000001" customHeight="1">
      <c r="A54" s="132" t="s">
        <v>475</v>
      </c>
      <c r="B54" s="129">
        <f>+B36</f>
        <v>832</v>
      </c>
      <c r="C54" s="121">
        <f>+C36</f>
        <v>0</v>
      </c>
      <c r="D54" s="121">
        <f>+D36</f>
        <v>0</v>
      </c>
      <c r="E54" s="121">
        <f>+E36</f>
        <v>771</v>
      </c>
      <c r="F54" s="122"/>
    </row>
    <row r="55" spans="1:6" ht="20.100000000000001" customHeight="1">
      <c r="A55" s="132" t="s">
        <v>478</v>
      </c>
      <c r="B55" s="129">
        <f>+B47</f>
        <v>23</v>
      </c>
      <c r="C55" s="121">
        <f>+C47</f>
        <v>0</v>
      </c>
      <c r="D55" s="121">
        <f>+D47</f>
        <v>0</v>
      </c>
      <c r="E55" s="121">
        <f>+E47</f>
        <v>21</v>
      </c>
      <c r="F55" s="122"/>
    </row>
    <row r="56" spans="1:6" ht="20.100000000000001" customHeight="1">
      <c r="A56" s="133" t="s">
        <v>481</v>
      </c>
      <c r="B56" s="130">
        <f>SUM(B52:B55)</f>
        <v>10143</v>
      </c>
      <c r="C56" s="123">
        <f>SUM(C52:C55)</f>
        <v>0</v>
      </c>
      <c r="D56" s="123">
        <f>SUM(D52:D55)</f>
        <v>0</v>
      </c>
      <c r="E56" s="130">
        <f>SUM(E52:E55)</f>
        <v>9399.5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/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>
        <v>0</v>
      </c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>
        <v>0</v>
      </c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>
        <v>0</v>
      </c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>
        <v>0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+'가.굴착교체(금왕-간선)'!E21</f>
        <v>0</v>
      </c>
      <c r="C5" s="101">
        <f>+'가.굴착교체(금왕-간선)'!G21</f>
        <v>0</v>
      </c>
      <c r="D5" s="101">
        <f>+'가.굴착교체(금왕-간선)'!I21</f>
        <v>0</v>
      </c>
      <c r="E5" s="101">
        <f>+'가.굴착교체(금왕-간선)'!K21</f>
        <v>0</v>
      </c>
      <c r="F5" s="144"/>
      <c r="G5" s="5"/>
      <c r="H5" s="7" t="s">
        <v>417</v>
      </c>
      <c r="I5" s="70" t="e">
        <f>+(B5+B8+B9)/B10</f>
        <v>#DIV/0!</v>
      </c>
      <c r="J5" s="70" t="e">
        <f>+(C5+C8+C9)/C10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+'나.전체보수(금왕-간선)'!E19</f>
        <v>0</v>
      </c>
      <c r="C6" s="94">
        <f>+'나.전체보수(금왕-간선)'!G19</f>
        <v>0</v>
      </c>
      <c r="D6" s="94">
        <f>+'나.전체보수(금왕-간선)'!I19</f>
        <v>0</v>
      </c>
      <c r="E6" s="94">
        <f>+'나.전체보수(금왕-간선)'!K19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+'다.부분보수(금왕-간선)'!E17</f>
        <v>0</v>
      </c>
      <c r="C7" s="96">
        <f>+'다.부분보수(금왕-간선)'!G17</f>
        <v>0</v>
      </c>
      <c r="D7" s="96">
        <f>+'다.부분보수(금왕-간선)'!I17</f>
        <v>0</v>
      </c>
      <c r="E7" s="96">
        <f>+'다.부분보수(금왕-간선)'!K17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+'라.맨홀보수(금왕-간선)'!D12</f>
        <v>0</v>
      </c>
      <c r="C8" s="96">
        <f>+'라.맨홀보수(금왕-간선)'!F12</f>
        <v>0</v>
      </c>
      <c r="D8" s="96">
        <f>+'라.맨홀보수(금왕-간선)'!H12</f>
        <v>0</v>
      </c>
      <c r="E8" s="96">
        <f>+'라.맨홀보수(금왕-간선)'!J12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+'마.우수토실개량(금왕-간선)'!D11</f>
        <v>0</v>
      </c>
      <c r="C9" s="96">
        <f>+'마.우수토실개량(금왕-간선)'!F11</f>
        <v>0</v>
      </c>
      <c r="D9" s="96">
        <f>+'마.우수토실개량(금왕-간선)'!H11</f>
        <v>0</v>
      </c>
      <c r="E9" s="96">
        <f>+'마.우수토실개량(금왕-간선)'!J11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+'가.굴착교체(금왕-간선)'!W23/'1.3.4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>
        <v>0</v>
      </c>
      <c r="C56" s="145"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30" ht="20.100000000000001" customHeight="1">
      <c r="A4" s="40"/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76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76"/>
      <c r="N6" s="272">
        <v>400</v>
      </c>
      <c r="O6" s="44">
        <v>695100</v>
      </c>
      <c r="P6" s="44">
        <v>988070</v>
      </c>
    </row>
    <row r="7" spans="1:30" ht="20.100000000000001" customHeight="1">
      <c r="A7" s="783" t="s">
        <v>435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500</v>
      </c>
      <c r="O7" s="44">
        <v>744140</v>
      </c>
      <c r="P7" s="44">
        <v>1046720</v>
      </c>
    </row>
    <row r="8" spans="1:30" ht="20.100000000000001" customHeight="1">
      <c r="A8" s="784"/>
      <c r="B8" s="786"/>
      <c r="C8" s="788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76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07" t="s">
        <v>707</v>
      </c>
      <c r="B9" s="397">
        <v>250</v>
      </c>
      <c r="C9" s="394">
        <f>ROUND(AVERAGE(O5,O26)*L1,0)</f>
        <v>1326092</v>
      </c>
      <c r="D9" s="106">
        <v>0</v>
      </c>
      <c r="E9" s="101">
        <f>+ROUND($C9*D9/1000000,0)</f>
        <v>0</v>
      </c>
      <c r="F9" s="106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76"/>
      <c r="N9" s="272">
        <v>700</v>
      </c>
      <c r="O9" s="44">
        <v>908330</v>
      </c>
      <c r="P9" s="44">
        <v>1242130</v>
      </c>
      <c r="S9" s="796" t="s">
        <v>435</v>
      </c>
      <c r="T9" s="791" t="s">
        <v>513</v>
      </c>
      <c r="U9" s="791" t="s">
        <v>514</v>
      </c>
      <c r="V9" s="790" t="s">
        <v>436</v>
      </c>
      <c r="W9" s="790"/>
      <c r="X9" s="790" t="s">
        <v>437</v>
      </c>
      <c r="Y9" s="790"/>
      <c r="Z9" s="790" t="s">
        <v>438</v>
      </c>
      <c r="AA9" s="790"/>
      <c r="AB9" s="790" t="s">
        <v>439</v>
      </c>
      <c r="AC9" s="790"/>
    </row>
    <row r="10" spans="1:30" ht="20.100000000000001" customHeight="1">
      <c r="A10" s="780"/>
      <c r="B10" s="347">
        <v>300</v>
      </c>
      <c r="C10" s="332">
        <f>ROUND(AVERAGE(O5,O27)*$L$1,0)</f>
        <v>1383986</v>
      </c>
      <c r="D10" s="139"/>
      <c r="E10" s="94">
        <f t="shared" ref="E10:G20" si="0">+ROUND($C10*D10/1000000,0)</f>
        <v>0</v>
      </c>
      <c r="F10" s="139"/>
      <c r="G10" s="94">
        <f t="shared" si="0"/>
        <v>0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76"/>
      <c r="N10" s="272">
        <v>800</v>
      </c>
      <c r="O10" s="44">
        <v>985210</v>
      </c>
      <c r="P10" s="44">
        <v>1328710</v>
      </c>
      <c r="S10" s="793"/>
      <c r="T10" s="797"/>
      <c r="U10" s="797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0"/>
      <c r="B11" s="347">
        <v>400</v>
      </c>
      <c r="C11" s="332">
        <f>ROUND(AVERAGE(O6,O28)*$L$1,0)</f>
        <v>1494294</v>
      </c>
      <c r="D11" s="139">
        <v>115</v>
      </c>
      <c r="E11" s="94">
        <f t="shared" si="0"/>
        <v>172</v>
      </c>
      <c r="F11" s="139">
        <v>115</v>
      </c>
      <c r="G11" s="94">
        <f t="shared" si="0"/>
        <v>172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76"/>
      <c r="N11" s="272">
        <v>900</v>
      </c>
      <c r="O11" s="44">
        <v>1082060</v>
      </c>
      <c r="P11" s="44">
        <v>1435170</v>
      </c>
      <c r="S11" s="791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780"/>
      <c r="B12" s="347">
        <v>450</v>
      </c>
      <c r="C12" s="332">
        <f>(C11+C13)/2</f>
        <v>1567153</v>
      </c>
      <c r="D12" s="139">
        <v>5</v>
      </c>
      <c r="E12" s="94">
        <f t="shared" si="0"/>
        <v>8</v>
      </c>
      <c r="F12" s="139">
        <v>5</v>
      </c>
      <c r="G12" s="94">
        <f t="shared" si="0"/>
        <v>8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76"/>
      <c r="N12" s="272">
        <v>1000</v>
      </c>
      <c r="O12" s="44">
        <v>1224100</v>
      </c>
      <c r="P12" s="44">
        <v>1586920</v>
      </c>
      <c r="S12" s="792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-39</v>
      </c>
    </row>
    <row r="13" spans="1:30" ht="20.100000000000001" customHeight="1">
      <c r="A13" s="780"/>
      <c r="B13" s="347">
        <v>500</v>
      </c>
      <c r="C13" s="332">
        <f t="shared" ref="C13:C18" si="9">ROUND(AVERAGE(O7,O29)*$L$1,0)</f>
        <v>1640012</v>
      </c>
      <c r="D13" s="139">
        <v>132</v>
      </c>
      <c r="E13" s="94">
        <f t="shared" si="0"/>
        <v>216</v>
      </c>
      <c r="F13" s="139">
        <v>132</v>
      </c>
      <c r="G13" s="94">
        <f t="shared" si="0"/>
        <v>216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76"/>
      <c r="N13" s="272">
        <v>1100</v>
      </c>
      <c r="O13" s="44">
        <v>1364190</v>
      </c>
      <c r="P13" s="44">
        <v>1748220</v>
      </c>
      <c r="S13" s="792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-186</v>
      </c>
    </row>
    <row r="14" spans="1:30" ht="20.100000000000001" customHeight="1">
      <c r="A14" s="780"/>
      <c r="B14" s="347">
        <v>600</v>
      </c>
      <c r="C14" s="332">
        <f t="shared" si="9"/>
        <v>1833411</v>
      </c>
      <c r="D14" s="139">
        <v>22</v>
      </c>
      <c r="E14" s="94">
        <f t="shared" si="0"/>
        <v>40</v>
      </c>
      <c r="F14" s="139">
        <v>22</v>
      </c>
      <c r="G14" s="94">
        <f t="shared" si="0"/>
        <v>40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76"/>
      <c r="N14" s="272">
        <v>1200</v>
      </c>
      <c r="O14" s="44">
        <v>1496390</v>
      </c>
      <c r="P14" s="44">
        <v>1889810</v>
      </c>
      <c r="S14" s="792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5</v>
      </c>
    </row>
    <row r="15" spans="1:30" ht="20.100000000000001" customHeight="1">
      <c r="A15" s="780"/>
      <c r="B15" s="347">
        <v>700</v>
      </c>
      <c r="C15" s="332">
        <f t="shared" si="9"/>
        <v>2034475</v>
      </c>
      <c r="D15" s="139">
        <v>0</v>
      </c>
      <c r="E15" s="94">
        <f t="shared" si="0"/>
        <v>0</v>
      </c>
      <c r="F15" s="139">
        <v>0</v>
      </c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76"/>
      <c r="N15" s="272">
        <v>1350</v>
      </c>
      <c r="O15" s="44">
        <v>1667580</v>
      </c>
      <c r="P15" s="44">
        <v>2146200</v>
      </c>
      <c r="S15" s="792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46</v>
      </c>
    </row>
    <row r="16" spans="1:30" ht="20.100000000000001" customHeight="1">
      <c r="A16" s="780"/>
      <c r="B16" s="347">
        <v>800</v>
      </c>
      <c r="C16" s="332">
        <f t="shared" si="9"/>
        <v>2236683</v>
      </c>
      <c r="D16" s="139">
        <v>0</v>
      </c>
      <c r="E16" s="94">
        <f t="shared" si="0"/>
        <v>0</v>
      </c>
      <c r="F16" s="139">
        <v>0</v>
      </c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76" t="s">
        <v>76</v>
      </c>
      <c r="N16" s="272">
        <v>300</v>
      </c>
      <c r="O16" s="44">
        <v>858250</v>
      </c>
      <c r="P16" s="44">
        <v>1141590</v>
      </c>
      <c r="S16" s="792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-437</v>
      </c>
    </row>
    <row r="17" spans="1:30" ht="20.100000000000001" customHeight="1">
      <c r="A17" s="780"/>
      <c r="B17" s="347">
        <v>900</v>
      </c>
      <c r="C17" s="332">
        <f t="shared" si="9"/>
        <v>2436832</v>
      </c>
      <c r="D17" s="139">
        <v>0</v>
      </c>
      <c r="E17" s="94">
        <f t="shared" si="0"/>
        <v>0</v>
      </c>
      <c r="F17" s="139">
        <v>0</v>
      </c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76"/>
      <c r="N17" s="272">
        <v>400</v>
      </c>
      <c r="O17" s="44">
        <v>948130</v>
      </c>
      <c r="P17" s="44">
        <v>1241090</v>
      </c>
      <c r="S17" s="792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0"/>
      <c r="B18" s="347">
        <v>1000</v>
      </c>
      <c r="C18" s="332">
        <f t="shared" si="9"/>
        <v>2759310</v>
      </c>
      <c r="D18" s="139">
        <v>0</v>
      </c>
      <c r="E18" s="94">
        <f t="shared" si="0"/>
        <v>0</v>
      </c>
      <c r="F18" s="139">
        <v>0</v>
      </c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76"/>
      <c r="N18" s="272">
        <v>500</v>
      </c>
      <c r="O18" s="44">
        <v>1062140</v>
      </c>
      <c r="P18" s="44">
        <v>1364730</v>
      </c>
      <c r="S18" s="792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0"/>
      <c r="B19" s="347">
        <v>1200</v>
      </c>
      <c r="C19" s="332">
        <f>ROUND(AVERAGE(O14,O35)*$L$1,0)</f>
        <v>3331105</v>
      </c>
      <c r="D19" s="139">
        <v>0</v>
      </c>
      <c r="E19" s="94">
        <f t="shared" si="0"/>
        <v>0</v>
      </c>
      <c r="F19" s="139">
        <v>0</v>
      </c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76"/>
      <c r="N19" s="272">
        <v>600</v>
      </c>
      <c r="O19" s="44">
        <v>1198160</v>
      </c>
      <c r="P19" s="44">
        <v>1522580</v>
      </c>
      <c r="S19" s="792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0"/>
      <c r="B20" s="152"/>
      <c r="C20" s="153"/>
      <c r="D20" s="139">
        <v>0</v>
      </c>
      <c r="E20" s="94">
        <f t="shared" si="0"/>
        <v>0</v>
      </c>
      <c r="F20" s="139">
        <v>0</v>
      </c>
      <c r="G20" s="94">
        <f t="shared" si="0"/>
        <v>0</v>
      </c>
      <c r="H20" s="94"/>
      <c r="I20" s="94">
        <f t="shared" si="1"/>
        <v>0</v>
      </c>
      <c r="J20" s="94"/>
      <c r="K20" s="153">
        <f t="shared" si="2"/>
        <v>0</v>
      </c>
      <c r="L20" s="9"/>
      <c r="M20" s="776"/>
      <c r="N20" s="272">
        <v>700</v>
      </c>
      <c r="O20" s="44">
        <v>1340850</v>
      </c>
      <c r="P20" s="44">
        <v>1674620</v>
      </c>
      <c r="S20" s="792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84"/>
      <c r="B21" s="777" t="s">
        <v>406</v>
      </c>
      <c r="C21" s="778"/>
      <c r="D21" s="142"/>
      <c r="E21" s="137"/>
      <c r="F21" s="137"/>
      <c r="G21" s="137"/>
      <c r="H21" s="137">
        <f>SUM(H9:H20)</f>
        <v>0</v>
      </c>
      <c r="I21" s="137">
        <f>SUM(I9:I20)</f>
        <v>0</v>
      </c>
      <c r="J21" s="137">
        <f>SUM(J9:J20)</f>
        <v>0</v>
      </c>
      <c r="K21" s="154">
        <f>SUM(K9:K20)</f>
        <v>0</v>
      </c>
      <c r="L21" s="9"/>
      <c r="M21" s="776"/>
      <c r="N21" s="272">
        <v>800</v>
      </c>
      <c r="O21" s="44">
        <v>1515080</v>
      </c>
      <c r="P21" s="44">
        <v>1858540</v>
      </c>
      <c r="S21" s="792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/>
      <c r="E22" s="13"/>
      <c r="F22" s="13"/>
      <c r="G22" s="13"/>
      <c r="H22" s="13"/>
      <c r="I22" s="13"/>
      <c r="J22" s="13"/>
      <c r="K22" s="13"/>
      <c r="L22" s="9"/>
      <c r="M22" s="776"/>
      <c r="N22" s="272">
        <v>900</v>
      </c>
      <c r="O22" s="44">
        <v>1657660</v>
      </c>
      <c r="P22" s="44">
        <v>2010740</v>
      </c>
      <c r="S22" s="792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D23" s="2">
        <v>274</v>
      </c>
      <c r="E23" s="2">
        <v>400</v>
      </c>
      <c r="F23" s="2">
        <v>0.42</v>
      </c>
      <c r="G23" s="2">
        <f t="shared" ref="G23:G29" si="10">ROUND($D$23*F23,0)</f>
        <v>115</v>
      </c>
      <c r="L23" s="9"/>
      <c r="M23" s="776"/>
      <c r="N23" s="272">
        <v>1000</v>
      </c>
      <c r="O23" s="44">
        <v>1917700</v>
      </c>
      <c r="P23" s="44">
        <v>2280490</v>
      </c>
      <c r="S23" s="793"/>
      <c r="T23" s="794" t="s">
        <v>406</v>
      </c>
      <c r="U23" s="795"/>
      <c r="V23" s="11">
        <f t="shared" ref="V23:AC23" si="11">SUM(V11:V22)</f>
        <v>4502</v>
      </c>
      <c r="W23" s="11">
        <f t="shared" si="11"/>
        <v>4127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3">
        <f t="shared" si="8"/>
        <v>-4502</v>
      </c>
    </row>
    <row r="24" spans="1:30" ht="20.100000000000001" customHeight="1">
      <c r="E24" s="2">
        <v>450</v>
      </c>
      <c r="F24" s="2">
        <v>0.02</v>
      </c>
      <c r="G24" s="2">
        <f t="shared" si="10"/>
        <v>5</v>
      </c>
      <c r="L24" s="9"/>
      <c r="M24" s="776"/>
      <c r="N24" s="272">
        <v>1100</v>
      </c>
      <c r="O24" s="44">
        <v>2185750</v>
      </c>
      <c r="P24" s="44">
        <v>2569790</v>
      </c>
    </row>
    <row r="25" spans="1:30" ht="20.100000000000001" customHeight="1">
      <c r="E25" s="2">
        <v>500</v>
      </c>
      <c r="F25" s="2">
        <v>0.48</v>
      </c>
      <c r="G25" s="2">
        <f t="shared" si="10"/>
        <v>132</v>
      </c>
      <c r="L25" s="9"/>
      <c r="M25" s="776"/>
      <c r="N25" s="272">
        <v>1200</v>
      </c>
      <c r="O25" s="44">
        <v>2438880</v>
      </c>
      <c r="P25" s="44">
        <v>2832290</v>
      </c>
    </row>
    <row r="26" spans="1:30" ht="20.100000000000001" customHeight="1">
      <c r="E26" s="2">
        <v>600</v>
      </c>
      <c r="F26" s="2">
        <v>0.08</v>
      </c>
      <c r="G26" s="2">
        <f t="shared" si="10"/>
        <v>22</v>
      </c>
      <c r="L26" s="9"/>
      <c r="M26" s="776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E27" s="2">
        <v>700</v>
      </c>
      <c r="F27" s="2">
        <v>0</v>
      </c>
      <c r="G27" s="2">
        <f t="shared" si="10"/>
        <v>0</v>
      </c>
      <c r="L27" s="9"/>
      <c r="M27" s="776"/>
      <c r="N27" s="272">
        <v>300</v>
      </c>
      <c r="O27" s="44">
        <v>671740</v>
      </c>
      <c r="P27" s="44">
        <v>955080</v>
      </c>
    </row>
    <row r="28" spans="1:30" ht="20.100000000000001" customHeight="1">
      <c r="E28" s="2">
        <v>800</v>
      </c>
      <c r="F28" s="2">
        <v>0</v>
      </c>
      <c r="G28" s="2">
        <f t="shared" si="10"/>
        <v>0</v>
      </c>
      <c r="M28" s="776"/>
      <c r="N28" s="272">
        <v>400</v>
      </c>
      <c r="O28" s="44">
        <v>741790</v>
      </c>
      <c r="P28" s="44">
        <v>1034760</v>
      </c>
    </row>
    <row r="29" spans="1:30" ht="20.100000000000001" customHeight="1">
      <c r="E29" s="2">
        <v>900</v>
      </c>
      <c r="F29" s="2">
        <v>0</v>
      </c>
      <c r="G29" s="2">
        <f t="shared" si="10"/>
        <v>0</v>
      </c>
      <c r="M29" s="776"/>
      <c r="N29" s="272">
        <v>500</v>
      </c>
      <c r="O29" s="44">
        <v>832870</v>
      </c>
      <c r="P29" s="44">
        <v>1135450</v>
      </c>
    </row>
    <row r="30" spans="1:30" ht="20.100000000000001" customHeight="1">
      <c r="M30" s="776"/>
      <c r="N30" s="272">
        <v>600</v>
      </c>
      <c r="O30" s="44">
        <v>935280</v>
      </c>
      <c r="P30" s="44">
        <v>1259740</v>
      </c>
    </row>
    <row r="31" spans="1:30" ht="20.100000000000001" customHeight="1">
      <c r="L31" s="9"/>
      <c r="M31" s="776"/>
      <c r="N31" s="272">
        <v>700</v>
      </c>
      <c r="O31" s="44">
        <v>1047990</v>
      </c>
      <c r="P31" s="44">
        <v>1381800</v>
      </c>
    </row>
    <row r="32" spans="1:30" ht="20.100000000000001" customHeight="1">
      <c r="L32" s="29"/>
      <c r="M32" s="776"/>
      <c r="N32" s="272">
        <v>800</v>
      </c>
      <c r="O32" s="44">
        <v>1165550</v>
      </c>
      <c r="P32" s="44">
        <v>1509040</v>
      </c>
    </row>
    <row r="33" spans="12:16" ht="20.100000000000001" customHeight="1">
      <c r="L33" s="45"/>
      <c r="M33" s="776"/>
      <c r="N33" s="272">
        <v>900</v>
      </c>
      <c r="O33" s="44">
        <v>1261160</v>
      </c>
      <c r="P33" s="44">
        <v>1614280</v>
      </c>
    </row>
    <row r="34" spans="12:16" ht="20.100000000000001" customHeight="1">
      <c r="L34" s="45"/>
      <c r="M34" s="776"/>
      <c r="N34" s="272">
        <v>1000</v>
      </c>
      <c r="O34" s="44">
        <v>1429210</v>
      </c>
      <c r="P34" s="44">
        <v>1792030</v>
      </c>
    </row>
    <row r="35" spans="12:16" ht="20.100000000000001" customHeight="1">
      <c r="L35" s="35"/>
      <c r="M35" s="776"/>
      <c r="N35" s="272">
        <v>1200</v>
      </c>
      <c r="O35" s="44">
        <v>1706750</v>
      </c>
      <c r="P35" s="44">
        <v>2100160</v>
      </c>
    </row>
    <row r="36" spans="12:16" ht="20.100000000000001" customHeight="1">
      <c r="L36" s="35"/>
      <c r="M36" s="776" t="s">
        <v>519</v>
      </c>
      <c r="N36" s="272" t="s">
        <v>79</v>
      </c>
      <c r="O36" s="44">
        <v>2170280</v>
      </c>
      <c r="P36" s="44">
        <v>2460500</v>
      </c>
    </row>
    <row r="37" spans="12:16" ht="20.100000000000001" customHeight="1">
      <c r="L37" s="36"/>
      <c r="M37" s="776"/>
      <c r="N37" s="272" t="s">
        <v>80</v>
      </c>
      <c r="O37" s="44">
        <v>2342490</v>
      </c>
      <c r="P37" s="44">
        <v>2632710</v>
      </c>
    </row>
    <row r="38" spans="12:16" ht="20.100000000000001" customHeight="1">
      <c r="L38" s="35"/>
      <c r="M38" s="776"/>
      <c r="N38" s="272" t="s">
        <v>81</v>
      </c>
      <c r="O38" s="44">
        <v>2386000</v>
      </c>
      <c r="P38" s="44">
        <v>2676210</v>
      </c>
    </row>
    <row r="39" spans="12:16" ht="20.100000000000001" customHeight="1">
      <c r="L39" s="35"/>
      <c r="M39" s="776"/>
      <c r="N39" s="272" t="s">
        <v>82</v>
      </c>
      <c r="O39" s="44">
        <v>2448100</v>
      </c>
      <c r="P39" s="44">
        <v>2798670</v>
      </c>
    </row>
    <row r="40" spans="12:16" ht="20.100000000000001" customHeight="1">
      <c r="L40" s="35"/>
      <c r="M40" s="776"/>
      <c r="N40" s="272" t="s">
        <v>83</v>
      </c>
      <c r="O40" s="44">
        <v>2638680</v>
      </c>
      <c r="P40" s="44">
        <v>2989240</v>
      </c>
    </row>
    <row r="41" spans="12:16" ht="20.100000000000001" customHeight="1">
      <c r="L41" s="35"/>
      <c r="M41" s="776"/>
      <c r="N41" s="272" t="s">
        <v>84</v>
      </c>
      <c r="O41" s="44">
        <v>2902880</v>
      </c>
      <c r="P41" s="44">
        <v>3253450</v>
      </c>
    </row>
    <row r="42" spans="12:16" ht="20.100000000000001" customHeight="1">
      <c r="L42" s="35"/>
      <c r="M42" s="776"/>
      <c r="N42" s="272" t="s">
        <v>85</v>
      </c>
      <c r="O42" s="44">
        <v>3126030</v>
      </c>
      <c r="P42" s="44">
        <v>3476590</v>
      </c>
    </row>
    <row r="43" spans="12:16" ht="20.100000000000001" customHeight="1">
      <c r="L43" s="35"/>
      <c r="M43" s="776"/>
      <c r="N43" s="272" t="s">
        <v>86</v>
      </c>
      <c r="O43" s="44">
        <v>3127790</v>
      </c>
      <c r="P43" s="44">
        <v>3478350</v>
      </c>
    </row>
    <row r="44" spans="12:16" ht="20.100000000000001" customHeight="1">
      <c r="L44" s="35"/>
      <c r="M44" s="776"/>
      <c r="N44" s="272" t="s">
        <v>87</v>
      </c>
      <c r="O44" s="44">
        <v>3624820</v>
      </c>
      <c r="P44" s="44">
        <v>3975390</v>
      </c>
    </row>
    <row r="45" spans="12:16" ht="20.100000000000001" customHeight="1">
      <c r="L45" s="35"/>
      <c r="M45" s="776"/>
      <c r="N45" s="272" t="s">
        <v>88</v>
      </c>
      <c r="O45" s="44">
        <v>3871160</v>
      </c>
      <c r="P45" s="44">
        <v>4402590</v>
      </c>
    </row>
    <row r="46" spans="12:16" ht="20.100000000000001" customHeight="1">
      <c r="L46" s="36"/>
      <c r="M46" s="776"/>
      <c r="N46" s="272" t="s">
        <v>89</v>
      </c>
      <c r="O46" s="44">
        <v>4243270</v>
      </c>
      <c r="P46" s="44">
        <v>4774710</v>
      </c>
    </row>
    <row r="47" spans="12:16" ht="20.100000000000001" customHeight="1">
      <c r="L47" s="9"/>
      <c r="M47" s="776"/>
      <c r="N47" s="272" t="s">
        <v>90</v>
      </c>
      <c r="O47" s="44">
        <v>4952980</v>
      </c>
      <c r="P47" s="44">
        <v>5484420</v>
      </c>
    </row>
    <row r="48" spans="12:16" ht="20.100000000000001" customHeight="1">
      <c r="L48" s="37"/>
      <c r="M48" s="776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76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76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76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  <mergeCell ref="B21:C21"/>
    <mergeCell ref="T23:U23"/>
    <mergeCell ref="J7:K7"/>
    <mergeCell ref="A9:A21"/>
    <mergeCell ref="S9:S10"/>
    <mergeCell ref="T9:T10"/>
    <mergeCell ref="U9:U10"/>
    <mergeCell ref="M26:M35"/>
    <mergeCell ref="M36:M51"/>
    <mergeCell ref="X9:Y9"/>
    <mergeCell ref="Z9:AA9"/>
    <mergeCell ref="AB9:AC9"/>
    <mergeCell ref="S11:S23"/>
    <mergeCell ref="M16:M25"/>
    <mergeCell ref="V9:W9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>
      <selection activeCell="L20" sqref="L20"/>
    </sheetView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1068</v>
      </c>
    </row>
    <row r="2" spans="1:8" ht="20.100000000000001" customHeight="1">
      <c r="A2" s="1" t="s">
        <v>255</v>
      </c>
    </row>
    <row r="3" spans="1:8" ht="20.100000000000001" customHeight="1">
      <c r="A3" s="1"/>
      <c r="H3" s="3" t="s">
        <v>190</v>
      </c>
    </row>
    <row r="4" spans="1:8" ht="20.100000000000001" customHeight="1">
      <c r="A4" s="744" t="s">
        <v>176</v>
      </c>
      <c r="B4" s="745"/>
      <c r="C4" s="746"/>
      <c r="D4" s="79" t="s">
        <v>95</v>
      </c>
      <c r="E4" s="80" t="s">
        <v>186</v>
      </c>
      <c r="F4" s="80" t="s">
        <v>187</v>
      </c>
      <c r="G4" s="80" t="s">
        <v>188</v>
      </c>
      <c r="H4" s="81" t="s">
        <v>189</v>
      </c>
    </row>
    <row r="5" spans="1:8" ht="20.100000000000001" customHeight="1">
      <c r="A5" s="771" t="s">
        <v>193</v>
      </c>
      <c r="B5" s="769" t="s">
        <v>180</v>
      </c>
      <c r="C5" s="92" t="s">
        <v>181</v>
      </c>
      <c r="D5" s="446">
        <f t="shared" ref="D5:D19" si="0">SUM(E5:H5)</f>
        <v>0</v>
      </c>
      <c r="E5" s="447">
        <v>0</v>
      </c>
      <c r="F5" s="447">
        <f>+'1.2.4 오수간선및차집관로 교체및보수'!C56</f>
        <v>0</v>
      </c>
      <c r="G5" s="447">
        <f>+'1.2.4 오수간선및차집관로 교체및보수'!D56</f>
        <v>0</v>
      </c>
      <c r="H5" s="448">
        <f>+'1.2.4 오수간선및차집관로 교체및보수'!E56</f>
        <v>0</v>
      </c>
    </row>
    <row r="6" spans="1:8" ht="20.100000000000001" customHeight="1">
      <c r="A6" s="772"/>
      <c r="B6" s="769"/>
      <c r="C6" s="92" t="s">
        <v>182</v>
      </c>
      <c r="D6" s="446">
        <f t="shared" si="0"/>
        <v>0</v>
      </c>
      <c r="E6" s="447">
        <v>0</v>
      </c>
      <c r="F6" s="447">
        <f>+'1.2.4 오수간선및차집관로 교체및보수'!C57</f>
        <v>0</v>
      </c>
      <c r="G6" s="447">
        <f>+'1.2.4 오수간선및차집관로 교체및보수'!D57</f>
        <v>0</v>
      </c>
      <c r="H6" s="448">
        <f>+'1.2.4 오수간선및차집관로 교체및보수'!E57</f>
        <v>0</v>
      </c>
    </row>
    <row r="7" spans="1:8" ht="20.100000000000001" customHeight="1">
      <c r="A7" s="772"/>
      <c r="B7" s="769"/>
      <c r="C7" s="92" t="s">
        <v>95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191</v>
      </c>
      <c r="B8" s="769" t="s">
        <v>183</v>
      </c>
      <c r="C8" s="770"/>
      <c r="D8" s="446">
        <f t="shared" si="0"/>
        <v>9355</v>
      </c>
      <c r="E8" s="447">
        <f>+'1.2.5 오수관로신설'!B55</f>
        <v>5837</v>
      </c>
      <c r="F8" s="447">
        <f>+'1.2.5 오수관로신설'!C55</f>
        <v>3518</v>
      </c>
      <c r="G8" s="447">
        <f>+'1.2.5 오수관로신설'!D55</f>
        <v>0</v>
      </c>
      <c r="H8" s="448">
        <f>+'1.2.5 오수관로신설'!E55</f>
        <v>0</v>
      </c>
    </row>
    <row r="9" spans="1:8" ht="20.100000000000001" customHeight="1">
      <c r="A9" s="772"/>
      <c r="B9" s="769" t="s">
        <v>180</v>
      </c>
      <c r="C9" s="92" t="s">
        <v>181</v>
      </c>
      <c r="D9" s="446">
        <f t="shared" si="0"/>
        <v>435</v>
      </c>
      <c r="E9" s="447">
        <f>+'1.2.6 오수관로 교체및보수'!B57</f>
        <v>0</v>
      </c>
      <c r="F9" s="447">
        <f>+'1.2.6 오수관로 교체및보수'!C57</f>
        <v>435</v>
      </c>
      <c r="G9" s="447">
        <f>+'1.2.6 오수관로 교체및보수'!D57</f>
        <v>0</v>
      </c>
      <c r="H9" s="448">
        <f>+'1.2.6 오수관로 교체및보수'!E57</f>
        <v>0</v>
      </c>
    </row>
    <row r="10" spans="1:8" ht="20.100000000000001" customHeight="1">
      <c r="A10" s="772"/>
      <c r="B10" s="769"/>
      <c r="C10" s="92" t="s">
        <v>182</v>
      </c>
      <c r="D10" s="446">
        <f t="shared" si="0"/>
        <v>2064</v>
      </c>
      <c r="E10" s="447">
        <f>+'1.2.6 오수관로 교체및보수'!B58</f>
        <v>0</v>
      </c>
      <c r="F10" s="447">
        <f>+'1.2.6 오수관로 교체및보수'!C58</f>
        <v>2064</v>
      </c>
      <c r="G10" s="447">
        <f>+'1.2.6 오수관로 교체및보수'!D58</f>
        <v>0</v>
      </c>
      <c r="H10" s="448">
        <f>+'1.2.6 오수관로 교체및보수'!E58</f>
        <v>0</v>
      </c>
    </row>
    <row r="11" spans="1:8" ht="20.100000000000001" customHeight="1">
      <c r="A11" s="772"/>
      <c r="B11" s="769"/>
      <c r="C11" s="92" t="s">
        <v>95</v>
      </c>
      <c r="D11" s="446">
        <f t="shared" si="0"/>
        <v>2499</v>
      </c>
      <c r="E11" s="447">
        <f>SUM(E9:E10)</f>
        <v>0</v>
      </c>
      <c r="F11" s="447">
        <f>SUM(F9:F10)</f>
        <v>2499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192</v>
      </c>
      <c r="B12" s="769" t="s">
        <v>183</v>
      </c>
      <c r="C12" s="770"/>
      <c r="D12" s="446">
        <f t="shared" si="0"/>
        <v>1108</v>
      </c>
      <c r="E12" s="447">
        <f>'1.2.7 우수관로신설'!B56</f>
        <v>1108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180</v>
      </c>
      <c r="C13" s="92" t="s">
        <v>181</v>
      </c>
      <c r="D13" s="446">
        <f t="shared" si="0"/>
        <v>5426</v>
      </c>
      <c r="E13" s="447">
        <f>+'1.2.8 우수관로 교체 및 보수'!B48</f>
        <v>1047</v>
      </c>
      <c r="F13" s="447">
        <f>+'1.2.8 우수관로 교체 및 보수'!C48</f>
        <v>2344</v>
      </c>
      <c r="G13" s="447">
        <f>+'1.2.8 우수관로 교체 및 보수'!D48</f>
        <v>2035</v>
      </c>
      <c r="H13" s="448">
        <f>+'1.2.8 우수관로 교체 및 보수'!E48</f>
        <v>0</v>
      </c>
    </row>
    <row r="14" spans="1:8" ht="20.100000000000001" customHeight="1">
      <c r="A14" s="772"/>
      <c r="B14" s="769"/>
      <c r="C14" s="92" t="s">
        <v>182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92" t="s">
        <v>95</v>
      </c>
      <c r="D15" s="446">
        <f t="shared" si="0"/>
        <v>5426</v>
      </c>
      <c r="E15" s="447">
        <f>SUM(E13:E14)</f>
        <v>1047</v>
      </c>
      <c r="F15" s="447">
        <f>SUM(F13:F14)</f>
        <v>2344</v>
      </c>
      <c r="G15" s="447">
        <f>SUM(G13:G14)</f>
        <v>2035</v>
      </c>
      <c r="H15" s="448">
        <f>SUM(H13:H14)</f>
        <v>0</v>
      </c>
    </row>
    <row r="16" spans="1:8" ht="20.100000000000001" customHeight="1">
      <c r="A16" s="773" t="s">
        <v>177</v>
      </c>
      <c r="B16" s="774" t="s">
        <v>178</v>
      </c>
      <c r="C16" s="775"/>
      <c r="D16" s="449">
        <f>SUM(E16:H16)</f>
        <v>0</v>
      </c>
      <c r="E16" s="450">
        <f>+'1.2.2 공공하수처리시설 신증설'!B56</f>
        <v>0</v>
      </c>
      <c r="F16" s="450">
        <f>+'1.2.2 공공하수처리시설 신증설'!C56</f>
        <v>0</v>
      </c>
      <c r="G16" s="450">
        <f>+'1.2.2 공공하수처리시설 신증설'!D56</f>
        <v>0</v>
      </c>
      <c r="H16" s="451">
        <f>+'1.2.2 공공하수처리시설 신증설'!E56</f>
        <v>0</v>
      </c>
    </row>
    <row r="17" spans="1:8" ht="20.100000000000001" customHeight="1">
      <c r="A17" s="772"/>
      <c r="B17" s="769" t="s">
        <v>179</v>
      </c>
      <c r="C17" s="770"/>
      <c r="D17" s="446">
        <f>SUM(E17:H17)</f>
        <v>0</v>
      </c>
      <c r="E17" s="447">
        <f>+'1.2.3 공공하수처리시설 기능정상화'!B56</f>
        <v>0</v>
      </c>
      <c r="F17" s="447">
        <f>+'1.2.3 공공하수처리시설 기능정상화'!C56</f>
        <v>0</v>
      </c>
      <c r="G17" s="447">
        <f>+'1.2.3 공공하수처리시설 기능정상화'!D56</f>
        <v>0</v>
      </c>
      <c r="H17" s="448">
        <f>+'1.2.3 공공하수처리시설 기능정상화'!E56</f>
        <v>0</v>
      </c>
    </row>
    <row r="18" spans="1:8" ht="20.100000000000001" customHeight="1">
      <c r="A18" s="84" t="s">
        <v>184</v>
      </c>
      <c r="B18" s="747" t="s">
        <v>919</v>
      </c>
      <c r="C18" s="765"/>
      <c r="D18" s="446">
        <f t="shared" si="0"/>
        <v>0</v>
      </c>
      <c r="E18" s="447">
        <f>'1.2.9 하수저류시설'!B55</f>
        <v>0</v>
      </c>
      <c r="F18" s="447">
        <f>+'1.2.9 하수저류시설'!C55</f>
        <v>0</v>
      </c>
      <c r="G18" s="447">
        <f>+'1.2.9 하수저류시설'!D55</f>
        <v>0</v>
      </c>
      <c r="H18" s="448">
        <f>+'1.2.9 하수저류시설'!E55</f>
        <v>0</v>
      </c>
    </row>
    <row r="19" spans="1:8" ht="20.100000000000001" customHeight="1">
      <c r="A19" s="766" t="s">
        <v>95</v>
      </c>
      <c r="B19" s="767"/>
      <c r="C19" s="768"/>
      <c r="D19" s="452">
        <f t="shared" si="0"/>
        <v>18388</v>
      </c>
      <c r="E19" s="453">
        <f>+E16+E17+E7+E8+E11+E12+E15+E18</f>
        <v>7992</v>
      </c>
      <c r="F19" s="453">
        <f>+F16+F17+F7+F8+F11+F12+F15+F18</f>
        <v>8361</v>
      </c>
      <c r="G19" s="453">
        <f>+G16+G17+G7+G8+G11+G12+G15+G18</f>
        <v>2035</v>
      </c>
      <c r="H19" s="454">
        <f>+H16+H17+H7+H8+H11+H12+H15+H18</f>
        <v>0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B18:C18"/>
    <mergeCell ref="A19:C19"/>
    <mergeCell ref="A4:C4"/>
    <mergeCell ref="B17:C17"/>
    <mergeCell ref="A8:A11"/>
    <mergeCell ref="B8:C8"/>
    <mergeCell ref="B9:B11"/>
    <mergeCell ref="A12:A15"/>
    <mergeCell ref="B12:C12"/>
    <mergeCell ref="B13:B15"/>
    <mergeCell ref="B5:B7"/>
    <mergeCell ref="A16:A17"/>
    <mergeCell ref="A5:A7"/>
    <mergeCell ref="B16:C16"/>
  </mergeCells>
  <phoneticPr fontId="4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491</v>
      </c>
      <c r="N5" s="272" t="s">
        <v>223</v>
      </c>
      <c r="O5" s="44">
        <v>142417</v>
      </c>
      <c r="P5" s="81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182035</v>
      </c>
      <c r="P6" s="81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14"/>
      <c r="N7" s="272" t="s">
        <v>225</v>
      </c>
      <c r="O7" s="44">
        <v>220784</v>
      </c>
      <c r="P7" s="81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707</v>
      </c>
      <c r="B8" s="152" t="s">
        <v>528</v>
      </c>
      <c r="C8" s="153">
        <f>X38</f>
        <v>458970</v>
      </c>
      <c r="D8" s="139">
        <v>0</v>
      </c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14"/>
      <c r="N8" s="272" t="s">
        <v>226</v>
      </c>
      <c r="O8" s="44">
        <v>257397</v>
      </c>
      <c r="P8" s="81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3">
        <f t="shared" ref="C9:C17" si="4">X40</f>
        <v>553056</v>
      </c>
      <c r="D9" s="139">
        <v>0</v>
      </c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14"/>
      <c r="N9" s="272" t="s">
        <v>227</v>
      </c>
      <c r="O9" s="44">
        <v>316310</v>
      </c>
      <c r="P9" s="81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3">
        <f t="shared" si="4"/>
        <v>625418</v>
      </c>
      <c r="D10" s="139">
        <v>0</v>
      </c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14"/>
      <c r="N10" s="272" t="s">
        <v>228</v>
      </c>
      <c r="O10" s="44">
        <v>382855</v>
      </c>
      <c r="P10" s="81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3">
        <f t="shared" si="4"/>
        <v>709106</v>
      </c>
      <c r="D11" s="139">
        <v>0</v>
      </c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14"/>
      <c r="N11" s="272" t="s">
        <v>229</v>
      </c>
      <c r="O11" s="44">
        <v>459144</v>
      </c>
      <c r="P11" s="81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3">
        <f t="shared" si="4"/>
        <v>801512</v>
      </c>
      <c r="D12" s="139">
        <v>0</v>
      </c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14"/>
      <c r="N12" s="272" t="s">
        <v>230</v>
      </c>
      <c r="O12" s="44">
        <v>543955</v>
      </c>
      <c r="P12" s="81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3">
        <f t="shared" si="4"/>
        <v>930783</v>
      </c>
      <c r="D13" s="139">
        <v>0</v>
      </c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14"/>
      <c r="N13" s="272" t="s">
        <v>231</v>
      </c>
      <c r="O13" s="44">
        <v>637524</v>
      </c>
      <c r="P13" s="81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3">
        <f t="shared" si="4"/>
        <v>1147661</v>
      </c>
      <c r="D14" s="139">
        <v>0</v>
      </c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14"/>
      <c r="N14" s="272" t="s">
        <v>232</v>
      </c>
      <c r="O14" s="44">
        <v>740257</v>
      </c>
      <c r="P14" s="81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14"/>
      <c r="N15" s="272" t="s">
        <v>233</v>
      </c>
      <c r="O15" s="44">
        <v>815662</v>
      </c>
      <c r="P15" s="81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14"/>
      <c r="N16" s="272"/>
      <c r="O16" s="44"/>
      <c r="P16" s="81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14"/>
      <c r="N17" s="272"/>
      <c r="O17" s="44"/>
      <c r="P17" s="81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15"/>
      <c r="N18" s="272"/>
      <c r="O18" s="44"/>
      <c r="P18" s="818"/>
      <c r="Q18" s="44">
        <f t="shared" si="0"/>
        <v>0</v>
      </c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1"/>
      <c r="B19" s="777" t="s">
        <v>406</v>
      </c>
      <c r="C19" s="778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530</v>
      </c>
      <c r="T34" s="835" t="s">
        <v>321</v>
      </c>
      <c r="U34" s="836"/>
      <c r="V34" s="836"/>
      <c r="W34" s="836"/>
      <c r="X34" s="836"/>
      <c r="Y34" s="837"/>
    </row>
    <row r="35" spans="12:36" ht="30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531</v>
      </c>
      <c r="T49" s="825" t="s">
        <v>338</v>
      </c>
      <c r="U49" s="826"/>
      <c r="V49" s="826"/>
      <c r="W49" s="826"/>
      <c r="X49" s="826"/>
      <c r="Y49" s="827"/>
    </row>
    <row r="50" spans="12:25" ht="30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533</v>
      </c>
      <c r="N5" s="272" t="s">
        <v>223</v>
      </c>
      <c r="O5" s="44">
        <v>415877</v>
      </c>
      <c r="P5" s="81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579329</v>
      </c>
      <c r="P6" s="81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14"/>
      <c r="N7" s="272" t="s">
        <v>225</v>
      </c>
      <c r="O7" s="44">
        <v>612315</v>
      </c>
      <c r="P7" s="81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707</v>
      </c>
      <c r="B8" s="155" t="s">
        <v>223</v>
      </c>
      <c r="C8" s="156">
        <f>ROUND(X53*$L$1,0)</f>
        <v>2384169</v>
      </c>
      <c r="D8" s="106">
        <v>0</v>
      </c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14"/>
      <c r="N8" s="272" t="s">
        <v>226</v>
      </c>
      <c r="O8" s="44">
        <v>757477</v>
      </c>
      <c r="P8" s="81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6">
        <f t="shared" ref="C9:C15" si="1">ROUND(X55*$L$1,0)</f>
        <v>3283700</v>
      </c>
      <c r="D9" s="139">
        <v>0</v>
      </c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14"/>
      <c r="N9" s="272" t="s">
        <v>227</v>
      </c>
      <c r="O9" s="44">
        <v>846044</v>
      </c>
      <c r="P9" s="81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6">
        <f t="shared" si="1"/>
        <v>3514948</v>
      </c>
      <c r="D10" s="139">
        <v>0</v>
      </c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14"/>
      <c r="N10" s="272" t="s">
        <v>228</v>
      </c>
      <c r="O10" s="44">
        <v>960369</v>
      </c>
      <c r="P10" s="81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6">
        <f t="shared" si="1"/>
        <v>3937907</v>
      </c>
      <c r="D11" s="139">
        <v>0</v>
      </c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14"/>
      <c r="N11" s="272" t="s">
        <v>229</v>
      </c>
      <c r="O11" s="44">
        <v>1086032</v>
      </c>
      <c r="P11" s="81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6">
        <f t="shared" si="1"/>
        <v>4425107</v>
      </c>
      <c r="D12" s="139">
        <v>0</v>
      </c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14"/>
      <c r="N12" s="272" t="s">
        <v>230</v>
      </c>
      <c r="O12" s="44">
        <v>1155632</v>
      </c>
      <c r="P12" s="81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6">
        <f t="shared" si="1"/>
        <v>4804222</v>
      </c>
      <c r="D13" s="139">
        <v>0</v>
      </c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14"/>
      <c r="N13" s="272" t="s">
        <v>230</v>
      </c>
      <c r="O13" s="44">
        <v>1155632</v>
      </c>
      <c r="P13" s="81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6">
        <f t="shared" si="1"/>
        <v>5530079</v>
      </c>
      <c r="D14" s="139">
        <v>0</v>
      </c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14"/>
      <c r="N14" s="272" t="s">
        <v>231</v>
      </c>
      <c r="O14" s="44">
        <v>1269088</v>
      </c>
      <c r="P14" s="81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6">
        <f t="shared" si="1"/>
        <v>6158657</v>
      </c>
      <c r="D15" s="139">
        <v>0</v>
      </c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14"/>
      <c r="N15" s="272" t="s">
        <v>232</v>
      </c>
      <c r="O15" s="44">
        <v>1370696</v>
      </c>
      <c r="P15" s="81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15"/>
      <c r="N16" s="272" t="s">
        <v>233</v>
      </c>
      <c r="O16" s="44">
        <v>1475229</v>
      </c>
      <c r="P16" s="81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1"/>
      <c r="B17" s="777" t="s">
        <v>95</v>
      </c>
      <c r="C17" s="778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E19" s="13">
        <f>+'나.전체보수(금왕-간선)'!E19+'다.부분보수(금왕-간선)'!E17</f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20.100000000000001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20.100000000000001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3" t="s">
        <v>435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840"/>
      <c r="B7" s="841"/>
      <c r="C7" s="316" t="s">
        <v>535</v>
      </c>
      <c r="D7" s="317" t="s">
        <v>452</v>
      </c>
      <c r="E7" s="318" t="s">
        <v>535</v>
      </c>
      <c r="F7" s="317" t="s">
        <v>452</v>
      </c>
      <c r="G7" s="318" t="s">
        <v>535</v>
      </c>
      <c r="H7" s="317" t="s">
        <v>452</v>
      </c>
      <c r="I7" s="318" t="s">
        <v>535</v>
      </c>
      <c r="J7" s="319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361" t="s">
        <v>561</v>
      </c>
      <c r="B8" s="362">
        <v>5500753</v>
      </c>
      <c r="C8" s="359">
        <v>1</v>
      </c>
      <c r="D8" s="353">
        <f>+ROUND($B8*C8/1000000,0)</f>
        <v>6</v>
      </c>
      <c r="E8" s="354">
        <v>1</v>
      </c>
      <c r="F8" s="353">
        <f>+ROUND($B8*E8/1000000,0)</f>
        <v>6</v>
      </c>
      <c r="G8" s="354"/>
      <c r="H8" s="355"/>
      <c r="I8" s="354"/>
      <c r="J8" s="356"/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349" t="s">
        <v>564</v>
      </c>
      <c r="B9" s="363">
        <v>576917</v>
      </c>
      <c r="C9" s="360">
        <v>1</v>
      </c>
      <c r="D9" s="331">
        <f>+ROUND($B9*C9/1000000,0)</f>
        <v>1</v>
      </c>
      <c r="E9" s="357">
        <v>1</v>
      </c>
      <c r="F9" s="331">
        <f>+ROUND($B9*E9/1000000,0)</f>
        <v>1</v>
      </c>
      <c r="G9" s="357"/>
      <c r="H9" s="346"/>
      <c r="I9" s="357"/>
      <c r="J9" s="358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349" t="s">
        <v>570</v>
      </c>
      <c r="B10" s="363">
        <v>223017</v>
      </c>
      <c r="C10" s="360">
        <v>1</v>
      </c>
      <c r="D10" s="331">
        <f>+ROUND($B10*C10/1000000,0)</f>
        <v>0</v>
      </c>
      <c r="E10" s="357">
        <v>1</v>
      </c>
      <c r="F10" s="331">
        <f>+ROUND($B10*E10/1000000,0)</f>
        <v>0</v>
      </c>
      <c r="G10" s="357"/>
      <c r="H10" s="346"/>
      <c r="I10" s="357"/>
      <c r="J10" s="358"/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349" t="s">
        <v>573</v>
      </c>
      <c r="B11" s="363">
        <v>6000</v>
      </c>
      <c r="C11" s="360">
        <v>1</v>
      </c>
      <c r="D11" s="331">
        <f>+ROUND($B11*C11/1000000,0)</f>
        <v>0</v>
      </c>
      <c r="E11" s="357">
        <v>1</v>
      </c>
      <c r="F11" s="331">
        <f>+ROUND($B11*E11/1000000,0)</f>
        <v>0</v>
      </c>
      <c r="G11" s="357"/>
      <c r="H11" s="346"/>
      <c r="I11" s="357"/>
      <c r="J11" s="358"/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351" t="s">
        <v>406</v>
      </c>
      <c r="B12" s="335"/>
      <c r="C12" s="339"/>
      <c r="D12" s="334"/>
      <c r="E12" s="334"/>
      <c r="F12" s="334"/>
      <c r="G12" s="334">
        <f>SUM(G8:G11)</f>
        <v>0</v>
      </c>
      <c r="H12" s="334">
        <f>SUM(H8:H11)</f>
        <v>0</v>
      </c>
      <c r="I12" s="334">
        <f>SUM(I8:I11)</f>
        <v>0</v>
      </c>
      <c r="J12" s="335">
        <f>SUM(J8:J11)</f>
        <v>0</v>
      </c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3" t="s">
        <v>587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84"/>
      <c r="B7" s="788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708</v>
      </c>
      <c r="B8" s="156">
        <v>54718426</v>
      </c>
      <c r="C8" s="106">
        <v>1</v>
      </c>
      <c r="D8" s="101">
        <f>+ROUND($B8*C8/1000000,0)</f>
        <v>55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>
        <v>0</v>
      </c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709</v>
      </c>
      <c r="B10" s="153">
        <v>2399000000</v>
      </c>
      <c r="C10" s="139">
        <v>0</v>
      </c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/>
      <c r="D11" s="164"/>
      <c r="E11" s="164">
        <f t="shared" ref="E11:J11" si="1">SUM(E8:E10)</f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+'가.관로신설(금왕-오수지선)'!E26</f>
        <v>16313</v>
      </c>
      <c r="C5" s="101">
        <f>+'가.관로신설(금왕-오수지선)'!G26</f>
        <v>4899</v>
      </c>
      <c r="D5" s="101">
        <f>+'가.관로신설(금왕-오수지선)'!I26</f>
        <v>0</v>
      </c>
      <c r="E5" s="101">
        <f>+'가.관로신설(금왕-오수지선)'!K26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+'나.배수설비(금왕)'!E23</f>
        <v>1440</v>
      </c>
      <c r="C6" s="94">
        <f>+'나.배수설비(금왕)'!G23</f>
        <v>32</v>
      </c>
      <c r="D6" s="94">
        <f>+'나.배수설비(금왕)'!I23</f>
        <v>0</v>
      </c>
      <c r="E6" s="94">
        <f>+'나.배수설비(금왕)'!K23</f>
        <v>0</v>
      </c>
      <c r="F6" s="95"/>
      <c r="G6" s="5"/>
      <c r="H6" s="7" t="s">
        <v>594</v>
      </c>
      <c r="I6" s="70" t="e">
        <f>('가.관로신설(금왕-오수지선)'!#REF!+'나.배수설비(금왕)'!E18/'나.배수설비(금왕)'!D18+'다.맨홀펌프장(금왕)'!#REF!)/'1.3.5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+'다.맨홀펌프장(금왕)'!D21</f>
        <v>1559</v>
      </c>
      <c r="C7" s="96">
        <f>+'다.맨홀펌프장(금왕)'!F21</f>
        <v>0</v>
      </c>
      <c r="D7" s="96">
        <f>+'다.맨홀펌프장(금왕)'!H21</f>
        <v>0</v>
      </c>
      <c r="E7" s="96">
        <f>+'다.맨홀펌프장(금왕)'!J21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19312</v>
      </c>
      <c r="C8" s="97">
        <f>SUM(C5:C7)</f>
        <v>4931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19312</v>
      </c>
      <c r="C13" s="117">
        <f>+C8</f>
        <v>4931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10000</v>
      </c>
      <c r="C14" s="118">
        <f>IFERROR(INDEX($H$17:$L$33,MATCH(C13,$H$17:$H$33,1),1),0)</f>
        <v>3000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20000</v>
      </c>
      <c r="C15" s="118">
        <f>IFERROR(INDEX($H$17:$L$33,MATCH(C13,$H$17:$H$33,1)+1,1),0)</f>
        <v>5000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4.5199999999999997E-2</v>
      </c>
      <c r="C16" s="141">
        <f>IFERROR(INDEX($H$17:$L$33,MATCH(C13,$H$17:$H$33,1),2)+INDEX($H$17:$L$33,MATCH(C13,$H$17:$H$33,1),3),0)</f>
        <v>4.7200000000000006E-2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4.3700000000000003E-2</v>
      </c>
      <c r="C17" s="141">
        <f>IFERROR(INDEX($H$17:$L$33,MATCH(C13,$H$17:$H$33,1)+1,2)+INDEX($H$17:$L$33,MATCH(C13,$H$17:$H$33,1)+1,3),0)</f>
        <v>4.6299999999999994E-2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4.38032E-2</v>
      </c>
      <c r="C18" s="141">
        <f>IFERROR(C16+((C17-C16)/(C15-C14))*(C13-C14),0)</f>
        <v>4.6331049999999992E-2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846</v>
      </c>
      <c r="C19" s="108">
        <f>+ROUND(C13*C18,0)</f>
        <v>228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19312</v>
      </c>
      <c r="C24" s="115">
        <f>+C13</f>
        <v>4931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96">
        <f>I35</f>
        <v>10000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J35</f>
        <v>20000</v>
      </c>
      <c r="C26" s="96">
        <f>I35</f>
        <v>10000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74">
        <f>I36</f>
        <v>9.3699999999999992E-2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J36</f>
        <v>7.4999999999999997E-2</v>
      </c>
      <c r="C28" s="174">
        <f>I36</f>
        <v>9.3699999999999992E-2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B27+((B28-B27)/(B26-B25))*(B24-B25)</f>
        <v>7.6286560000000003E-2</v>
      </c>
      <c r="C29" s="174">
        <f>I36</f>
        <v>9.3699999999999992E-2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1473</v>
      </c>
      <c r="C30" s="97">
        <f>+ROUND(C24*C29,0)</f>
        <v>462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19312</v>
      </c>
      <c r="C40" s="115">
        <f>+C13</f>
        <v>4931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10000</v>
      </c>
      <c r="C41" s="118">
        <f>IFERROR(INDEX($H$17:$L$33,MATCH(C8,$H$17:$H$33,1),1),0)</f>
        <v>3000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20000</v>
      </c>
      <c r="C42" s="118">
        <f>IFERROR(INDEX($H$17:$L$33,MATCH(C8,$H$17:$H$33,1)+1,1),0)</f>
        <v>5000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2.5000000000000001E-3</v>
      </c>
      <c r="C43" s="141">
        <f>IFERROR(INDEX($H$17:$L$33,MATCH(C8,$H$17:$H$33,1),5),0)</f>
        <v>3.5999999999999999E-3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2.3E-3</v>
      </c>
      <c r="C44" s="141">
        <f>IFERROR(INDEX($H$17:$L$33,MATCH(C8,$H$17:$H$33,1)+1,5),0)</f>
        <v>2.7000000000000001E-3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2.3137599999999998E-3</v>
      </c>
      <c r="C45" s="141">
        <f>IFERROR(C43+((C44-C43)/(C42-C41))*(C40-C41),0)</f>
        <v>2.7310500000000001E-3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45</v>
      </c>
      <c r="C46" s="97">
        <f>+ROUND(C40*C45,0)</f>
        <v>13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19312</v>
      </c>
      <c r="C51" s="126">
        <f>+C8</f>
        <v>4931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480</v>
      </c>
      <c r="B52" s="129">
        <f>+B19</f>
        <v>846</v>
      </c>
      <c r="C52" s="121">
        <f>+C19</f>
        <v>228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475</v>
      </c>
      <c r="B53" s="129">
        <f>+B30</f>
        <v>1473</v>
      </c>
      <c r="C53" s="121">
        <f>+C30</f>
        <v>462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45</v>
      </c>
      <c r="C54" s="121">
        <f>+C46</f>
        <v>13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21676</v>
      </c>
      <c r="C55" s="123">
        <f>SUM(C51:C54)</f>
        <v>5634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703</v>
      </c>
      <c r="B1" s="1"/>
      <c r="C1" s="1"/>
      <c r="D1" s="1"/>
    </row>
    <row r="2" spans="1:20" ht="20.100000000000001" customHeight="1">
      <c r="A2" s="2" t="s">
        <v>509</v>
      </c>
    </row>
    <row r="3" spans="1:20" ht="20.100000000000001" customHeight="1">
      <c r="A3" s="40" t="s">
        <v>1060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Q3" s="844" t="s">
        <v>64</v>
      </c>
      <c r="R3" s="776" t="s">
        <v>511</v>
      </c>
      <c r="S3" s="776" t="s">
        <v>66</v>
      </c>
      <c r="T3" s="776"/>
    </row>
    <row r="4" spans="1:20" ht="20.100000000000001" customHeight="1">
      <c r="A4" s="40" t="s">
        <v>704</v>
      </c>
      <c r="B4" s="40"/>
      <c r="C4" s="40"/>
      <c r="D4" s="40"/>
      <c r="M4" s="776"/>
      <c r="N4" s="776"/>
      <c r="O4" s="272" t="s">
        <v>67</v>
      </c>
      <c r="P4" s="272" t="s">
        <v>68</v>
      </c>
      <c r="Q4" s="844"/>
      <c r="R4" s="776"/>
      <c r="S4" s="272" t="s">
        <v>67</v>
      </c>
      <c r="T4" s="272" t="s">
        <v>68</v>
      </c>
    </row>
    <row r="5" spans="1:20" ht="20.100000000000001" customHeight="1">
      <c r="A5" s="2" t="s">
        <v>431</v>
      </c>
      <c r="M5" s="169" t="s">
        <v>69</v>
      </c>
      <c r="N5" s="272">
        <v>300</v>
      </c>
      <c r="O5" s="44">
        <v>512740</v>
      </c>
      <c r="P5" s="44">
        <v>782541</v>
      </c>
      <c r="Q5" s="845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512</v>
      </c>
      <c r="M6" s="169"/>
      <c r="N6" s="272">
        <v>400</v>
      </c>
      <c r="O6" s="44">
        <v>580188</v>
      </c>
      <c r="P6" s="44">
        <v>859007</v>
      </c>
      <c r="Q6" s="846"/>
      <c r="R6" s="272">
        <v>100</v>
      </c>
      <c r="S6" s="44">
        <v>102960</v>
      </c>
      <c r="T6" s="44">
        <v>323665</v>
      </c>
    </row>
    <row r="7" spans="1:20" ht="20.100000000000001" customHeight="1">
      <c r="A7" s="783" t="s">
        <v>435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169"/>
      <c r="N7" s="272">
        <v>500</v>
      </c>
      <c r="O7" s="44">
        <v>624861</v>
      </c>
      <c r="P7" s="44">
        <v>912820</v>
      </c>
      <c r="Q7" s="846"/>
      <c r="R7" s="272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169"/>
      <c r="N8" s="272">
        <v>600</v>
      </c>
      <c r="O8" s="44">
        <v>705821</v>
      </c>
      <c r="P8" s="44">
        <v>1016585</v>
      </c>
      <c r="Q8" s="846"/>
      <c r="R8" s="272">
        <v>200</v>
      </c>
      <c r="S8" s="44">
        <v>172293</v>
      </c>
      <c r="T8" s="44">
        <v>405664</v>
      </c>
    </row>
    <row r="9" spans="1:20" ht="20.100000000000001" customHeight="1">
      <c r="A9" s="898" t="s">
        <v>708</v>
      </c>
      <c r="B9" s="152">
        <v>100</v>
      </c>
      <c r="C9" s="153">
        <f>T6</f>
        <v>323665</v>
      </c>
      <c r="D9" s="139">
        <v>1827</v>
      </c>
      <c r="E9" s="101">
        <f>+ROUND($C9*D9/1000000,0)</f>
        <v>591</v>
      </c>
      <c r="F9" s="94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6"/>
      <c r="R9" s="272">
        <v>300</v>
      </c>
      <c r="S9" s="44">
        <v>248738</v>
      </c>
      <c r="T9" s="44">
        <v>494561</v>
      </c>
    </row>
    <row r="10" spans="1:20" ht="20.100000000000001" customHeight="1">
      <c r="A10" s="849"/>
      <c r="B10" s="152">
        <v>200</v>
      </c>
      <c r="C10" s="153">
        <f>+P26</f>
        <v>737848</v>
      </c>
      <c r="D10" s="139">
        <v>7076</v>
      </c>
      <c r="E10" s="94">
        <f>+ROUND($C10*D10/1000000,0)</f>
        <v>5221</v>
      </c>
      <c r="F10" s="94">
        <v>1174</v>
      </c>
      <c r="G10" s="94">
        <f>+ROUND($C10*F10/1000000,0)</f>
        <v>866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6"/>
      <c r="R10" s="272">
        <v>400</v>
      </c>
      <c r="S10" s="44">
        <v>348039</v>
      </c>
      <c r="T10" s="44">
        <v>606519</v>
      </c>
    </row>
    <row r="11" spans="1:20" ht="20.100000000000001" customHeight="1">
      <c r="A11" s="849"/>
      <c r="B11" s="152">
        <v>300</v>
      </c>
      <c r="C11" s="153">
        <f>+P27</f>
        <v>794902</v>
      </c>
      <c r="D11" s="139">
        <v>2973</v>
      </c>
      <c r="E11" s="94">
        <f>+ROUND($C11*D11/1000000,0)</f>
        <v>2363</v>
      </c>
      <c r="F11" s="94"/>
      <c r="G11" s="94">
        <f>+ROUND($C11*F11/1000000,0)</f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6"/>
      <c r="R11" s="272">
        <v>500</v>
      </c>
      <c r="S11" s="44">
        <v>453129</v>
      </c>
      <c r="T11" s="44">
        <v>724142</v>
      </c>
    </row>
    <row r="12" spans="1:20" ht="20.100000000000001" customHeight="1">
      <c r="A12" s="849"/>
      <c r="B12" s="908" t="s">
        <v>1065</v>
      </c>
      <c r="C12" s="909"/>
      <c r="D12" s="139"/>
      <c r="E12" s="94"/>
      <c r="F12" s="94">
        <v>3238</v>
      </c>
      <c r="G12" s="94">
        <v>4033</v>
      </c>
      <c r="H12" s="94"/>
      <c r="I12" s="94"/>
      <c r="J12" s="94"/>
      <c r="K12" s="153"/>
      <c r="L12" s="9"/>
      <c r="M12" s="169"/>
      <c r="N12" s="272">
        <v>1000</v>
      </c>
      <c r="O12" s="44">
        <v>1051853</v>
      </c>
      <c r="P12" s="44">
        <v>1398649</v>
      </c>
      <c r="Q12" s="846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8"/>
      <c r="B13" s="152" t="s">
        <v>406</v>
      </c>
      <c r="C13" s="153"/>
      <c r="D13" s="139">
        <f>SUM(D9:D12)</f>
        <v>11876</v>
      </c>
      <c r="E13" s="94">
        <f t="shared" ref="E13:K13" si="0">SUM(E9:E12)</f>
        <v>8175</v>
      </c>
      <c r="F13" s="94">
        <f t="shared" si="0"/>
        <v>4412</v>
      </c>
      <c r="G13" s="94">
        <f t="shared" si="0"/>
        <v>4899</v>
      </c>
      <c r="H13" s="94">
        <f t="shared" si="0"/>
        <v>0</v>
      </c>
      <c r="I13" s="94">
        <f t="shared" si="0"/>
        <v>0</v>
      </c>
      <c r="J13" s="94">
        <f t="shared" si="0"/>
        <v>0</v>
      </c>
      <c r="K13" s="153">
        <f t="shared" si="0"/>
        <v>0</v>
      </c>
      <c r="L13" s="9"/>
      <c r="M13" s="169"/>
      <c r="N13" s="272">
        <v>1100</v>
      </c>
      <c r="O13" s="44">
        <v>1188358</v>
      </c>
      <c r="P13" s="44">
        <v>1557399</v>
      </c>
      <c r="Q13" s="846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0" t="s">
        <v>709</v>
      </c>
      <c r="B14" s="152">
        <v>50</v>
      </c>
      <c r="C14" s="153">
        <f>T5</f>
        <v>309684</v>
      </c>
      <c r="D14" s="139">
        <v>495</v>
      </c>
      <c r="E14" s="94">
        <f>+ROUND($C14*D14/1000000,0)</f>
        <v>153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7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9"/>
      <c r="B15" s="152">
        <v>80</v>
      </c>
      <c r="C15" s="153">
        <f>T5</f>
        <v>309684</v>
      </c>
      <c r="D15" s="139">
        <v>874</v>
      </c>
      <c r="E15" s="94">
        <f>+ROUND($C15*D15/1000000,0)</f>
        <v>271</v>
      </c>
      <c r="F15" s="94"/>
      <c r="G15" s="94">
        <f>+ROUND($C15*F15/1000000,0)</f>
        <v>0</v>
      </c>
      <c r="H15" s="94"/>
      <c r="I15" s="94"/>
      <c r="J15" s="94"/>
      <c r="K15" s="153"/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49"/>
      <c r="B16" s="152">
        <v>100</v>
      </c>
      <c r="C16" s="153">
        <f>T6</f>
        <v>323665</v>
      </c>
      <c r="D16" s="139">
        <v>586</v>
      </c>
      <c r="E16" s="94">
        <f>+ROUND($C16*D16/1000000,0)</f>
        <v>190</v>
      </c>
      <c r="F16" s="94"/>
      <c r="G16" s="94">
        <f>+ROUND($C16*F16/1000000,0)</f>
        <v>0</v>
      </c>
      <c r="H16" s="94"/>
      <c r="I16" s="94"/>
      <c r="J16" s="94"/>
      <c r="K16" s="153"/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849"/>
      <c r="B17" s="152">
        <v>200</v>
      </c>
      <c r="C17" s="153">
        <f>C10</f>
        <v>737848</v>
      </c>
      <c r="D17" s="139">
        <v>8478</v>
      </c>
      <c r="E17" s="94">
        <f>+ROUND($C17*D17/1000000,0)</f>
        <v>6255</v>
      </c>
      <c r="F17" s="94"/>
      <c r="G17" s="94">
        <f>+ROUND($C17*F17/1000000,0)</f>
        <v>0</v>
      </c>
      <c r="H17" s="94"/>
      <c r="I17" s="94">
        <f>+ROUND($C17*H17/1000000,0)</f>
        <v>0</v>
      </c>
      <c r="J17" s="94"/>
      <c r="K17" s="153">
        <f>+ROUND($C17*J17/1000000,0)</f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849"/>
      <c r="B18" s="152">
        <v>300</v>
      </c>
      <c r="C18" s="153">
        <f>C11</f>
        <v>794902</v>
      </c>
      <c r="D18" s="139">
        <v>1597</v>
      </c>
      <c r="E18" s="94">
        <f>+ROUND($C18*D18/1000000,0)</f>
        <v>1269</v>
      </c>
      <c r="F18" s="94"/>
      <c r="G18" s="94">
        <f>+ROUND($C18*F18/1000000,0)</f>
        <v>0</v>
      </c>
      <c r="H18" s="94"/>
      <c r="I18" s="94">
        <f>+ROUND($C18*H18/1000000,0)</f>
        <v>0</v>
      </c>
      <c r="J18" s="94"/>
      <c r="K18" s="153">
        <f>+ROUND($C18*J18/1000000,0)</f>
        <v>0</v>
      </c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848"/>
      <c r="B19" s="152" t="s">
        <v>406</v>
      </c>
      <c r="C19" s="153"/>
      <c r="D19" s="139">
        <f t="shared" ref="D19:K19" si="1">SUM(D14:D18)</f>
        <v>12030</v>
      </c>
      <c r="E19" s="94">
        <f t="shared" si="1"/>
        <v>8138</v>
      </c>
      <c r="F19" s="94">
        <f t="shared" si="1"/>
        <v>0</v>
      </c>
      <c r="G19" s="94">
        <f t="shared" si="1"/>
        <v>0</v>
      </c>
      <c r="H19" s="94">
        <f t="shared" si="1"/>
        <v>0</v>
      </c>
      <c r="I19" s="94">
        <f t="shared" si="1"/>
        <v>0</v>
      </c>
      <c r="J19" s="94">
        <f t="shared" si="1"/>
        <v>0</v>
      </c>
      <c r="K19" s="153">
        <f t="shared" si="1"/>
        <v>0</v>
      </c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840" t="s">
        <v>481</v>
      </c>
      <c r="B20" s="152">
        <v>50</v>
      </c>
      <c r="C20" s="153">
        <f>C14</f>
        <v>309684</v>
      </c>
      <c r="D20" s="139">
        <f>D14</f>
        <v>495</v>
      </c>
      <c r="E20" s="139">
        <f t="shared" ref="E20:G21" si="2">E14</f>
        <v>153</v>
      </c>
      <c r="F20" s="139">
        <f>F14</f>
        <v>0</v>
      </c>
      <c r="G20" s="139">
        <f t="shared" si="2"/>
        <v>0</v>
      </c>
      <c r="H20" s="139">
        <f t="shared" ref="H20:K21" si="3">H14</f>
        <v>0</v>
      </c>
      <c r="I20" s="139">
        <f t="shared" si="3"/>
        <v>0</v>
      </c>
      <c r="J20" s="139">
        <f t="shared" si="3"/>
        <v>0</v>
      </c>
      <c r="K20" s="139">
        <f t="shared" si="3"/>
        <v>0</v>
      </c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849"/>
      <c r="B21" s="152">
        <v>80</v>
      </c>
      <c r="C21" s="153">
        <f>C15</f>
        <v>309684</v>
      </c>
      <c r="D21" s="139">
        <f>D15</f>
        <v>874</v>
      </c>
      <c r="E21" s="139">
        <f t="shared" si="2"/>
        <v>271</v>
      </c>
      <c r="F21" s="139">
        <f>F15</f>
        <v>0</v>
      </c>
      <c r="G21" s="139">
        <f t="shared" si="2"/>
        <v>0</v>
      </c>
      <c r="H21" s="139">
        <f t="shared" si="3"/>
        <v>0</v>
      </c>
      <c r="I21" s="139">
        <f t="shared" si="3"/>
        <v>0</v>
      </c>
      <c r="J21" s="139">
        <f t="shared" si="3"/>
        <v>0</v>
      </c>
      <c r="K21" s="139">
        <f t="shared" si="3"/>
        <v>0</v>
      </c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849"/>
      <c r="B22" s="152">
        <v>100</v>
      </c>
      <c r="C22" s="153">
        <f>C9</f>
        <v>323665</v>
      </c>
      <c r="D22" s="168">
        <f t="shared" ref="D22:K24" si="4">D9+D16</f>
        <v>2413</v>
      </c>
      <c r="E22" s="168">
        <f t="shared" si="4"/>
        <v>781</v>
      </c>
      <c r="F22" s="168">
        <f t="shared" si="4"/>
        <v>0</v>
      </c>
      <c r="G22" s="168">
        <f t="shared" si="4"/>
        <v>0</v>
      </c>
      <c r="H22" s="168">
        <f t="shared" si="4"/>
        <v>0</v>
      </c>
      <c r="I22" s="168">
        <f t="shared" si="4"/>
        <v>0</v>
      </c>
      <c r="J22" s="168">
        <f t="shared" si="4"/>
        <v>0</v>
      </c>
      <c r="K22" s="168">
        <f t="shared" si="4"/>
        <v>0</v>
      </c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849"/>
      <c r="B23" s="152">
        <v>200</v>
      </c>
      <c r="C23" s="153">
        <f>C10</f>
        <v>737848</v>
      </c>
      <c r="D23" s="168">
        <f t="shared" si="4"/>
        <v>15554</v>
      </c>
      <c r="E23" s="168">
        <f t="shared" si="4"/>
        <v>11476</v>
      </c>
      <c r="F23" s="168">
        <f t="shared" si="4"/>
        <v>1174</v>
      </c>
      <c r="G23" s="168">
        <f t="shared" si="4"/>
        <v>866</v>
      </c>
      <c r="H23" s="168">
        <f t="shared" si="4"/>
        <v>0</v>
      </c>
      <c r="I23" s="168">
        <f t="shared" si="4"/>
        <v>0</v>
      </c>
      <c r="J23" s="168">
        <f t="shared" si="4"/>
        <v>0</v>
      </c>
      <c r="K23" s="168">
        <f t="shared" si="4"/>
        <v>0</v>
      </c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849"/>
      <c r="B24" s="152">
        <v>300</v>
      </c>
      <c r="C24" s="153">
        <f>C11</f>
        <v>794902</v>
      </c>
      <c r="D24" s="168">
        <f t="shared" si="4"/>
        <v>4570</v>
      </c>
      <c r="E24" s="168">
        <f t="shared" si="4"/>
        <v>3632</v>
      </c>
      <c r="F24" s="168">
        <f t="shared" si="4"/>
        <v>0</v>
      </c>
      <c r="G24" s="168">
        <f t="shared" si="4"/>
        <v>0</v>
      </c>
      <c r="H24" s="168">
        <f t="shared" si="4"/>
        <v>0</v>
      </c>
      <c r="I24" s="168">
        <f t="shared" si="4"/>
        <v>0</v>
      </c>
      <c r="J24" s="168">
        <f t="shared" si="4"/>
        <v>0</v>
      </c>
      <c r="K24" s="168">
        <f t="shared" si="4"/>
        <v>0</v>
      </c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849"/>
      <c r="B25" s="908" t="s">
        <v>1065</v>
      </c>
      <c r="C25" s="909"/>
      <c r="D25" s="665"/>
      <c r="E25" s="665">
        <f>E12</f>
        <v>0</v>
      </c>
      <c r="F25" s="665">
        <v>3238</v>
      </c>
      <c r="G25" s="665">
        <f>G12</f>
        <v>4033</v>
      </c>
      <c r="H25" s="665"/>
      <c r="I25" s="665"/>
      <c r="J25" s="665"/>
      <c r="K25" s="677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850"/>
      <c r="B26" s="167" t="s">
        <v>406</v>
      </c>
      <c r="C26" s="165"/>
      <c r="D26" s="166">
        <f>ROUND(SUM(D20:D25),0)</f>
        <v>23906</v>
      </c>
      <c r="E26" s="164">
        <f t="shared" ref="E26:K26" si="5">ROUND(SUM(E20:E25),0)</f>
        <v>16313</v>
      </c>
      <c r="F26" s="164">
        <f t="shared" si="5"/>
        <v>4412</v>
      </c>
      <c r="G26" s="164">
        <f t="shared" si="5"/>
        <v>4899</v>
      </c>
      <c r="H26" s="164">
        <f t="shared" si="5"/>
        <v>0</v>
      </c>
      <c r="I26" s="164">
        <f t="shared" si="5"/>
        <v>0</v>
      </c>
      <c r="J26" s="164">
        <f t="shared" si="5"/>
        <v>0</v>
      </c>
      <c r="K26" s="165">
        <f t="shared" si="5"/>
        <v>0</v>
      </c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D28" s="2">
        <v>56391</v>
      </c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M32" s="776"/>
      <c r="N32" s="272">
        <v>800</v>
      </c>
      <c r="O32" s="44">
        <v>1030780</v>
      </c>
      <c r="P32" s="44">
        <v>1359468</v>
      </c>
    </row>
    <row r="33" spans="13:16" ht="20.100000000000001" customHeight="1">
      <c r="M33" s="776"/>
      <c r="N33" s="272">
        <v>900</v>
      </c>
      <c r="O33" s="44">
        <v>1120686</v>
      </c>
      <c r="P33" s="44">
        <v>1458352</v>
      </c>
    </row>
    <row r="34" spans="13:16" ht="20.100000000000001" customHeight="1">
      <c r="M34" s="776"/>
      <c r="N34" s="272">
        <v>1000</v>
      </c>
      <c r="O34" s="44">
        <v>1252157</v>
      </c>
      <c r="P34" s="44">
        <v>1598943</v>
      </c>
    </row>
    <row r="35" spans="13:16" ht="20.100000000000001" customHeight="1">
      <c r="M35" s="776"/>
      <c r="N35" s="272">
        <v>1200</v>
      </c>
      <c r="O35" s="44">
        <v>1519329</v>
      </c>
      <c r="P35" s="44">
        <v>1897235</v>
      </c>
    </row>
    <row r="36" spans="13:16" ht="20.100000000000001" customHeight="1">
      <c r="M36" s="776" t="s">
        <v>519</v>
      </c>
      <c r="N36" s="272" t="s">
        <v>79</v>
      </c>
      <c r="O36" s="44">
        <v>1813280</v>
      </c>
      <c r="P36" s="44">
        <v>2098936</v>
      </c>
    </row>
    <row r="37" spans="13:16" ht="20.100000000000001" customHeight="1">
      <c r="M37" s="776"/>
      <c r="N37" s="272" t="s">
        <v>80</v>
      </c>
      <c r="O37" s="44">
        <v>1980997</v>
      </c>
      <c r="P37" s="44">
        <v>2266643</v>
      </c>
    </row>
    <row r="38" spans="13:16" ht="20.100000000000001" customHeight="1">
      <c r="M38" s="776"/>
      <c r="N38" s="272" t="s">
        <v>81</v>
      </c>
      <c r="O38" s="44">
        <v>2008266</v>
      </c>
      <c r="P38" s="44">
        <v>2293922</v>
      </c>
    </row>
    <row r="39" spans="13:16" ht="20.100000000000001" customHeight="1">
      <c r="M39" s="776"/>
      <c r="N39" s="272" t="s">
        <v>82</v>
      </c>
      <c r="O39" s="44">
        <v>2087044</v>
      </c>
      <c r="P39" s="44">
        <v>2432231</v>
      </c>
    </row>
    <row r="40" spans="13:16" ht="20.100000000000001" customHeight="1">
      <c r="M40" s="776"/>
      <c r="N40" s="272" t="s">
        <v>83</v>
      </c>
      <c r="O40" s="44">
        <v>2235747</v>
      </c>
      <c r="P40" s="44">
        <v>2580933</v>
      </c>
    </row>
    <row r="41" spans="13:16" ht="20.100000000000001" customHeight="1">
      <c r="M41" s="776"/>
      <c r="N41" s="272" t="s">
        <v>84</v>
      </c>
      <c r="O41" s="44">
        <v>2493065</v>
      </c>
      <c r="P41" s="44">
        <v>2838251</v>
      </c>
    </row>
    <row r="42" spans="13:16" ht="20.100000000000001" customHeight="1">
      <c r="M42" s="776"/>
      <c r="N42" s="272" t="s">
        <v>85</v>
      </c>
      <c r="O42" s="44">
        <v>2688377</v>
      </c>
      <c r="P42" s="44">
        <v>3033563</v>
      </c>
    </row>
    <row r="43" spans="13:16" ht="20.100000000000001" customHeight="1">
      <c r="M43" s="776"/>
      <c r="N43" s="272" t="s">
        <v>86</v>
      </c>
      <c r="O43" s="44">
        <v>2712639</v>
      </c>
      <c r="P43" s="44">
        <v>3057825</v>
      </c>
    </row>
    <row r="44" spans="13:16" ht="20.100000000000001" customHeight="1">
      <c r="M44" s="776"/>
      <c r="N44" s="272" t="s">
        <v>87</v>
      </c>
      <c r="O44" s="44">
        <v>3180065</v>
      </c>
      <c r="P44" s="44">
        <v>3525251</v>
      </c>
    </row>
    <row r="45" spans="13:16" ht="20.100000000000001" customHeight="1">
      <c r="M45" s="776"/>
      <c r="N45" s="272" t="s">
        <v>88</v>
      </c>
      <c r="O45" s="44">
        <v>3443537</v>
      </c>
      <c r="P45" s="44">
        <v>3966580</v>
      </c>
    </row>
    <row r="46" spans="13:16" ht="20.100000000000001" customHeight="1">
      <c r="M46" s="776"/>
      <c r="N46" s="272" t="s">
        <v>89</v>
      </c>
      <c r="O46" s="44">
        <v>3790171</v>
      </c>
      <c r="P46" s="44">
        <v>4313203</v>
      </c>
    </row>
    <row r="47" spans="13:16" ht="20.100000000000001" customHeight="1">
      <c r="M47" s="776"/>
      <c r="N47" s="272" t="s">
        <v>90</v>
      </c>
      <c r="O47" s="44">
        <v>4445958</v>
      </c>
      <c r="P47" s="44">
        <v>4968990</v>
      </c>
    </row>
    <row r="48" spans="13:16" ht="20.100000000000001" customHeight="1">
      <c r="M48" s="776"/>
      <c r="N48" s="272" t="s">
        <v>91</v>
      </c>
      <c r="O48" s="44">
        <v>4058779</v>
      </c>
      <c r="P48" s="44">
        <v>4581821</v>
      </c>
    </row>
    <row r="49" spans="13:16" ht="20.100000000000001" customHeight="1">
      <c r="M49" s="776"/>
      <c r="N49" s="272" t="s">
        <v>92</v>
      </c>
      <c r="O49" s="44">
        <v>4541703</v>
      </c>
      <c r="P49" s="44">
        <v>5064746</v>
      </c>
    </row>
    <row r="50" spans="13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3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2">
    <mergeCell ref="S3:T3"/>
    <mergeCell ref="M3:M4"/>
    <mergeCell ref="N3:N4"/>
    <mergeCell ref="O3:P3"/>
    <mergeCell ref="Q3:Q4"/>
    <mergeCell ref="R3:R4"/>
    <mergeCell ref="M26:M35"/>
    <mergeCell ref="M36:M51"/>
    <mergeCell ref="A20:A26"/>
    <mergeCell ref="B25:C25"/>
    <mergeCell ref="Q5:Q14"/>
    <mergeCell ref="A7:A8"/>
    <mergeCell ref="B7:B8"/>
    <mergeCell ref="C7:C8"/>
    <mergeCell ref="D7:E7"/>
    <mergeCell ref="F7:G7"/>
    <mergeCell ref="H7:I7"/>
    <mergeCell ref="J7:K7"/>
    <mergeCell ref="A9:A13"/>
    <mergeCell ref="B12:C12"/>
    <mergeCell ref="A14:A19"/>
    <mergeCell ref="M16:M2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435</v>
      </c>
      <c r="B7" s="781"/>
      <c r="C7" s="787" t="s">
        <v>534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8" t="s">
        <v>708</v>
      </c>
      <c r="B9" s="851"/>
      <c r="C9" s="156">
        <v>3600000</v>
      </c>
      <c r="D9" s="106">
        <v>174</v>
      </c>
      <c r="E9" s="101">
        <f t="shared" ref="E9:E22" si="2">+ROUND($C9*D9/1000000,0)</f>
        <v>626</v>
      </c>
      <c r="F9" s="101">
        <v>9</v>
      </c>
      <c r="G9" s="101">
        <f t="shared" ref="G9:G22" si="3">+ROUND($C9*F9/1000000,0)</f>
        <v>32</v>
      </c>
      <c r="H9" s="101">
        <v>0</v>
      </c>
      <c r="I9" s="101">
        <f t="shared" ref="I9:I22" si="4">+ROUND($C9*H9/1000000,0)</f>
        <v>0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 t="s">
        <v>709</v>
      </c>
      <c r="B10" s="852"/>
      <c r="C10" s="153">
        <v>3600000</v>
      </c>
      <c r="D10" s="139">
        <v>226</v>
      </c>
      <c r="E10" s="94">
        <f t="shared" si="2"/>
        <v>814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/>
      <c r="B11" s="852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481</v>
      </c>
      <c r="B23" s="777"/>
      <c r="C23" s="165">
        <v>3600000</v>
      </c>
      <c r="D23" s="166">
        <f>SUM(D9:D22)</f>
        <v>400</v>
      </c>
      <c r="E23" s="164">
        <f>SUM(E9:E22)</f>
        <v>1440</v>
      </c>
      <c r="F23" s="164">
        <f t="shared" ref="F23:K23" si="6">SUM(F9:F20)</f>
        <v>9</v>
      </c>
      <c r="G23" s="164">
        <f t="shared" si="6"/>
        <v>32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J7:K7"/>
    <mergeCell ref="A7:B8"/>
    <mergeCell ref="C7:C8"/>
    <mergeCell ref="D7:E7"/>
    <mergeCell ref="F7:G7"/>
    <mergeCell ref="H7:I7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M20:M24"/>
    <mergeCell ref="N20:O20"/>
    <mergeCell ref="A21:B21"/>
    <mergeCell ref="N21:N22"/>
    <mergeCell ref="A22:B22"/>
    <mergeCell ref="A23:B23"/>
    <mergeCell ref="N23:N24"/>
    <mergeCell ref="Q23:T23"/>
    <mergeCell ref="M25:M29"/>
    <mergeCell ref="N25:O25"/>
    <mergeCell ref="N26:N27"/>
    <mergeCell ref="N28:N29"/>
    <mergeCell ref="Q28:T28"/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974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3" t="s">
        <v>435</v>
      </c>
      <c r="B7" s="782"/>
      <c r="C7" s="789" t="s">
        <v>436</v>
      </c>
      <c r="D7" s="781"/>
      <c r="E7" s="781" t="s">
        <v>437</v>
      </c>
      <c r="F7" s="781"/>
      <c r="G7" s="781" t="s">
        <v>438</v>
      </c>
      <c r="H7" s="781"/>
      <c r="I7" s="781" t="s">
        <v>439</v>
      </c>
      <c r="J7" s="782"/>
      <c r="M7" s="2"/>
      <c r="N7" s="2"/>
    </row>
    <row r="8" spans="1:14" ht="30" customHeight="1">
      <c r="A8" s="840"/>
      <c r="B8" s="914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912" t="s">
        <v>710</v>
      </c>
      <c r="B9" s="471" t="s">
        <v>920</v>
      </c>
      <c r="C9" s="469">
        <v>0.5</v>
      </c>
      <c r="D9" s="196">
        <f>+ROUND(0.0292*(C9*60*24)+83.662,0)</f>
        <v>105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913"/>
      <c r="B10" s="472" t="s">
        <v>921</v>
      </c>
      <c r="C10" s="170">
        <v>0.4</v>
      </c>
      <c r="D10" s="94">
        <f>+ROUND(0.0292*(C10*60*24)+83.662,0)</f>
        <v>100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913"/>
      <c r="B11" s="472" t="s">
        <v>922</v>
      </c>
      <c r="C11" s="170">
        <v>0.4</v>
      </c>
      <c r="D11" s="94">
        <f>+ROUND(0.0292*(C11*60*24)+83.662,0)</f>
        <v>100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153">
        <v>0</v>
      </c>
      <c r="M11" s="2"/>
      <c r="N11" s="2"/>
    </row>
    <row r="12" spans="1:14" ht="20.100000000000001" customHeight="1">
      <c r="A12" s="913"/>
      <c r="B12" s="472" t="s">
        <v>923</v>
      </c>
      <c r="C12" s="170">
        <v>0.3</v>
      </c>
      <c r="D12" s="94">
        <f>+ROUND(0.0292*(C12*60*24)+83.662,0)</f>
        <v>96</v>
      </c>
      <c r="E12" s="94"/>
      <c r="F12" s="94"/>
      <c r="G12" s="94"/>
      <c r="H12" s="94"/>
      <c r="I12" s="94"/>
      <c r="J12" s="153"/>
      <c r="M12" s="2"/>
      <c r="N12" s="2"/>
    </row>
    <row r="13" spans="1:14" ht="20.100000000000001" customHeight="1">
      <c r="A13" s="913"/>
      <c r="B13" s="472" t="s">
        <v>924</v>
      </c>
      <c r="C13" s="170">
        <v>0.1</v>
      </c>
      <c r="D13" s="94">
        <f>+ROUND(0.0292*(C13*60*24)+83.662,0)</f>
        <v>88</v>
      </c>
      <c r="E13" s="94"/>
      <c r="F13" s="94"/>
      <c r="G13" s="94"/>
      <c r="H13" s="94"/>
      <c r="I13" s="94"/>
      <c r="J13" s="153"/>
      <c r="M13" s="2"/>
      <c r="N13" s="2"/>
    </row>
    <row r="14" spans="1:14" ht="20.100000000000001" customHeight="1">
      <c r="A14" s="913"/>
      <c r="B14" s="472" t="s">
        <v>925</v>
      </c>
      <c r="C14" s="170">
        <v>0.4</v>
      </c>
      <c r="D14" s="94">
        <f>SUM(D9:D13)</f>
        <v>489</v>
      </c>
      <c r="E14" s="94"/>
      <c r="F14" s="94"/>
      <c r="G14" s="94"/>
      <c r="H14" s="94"/>
      <c r="I14" s="94"/>
      <c r="J14" s="153"/>
      <c r="M14" s="2"/>
      <c r="N14" s="2"/>
    </row>
    <row r="15" spans="1:14" ht="20.100000000000001" customHeight="1">
      <c r="A15" s="913"/>
      <c r="B15" s="472" t="s">
        <v>926</v>
      </c>
      <c r="C15" s="170">
        <v>0.4</v>
      </c>
      <c r="D15" s="94">
        <f>+ROUND(0.0292*(C15*60*24)+83.662,0)</f>
        <v>100</v>
      </c>
      <c r="E15" s="94"/>
      <c r="F15" s="94"/>
      <c r="G15" s="94"/>
      <c r="H15" s="94"/>
      <c r="I15" s="94"/>
      <c r="J15" s="153"/>
      <c r="M15" s="2"/>
      <c r="N15" s="2"/>
    </row>
    <row r="16" spans="1:14" ht="20.100000000000001" customHeight="1">
      <c r="A16" s="913"/>
      <c r="B16" s="472" t="s">
        <v>927</v>
      </c>
      <c r="C16" s="170">
        <v>0.1</v>
      </c>
      <c r="D16" s="94">
        <f>+ROUND(0.0292*(C16*60*24)+83.662,0)</f>
        <v>88</v>
      </c>
      <c r="E16" s="94"/>
      <c r="F16" s="94"/>
      <c r="G16" s="94"/>
      <c r="H16" s="94"/>
      <c r="I16" s="94"/>
      <c r="J16" s="153"/>
      <c r="M16" s="2"/>
      <c r="N16" s="2"/>
    </row>
    <row r="17" spans="1:14" ht="20.100000000000001" customHeight="1">
      <c r="A17" s="913"/>
      <c r="B17" s="472" t="s">
        <v>928</v>
      </c>
      <c r="C17" s="170">
        <v>0.1</v>
      </c>
      <c r="D17" s="94">
        <f>SUM(D15:D16)</f>
        <v>188</v>
      </c>
      <c r="E17" s="94"/>
      <c r="F17" s="94"/>
      <c r="G17" s="94"/>
      <c r="H17" s="94"/>
      <c r="I17" s="94"/>
      <c r="J17" s="153"/>
      <c r="M17" s="2"/>
      <c r="N17" s="2"/>
    </row>
    <row r="18" spans="1:14" ht="20.100000000000001" customHeight="1">
      <c r="A18" s="913"/>
      <c r="B18" s="472" t="s">
        <v>929</v>
      </c>
      <c r="C18" s="170">
        <v>0.3</v>
      </c>
      <c r="D18" s="94">
        <f>+ROUND(0.0292*(C18*60*24)+83.662,0)</f>
        <v>96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153">
        <v>0</v>
      </c>
      <c r="M18" s="2"/>
      <c r="N18" s="2"/>
    </row>
    <row r="19" spans="1:14" ht="20.100000000000001" customHeight="1">
      <c r="A19" s="913"/>
      <c r="B19" s="358" t="s">
        <v>930</v>
      </c>
      <c r="C19" s="170">
        <v>0.6</v>
      </c>
      <c r="D19" s="94">
        <f>+ROUND(0.0292*(C19*60*24)+83.662,0)</f>
        <v>109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153">
        <v>0</v>
      </c>
      <c r="M19" s="2"/>
      <c r="N19" s="2"/>
    </row>
    <row r="20" spans="1:14" ht="20.100000000000001" customHeight="1">
      <c r="A20" s="913"/>
      <c r="B20" s="358" t="s">
        <v>633</v>
      </c>
      <c r="C20" s="170"/>
      <c r="D20" s="94">
        <f>SUM(D9:D19)</f>
        <v>1559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153">
        <v>0</v>
      </c>
      <c r="M20" s="2"/>
      <c r="N20" s="2"/>
    </row>
    <row r="21" spans="1:14" ht="20.100000000000001" customHeight="1">
      <c r="A21" s="910" t="s">
        <v>705</v>
      </c>
      <c r="B21" s="911"/>
      <c r="C21" s="171"/>
      <c r="D21" s="164">
        <f>+D20</f>
        <v>1559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5">
        <v>0</v>
      </c>
    </row>
    <row r="22" spans="1:14" ht="20.100000000000001" customHeight="1">
      <c r="C22" s="63"/>
      <c r="M22" s="2"/>
      <c r="N22" s="2"/>
    </row>
    <row r="23" spans="1:14" ht="20.100000000000001" customHeight="1">
      <c r="C23" s="63"/>
      <c r="M23" s="2"/>
      <c r="N23" s="2"/>
    </row>
    <row r="24" spans="1:14" ht="20.100000000000001" customHeight="1">
      <c r="C24" s="63"/>
      <c r="M24" s="2"/>
      <c r="N24" s="2"/>
    </row>
    <row r="25" spans="1:14" ht="20.100000000000001" customHeight="1"/>
    <row r="26" spans="1:14" ht="20.100000000000001" customHeight="1"/>
    <row r="27" spans="1:14" ht="20.100000000000001" customHeight="1"/>
    <row r="28" spans="1:14" ht="20.100000000000001" customHeight="1"/>
    <row r="29" spans="1:14" ht="20.100000000000001" customHeight="1"/>
    <row r="30" spans="1:14" ht="20.100000000000001" customHeight="1"/>
    <row r="31" spans="1:14" ht="20.100000000000001" customHeight="1"/>
    <row r="32" spans="1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7">
    <mergeCell ref="I7:J7"/>
    <mergeCell ref="A21:B21"/>
    <mergeCell ref="A9:A20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E7" sqref="E7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961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+'가.굴착교체(금왕-오수지선)'!I18</f>
        <v>0</v>
      </c>
      <c r="C5" s="101">
        <f>+'가.굴착교체(금왕-오수지선)'!K18</f>
        <v>0</v>
      </c>
      <c r="D5" s="101">
        <f>+'가.굴착교체(금왕-오수지선)'!M18</f>
        <v>0</v>
      </c>
      <c r="E5" s="101">
        <f>+'가.굴착교체(금왕-오수지선)'!O18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v>0</v>
      </c>
      <c r="C6" s="94">
        <v>0</v>
      </c>
      <c r="D6" s="94">
        <v>0</v>
      </c>
      <c r="E6" s="94"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v>0</v>
      </c>
      <c r="C7" s="94">
        <v>0</v>
      </c>
      <c r="D7" s="94">
        <v>0</v>
      </c>
      <c r="E7" s="94"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399">
        <f>ROUND('1.3.5 오수관로신설'!C7*0.03,0)</f>
        <v>0</v>
      </c>
      <c r="D8" s="399">
        <f>ROUND('1.3.5 오수관로신설'!D7*0.03,0)</f>
        <v>0</v>
      </c>
      <c r="E8" s="399">
        <f>ROUND('1.3.5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0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450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448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5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5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35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2" t="s">
        <v>477</v>
      </c>
      <c r="D37" s="12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 t="s">
        <v>476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120" t="s">
        <v>461</v>
      </c>
      <c r="B40" s="117">
        <f>+B14</f>
        <v>0</v>
      </c>
      <c r="C40" s="115">
        <f>+C14</f>
        <v>0</v>
      </c>
      <c r="D40" s="115">
        <f>+D14</f>
        <v>0</v>
      </c>
      <c r="E40" s="115">
        <f>+E14</f>
        <v>0</v>
      </c>
      <c r="F40" s="116"/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10" t="s">
        <v>450</v>
      </c>
      <c r="B41" s="118">
        <f>IFERROR(INDEX($H$21:$L$37,MATCH(B9,$H$21:$H$37,1),1),0)</f>
        <v>0</v>
      </c>
      <c r="C41" s="118">
        <f>IFERROR(INDEX($H$21:$L$37,MATCH(C9,$H$21:$H$37,1),1),0)</f>
        <v>0</v>
      </c>
      <c r="D41" s="118">
        <f>IFERROR(INDEX($H$21:$L$37,MATCH(D9,$H$21:$H$37,1),1),0)</f>
        <v>0</v>
      </c>
      <c r="E41" s="118">
        <f>IFERROR(INDEX($H$21:$L$37,MATCH(E9,$H$21:$H$37,1),1),0)</f>
        <v>0</v>
      </c>
      <c r="F41" s="113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448</v>
      </c>
      <c r="B42" s="118">
        <f>IFERROR(INDEX($H$21:$L$37,MATCH(B9,$H$21:$H$37,1)+1,1),0)</f>
        <v>0</v>
      </c>
      <c r="C42" s="118">
        <f>IFERROR(INDEX($H$21:$L$37,MATCH(C9,$H$21:$H$37,1)+1,1),0)</f>
        <v>0</v>
      </c>
      <c r="D42" s="118">
        <f>IFERROR(INDEX($H$21:$L$37,MATCH(D9,$H$21:$H$37,1)+1,1),0)</f>
        <v>0</v>
      </c>
      <c r="E42" s="118">
        <f>IFERROR(INDEX($H$21:$L$37,MATCH(E9,$H$21:$H$37,1)+1,1),0)</f>
        <v>0</v>
      </c>
      <c r="F42" s="113"/>
      <c r="G42" s="9"/>
      <c r="H42" s="9"/>
    </row>
    <row r="43" spans="1:17" ht="20.100000000000001" customHeight="1">
      <c r="A43" s="110" t="s">
        <v>462</v>
      </c>
      <c r="B43" s="141">
        <f>IFERROR(INDEX($H$21:$L$37,MATCH(B9,$H$21:$H$37,1),5),0)</f>
        <v>0</v>
      </c>
      <c r="C43" s="141">
        <f>IFERROR(INDEX($H$21:$L$37,MATCH(C9,$H$21:$H$37,1),5),0)</f>
        <v>0</v>
      </c>
      <c r="D43" s="141">
        <f>IFERROR(INDEX($H$21:$L$37,MATCH(D9,$H$21:$H$37,1),5),0)</f>
        <v>0</v>
      </c>
      <c r="E43" s="141">
        <f>IFERROR(INDEX($H$21:$L$37,MATCH(E9,$H$21:$H$37,1),5),0)</f>
        <v>0</v>
      </c>
      <c r="F43" s="113"/>
      <c r="G43" s="9"/>
      <c r="H43" s="9"/>
    </row>
    <row r="44" spans="1:17" ht="20.100000000000001" customHeight="1">
      <c r="A44" s="110" t="s">
        <v>463</v>
      </c>
      <c r="B44" s="141">
        <f>IFERROR(INDEX($H$21:$L$37,MATCH(B9,$H$21:$H$37,1)+1,5),0)</f>
        <v>0</v>
      </c>
      <c r="C44" s="141">
        <f>IFERROR(INDEX($H$21:$L$37,MATCH(C9,$H$21:$H$37,1)+1,5),0)</f>
        <v>0</v>
      </c>
      <c r="D44" s="141">
        <f>IFERROR(INDEX($H$21:$L$37,MATCH(D9,$H$21:$H$37,1)+1,5),0)</f>
        <v>0</v>
      </c>
      <c r="E44" s="141">
        <f>IFERROR(INDEX($H$21:$L$37,MATCH(E9,$H$21:$H$37,1)+1,5),0)</f>
        <v>0</v>
      </c>
      <c r="F44" s="113"/>
      <c r="G44" s="9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  <c r="G45" s="9"/>
    </row>
    <row r="46" spans="1:17" ht="20.100000000000001" customHeight="1">
      <c r="A46" s="111" t="s">
        <v>478</v>
      </c>
      <c r="B46" s="108">
        <f>+ROUND(B40*B45,0)</f>
        <v>0</v>
      </c>
      <c r="C46" s="97">
        <f>+ROUND(C40*C45,0)</f>
        <v>0</v>
      </c>
      <c r="D46" s="97">
        <f>+ROUND(D40*D45,0)</f>
        <v>0</v>
      </c>
      <c r="E46" s="97">
        <f>+ROUND(E40*E45,0)</f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+B9</f>
        <v>0</v>
      </c>
      <c r="C51" s="149">
        <f>+C9</f>
        <v>0</v>
      </c>
      <c r="D51" s="149">
        <f>+D9</f>
        <v>0</v>
      </c>
      <c r="E51" s="149">
        <f>+E9</f>
        <v>0</v>
      </c>
      <c r="F51" s="150"/>
    </row>
    <row r="52" spans="1:6" ht="20.100000000000001" customHeight="1">
      <c r="A52" s="132" t="s">
        <v>480</v>
      </c>
      <c r="B52" s="129">
        <f>+B20</f>
        <v>0</v>
      </c>
      <c r="C52" s="121">
        <f>+C20</f>
        <v>0</v>
      </c>
      <c r="D52" s="121">
        <f>+D20</f>
        <v>0</v>
      </c>
      <c r="E52" s="121">
        <f>+E20</f>
        <v>0</v>
      </c>
      <c r="F52" s="122"/>
    </row>
    <row r="53" spans="1:6" ht="20.100000000000001" customHeight="1">
      <c r="A53" s="132" t="s">
        <v>475</v>
      </c>
      <c r="B53" s="129">
        <f>+B31</f>
        <v>0</v>
      </c>
      <c r="C53" s="121">
        <f>+C31</f>
        <v>0</v>
      </c>
      <c r="D53" s="121">
        <f>+D31</f>
        <v>0</v>
      </c>
      <c r="E53" s="121">
        <f>+E31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/>
      <c r="C56" s="146" t="e">
        <f>+ROUND(C55*J6,0)</f>
        <v>#DIV/0!</v>
      </c>
      <c r="D56" s="146"/>
      <c r="E56" s="146"/>
      <c r="F56" s="144"/>
    </row>
    <row r="57" spans="1:6" ht="20.100000000000001" customHeight="1">
      <c r="A57" s="143" t="s">
        <v>413</v>
      </c>
      <c r="B57" s="142">
        <f>+B55-B56</f>
        <v>0</v>
      </c>
      <c r="C57" s="137" t="e">
        <f>+C55-C56</f>
        <v>#DIV/0!</v>
      </c>
      <c r="D57" s="137">
        <f>+D55-D56</f>
        <v>0</v>
      </c>
      <c r="E57" s="137">
        <f>+E55-E56</f>
        <v>0</v>
      </c>
      <c r="F57" s="138"/>
    </row>
    <row r="58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1"/>
  <sheetViews>
    <sheetView view="pageBreakPreview" zoomScaleNormal="100" zoomScaleSheetLayoutView="100" workbookViewId="0">
      <selection activeCell="E7" sqref="E7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0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0" ht="20.100000000000001" customHeight="1">
      <c r="A2" s="2" t="s">
        <v>509</v>
      </c>
    </row>
    <row r="3" spans="1:20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76" t="s">
        <v>64</v>
      </c>
      <c r="R3" s="776" t="s">
        <v>511</v>
      </c>
      <c r="S3" s="776" t="s">
        <v>66</v>
      </c>
      <c r="T3" s="776"/>
    </row>
    <row r="4" spans="1:20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76"/>
      <c r="R4" s="776"/>
      <c r="S4" s="272" t="s">
        <v>67</v>
      </c>
      <c r="T4" s="272" t="s">
        <v>68</v>
      </c>
    </row>
    <row r="5" spans="1:20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76" t="s">
        <v>69</v>
      </c>
      <c r="R5" s="272">
        <v>300</v>
      </c>
      <c r="S5" s="44">
        <v>512740</v>
      </c>
      <c r="T5" s="44">
        <v>782541</v>
      </c>
    </row>
    <row r="6" spans="1:20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76"/>
      <c r="R6" s="272">
        <v>400</v>
      </c>
      <c r="S6" s="44">
        <v>580188</v>
      </c>
      <c r="T6" s="44">
        <v>859007</v>
      </c>
    </row>
    <row r="7" spans="1:20" ht="20.100000000000001" customHeight="1">
      <c r="A7" s="2" t="s">
        <v>431</v>
      </c>
      <c r="Q7" s="776"/>
      <c r="R7" s="272">
        <v>500</v>
      </c>
      <c r="S7" s="44">
        <v>624861</v>
      </c>
      <c r="T7" s="44">
        <v>912820</v>
      </c>
    </row>
    <row r="8" spans="1:20" ht="20.100000000000001" customHeight="1">
      <c r="M8" s="8"/>
      <c r="O8" s="8" t="s">
        <v>512</v>
      </c>
      <c r="Q8" s="776"/>
      <c r="R8" s="272">
        <v>600</v>
      </c>
      <c r="S8" s="44">
        <v>705821</v>
      </c>
      <c r="T8" s="44">
        <v>1016585</v>
      </c>
    </row>
    <row r="9" spans="1:20" ht="20.100000000000001" customHeight="1">
      <c r="A9" s="783" t="s">
        <v>655</v>
      </c>
      <c r="B9" s="781" t="s">
        <v>656</v>
      </c>
      <c r="C9" s="785" t="s">
        <v>657</v>
      </c>
      <c r="D9" s="785" t="s">
        <v>658</v>
      </c>
      <c r="E9" s="785" t="s">
        <v>659</v>
      </c>
      <c r="F9" s="785" t="s">
        <v>513</v>
      </c>
      <c r="G9" s="787" t="s">
        <v>514</v>
      </c>
      <c r="H9" s="789" t="s">
        <v>436</v>
      </c>
      <c r="I9" s="781"/>
      <c r="J9" s="781" t="s">
        <v>437</v>
      </c>
      <c r="K9" s="781"/>
      <c r="L9" s="781" t="s">
        <v>438</v>
      </c>
      <c r="M9" s="781"/>
      <c r="N9" s="781" t="s">
        <v>439</v>
      </c>
      <c r="O9" s="782"/>
      <c r="Q9" s="776"/>
      <c r="R9" s="272">
        <v>700</v>
      </c>
      <c r="S9" s="44">
        <v>782918</v>
      </c>
      <c r="T9" s="44">
        <v>1102578</v>
      </c>
    </row>
    <row r="10" spans="1:20" ht="20.100000000000001" customHeight="1">
      <c r="A10" s="784"/>
      <c r="B10" s="777"/>
      <c r="C10" s="777"/>
      <c r="D10" s="786"/>
      <c r="E10" s="786"/>
      <c r="F10" s="786"/>
      <c r="G10" s="788"/>
      <c r="H10" s="160" t="s">
        <v>515</v>
      </c>
      <c r="I10" s="273" t="s">
        <v>452</v>
      </c>
      <c r="J10" s="281" t="s">
        <v>515</v>
      </c>
      <c r="K10" s="273" t="s">
        <v>452</v>
      </c>
      <c r="L10" s="281" t="s">
        <v>515</v>
      </c>
      <c r="M10" s="273" t="s">
        <v>452</v>
      </c>
      <c r="N10" s="281" t="s">
        <v>515</v>
      </c>
      <c r="O10" s="274" t="s">
        <v>452</v>
      </c>
      <c r="P10" s="67"/>
      <c r="Q10" s="776"/>
      <c r="R10" s="272">
        <v>800</v>
      </c>
      <c r="S10" s="44">
        <v>854676</v>
      </c>
      <c r="T10" s="44">
        <v>1183365</v>
      </c>
    </row>
    <row r="11" spans="1:20" ht="20.100000000000001" customHeight="1">
      <c r="A11" s="915" t="s">
        <v>931</v>
      </c>
      <c r="B11" s="917" t="s">
        <v>931</v>
      </c>
      <c r="C11" s="637"/>
      <c r="D11" s="641">
        <v>767</v>
      </c>
      <c r="E11" s="461">
        <f>D11</f>
        <v>767</v>
      </c>
      <c r="F11" s="639">
        <v>150</v>
      </c>
      <c r="G11" s="645">
        <f>ROUND(T26*$P$1,0)</f>
        <v>1106772</v>
      </c>
      <c r="H11" s="642"/>
      <c r="I11" s="582"/>
      <c r="J11" s="112"/>
      <c r="K11" s="615">
        <f t="shared" ref="K11:M16" si="0">+ROUND($G11*J11/1000000,0)</f>
        <v>0</v>
      </c>
      <c r="L11" s="585"/>
      <c r="M11" s="582"/>
      <c r="N11" s="585"/>
      <c r="O11" s="583"/>
      <c r="P11" s="67"/>
      <c r="Q11" s="776"/>
      <c r="R11" s="272">
        <v>900</v>
      </c>
      <c r="S11" s="44">
        <v>945775</v>
      </c>
      <c r="T11" s="44">
        <v>1283451</v>
      </c>
    </row>
    <row r="12" spans="1:20" ht="20.100000000000001" customHeight="1">
      <c r="A12" s="916"/>
      <c r="B12" s="918"/>
      <c r="C12" s="640"/>
      <c r="D12" s="641">
        <v>4621</v>
      </c>
      <c r="E12" s="461">
        <f>D12</f>
        <v>4621</v>
      </c>
      <c r="F12" s="198">
        <v>200</v>
      </c>
      <c r="G12" s="463">
        <f>T26*P1</f>
        <v>1106772</v>
      </c>
      <c r="H12" s="643"/>
      <c r="I12" s="588"/>
      <c r="J12" s="112"/>
      <c r="K12" s="615">
        <f t="shared" si="0"/>
        <v>0</v>
      </c>
      <c r="L12" s="198"/>
      <c r="M12" s="588"/>
      <c r="N12" s="198"/>
      <c r="O12" s="151"/>
      <c r="P12" s="67"/>
      <c r="Q12" s="776"/>
      <c r="R12" s="272">
        <v>1000</v>
      </c>
      <c r="S12" s="44">
        <v>1051853</v>
      </c>
      <c r="T12" s="44">
        <v>1398649</v>
      </c>
    </row>
    <row r="13" spans="1:20" ht="20.100000000000001" customHeight="1">
      <c r="A13" s="916"/>
      <c r="B13" s="918"/>
      <c r="C13" s="640"/>
      <c r="D13" s="641">
        <v>314</v>
      </c>
      <c r="E13" s="461">
        <f>D13</f>
        <v>314</v>
      </c>
      <c r="F13" s="198">
        <v>250</v>
      </c>
      <c r="G13" s="463">
        <f>T27*P1</f>
        <v>1192353</v>
      </c>
      <c r="H13" s="643"/>
      <c r="I13" s="588"/>
      <c r="J13" s="112"/>
      <c r="K13" s="615">
        <f t="shared" si="0"/>
        <v>0</v>
      </c>
      <c r="L13" s="198"/>
      <c r="M13" s="615">
        <f t="shared" si="0"/>
        <v>0</v>
      </c>
      <c r="N13" s="198"/>
      <c r="O13" s="151"/>
      <c r="P13" s="67"/>
      <c r="Q13" s="776"/>
      <c r="R13" s="272">
        <v>1100</v>
      </c>
      <c r="S13" s="44">
        <v>1188358</v>
      </c>
      <c r="T13" s="44">
        <v>1557399</v>
      </c>
    </row>
    <row r="14" spans="1:20" ht="20.100000000000001" customHeight="1">
      <c r="A14" s="916"/>
      <c r="B14" s="918"/>
      <c r="C14" s="640"/>
      <c r="D14" s="112"/>
      <c r="E14" s="112"/>
      <c r="F14" s="198"/>
      <c r="G14" s="646">
        <f>ROUND(T28*$P$1,0)</f>
        <v>1356896</v>
      </c>
      <c r="H14" s="643"/>
      <c r="I14" s="588"/>
      <c r="J14" s="112"/>
      <c r="K14" s="615">
        <f t="shared" si="0"/>
        <v>0</v>
      </c>
      <c r="L14" s="198"/>
      <c r="M14" s="588"/>
      <c r="N14" s="198"/>
      <c r="O14" s="151"/>
      <c r="P14" s="67"/>
      <c r="Q14" s="776"/>
      <c r="R14" s="272">
        <v>1200</v>
      </c>
      <c r="S14" s="44">
        <v>1313909</v>
      </c>
      <c r="T14" s="44">
        <v>1691805</v>
      </c>
    </row>
    <row r="15" spans="1:20" ht="20.100000000000001" customHeight="1">
      <c r="A15" s="916"/>
      <c r="B15" s="918"/>
      <c r="C15" s="613"/>
      <c r="D15" s="112"/>
      <c r="E15" s="112"/>
      <c r="F15" s="462"/>
      <c r="G15" s="646">
        <f>ROUND((T28+T29)/2*$P$1,0)</f>
        <v>1428055</v>
      </c>
      <c r="H15" s="644"/>
      <c r="I15" s="176"/>
      <c r="J15" s="112"/>
      <c r="K15" s="615">
        <f>+ROUND($G15*J15/1000000,0)</f>
        <v>0</v>
      </c>
      <c r="L15" s="112"/>
      <c r="M15" s="615"/>
      <c r="N15" s="614"/>
      <c r="O15" s="616"/>
      <c r="P15" s="67"/>
      <c r="Q15" s="776"/>
      <c r="R15" s="272">
        <v>1350</v>
      </c>
      <c r="S15" s="44">
        <v>1519849</v>
      </c>
      <c r="T15" s="44">
        <v>1910605</v>
      </c>
    </row>
    <row r="16" spans="1:20" ht="20.100000000000001" customHeight="1">
      <c r="A16" s="916"/>
      <c r="B16" s="918"/>
      <c r="C16" s="613"/>
      <c r="D16" s="112"/>
      <c r="E16" s="112"/>
      <c r="F16" s="462"/>
      <c r="G16" s="463">
        <f>T29*P1</f>
        <v>1499214</v>
      </c>
      <c r="H16" s="644"/>
      <c r="I16" s="176"/>
      <c r="J16" s="112"/>
      <c r="K16" s="615">
        <f t="shared" si="0"/>
        <v>0</v>
      </c>
      <c r="L16" s="112"/>
      <c r="M16" s="615"/>
      <c r="N16" s="614"/>
      <c r="O16" s="616"/>
      <c r="P16" s="72" t="s">
        <v>660</v>
      </c>
      <c r="Q16" s="776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916"/>
      <c r="B17" s="918"/>
      <c r="C17" s="613"/>
      <c r="D17" s="112"/>
      <c r="E17" s="112"/>
      <c r="F17" s="462"/>
      <c r="G17" s="463">
        <f>T30*P1</f>
        <v>1682466</v>
      </c>
      <c r="H17" s="644"/>
      <c r="I17" s="176"/>
      <c r="J17" s="112"/>
      <c r="K17" s="615">
        <f>+ROUND($G17*J17/1000000,0)</f>
        <v>0</v>
      </c>
      <c r="L17" s="112"/>
      <c r="M17" s="615"/>
      <c r="N17" s="614"/>
      <c r="O17" s="616"/>
      <c r="P17" s="67"/>
      <c r="Q17" s="776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638" t="s">
        <v>406</v>
      </c>
      <c r="B18" s="636"/>
      <c r="C18" s="636"/>
      <c r="D18" s="164">
        <f>SUM(D11:D17)</f>
        <v>5702</v>
      </c>
      <c r="E18" s="164">
        <f>SUM(E11:E17)</f>
        <v>5702</v>
      </c>
      <c r="F18" s="167"/>
      <c r="G18" s="165"/>
      <c r="H18" s="166">
        <f t="shared" ref="H18:O18" si="1">SUM(H15:H17)</f>
        <v>0</v>
      </c>
      <c r="I18" s="164">
        <f t="shared" si="1"/>
        <v>0</v>
      </c>
      <c r="J18" s="164">
        <f>SUM(J11:J17)</f>
        <v>0</v>
      </c>
      <c r="K18" s="164">
        <f>SUM(K11:K17)</f>
        <v>0</v>
      </c>
      <c r="L18" s="164">
        <f>SUM(L11:L17)</f>
        <v>0</v>
      </c>
      <c r="M18" s="164">
        <f>SUM(M11:M17)</f>
        <v>0</v>
      </c>
      <c r="N18" s="164">
        <f t="shared" si="1"/>
        <v>0</v>
      </c>
      <c r="O18" s="165">
        <f t="shared" si="1"/>
        <v>0</v>
      </c>
      <c r="P18" s="67"/>
      <c r="Q18" s="776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I19" s="2" t="s">
        <v>809</v>
      </c>
      <c r="J19" s="2" t="s">
        <v>810</v>
      </c>
      <c r="K19" s="2" t="s">
        <v>811</v>
      </c>
      <c r="P19" s="67"/>
      <c r="Q19" s="776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E20" s="2">
        <v>2245</v>
      </c>
      <c r="F20" s="2">
        <v>250</v>
      </c>
      <c r="G20" s="2">
        <v>7.0000000000000007E-2</v>
      </c>
      <c r="H20" s="2">
        <f>ROUND($E$20*G20,0)</f>
        <v>157</v>
      </c>
      <c r="I20" s="2">
        <f>ROUND(H20*1,0)</f>
        <v>157</v>
      </c>
      <c r="J20" s="2">
        <f>ROUND(H20*0,0)</f>
        <v>0</v>
      </c>
      <c r="K20" s="2">
        <f>H20-I20-J20</f>
        <v>0</v>
      </c>
      <c r="P20" s="67"/>
      <c r="Q20" s="776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F21" s="2">
        <v>300</v>
      </c>
      <c r="G21" s="2">
        <v>0.75</v>
      </c>
      <c r="H21" s="2">
        <f>ROUND($E$20*G21,0)</f>
        <v>1684</v>
      </c>
      <c r="I21" s="2">
        <f t="shared" ref="I21:I28" si="2">ROUND(H21*1,0)</f>
        <v>1684</v>
      </c>
      <c r="J21" s="2">
        <f t="shared" ref="J21:J28" si="3">ROUND(H21*0,0)</f>
        <v>0</v>
      </c>
      <c r="K21" s="2">
        <f t="shared" ref="K21:K28" si="4">H21-I21-J21</f>
        <v>0</v>
      </c>
      <c r="P21" s="67"/>
      <c r="Q21" s="776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F22" s="2">
        <v>400</v>
      </c>
      <c r="G22" s="2">
        <v>0.12</v>
      </c>
      <c r="H22" s="2">
        <f t="shared" ref="H22:H30" si="5">ROUND($E$20*G22,0)</f>
        <v>269</v>
      </c>
      <c r="I22" s="2">
        <f t="shared" si="2"/>
        <v>269</v>
      </c>
      <c r="J22" s="2">
        <f t="shared" si="3"/>
        <v>0</v>
      </c>
      <c r="K22" s="2">
        <f t="shared" si="4"/>
        <v>0</v>
      </c>
      <c r="P22" s="67"/>
      <c r="Q22" s="776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F23" s="2">
        <v>450</v>
      </c>
      <c r="G23" s="2">
        <v>0</v>
      </c>
      <c r="H23" s="2">
        <f t="shared" si="5"/>
        <v>0</v>
      </c>
      <c r="I23" s="2">
        <f t="shared" si="2"/>
        <v>0</v>
      </c>
      <c r="J23" s="2">
        <f t="shared" si="3"/>
        <v>0</v>
      </c>
      <c r="K23" s="2">
        <f t="shared" si="4"/>
        <v>0</v>
      </c>
      <c r="P23" s="67"/>
      <c r="Q23" s="776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F24" s="2">
        <v>500</v>
      </c>
      <c r="G24" s="2">
        <v>0.06</v>
      </c>
      <c r="H24" s="2">
        <f t="shared" si="5"/>
        <v>135</v>
      </c>
      <c r="I24" s="2">
        <f t="shared" si="2"/>
        <v>135</v>
      </c>
      <c r="J24" s="2">
        <f t="shared" si="3"/>
        <v>0</v>
      </c>
      <c r="K24" s="2">
        <f t="shared" si="4"/>
        <v>0</v>
      </c>
      <c r="P24" s="67"/>
      <c r="Q24" s="776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F25" s="2">
        <v>600</v>
      </c>
      <c r="G25" s="2">
        <v>0</v>
      </c>
      <c r="H25" s="2">
        <f t="shared" si="5"/>
        <v>0</v>
      </c>
      <c r="I25" s="2">
        <f t="shared" si="2"/>
        <v>0</v>
      </c>
      <c r="J25" s="2">
        <f t="shared" si="3"/>
        <v>0</v>
      </c>
      <c r="K25" s="2">
        <f t="shared" si="4"/>
        <v>0</v>
      </c>
      <c r="P25" s="67"/>
      <c r="Q25" s="776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700</v>
      </c>
      <c r="G26" s="2">
        <v>0</v>
      </c>
      <c r="H26" s="2">
        <f t="shared" si="5"/>
        <v>0</v>
      </c>
      <c r="I26" s="2">
        <f t="shared" si="2"/>
        <v>0</v>
      </c>
      <c r="J26" s="2">
        <f t="shared" si="3"/>
        <v>0</v>
      </c>
      <c r="K26" s="2">
        <f t="shared" si="4"/>
        <v>0</v>
      </c>
      <c r="P26" s="67"/>
      <c r="Q26" s="776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800</v>
      </c>
      <c r="G27" s="2">
        <v>0</v>
      </c>
      <c r="H27" s="2">
        <f t="shared" si="5"/>
        <v>0</v>
      </c>
      <c r="I27" s="2">
        <f t="shared" si="2"/>
        <v>0</v>
      </c>
      <c r="J27" s="2">
        <f t="shared" si="3"/>
        <v>0</v>
      </c>
      <c r="K27" s="2">
        <f t="shared" si="4"/>
        <v>0</v>
      </c>
      <c r="P27" s="67"/>
      <c r="Q27" s="776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900</v>
      </c>
      <c r="G28" s="2">
        <v>0</v>
      </c>
      <c r="H28" s="2">
        <f t="shared" si="5"/>
        <v>0</v>
      </c>
      <c r="I28" s="2">
        <f t="shared" si="2"/>
        <v>0</v>
      </c>
      <c r="J28" s="2">
        <f t="shared" si="3"/>
        <v>0</v>
      </c>
      <c r="K28" s="2">
        <f t="shared" si="4"/>
        <v>0</v>
      </c>
      <c r="Q28" s="776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1000</v>
      </c>
      <c r="G29" s="2">
        <v>0</v>
      </c>
      <c r="H29" s="2">
        <f t="shared" si="5"/>
        <v>0</v>
      </c>
      <c r="I29" s="2">
        <f>ROUND(H29*0.8,0)</f>
        <v>0</v>
      </c>
      <c r="J29" s="2">
        <f>ROUND(H29*0.15,0)</f>
        <v>0</v>
      </c>
      <c r="K29" s="2">
        <f>H29-I29-J29</f>
        <v>0</v>
      </c>
      <c r="Q29" s="776"/>
      <c r="R29" s="272">
        <v>500</v>
      </c>
      <c r="S29" s="44">
        <v>711507</v>
      </c>
      <c r="T29" s="44">
        <v>999476</v>
      </c>
    </row>
    <row r="30" spans="1:23" ht="20.100000000000001" customHeight="1">
      <c r="F30" s="2">
        <v>1200</v>
      </c>
      <c r="G30" s="2">
        <v>0</v>
      </c>
      <c r="H30" s="2">
        <f t="shared" si="5"/>
        <v>0</v>
      </c>
      <c r="I30" s="2">
        <f>ROUND(H30*0.8,0)</f>
        <v>0</v>
      </c>
      <c r="J30" s="2">
        <f>ROUND(H30*0.15,0)</f>
        <v>0</v>
      </c>
      <c r="K30" s="2">
        <f>H30-I30-J30</f>
        <v>0</v>
      </c>
      <c r="Q30" s="776"/>
      <c r="R30" s="272">
        <v>600</v>
      </c>
      <c r="S30" s="44">
        <v>810869</v>
      </c>
      <c r="T30" s="44">
        <v>1121644</v>
      </c>
    </row>
    <row r="31" spans="1:23" ht="20.100000000000001" customHeight="1">
      <c r="P31" s="67"/>
      <c r="Q31" s="776"/>
      <c r="R31" s="272">
        <v>700</v>
      </c>
      <c r="S31" s="44">
        <v>919311</v>
      </c>
      <c r="T31" s="44">
        <v>1238972</v>
      </c>
    </row>
    <row r="32" spans="1:23" ht="20.100000000000001" customHeight="1">
      <c r="P32" s="29"/>
      <c r="Q32" s="776"/>
      <c r="R32" s="272">
        <v>800</v>
      </c>
      <c r="S32" s="44">
        <v>1030780</v>
      </c>
      <c r="T32" s="44">
        <v>1359468</v>
      </c>
    </row>
    <row r="33" spans="16:20" ht="20.100000000000001" customHeight="1">
      <c r="P33" s="45"/>
      <c r="Q33" s="776"/>
      <c r="R33" s="272">
        <v>900</v>
      </c>
      <c r="S33" s="44">
        <v>1120686</v>
      </c>
      <c r="T33" s="44">
        <v>1458352</v>
      </c>
    </row>
    <row r="34" spans="16:20" ht="20.100000000000001" customHeight="1">
      <c r="P34" s="45"/>
      <c r="Q34" s="776"/>
      <c r="R34" s="272">
        <v>1000</v>
      </c>
      <c r="S34" s="44">
        <v>1252157</v>
      </c>
      <c r="T34" s="44">
        <v>1598943</v>
      </c>
    </row>
    <row r="35" spans="16:20" ht="20.100000000000001" customHeight="1">
      <c r="P35" s="35"/>
      <c r="Q35" s="776"/>
      <c r="R35" s="272">
        <v>1200</v>
      </c>
      <c r="S35" s="44">
        <v>1519329</v>
      </c>
      <c r="T35" s="44">
        <v>1897235</v>
      </c>
    </row>
    <row r="36" spans="16:20" ht="20.100000000000001" customHeight="1">
      <c r="P36" s="35"/>
      <c r="Q36" s="776" t="s">
        <v>519</v>
      </c>
      <c r="R36" s="272" t="s">
        <v>79</v>
      </c>
      <c r="S36" s="44">
        <v>1813280</v>
      </c>
      <c r="T36" s="44">
        <v>2098936</v>
      </c>
    </row>
    <row r="37" spans="16:20" ht="20.100000000000001" customHeight="1">
      <c r="P37" s="36"/>
      <c r="Q37" s="776"/>
      <c r="R37" s="272" t="s">
        <v>80</v>
      </c>
      <c r="S37" s="44">
        <v>1980997</v>
      </c>
      <c r="T37" s="44">
        <v>2266643</v>
      </c>
    </row>
    <row r="38" spans="16:20" ht="20.100000000000001" customHeight="1">
      <c r="P38" s="35"/>
      <c r="Q38" s="776"/>
      <c r="R38" s="272" t="s">
        <v>81</v>
      </c>
      <c r="S38" s="44">
        <v>2008266</v>
      </c>
      <c r="T38" s="44">
        <v>2293922</v>
      </c>
    </row>
    <row r="39" spans="16:20" ht="20.100000000000001" customHeight="1">
      <c r="P39" s="35"/>
      <c r="Q39" s="776"/>
      <c r="R39" s="272" t="s">
        <v>82</v>
      </c>
      <c r="S39" s="44">
        <v>2087044</v>
      </c>
      <c r="T39" s="44">
        <v>2432231</v>
      </c>
    </row>
    <row r="40" spans="16:20" ht="20.100000000000001" customHeight="1">
      <c r="P40" s="35"/>
      <c r="Q40" s="776"/>
      <c r="R40" s="272" t="s">
        <v>83</v>
      </c>
      <c r="S40" s="44">
        <v>2235747</v>
      </c>
      <c r="T40" s="44">
        <v>2580933</v>
      </c>
    </row>
    <row r="41" spans="16:20" ht="20.100000000000001" customHeight="1">
      <c r="P41" s="35"/>
      <c r="Q41" s="776"/>
      <c r="R41" s="272" t="s">
        <v>84</v>
      </c>
      <c r="S41" s="44">
        <v>2493065</v>
      </c>
      <c r="T41" s="44">
        <v>2838251</v>
      </c>
    </row>
    <row r="42" spans="16:20" ht="20.100000000000001" customHeight="1">
      <c r="P42" s="35"/>
      <c r="Q42" s="776"/>
      <c r="R42" s="272" t="s">
        <v>85</v>
      </c>
      <c r="S42" s="44">
        <v>2688377</v>
      </c>
      <c r="T42" s="44">
        <v>3033563</v>
      </c>
    </row>
    <row r="43" spans="16:20" ht="20.100000000000001" customHeight="1">
      <c r="P43" s="35"/>
      <c r="Q43" s="776"/>
      <c r="R43" s="272" t="s">
        <v>86</v>
      </c>
      <c r="S43" s="44">
        <v>2712639</v>
      </c>
      <c r="T43" s="44">
        <v>3057825</v>
      </c>
    </row>
    <row r="44" spans="16:20" ht="20.100000000000001" customHeight="1">
      <c r="P44" s="35"/>
      <c r="Q44" s="776"/>
      <c r="R44" s="272" t="s">
        <v>87</v>
      </c>
      <c r="S44" s="44">
        <v>3180065</v>
      </c>
      <c r="T44" s="44">
        <v>3525251</v>
      </c>
    </row>
    <row r="45" spans="16:20" ht="20.100000000000001" customHeight="1">
      <c r="P45" s="35"/>
      <c r="Q45" s="776"/>
      <c r="R45" s="272" t="s">
        <v>88</v>
      </c>
      <c r="S45" s="44">
        <v>3443537</v>
      </c>
      <c r="T45" s="44">
        <v>3966580</v>
      </c>
    </row>
    <row r="46" spans="16:20" ht="20.100000000000001" customHeight="1">
      <c r="P46" s="36"/>
      <c r="Q46" s="776"/>
      <c r="R46" s="272" t="s">
        <v>89</v>
      </c>
      <c r="S46" s="44">
        <v>3790171</v>
      </c>
      <c r="T46" s="44">
        <v>4313203</v>
      </c>
    </row>
    <row r="47" spans="16:20" ht="20.100000000000001" customHeight="1">
      <c r="P47" s="67"/>
      <c r="Q47" s="776"/>
      <c r="R47" s="272" t="s">
        <v>90</v>
      </c>
      <c r="S47" s="44">
        <v>4445958</v>
      </c>
      <c r="T47" s="44">
        <v>4968990</v>
      </c>
    </row>
    <row r="48" spans="16:20" ht="20.100000000000001" customHeight="1">
      <c r="P48" s="73"/>
      <c r="Q48" s="776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76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76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76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Q3:Q4"/>
    <mergeCell ref="R3:R4"/>
    <mergeCell ref="S3:T3"/>
    <mergeCell ref="Q5:Q15"/>
    <mergeCell ref="A9:A10"/>
    <mergeCell ref="B9:B10"/>
    <mergeCell ref="C9:C10"/>
    <mergeCell ref="D9:D10"/>
    <mergeCell ref="E9:E10"/>
    <mergeCell ref="F9:F10"/>
    <mergeCell ref="A11:A17"/>
    <mergeCell ref="B11:B17"/>
    <mergeCell ref="Q26:Q35"/>
    <mergeCell ref="Q36:Q51"/>
    <mergeCell ref="G9:G10"/>
    <mergeCell ref="H9:I9"/>
    <mergeCell ref="J9:K9"/>
    <mergeCell ref="L9:M9"/>
    <mergeCell ref="N9:O9"/>
    <mergeCell ref="Q16:Q2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244</v>
      </c>
      <c r="G1" s="3"/>
      <c r="H1" s="3"/>
    </row>
    <row r="2" spans="1:20" ht="20.100000000000001" customHeight="1">
      <c r="A2" s="2" t="s">
        <v>0</v>
      </c>
      <c r="G2" s="3"/>
      <c r="H2" s="3"/>
    </row>
    <row r="3" spans="1:20" ht="20.100000000000001" customHeight="1">
      <c r="A3" s="4" t="s">
        <v>402</v>
      </c>
      <c r="G3" s="5"/>
      <c r="H3" s="6" t="s">
        <v>1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2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G5" s="5"/>
      <c r="H5" s="6" t="s">
        <v>3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</v>
      </c>
      <c r="G6" s="5"/>
      <c r="H6" s="6" t="s">
        <v>5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6</v>
      </c>
      <c r="G7" s="5"/>
      <c r="H7" s="6" t="s">
        <v>7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76" t="s">
        <v>8</v>
      </c>
      <c r="B8" s="105" t="s">
        <v>9</v>
      </c>
      <c r="C8" s="103" t="s">
        <v>10</v>
      </c>
      <c r="D8" s="103" t="s">
        <v>11</v>
      </c>
      <c r="E8" s="103" t="s">
        <v>12</v>
      </c>
      <c r="F8" s="104" t="s">
        <v>13</v>
      </c>
      <c r="G8" s="5"/>
      <c r="H8" s="6" t="s">
        <v>14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15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16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17</v>
      </c>
      <c r="B10" s="107">
        <v>0</v>
      </c>
      <c r="C10" s="96">
        <v>0</v>
      </c>
      <c r="D10" s="96">
        <v>0</v>
      </c>
      <c r="E10" s="96">
        <v>0</v>
      </c>
      <c r="F10" s="95"/>
      <c r="G10" s="5"/>
      <c r="H10" s="6" t="s">
        <v>18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19</v>
      </c>
      <c r="B11" s="107">
        <v>0</v>
      </c>
      <c r="C11" s="96">
        <v>0</v>
      </c>
      <c r="D11" s="96">
        <v>0</v>
      </c>
      <c r="E11" s="96">
        <v>0</v>
      </c>
      <c r="F11" s="95"/>
      <c r="G11" s="5"/>
      <c r="H11" s="6" t="s">
        <v>20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21</v>
      </c>
      <c r="B12" s="107">
        <v>0</v>
      </c>
      <c r="C12" s="96">
        <v>0</v>
      </c>
      <c r="D12" s="96">
        <v>0</v>
      </c>
      <c r="E12" s="96">
        <v>0</v>
      </c>
      <c r="F12" s="95"/>
      <c r="G12" s="5"/>
      <c r="H12" s="6" t="s">
        <v>22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23</v>
      </c>
      <c r="B13" s="107">
        <v>0</v>
      </c>
      <c r="C13" s="96">
        <v>0</v>
      </c>
      <c r="D13" s="96">
        <v>0</v>
      </c>
      <c r="E13" s="96">
        <v>0</v>
      </c>
      <c r="F13" s="95"/>
      <c r="G13" s="5"/>
      <c r="H13" s="6" t="s">
        <v>24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25</v>
      </c>
      <c r="B14" s="108">
        <v>0</v>
      </c>
      <c r="C14" s="97">
        <v>0</v>
      </c>
      <c r="D14" s="97">
        <f>IFERROR(D12+((D13-D12)/(D11-D10))*(D9-D10),0)</f>
        <v>0</v>
      </c>
      <c r="E14" s="98">
        <v>0</v>
      </c>
      <c r="F14" s="99"/>
      <c r="G14" s="5"/>
      <c r="H14" s="6" t="s">
        <v>26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 t="s">
        <v>58</v>
      </c>
      <c r="G15" s="5"/>
      <c r="H15" s="6" t="s">
        <v>27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28</v>
      </c>
      <c r="D16" s="12"/>
      <c r="G16" s="5"/>
      <c r="H16" s="5"/>
      <c r="I16" s="13">
        <f>ROUND((I6+I7+I8+I9+I10+I11+I12+I15)*1.1,0)</f>
        <v>4942</v>
      </c>
      <c r="J16" s="13">
        <f>ROUND((J6+J7+J8+J9+J10+J11+J12+J15)*1.1,0)</f>
        <v>7438</v>
      </c>
      <c r="K16" s="13">
        <f>ROUND((K6+K7+K8+K9+K10+K11+K12+K15)*1.1,0)</f>
        <v>8718</v>
      </c>
      <c r="M16" s="13">
        <f>ROUND((P4+O5+M6+M7+M8+M9+M10+M11+M12+M15)*1.1,0)</f>
        <v>20402</v>
      </c>
      <c r="P16" s="13">
        <f>ROUND((P6+P7+P8+P9+P10+P11+P12+P15)*1.08,0)</f>
        <v>21639</v>
      </c>
      <c r="Q16" s="13">
        <f>ROUND((Q6+Q7+Q8+Q9+Q10+Q11+Q12+Q15)*1.08,0)</f>
        <v>29670</v>
      </c>
    </row>
    <row r="17" spans="1:16" ht="20.100000000000001" customHeight="1">
      <c r="A17" s="14"/>
      <c r="B17" s="15"/>
      <c r="C17" s="15"/>
      <c r="D17" s="15"/>
      <c r="E17" s="15"/>
      <c r="F17" s="8" t="s">
        <v>29</v>
      </c>
      <c r="G17" s="16"/>
      <c r="H17" s="16" t="s">
        <v>30</v>
      </c>
    </row>
    <row r="18" spans="1:16" ht="20.100000000000001" customHeight="1">
      <c r="A18" s="76" t="s">
        <v>31</v>
      </c>
      <c r="B18" s="105" t="s">
        <v>32</v>
      </c>
      <c r="C18" s="103" t="s">
        <v>33</v>
      </c>
      <c r="D18" s="103" t="s">
        <v>34</v>
      </c>
      <c r="E18" s="103" t="s">
        <v>35</v>
      </c>
      <c r="F18" s="104" t="s">
        <v>36</v>
      </c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20" t="s">
        <v>42</v>
      </c>
      <c r="B19" s="117">
        <f>+B14</f>
        <v>0</v>
      </c>
      <c r="C19" s="115">
        <f>+C14</f>
        <v>0</v>
      </c>
      <c r="D19" s="115">
        <f>+D14</f>
        <v>0</v>
      </c>
      <c r="E19" s="115">
        <f>+E14</f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43</v>
      </c>
      <c r="B20" s="118">
        <f>IFERROR(INDEX($H$19:$L$35,MATCH(B19,$H$19:$H$35,1),1),0)</f>
        <v>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</v>
      </c>
      <c r="B21" s="118">
        <f>IFERROR(INDEX($H$19:$L$35,MATCH(B19,$H$19:$H$35,1)+1,1),0)</f>
        <v>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45</v>
      </c>
      <c r="B22" s="141">
        <f>IFERROR(INDEX($H$19:$L$35,MATCH(B19,$H$19:$H$35,1),2)+INDEX($H$19:$L$35,MATCH(B19,$H$19:$H$35,1),3),0)</f>
        <v>0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</v>
      </c>
      <c r="B23" s="141">
        <f>IFERROR(INDEX($H$19:$L$35,MATCH(B19,$H$19:$H$35,1)+1,2)+INDEX($H$19:$L$35,MATCH(B19,$H$19:$H$35,1)+1,3),0)</f>
        <v>0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47</v>
      </c>
      <c r="B24" s="141">
        <f>IFERROR(B22+((B23-B22)/(B21-B20))*(B19-B20),0)</f>
        <v>0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</v>
      </c>
      <c r="B25" s="97">
        <f>+ROUND(B19*B24,0)</f>
        <v>0</v>
      </c>
      <c r="C25" s="97">
        <f>+ROUND(C19*C24,0)</f>
        <v>0</v>
      </c>
      <c r="D25" s="97">
        <f>+ROUND(D19*D24,0)</f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49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29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76" t="s">
        <v>31</v>
      </c>
      <c r="B29" s="105" t="s">
        <v>32</v>
      </c>
      <c r="C29" s="103" t="s">
        <v>33</v>
      </c>
      <c r="D29" s="103" t="s">
        <v>34</v>
      </c>
      <c r="E29" s="103" t="s">
        <v>35</v>
      </c>
      <c r="F29" s="104" t="s">
        <v>36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42</v>
      </c>
      <c r="B30" s="117">
        <f>+B19</f>
        <v>0</v>
      </c>
      <c r="C30" s="115">
        <f>+C19</f>
        <v>0</v>
      </c>
      <c r="D30" s="117">
        <f>+D19</f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43</v>
      </c>
      <c r="B31" s="112">
        <v>0</v>
      </c>
      <c r="C31" s="112">
        <v>0</v>
      </c>
      <c r="D31" s="112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</v>
      </c>
      <c r="B32" s="112">
        <v>0</v>
      </c>
      <c r="C32" s="112">
        <v>0</v>
      </c>
      <c r="D32" s="112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45</v>
      </c>
      <c r="B33" s="135">
        <v>0</v>
      </c>
      <c r="C33" s="135">
        <v>0</v>
      </c>
      <c r="D33" s="135">
        <v>0</v>
      </c>
      <c r="E33" s="135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</v>
      </c>
      <c r="B34" s="135">
        <v>0</v>
      </c>
      <c r="C34" s="135">
        <v>0</v>
      </c>
      <c r="D34" s="135">
        <v>0</v>
      </c>
      <c r="E34" s="135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47</v>
      </c>
      <c r="B35" s="135">
        <f>B34</f>
        <v>0</v>
      </c>
      <c r="C35" s="135">
        <f>C34</f>
        <v>0</v>
      </c>
      <c r="D35" s="135">
        <f>D34</f>
        <v>0</v>
      </c>
      <c r="E35" s="135">
        <f>E34</f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50</v>
      </c>
      <c r="B36" s="97">
        <f>+ROUND(B30*B35,0)</f>
        <v>0</v>
      </c>
      <c r="C36" s="97">
        <f>+ROUND(C30*C35,0)</f>
        <v>0</v>
      </c>
      <c r="D36" s="97">
        <f>+ROUND(D30*D35,0)</f>
        <v>0</v>
      </c>
      <c r="E36" s="98">
        <v>0</v>
      </c>
      <c r="F36" s="114"/>
      <c r="G36" s="9"/>
      <c r="H36" s="9" t="s">
        <v>51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52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76" t="s">
        <v>31</v>
      </c>
      <c r="B40" s="105" t="s">
        <v>32</v>
      </c>
      <c r="C40" s="103" t="s">
        <v>33</v>
      </c>
      <c r="D40" s="103" t="s">
        <v>34</v>
      </c>
      <c r="E40" s="103" t="s">
        <v>35</v>
      </c>
      <c r="F40" s="104" t="s">
        <v>36</v>
      </c>
      <c r="G40" s="9"/>
      <c r="H40" s="9"/>
    </row>
    <row r="41" spans="1:17" ht="20.100000000000001" customHeight="1">
      <c r="A41" s="120" t="s">
        <v>42</v>
      </c>
      <c r="B41" s="117">
        <f>+B19</f>
        <v>0</v>
      </c>
      <c r="C41" s="115">
        <f>+C19</f>
        <v>0</v>
      </c>
      <c r="D41" s="115">
        <f>+D19</f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43</v>
      </c>
      <c r="B42" s="118">
        <f>IFERROR(INDEX($H$19:$L$35,MATCH(B14,$H$19:$H$35,1),1),0)</f>
        <v>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0</v>
      </c>
      <c r="F42" s="113"/>
      <c r="G42" s="9"/>
    </row>
    <row r="43" spans="1:17" ht="20.100000000000001" customHeight="1">
      <c r="A43" s="110" t="s">
        <v>44</v>
      </c>
      <c r="B43" s="118">
        <f>IFERROR(INDEX($H$19:$L$35,MATCH(B14,$H$19:$H$35,1)+1,1),0)</f>
        <v>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0</v>
      </c>
      <c r="F43" s="113"/>
    </row>
    <row r="44" spans="1:17" ht="20.100000000000001" customHeight="1">
      <c r="A44" s="110" t="s">
        <v>45</v>
      </c>
      <c r="B44" s="141">
        <f>IFERROR(INDEX($H$19:$L$35,MATCH(B14,$H$19:$H$35,1),5),0)</f>
        <v>0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0</v>
      </c>
      <c r="F44" s="113"/>
    </row>
    <row r="45" spans="1:17" ht="20.100000000000001" customHeight="1">
      <c r="A45" s="110" t="s">
        <v>46</v>
      </c>
      <c r="B45" s="141">
        <f>IFERROR(INDEX($H$19:$L$35,MATCH(B14,$H$19:$H$35,1)+1,5),0)</f>
        <v>0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0</v>
      </c>
      <c r="F45" s="113"/>
    </row>
    <row r="46" spans="1:17" ht="20.100000000000001" customHeight="1">
      <c r="A46" s="110" t="s">
        <v>47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54</v>
      </c>
      <c r="B47" s="97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31</v>
      </c>
      <c r="B51" s="105" t="s">
        <v>32</v>
      </c>
      <c r="C51" s="103" t="s">
        <v>33</v>
      </c>
      <c r="D51" s="103" t="s">
        <v>34</v>
      </c>
      <c r="E51" s="103" t="s">
        <v>35</v>
      </c>
      <c r="F51" s="104" t="s">
        <v>36</v>
      </c>
    </row>
    <row r="52" spans="1:6" ht="20.100000000000001" customHeight="1">
      <c r="A52" s="131" t="s">
        <v>25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50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8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+'가.굴착교체(금왕-우수)'!E30</f>
        <v>2676</v>
      </c>
      <c r="C5" s="101">
        <f>+'가.굴착교체(금왕-우수)'!G30</f>
        <v>2753</v>
      </c>
      <c r="D5" s="101">
        <f>+'가.굴착교체(금왕-우수)'!I30</f>
        <v>942</v>
      </c>
      <c r="E5" s="101">
        <f>+'가.굴착교체(금왕-우수)'!K30</f>
        <v>910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2676</v>
      </c>
      <c r="C6" s="97">
        <f>SUM(C5:C5)</f>
        <v>2753</v>
      </c>
      <c r="D6" s="97">
        <f>SUM(D5:D5)</f>
        <v>942</v>
      </c>
      <c r="E6" s="97">
        <f>SUM(E5:E5)</f>
        <v>910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2676</v>
      </c>
      <c r="C11" s="117">
        <f>+C6</f>
        <v>2753</v>
      </c>
      <c r="D11" s="117">
        <f>+D6</f>
        <v>942</v>
      </c>
      <c r="E11" s="117">
        <f>+E6</f>
        <v>910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2000</v>
      </c>
      <c r="C12" s="118">
        <f>IFERROR(INDEX($H$15:$L$31,MATCH(C11,$H$15:$H$31,1),1),0)</f>
        <v>2000</v>
      </c>
      <c r="D12" s="118">
        <f>IFERROR(INDEX($H$15:$L$31,MATCH(D11,$H$15:$H$31,1),1),0)</f>
        <v>500</v>
      </c>
      <c r="E12" s="118">
        <f>IFERROR(INDEX($H$15:$L$31,MATCH(E11,$H$15:$H$31,1),1),0)</f>
        <v>500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3000</v>
      </c>
      <c r="C13" s="118">
        <f>IFERROR(INDEX($H$15:$L$31,MATCH(C11,$H$15:$H$31,1)+1,1),0)</f>
        <v>3000</v>
      </c>
      <c r="D13" s="118">
        <f>IFERROR(INDEX($H$15:$L$31,MATCH(D11,$H$15:$H$31,1)+1,1),0)</f>
        <v>1000</v>
      </c>
      <c r="E13" s="118">
        <f>IFERROR(INDEX($H$15:$L$31,MATCH(E11,$H$15:$H$31,1)+1,1),0)</f>
        <v>1000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4.9000000000000002E-2</v>
      </c>
      <c r="C14" s="141">
        <f>IFERROR(INDEX($H$15:$L$31,MATCH(C11,$H$15:$H$31,1),2)+INDEX($H$15:$L$31,MATCH(C11,$H$15:$H$31,1),3),0)</f>
        <v>4.9000000000000002E-2</v>
      </c>
      <c r="D14" s="141">
        <f>IFERROR(INDEX($H$15:$L$31,MATCH(D11,$H$15:$H$31,1),2)+INDEX($H$15:$L$31,MATCH(D11,$H$15:$H$31,1),3),0)</f>
        <v>6.0399999999999995E-2</v>
      </c>
      <c r="E14" s="141">
        <f>IFERROR(INDEX($H$15:$L$31,MATCH(E11,$H$15:$H$31,1),2)+INDEX($H$15:$L$31,MATCH(E11,$H$15:$H$31,1),3),0)</f>
        <v>6.0399999999999995E-2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4.7200000000000006E-2</v>
      </c>
      <c r="C15" s="141">
        <f>IFERROR(INDEX($H$15:$L$31,MATCH(C11,$H$15:$H$31,1)+1,2)+INDEX($H$15:$L$31,MATCH(C11,$H$15:$H$31,1)+1,3),0)</f>
        <v>4.7200000000000006E-2</v>
      </c>
      <c r="D15" s="141">
        <f>IFERROR(INDEX($H$15:$L$31,MATCH(D11,$H$15:$H$31,1)+1,2)+INDEX($H$15:$L$31,MATCH(D11,$H$15:$H$31,1)+1,3),0)</f>
        <v>5.3199999999999997E-2</v>
      </c>
      <c r="E15" s="141">
        <f>IFERROR(INDEX($H$15:$L$31,MATCH(E11,$H$15:$H$31,1)+1,2)+INDEX($H$15:$L$31,MATCH(E11,$H$15:$H$31,1)+1,3),0)</f>
        <v>5.3199999999999997E-2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4.7783200000000005E-2</v>
      </c>
      <c r="C16" s="141">
        <f>IFERROR(C14+((C15-C14)/(C13-C12))*(C11-C12),0)</f>
        <v>4.7644600000000002E-2</v>
      </c>
      <c r="D16" s="141">
        <f>IFERROR(D14+((D15-D14)/(D13-D12))*(D11-D12),0)</f>
        <v>5.4035199999999999E-2</v>
      </c>
      <c r="E16" s="141">
        <f>IFERROR(E14+((E15-E14)/(E13-E12))*(E11-E12),0)</f>
        <v>5.4495999999999996E-2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128</v>
      </c>
      <c r="C17" s="97">
        <f>+ROUND(C11*C16,0)</f>
        <v>131</v>
      </c>
      <c r="D17" s="97">
        <f>+ROUND(D11*D16,0)</f>
        <v>51</v>
      </c>
      <c r="E17" s="108">
        <f>+ROUND(E11*E16,0)</f>
        <v>50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2676</v>
      </c>
      <c r="C22" s="117">
        <f>+C11</f>
        <v>2753</v>
      </c>
      <c r="D22" s="117">
        <f>+D11</f>
        <v>942</v>
      </c>
      <c r="E22" s="117">
        <f>+E11</f>
        <v>910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4">
        <f>I34</f>
        <v>9.3699999999999992E-2</v>
      </c>
      <c r="C25" s="174">
        <f>I34</f>
        <v>9.3699999999999992E-2</v>
      </c>
      <c r="D25" s="174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4">
        <f>I34</f>
        <v>9.3699999999999992E-2</v>
      </c>
      <c r="C26" s="174">
        <f>I34</f>
        <v>9.3699999999999992E-2</v>
      </c>
      <c r="D26" s="174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74">
        <f>I34</f>
        <v>9.3699999999999992E-2</v>
      </c>
      <c r="C27" s="174">
        <f>I34</f>
        <v>9.3699999999999992E-2</v>
      </c>
      <c r="D27" s="174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251</v>
      </c>
      <c r="C28" s="97">
        <f>+ROUND(C22*C27,0)</f>
        <v>258</v>
      </c>
      <c r="D28" s="97">
        <f>+ROUND(D22*D27,0)</f>
        <v>88</v>
      </c>
      <c r="E28" s="97">
        <f>+ROUND(E22*E27,0)</f>
        <v>85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2676</v>
      </c>
      <c r="C33" s="117">
        <f>+C11</f>
        <v>2753</v>
      </c>
      <c r="D33" s="117">
        <f>+D11</f>
        <v>942</v>
      </c>
      <c r="E33" s="117">
        <f>+E11</f>
        <v>910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2000</v>
      </c>
      <c r="C34" s="118">
        <f>IFERROR(INDEX($H$15:$L$31,MATCH(C6,$H$15:$H$31,1),1),0)</f>
        <v>2000</v>
      </c>
      <c r="D34" s="118">
        <f>IFERROR(INDEX($H$15:$L$31,MATCH(D6,$H$15:$H$31,1),1),0)</f>
        <v>500</v>
      </c>
      <c r="E34" s="118">
        <f>IFERROR(INDEX($H$15:$L$31,MATCH(E6,$H$15:$H$31,1),1),0)</f>
        <v>500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3000</v>
      </c>
      <c r="C35" s="118">
        <f>IFERROR(INDEX($H$15:$L$31,MATCH(C6,$H$15:$H$31,1)+1,1),0)</f>
        <v>3000</v>
      </c>
      <c r="D35" s="118">
        <f>IFERROR(INDEX($H$15:$L$31,MATCH(D6,$H$15:$H$31,1)+1,1),0)</f>
        <v>1000</v>
      </c>
      <c r="E35" s="118">
        <f>IFERROR(INDEX($H$15:$L$31,MATCH(E6,$H$15:$H$31,1)+1,1),0)</f>
        <v>1000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3.5999999999999999E-3</v>
      </c>
      <c r="C36" s="141">
        <f>IFERROR(INDEX($H$15:$L$31,MATCH(C6,$H$15:$H$31,1),5),0)</f>
        <v>3.5999999999999999E-3</v>
      </c>
      <c r="D36" s="141">
        <f>IFERROR(INDEX($H$15:$L$31,MATCH(D6,$H$15:$H$31,1),5),0)</f>
        <v>7.1999999999999998E-3</v>
      </c>
      <c r="E36" s="141">
        <f>IFERROR(INDEX($H$15:$L$31,MATCH(E6,$H$15:$H$31,1),5),0)</f>
        <v>7.1999999999999998E-3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3.5999999999999999E-3</v>
      </c>
      <c r="D37" s="141">
        <f>IFERROR(INDEX($H$15:$L$31,MATCH(D6,$H$15:$H$31,1)+1,5),0)</f>
        <v>6.3E-3</v>
      </c>
      <c r="E37" s="141">
        <f>IFERROR(INDEX($H$15:$L$31,MATCH(E6,$H$15:$H$31,1)+1,5),0)</f>
        <v>6.3E-3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3.5999999999999999E-3</v>
      </c>
      <c r="C38" s="141">
        <f>IFERROR(C36+((C37-C36)/(C35-C34))*(C33-C34),0)</f>
        <v>3.5999999999999999E-3</v>
      </c>
      <c r="D38" s="141">
        <f>IFERROR(D36+((D37-D36)/(D35-D34))*(D33-D34),0)</f>
        <v>6.4044000000000002E-3</v>
      </c>
      <c r="E38" s="141">
        <f>IFERROR(E36+((E37-E36)/(E35-E34))*(E33-E34),0)</f>
        <v>6.4619999999999999E-3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10</v>
      </c>
      <c r="C39" s="97">
        <f>+ROUND(C33*C38,0)</f>
        <v>10</v>
      </c>
      <c r="D39" s="97">
        <f>+ROUND(D33*D38,0)</f>
        <v>6</v>
      </c>
      <c r="E39" s="108">
        <f>+ROUND(E33*E38,0)</f>
        <v>6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2676</v>
      </c>
      <c r="C44" s="126">
        <f>+C6</f>
        <v>2753</v>
      </c>
      <c r="D44" s="126">
        <f>+D6</f>
        <v>942</v>
      </c>
      <c r="E44" s="126">
        <f>+E6</f>
        <v>910</v>
      </c>
      <c r="F44" s="127"/>
    </row>
    <row r="45" spans="1:17" ht="18.600000000000001" customHeight="1">
      <c r="A45" s="132" t="s">
        <v>480</v>
      </c>
      <c r="B45" s="129">
        <f>+B17</f>
        <v>128</v>
      </c>
      <c r="C45" s="121">
        <f>+C17</f>
        <v>131</v>
      </c>
      <c r="D45" s="121">
        <f>+D17</f>
        <v>51</v>
      </c>
      <c r="E45" s="121">
        <f>+E17</f>
        <v>50</v>
      </c>
      <c r="F45" s="122"/>
    </row>
    <row r="46" spans="1:17" ht="18.600000000000001" customHeight="1">
      <c r="A46" s="132" t="s">
        <v>475</v>
      </c>
      <c r="B46" s="129">
        <f>+B28</f>
        <v>251</v>
      </c>
      <c r="C46" s="121">
        <f>+C28</f>
        <v>258</v>
      </c>
      <c r="D46" s="121">
        <f>+D28</f>
        <v>88</v>
      </c>
      <c r="E46" s="121">
        <f>+E28</f>
        <v>85</v>
      </c>
      <c r="F46" s="122"/>
    </row>
    <row r="47" spans="1:17" ht="18.600000000000001" customHeight="1">
      <c r="A47" s="132" t="s">
        <v>478</v>
      </c>
      <c r="B47" s="129">
        <f>+B39</f>
        <v>10</v>
      </c>
      <c r="C47" s="121">
        <f>+C39</f>
        <v>10</v>
      </c>
      <c r="D47" s="121">
        <f>+D39</f>
        <v>6</v>
      </c>
      <c r="E47" s="121">
        <f>+E39</f>
        <v>6</v>
      </c>
      <c r="F47" s="122"/>
    </row>
    <row r="48" spans="1:17" ht="18.600000000000001" customHeight="1">
      <c r="A48" s="133" t="s">
        <v>481</v>
      </c>
      <c r="B48" s="130">
        <f>SUM(B44:B47)</f>
        <v>3065</v>
      </c>
      <c r="C48" s="123">
        <f>SUM(C44:C47)</f>
        <v>3152</v>
      </c>
      <c r="D48" s="123">
        <f>SUM(D44:D47)</f>
        <v>1087</v>
      </c>
      <c r="E48" s="123">
        <f>SUM(E44:E47)</f>
        <v>1051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7" zoomScaleNormal="100" zoomScaleSheetLayoutView="100" workbookViewId="0"/>
    <sheetView topLeftCell="A7" workbookViewId="1">
      <selection activeCell="E29" sqref="E29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16" ht="20.100000000000001" customHeight="1">
      <c r="A4" s="40" t="s">
        <v>683</v>
      </c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76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76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76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76"/>
      <c r="N8" s="272">
        <v>600</v>
      </c>
      <c r="O8" s="44">
        <v>705821</v>
      </c>
      <c r="P8" s="44">
        <v>1016585</v>
      </c>
    </row>
    <row r="9" spans="1:16" ht="20.100000000000001" customHeight="1">
      <c r="A9" s="783" t="s">
        <v>435</v>
      </c>
      <c r="B9" s="785" t="s">
        <v>513</v>
      </c>
      <c r="C9" s="787" t="s">
        <v>514</v>
      </c>
      <c r="D9" s="789" t="s">
        <v>436</v>
      </c>
      <c r="E9" s="781"/>
      <c r="F9" s="781" t="s">
        <v>437</v>
      </c>
      <c r="G9" s="781"/>
      <c r="H9" s="781" t="s">
        <v>438</v>
      </c>
      <c r="I9" s="781"/>
      <c r="J9" s="781" t="s">
        <v>439</v>
      </c>
      <c r="K9" s="782"/>
      <c r="M9" s="776"/>
      <c r="N9" s="272">
        <v>700</v>
      </c>
      <c r="O9" s="44">
        <v>782918</v>
      </c>
      <c r="P9" s="44">
        <v>1102578</v>
      </c>
    </row>
    <row r="10" spans="1:16" ht="20.100000000000001" customHeight="1">
      <c r="A10" s="840"/>
      <c r="B10" s="888"/>
      <c r="C10" s="841"/>
      <c r="D10" s="316" t="s">
        <v>515</v>
      </c>
      <c r="E10" s="317" t="s">
        <v>452</v>
      </c>
      <c r="F10" s="318" t="s">
        <v>515</v>
      </c>
      <c r="G10" s="317" t="s">
        <v>452</v>
      </c>
      <c r="H10" s="318" t="s">
        <v>515</v>
      </c>
      <c r="I10" s="317" t="s">
        <v>452</v>
      </c>
      <c r="J10" s="318" t="s">
        <v>515</v>
      </c>
      <c r="K10" s="319" t="s">
        <v>452</v>
      </c>
      <c r="L10" s="9"/>
      <c r="M10" s="776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22" t="s">
        <v>707</v>
      </c>
      <c r="B11" s="529">
        <v>200</v>
      </c>
      <c r="C11" s="530">
        <f>+ROUND(P26*L1,0)</f>
        <v>959202</v>
      </c>
      <c r="D11" s="618">
        <v>51.4</v>
      </c>
      <c r="E11" s="369">
        <f t="shared" ref="E11:G29" si="0">+ROUND($C11*D11/1000000,0)</f>
        <v>49</v>
      </c>
      <c r="F11" s="370"/>
      <c r="G11" s="369">
        <f t="shared" si="0"/>
        <v>0</v>
      </c>
      <c r="H11" s="370"/>
      <c r="I11" s="369">
        <f t="shared" ref="I11:I29" si="1">+ROUND($C11*H11/1000000,0)</f>
        <v>0</v>
      </c>
      <c r="J11" s="619">
        <v>0</v>
      </c>
      <c r="K11" s="371">
        <f t="shared" ref="K11:K29" si="2">+ROUND($C11*J11/1000000,0)</f>
        <v>0</v>
      </c>
      <c r="L11" s="9"/>
      <c r="M11" s="776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23"/>
      <c r="B12" s="663">
        <v>250</v>
      </c>
      <c r="C12" s="532">
        <f>(C11+C13)/2</f>
        <v>988252.5</v>
      </c>
      <c r="D12" s="539">
        <v>7.6</v>
      </c>
      <c r="E12" s="327">
        <f t="shared" si="0"/>
        <v>8</v>
      </c>
      <c r="F12" s="328"/>
      <c r="G12" s="327">
        <f t="shared" si="0"/>
        <v>0</v>
      </c>
      <c r="H12" s="328">
        <v>29</v>
      </c>
      <c r="I12" s="327">
        <f t="shared" si="1"/>
        <v>29</v>
      </c>
      <c r="J12" s="467">
        <v>0</v>
      </c>
      <c r="K12" s="365">
        <f t="shared" si="2"/>
        <v>0</v>
      </c>
      <c r="L12" s="9"/>
      <c r="M12" s="776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23"/>
      <c r="B13" s="663">
        <v>300</v>
      </c>
      <c r="C13" s="532">
        <f>+ROUND(P5*L1,0)</f>
        <v>1017303</v>
      </c>
      <c r="D13" s="539">
        <v>130.6</v>
      </c>
      <c r="E13" s="327">
        <f t="shared" si="0"/>
        <v>133</v>
      </c>
      <c r="F13" s="328">
        <v>133.1</v>
      </c>
      <c r="G13" s="327">
        <f t="shared" si="0"/>
        <v>135</v>
      </c>
      <c r="H13" s="328">
        <v>103.3</v>
      </c>
      <c r="I13" s="327">
        <f t="shared" si="1"/>
        <v>105</v>
      </c>
      <c r="J13" s="467"/>
      <c r="K13" s="365">
        <f t="shared" si="2"/>
        <v>0</v>
      </c>
      <c r="L13" s="9"/>
      <c r="M13" s="776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23"/>
      <c r="B14" s="663">
        <v>400</v>
      </c>
      <c r="C14" s="532">
        <f>+ROUND(P6*L1,0)</f>
        <v>1116709</v>
      </c>
      <c r="D14" s="539">
        <v>38.5</v>
      </c>
      <c r="E14" s="327">
        <f t="shared" si="0"/>
        <v>43</v>
      </c>
      <c r="F14" s="328">
        <v>317</v>
      </c>
      <c r="G14" s="327">
        <f t="shared" si="0"/>
        <v>354</v>
      </c>
      <c r="H14" s="328">
        <v>46</v>
      </c>
      <c r="I14" s="327">
        <f t="shared" si="1"/>
        <v>51</v>
      </c>
      <c r="J14" s="467">
        <v>0</v>
      </c>
      <c r="K14" s="365">
        <f t="shared" si="2"/>
        <v>0</v>
      </c>
      <c r="L14" s="9"/>
      <c r="M14" s="776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23"/>
      <c r="B15" s="663">
        <v>450</v>
      </c>
      <c r="C15" s="532">
        <f>+ROUND((P6+P7)/2*L1,0)</f>
        <v>1151688</v>
      </c>
      <c r="D15" s="539"/>
      <c r="E15" s="327">
        <f t="shared" si="0"/>
        <v>0</v>
      </c>
      <c r="F15" s="328">
        <v>101.6</v>
      </c>
      <c r="G15" s="327">
        <f t="shared" si="0"/>
        <v>117</v>
      </c>
      <c r="H15" s="328">
        <v>9.3000000000000007</v>
      </c>
      <c r="I15" s="327">
        <f t="shared" si="1"/>
        <v>11</v>
      </c>
      <c r="J15" s="467">
        <v>0</v>
      </c>
      <c r="K15" s="365">
        <f t="shared" si="2"/>
        <v>0</v>
      </c>
      <c r="L15" s="9"/>
      <c r="M15" s="776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23"/>
      <c r="B16" s="663">
        <v>500</v>
      </c>
      <c r="C16" s="532">
        <f>+ROUND(P7*L1,0)</f>
        <v>1186666</v>
      </c>
      <c r="D16" s="539">
        <v>30</v>
      </c>
      <c r="E16" s="327">
        <f t="shared" si="0"/>
        <v>36</v>
      </c>
      <c r="F16" s="328">
        <v>92.5</v>
      </c>
      <c r="G16" s="327">
        <f t="shared" si="0"/>
        <v>110</v>
      </c>
      <c r="H16" s="328"/>
      <c r="I16" s="327">
        <f t="shared" si="1"/>
        <v>0</v>
      </c>
      <c r="J16" s="467">
        <v>35.9</v>
      </c>
      <c r="K16" s="365">
        <f t="shared" si="2"/>
        <v>43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23"/>
      <c r="B17" s="663">
        <v>600</v>
      </c>
      <c r="C17" s="532">
        <f>+ROUND(P8*L1,0)</f>
        <v>1321561</v>
      </c>
      <c r="D17" s="539">
        <v>276.10000000000002</v>
      </c>
      <c r="E17" s="327">
        <f t="shared" si="0"/>
        <v>365</v>
      </c>
      <c r="F17" s="328">
        <v>628.20000000000005</v>
      </c>
      <c r="G17" s="327">
        <f t="shared" si="0"/>
        <v>830</v>
      </c>
      <c r="H17" s="328">
        <v>442</v>
      </c>
      <c r="I17" s="327">
        <f t="shared" si="1"/>
        <v>584</v>
      </c>
      <c r="J17" s="467">
        <v>276.10000000000002</v>
      </c>
      <c r="K17" s="365">
        <f t="shared" si="2"/>
        <v>365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23"/>
      <c r="B18" s="663">
        <v>700</v>
      </c>
      <c r="C18" s="532">
        <f>+ROUND(P9*$L$1,0)</f>
        <v>1433351</v>
      </c>
      <c r="D18" s="539"/>
      <c r="E18" s="327">
        <f t="shared" si="0"/>
        <v>0</v>
      </c>
      <c r="F18" s="328">
        <v>62.7</v>
      </c>
      <c r="G18" s="327">
        <f t="shared" si="0"/>
        <v>90</v>
      </c>
      <c r="H18" s="328">
        <v>112.8</v>
      </c>
      <c r="I18" s="327">
        <f t="shared" si="1"/>
        <v>162</v>
      </c>
      <c r="J18" s="467">
        <v>0</v>
      </c>
      <c r="K18" s="365">
        <f t="shared" si="2"/>
        <v>0</v>
      </c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23"/>
      <c r="B19" s="663">
        <v>800</v>
      </c>
      <c r="C19" s="532">
        <f>+ROUND(P10*$L$1,0)</f>
        <v>1538375</v>
      </c>
      <c r="D19" s="539"/>
      <c r="E19" s="327">
        <f t="shared" si="0"/>
        <v>0</v>
      </c>
      <c r="F19" s="328">
        <v>235.8</v>
      </c>
      <c r="G19" s="327">
        <f t="shared" si="0"/>
        <v>363</v>
      </c>
      <c r="H19" s="328"/>
      <c r="I19" s="327">
        <f t="shared" si="1"/>
        <v>0</v>
      </c>
      <c r="J19" s="467">
        <v>244.4</v>
      </c>
      <c r="K19" s="365">
        <f t="shared" si="2"/>
        <v>376</v>
      </c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23"/>
      <c r="B20" s="663">
        <v>1000</v>
      </c>
      <c r="C20" s="532">
        <f>+ROUND(P12*$L$1,0)</f>
        <v>1818244</v>
      </c>
      <c r="D20" s="539"/>
      <c r="E20" s="327">
        <f t="shared" si="0"/>
        <v>0</v>
      </c>
      <c r="F20" s="328">
        <v>6.7</v>
      </c>
      <c r="G20" s="327">
        <f t="shared" si="0"/>
        <v>12</v>
      </c>
      <c r="H20" s="328"/>
      <c r="I20" s="327">
        <f t="shared" si="1"/>
        <v>0</v>
      </c>
      <c r="J20" s="467">
        <v>0</v>
      </c>
      <c r="K20" s="365">
        <f t="shared" si="2"/>
        <v>0</v>
      </c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23"/>
      <c r="B21" s="589">
        <v>1200</v>
      </c>
      <c r="C21" s="532">
        <f t="shared" ref="C21:C22" si="3">+ROUND(P14*$L$1,0)</f>
        <v>2199347</v>
      </c>
      <c r="D21" s="539"/>
      <c r="E21" s="327">
        <f t="shared" si="0"/>
        <v>0</v>
      </c>
      <c r="F21" s="328"/>
      <c r="G21" s="327">
        <f t="shared" si="0"/>
        <v>0</v>
      </c>
      <c r="H21" s="328"/>
      <c r="I21" s="327">
        <f t="shared" si="1"/>
        <v>0</v>
      </c>
      <c r="J21" s="467">
        <v>0</v>
      </c>
      <c r="K21" s="365">
        <f t="shared" si="2"/>
        <v>0</v>
      </c>
      <c r="L21" s="9"/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23"/>
      <c r="B22" s="589">
        <v>1300</v>
      </c>
      <c r="C22" s="532">
        <f t="shared" si="3"/>
        <v>2483787</v>
      </c>
      <c r="D22" s="539"/>
      <c r="E22" s="327">
        <f t="shared" si="0"/>
        <v>0</v>
      </c>
      <c r="F22" s="328"/>
      <c r="G22" s="327">
        <f t="shared" si="0"/>
        <v>0</v>
      </c>
      <c r="H22" s="328"/>
      <c r="I22" s="327">
        <f t="shared" si="1"/>
        <v>0</v>
      </c>
      <c r="J22" s="467"/>
      <c r="K22" s="365">
        <f t="shared" si="2"/>
        <v>0</v>
      </c>
      <c r="L22" s="9"/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23"/>
      <c r="B23" s="589" t="s">
        <v>932</v>
      </c>
      <c r="C23" s="532">
        <f>+ROUND(P36*0.25*$L$1,0)</f>
        <v>682154</v>
      </c>
      <c r="D23" s="539"/>
      <c r="E23" s="327">
        <f t="shared" si="0"/>
        <v>0</v>
      </c>
      <c r="F23" s="328"/>
      <c r="G23" s="327">
        <f t="shared" si="0"/>
        <v>0</v>
      </c>
      <c r="H23" s="328"/>
      <c r="I23" s="327">
        <f t="shared" si="1"/>
        <v>0</v>
      </c>
      <c r="J23" s="467">
        <v>184.5</v>
      </c>
      <c r="K23" s="365">
        <f t="shared" si="2"/>
        <v>126</v>
      </c>
      <c r="L23" s="9"/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23"/>
      <c r="B24" s="589" t="s">
        <v>939</v>
      </c>
      <c r="C24" s="532">
        <f>+ROUND(P36*L1,0)</f>
        <v>2728617</v>
      </c>
      <c r="D24" s="539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467">
        <v>0</v>
      </c>
      <c r="K24" s="365">
        <f t="shared" si="2"/>
        <v>0</v>
      </c>
      <c r="L24" s="9"/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23"/>
      <c r="B25" s="589" t="s">
        <v>940</v>
      </c>
      <c r="C25" s="532">
        <f>+ROUND(P38*L1,0)</f>
        <v>2982099</v>
      </c>
      <c r="D25" s="539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467">
        <v>0</v>
      </c>
      <c r="K25" s="365">
        <f t="shared" si="2"/>
        <v>0</v>
      </c>
      <c r="L25" s="9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23"/>
      <c r="B26" s="589" t="s">
        <v>935</v>
      </c>
      <c r="C26" s="532">
        <f>+ROUND(P40*L1,0)</f>
        <v>3355213</v>
      </c>
      <c r="D26" s="539"/>
      <c r="E26" s="327">
        <f t="shared" si="0"/>
        <v>0</v>
      </c>
      <c r="F26" s="327">
        <v>221</v>
      </c>
      <c r="G26" s="327">
        <f t="shared" si="0"/>
        <v>742</v>
      </c>
      <c r="H26" s="327"/>
      <c r="I26" s="327">
        <f t="shared" si="1"/>
        <v>0</v>
      </c>
      <c r="J26" s="467">
        <v>0</v>
      </c>
      <c r="K26" s="365">
        <f t="shared" si="2"/>
        <v>0</v>
      </c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23"/>
      <c r="B27" s="589" t="s">
        <v>936</v>
      </c>
      <c r="C27" s="532">
        <f>+ROUND(P44*L1,0)</f>
        <v>4582826</v>
      </c>
      <c r="D27" s="539"/>
      <c r="E27" s="327">
        <f t="shared" si="0"/>
        <v>0</v>
      </c>
      <c r="F27" s="327"/>
      <c r="G27" s="327">
        <f t="shared" si="0"/>
        <v>0</v>
      </c>
      <c r="H27" s="327"/>
      <c r="I27" s="327">
        <f t="shared" si="1"/>
        <v>0</v>
      </c>
      <c r="J27" s="467">
        <v>0</v>
      </c>
      <c r="K27" s="365">
        <f t="shared" si="2"/>
        <v>0</v>
      </c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A28" s="923"/>
      <c r="B28" s="589" t="s">
        <v>937</v>
      </c>
      <c r="C28" s="532">
        <f>+ROUND(P47*L1,0)</f>
        <v>6459687</v>
      </c>
      <c r="D28" s="539"/>
      <c r="E28" s="327">
        <f t="shared" si="0"/>
        <v>0</v>
      </c>
      <c r="F28" s="327"/>
      <c r="G28" s="327"/>
      <c r="H28" s="327"/>
      <c r="I28" s="327"/>
      <c r="J28" s="467">
        <v>0</v>
      </c>
      <c r="K28" s="365"/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A29" s="923"/>
      <c r="B29" s="903" t="s">
        <v>938</v>
      </c>
      <c r="C29" s="921"/>
      <c r="D29" s="540">
        <v>2210.9</v>
      </c>
      <c r="E29" s="467">
        <v>2042</v>
      </c>
      <c r="F29" s="327"/>
      <c r="G29" s="327">
        <f t="shared" si="0"/>
        <v>0</v>
      </c>
      <c r="H29" s="327"/>
      <c r="I29" s="327">
        <f t="shared" si="1"/>
        <v>0</v>
      </c>
      <c r="J29" s="327">
        <v>0</v>
      </c>
      <c r="K29" s="365">
        <f t="shared" si="2"/>
        <v>0</v>
      </c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A30" s="924"/>
      <c r="B30" s="919" t="s">
        <v>406</v>
      </c>
      <c r="C30" s="920"/>
      <c r="D30" s="541">
        <f t="shared" ref="D30:K30" si="4">SUM(D11:D29)</f>
        <v>2745.1000000000004</v>
      </c>
      <c r="E30" s="366">
        <f t="shared" si="4"/>
        <v>2676</v>
      </c>
      <c r="F30" s="366">
        <f t="shared" si="4"/>
        <v>1798.6000000000001</v>
      </c>
      <c r="G30" s="366">
        <f t="shared" si="4"/>
        <v>2753</v>
      </c>
      <c r="H30" s="366">
        <f t="shared" si="4"/>
        <v>742.4</v>
      </c>
      <c r="I30" s="366">
        <f t="shared" si="4"/>
        <v>942</v>
      </c>
      <c r="J30" s="366">
        <f t="shared" si="4"/>
        <v>740.9</v>
      </c>
      <c r="K30" s="367">
        <f t="shared" si="4"/>
        <v>910</v>
      </c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D31" s="13" t="e">
        <f>+D30+#REF!+#REF!</f>
        <v>#REF!</v>
      </c>
      <c r="E31" s="13" t="e">
        <f>+E30+#REF!+#REF!</f>
        <v>#REF!</v>
      </c>
      <c r="F31" s="13" t="e">
        <f>+F30+#REF!+#REF!</f>
        <v>#REF!</v>
      </c>
      <c r="G31" s="13" t="e">
        <f>+G30+#REF!+#REF!</f>
        <v>#REF!</v>
      </c>
      <c r="H31" s="13" t="e">
        <f>+H30+#REF!+#REF!</f>
        <v>#REF!</v>
      </c>
      <c r="I31" s="13" t="e">
        <f>+I30+#REF!+#REF!</f>
        <v>#REF!</v>
      </c>
      <c r="J31" s="13" t="e">
        <f>+J30+#REF!+#REF!</f>
        <v>#REF!</v>
      </c>
      <c r="K31" s="13" t="e">
        <f>+K30+#REF!+#REF!</f>
        <v>#REF!</v>
      </c>
      <c r="L31" s="9"/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G32" s="2" t="s">
        <v>809</v>
      </c>
      <c r="H32" s="2" t="s">
        <v>810</v>
      </c>
      <c r="I32" s="2" t="s">
        <v>811</v>
      </c>
      <c r="L32" s="29"/>
      <c r="M32" s="776"/>
      <c r="N32" s="272">
        <v>800</v>
      </c>
      <c r="O32" s="44">
        <v>1030780</v>
      </c>
      <c r="P32" s="44">
        <v>1359468</v>
      </c>
    </row>
    <row r="33" spans="3:16" ht="20.100000000000001" customHeight="1">
      <c r="C33" s="2">
        <v>2938</v>
      </c>
      <c r="D33" s="2">
        <v>250</v>
      </c>
      <c r="E33" s="2">
        <v>0</v>
      </c>
      <c r="F33" s="2">
        <f t="shared" ref="F33:F43" si="5">ROUND($C$33*E33,0)</f>
        <v>0</v>
      </c>
      <c r="G33" s="2">
        <f>ROUND(F33*1,0)</f>
        <v>0</v>
      </c>
      <c r="H33" s="2">
        <f>ROUND(F33*0,0)</f>
        <v>0</v>
      </c>
      <c r="I33" s="2">
        <f>F33-G33-H33</f>
        <v>0</v>
      </c>
      <c r="L33" s="45"/>
      <c r="M33" s="776"/>
      <c r="N33" s="272">
        <v>900</v>
      </c>
      <c r="O33" s="44">
        <v>1120686</v>
      </c>
      <c r="P33" s="44">
        <v>1458352</v>
      </c>
    </row>
    <row r="34" spans="3:16" ht="20.100000000000001" customHeight="1">
      <c r="D34" s="2">
        <v>300</v>
      </c>
      <c r="E34" s="2">
        <v>0.06</v>
      </c>
      <c r="F34" s="2">
        <f t="shared" si="5"/>
        <v>176</v>
      </c>
      <c r="G34" s="2">
        <f t="shared" ref="G34:G41" si="6">ROUND(F34*1,0)</f>
        <v>176</v>
      </c>
      <c r="H34" s="2">
        <f t="shared" ref="H34:H41" si="7">ROUND(F34*0,0)</f>
        <v>0</v>
      </c>
      <c r="I34" s="2">
        <f t="shared" ref="I34:I41" si="8">F34-G34-H34</f>
        <v>0</v>
      </c>
      <c r="L34" s="45"/>
      <c r="M34" s="776"/>
      <c r="N34" s="272">
        <v>1000</v>
      </c>
      <c r="O34" s="44">
        <v>1252157</v>
      </c>
      <c r="P34" s="44">
        <v>1598943</v>
      </c>
    </row>
    <row r="35" spans="3:16" ht="20.100000000000001" customHeight="1">
      <c r="D35" s="2">
        <v>400</v>
      </c>
      <c r="E35" s="2">
        <v>0.11</v>
      </c>
      <c r="F35" s="2">
        <f t="shared" si="5"/>
        <v>323</v>
      </c>
      <c r="G35" s="2">
        <f t="shared" si="6"/>
        <v>323</v>
      </c>
      <c r="H35" s="2">
        <f t="shared" si="7"/>
        <v>0</v>
      </c>
      <c r="I35" s="2">
        <f t="shared" si="8"/>
        <v>0</v>
      </c>
      <c r="L35" s="35"/>
      <c r="M35" s="776"/>
      <c r="N35" s="272">
        <v>1200</v>
      </c>
      <c r="O35" s="44">
        <v>1519329</v>
      </c>
      <c r="P35" s="44">
        <v>1897235</v>
      </c>
    </row>
    <row r="36" spans="3:16" ht="20.100000000000001" customHeight="1">
      <c r="D36" s="2">
        <v>450</v>
      </c>
      <c r="E36" s="2">
        <v>7.0000000000000007E-2</v>
      </c>
      <c r="F36" s="2">
        <f t="shared" si="5"/>
        <v>206</v>
      </c>
      <c r="G36" s="2">
        <f t="shared" si="6"/>
        <v>206</v>
      </c>
      <c r="H36" s="2">
        <f t="shared" si="7"/>
        <v>0</v>
      </c>
      <c r="I36" s="2">
        <f t="shared" si="8"/>
        <v>0</v>
      </c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3:16" ht="20.100000000000001" customHeight="1">
      <c r="D37" s="2">
        <v>500</v>
      </c>
      <c r="E37" s="2">
        <v>0.1</v>
      </c>
      <c r="F37" s="2">
        <f t="shared" si="5"/>
        <v>294</v>
      </c>
      <c r="G37" s="2">
        <f t="shared" si="6"/>
        <v>294</v>
      </c>
      <c r="H37" s="2">
        <f t="shared" si="7"/>
        <v>0</v>
      </c>
      <c r="I37" s="2">
        <f t="shared" si="8"/>
        <v>0</v>
      </c>
      <c r="L37" s="36"/>
      <c r="M37" s="776"/>
      <c r="N37" s="272" t="s">
        <v>80</v>
      </c>
      <c r="O37" s="44">
        <v>1980997</v>
      </c>
      <c r="P37" s="44">
        <v>2266643</v>
      </c>
    </row>
    <row r="38" spans="3:16" ht="20.100000000000001" customHeight="1">
      <c r="D38" s="2">
        <v>600</v>
      </c>
      <c r="E38" s="2">
        <v>0.45</v>
      </c>
      <c r="F38" s="2">
        <f t="shared" si="5"/>
        <v>1322</v>
      </c>
      <c r="G38" s="2">
        <f t="shared" si="6"/>
        <v>1322</v>
      </c>
      <c r="H38" s="2">
        <f t="shared" si="7"/>
        <v>0</v>
      </c>
      <c r="I38" s="2">
        <f t="shared" si="8"/>
        <v>0</v>
      </c>
      <c r="L38" s="35"/>
      <c r="M38" s="776"/>
      <c r="N38" s="272" t="s">
        <v>81</v>
      </c>
      <c r="O38" s="44">
        <v>2008266</v>
      </c>
      <c r="P38" s="44">
        <v>2293922</v>
      </c>
    </row>
    <row r="39" spans="3:16" ht="20.100000000000001" customHeight="1">
      <c r="D39" s="2">
        <v>700</v>
      </c>
      <c r="E39" s="2">
        <v>0.02</v>
      </c>
      <c r="F39" s="2">
        <f t="shared" si="5"/>
        <v>59</v>
      </c>
      <c r="G39" s="2">
        <f t="shared" si="6"/>
        <v>59</v>
      </c>
      <c r="H39" s="2">
        <f t="shared" si="7"/>
        <v>0</v>
      </c>
      <c r="I39" s="2">
        <f t="shared" si="8"/>
        <v>0</v>
      </c>
      <c r="L39" s="35"/>
      <c r="M39" s="776"/>
      <c r="N39" s="272" t="s">
        <v>82</v>
      </c>
      <c r="O39" s="44">
        <v>2087044</v>
      </c>
      <c r="P39" s="44">
        <v>2432231</v>
      </c>
    </row>
    <row r="40" spans="3:16" ht="20.100000000000001" customHeight="1">
      <c r="D40" s="2">
        <v>800</v>
      </c>
      <c r="E40" s="2">
        <v>0.11</v>
      </c>
      <c r="F40" s="2">
        <f t="shared" si="5"/>
        <v>323</v>
      </c>
      <c r="G40" s="2">
        <f t="shared" si="6"/>
        <v>323</v>
      </c>
      <c r="H40" s="2">
        <f t="shared" si="7"/>
        <v>0</v>
      </c>
      <c r="I40" s="2">
        <f t="shared" si="8"/>
        <v>0</v>
      </c>
      <c r="L40" s="35"/>
      <c r="M40" s="776"/>
      <c r="N40" s="272" t="s">
        <v>83</v>
      </c>
      <c r="O40" s="44">
        <v>2235747</v>
      </c>
      <c r="P40" s="44">
        <v>2580933</v>
      </c>
    </row>
    <row r="41" spans="3:16" ht="20.100000000000001" customHeight="1">
      <c r="D41" s="2">
        <v>900</v>
      </c>
      <c r="E41" s="2">
        <v>0.01</v>
      </c>
      <c r="F41" s="2">
        <f t="shared" si="5"/>
        <v>29</v>
      </c>
      <c r="G41" s="2">
        <f t="shared" si="6"/>
        <v>29</v>
      </c>
      <c r="H41" s="2">
        <f t="shared" si="7"/>
        <v>0</v>
      </c>
      <c r="I41" s="2">
        <f t="shared" si="8"/>
        <v>0</v>
      </c>
      <c r="L41" s="35"/>
      <c r="M41" s="776"/>
      <c r="N41" s="272" t="s">
        <v>84</v>
      </c>
      <c r="O41" s="44">
        <v>2493065</v>
      </c>
      <c r="P41" s="44">
        <v>2838251</v>
      </c>
    </row>
    <row r="42" spans="3:16" ht="20.100000000000001" customHeight="1">
      <c r="D42" s="2">
        <v>1000</v>
      </c>
      <c r="E42" s="2">
        <v>0.06</v>
      </c>
      <c r="F42" s="2">
        <f t="shared" si="5"/>
        <v>176</v>
      </c>
      <c r="G42" s="2">
        <f>ROUND(F42*0.8,0)</f>
        <v>141</v>
      </c>
      <c r="H42" s="2">
        <f>ROUND(F42*0.15,0)</f>
        <v>26</v>
      </c>
      <c r="I42" s="2">
        <f>F42-G42-H42</f>
        <v>9</v>
      </c>
      <c r="L42" s="35"/>
      <c r="M42" s="776"/>
      <c r="N42" s="272" t="s">
        <v>85</v>
      </c>
      <c r="O42" s="44">
        <v>2688377</v>
      </c>
      <c r="P42" s="44">
        <v>3033563</v>
      </c>
    </row>
    <row r="43" spans="3:16" ht="20.100000000000001" customHeight="1">
      <c r="D43" s="2">
        <v>1200</v>
      </c>
      <c r="E43" s="2">
        <v>0.01</v>
      </c>
      <c r="F43" s="2">
        <f t="shared" si="5"/>
        <v>29</v>
      </c>
      <c r="G43" s="2">
        <f>ROUND(F43*0.8,0)</f>
        <v>23</v>
      </c>
      <c r="H43" s="2">
        <f>ROUND(F43*0.15,0)</f>
        <v>4</v>
      </c>
      <c r="I43" s="2">
        <f>F43-G43-H43</f>
        <v>2</v>
      </c>
      <c r="L43" s="35"/>
      <c r="M43" s="776"/>
      <c r="N43" s="272" t="s">
        <v>86</v>
      </c>
      <c r="O43" s="44">
        <v>2712639</v>
      </c>
      <c r="P43" s="44">
        <v>3057825</v>
      </c>
    </row>
    <row r="44" spans="3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3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3:16" ht="20.100000000000001" customHeight="1">
      <c r="L46" s="36"/>
      <c r="M46" s="776"/>
      <c r="N46" s="272" t="s">
        <v>89</v>
      </c>
      <c r="O46" s="44">
        <v>3790171</v>
      </c>
      <c r="P46" s="44">
        <v>4313203</v>
      </c>
    </row>
    <row r="47" spans="3:16" ht="20.100000000000001" customHeight="1">
      <c r="L47" s="9"/>
      <c r="M47" s="776"/>
      <c r="N47" s="272" t="s">
        <v>90</v>
      </c>
      <c r="O47" s="44">
        <v>4445958</v>
      </c>
      <c r="P47" s="44">
        <v>4968990</v>
      </c>
    </row>
    <row r="48" spans="3:16" ht="20.100000000000001" customHeight="1">
      <c r="L48" s="37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M36:M51"/>
    <mergeCell ref="M3:M4"/>
    <mergeCell ref="N3:N4"/>
    <mergeCell ref="O3:P3"/>
    <mergeCell ref="M5:M15"/>
    <mergeCell ref="J9:K9"/>
    <mergeCell ref="M16:M25"/>
    <mergeCell ref="M26:M35"/>
    <mergeCell ref="B30:C30"/>
    <mergeCell ref="A9:A10"/>
    <mergeCell ref="B9:B10"/>
    <mergeCell ref="C9:C10"/>
    <mergeCell ref="D9:E9"/>
    <mergeCell ref="F9:G9"/>
    <mergeCell ref="H9:I9"/>
    <mergeCell ref="B29:C29"/>
    <mergeCell ref="A11:A30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0" sqref="B10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>
        <f>+B11</f>
        <v>0</v>
      </c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>
        <f>H23</f>
        <v>500</v>
      </c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>
        <f>H24</f>
        <v>1000</v>
      </c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>
        <f>I23+J23</f>
        <v>6.0399999999999995E-2</v>
      </c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>
        <f>I24+J24</f>
        <v>5.3199999999999997E-2</v>
      </c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>
        <f>B19+((B20-B19)/(B18-B17))*(B16-B17)</f>
        <v>6.7599999999999993E-2</v>
      </c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>
        <f>+ROUND(B16*B21,0)</f>
        <v>0</v>
      </c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>
        <f>I37</f>
        <v>10000</v>
      </c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>
        <f>I37</f>
        <v>10000</v>
      </c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>
        <f>I38</f>
        <v>9.3699999999999992E-2</v>
      </c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>
        <f>I38</f>
        <v>9.3699999999999992E-2</v>
      </c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>
        <f>B30</f>
        <v>9.3699999999999992E-2</v>
      </c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>
        <f>+ROUND(B27*B32,0)</f>
        <v>0</v>
      </c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B17</f>
        <v>500</v>
      </c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B18</f>
        <v>1000</v>
      </c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>
        <f>L23</f>
        <v>7.1999999999999998E-3</v>
      </c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>
        <f>L24</f>
        <v>6.3E-3</v>
      </c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>
        <f>B43+((B44-B43)/(B42-B41))*(B40-B41)</f>
        <v>8.0999999999999996E-3</v>
      </c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962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906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379</v>
      </c>
      <c r="O6" s="3" t="s">
        <v>380</v>
      </c>
      <c r="P6" s="3" t="s">
        <v>381</v>
      </c>
      <c r="Q6" s="3" t="s">
        <v>382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311" t="s">
        <v>435</v>
      </c>
      <c r="B9" s="312" t="s">
        <v>436</v>
      </c>
      <c r="C9" s="313" t="s">
        <v>437</v>
      </c>
      <c r="D9" s="313" t="s">
        <v>438</v>
      </c>
      <c r="E9" s="313" t="s">
        <v>439</v>
      </c>
      <c r="F9" s="314" t="s">
        <v>440</v>
      </c>
      <c r="G9" s="5"/>
      <c r="H9" s="2" t="s">
        <v>804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>
        <v>20</v>
      </c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>
        <v>5085</v>
      </c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212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213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311" t="s">
        <v>435</v>
      </c>
      <c r="B15" s="312" t="s">
        <v>436</v>
      </c>
      <c r="C15" s="313" t="s">
        <v>437</v>
      </c>
      <c r="D15" s="313" t="s">
        <v>438</v>
      </c>
      <c r="E15" s="313" t="s">
        <v>439</v>
      </c>
      <c r="F15" s="314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214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216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217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218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219</v>
      </c>
      <c r="B22" s="108">
        <v>311</v>
      </c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220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213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311" t="s">
        <v>435</v>
      </c>
      <c r="B26" s="312" t="s">
        <v>436</v>
      </c>
      <c r="C26" s="313" t="s">
        <v>437</v>
      </c>
      <c r="D26" s="313" t="s">
        <v>438</v>
      </c>
      <c r="E26" s="313" t="s">
        <v>439</v>
      </c>
      <c r="F26" s="314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214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216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217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218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221</v>
      </c>
      <c r="B33" s="108">
        <v>430</v>
      </c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1043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213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311" t="s">
        <v>435</v>
      </c>
      <c r="B39" s="312" t="s">
        <v>436</v>
      </c>
      <c r="C39" s="313" t="s">
        <v>437</v>
      </c>
      <c r="D39" s="313" t="s">
        <v>438</v>
      </c>
      <c r="E39" s="313" t="s">
        <v>439</v>
      </c>
      <c r="F39" s="314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214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216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217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218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>
        <v>16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1044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213</v>
      </c>
    </row>
    <row r="50" spans="1:6" ht="20.100000000000001" customHeight="1">
      <c r="A50" s="311" t="s">
        <v>435</v>
      </c>
      <c r="B50" s="312" t="s">
        <v>436</v>
      </c>
      <c r="C50" s="313" t="s">
        <v>437</v>
      </c>
      <c r="D50" s="313" t="s">
        <v>438</v>
      </c>
      <c r="E50" s="313" t="s">
        <v>439</v>
      </c>
      <c r="F50" s="314" t="s">
        <v>440</v>
      </c>
    </row>
    <row r="51" spans="1:6" ht="20.100000000000001" customHeight="1">
      <c r="A51" s="131" t="s">
        <v>452</v>
      </c>
      <c r="B51" s="128">
        <f>+B11</f>
        <v>5085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219</v>
      </c>
      <c r="B52" s="129">
        <f>+B22</f>
        <v>311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221</v>
      </c>
      <c r="B53" s="129">
        <f>+B33</f>
        <v>430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16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222</v>
      </c>
      <c r="B55" s="130">
        <f>SUM(B51:B54)</f>
        <v>5842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>
      <selection activeCell="D19" sqref="D19"/>
    </sheetView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1070</v>
      </c>
    </row>
    <row r="2" spans="1:8" ht="20.100000000000001" customHeight="1">
      <c r="A2" s="1" t="s">
        <v>403</v>
      </c>
    </row>
    <row r="3" spans="1:8" ht="20.100000000000001" customHeight="1">
      <c r="A3" s="1"/>
      <c r="H3" s="3" t="s">
        <v>404</v>
      </c>
    </row>
    <row r="4" spans="1:8" ht="20.100000000000001" customHeight="1">
      <c r="A4" s="744" t="s">
        <v>405</v>
      </c>
      <c r="B4" s="745"/>
      <c r="C4" s="746"/>
      <c r="D4" s="79" t="s">
        <v>406</v>
      </c>
      <c r="E4" s="80" t="s">
        <v>407</v>
      </c>
      <c r="F4" s="80" t="s">
        <v>408</v>
      </c>
      <c r="G4" s="80" t="s">
        <v>409</v>
      </c>
      <c r="H4" s="81" t="s">
        <v>410</v>
      </c>
    </row>
    <row r="5" spans="1:8" ht="20.100000000000001" customHeight="1">
      <c r="A5" s="771" t="s">
        <v>411</v>
      </c>
      <c r="B5" s="769" t="s">
        <v>198</v>
      </c>
      <c r="C5" s="270" t="s">
        <v>412</v>
      </c>
      <c r="D5" s="446">
        <f t="shared" ref="D5:D19" si="0">SUM(E5:H5)</f>
        <v>0</v>
      </c>
      <c r="E5" s="447">
        <v>0</v>
      </c>
      <c r="F5" s="447">
        <v>0</v>
      </c>
      <c r="G5" s="447">
        <f>+'1.4.4 오수간선및차집관로 교체및보수'!D56</f>
        <v>0</v>
      </c>
      <c r="H5" s="448">
        <f>+'1.4.4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v>0</v>
      </c>
      <c r="F6" s="447">
        <v>0</v>
      </c>
      <c r="G6" s="447">
        <f>+'1.4.4 오수간선및차집관로 교체및보수'!D57</f>
        <v>0</v>
      </c>
      <c r="H6" s="448">
        <f>+'1.4.4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v>0</v>
      </c>
      <c r="F7" s="447"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15070</v>
      </c>
      <c r="E8" s="447">
        <f>+'1.4.5 오수관로신설'!B55</f>
        <v>9241</v>
      </c>
      <c r="F8" s="447">
        <f>+'1.4.5 오수관로신설'!C55</f>
        <v>5829</v>
      </c>
      <c r="G8" s="447">
        <f>+'1.4.5 오수관로신설'!D55</f>
        <v>0</v>
      </c>
      <c r="H8" s="448">
        <f>+'1.4.5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+'1.4.6 오수관로 교체및보수'!B57</f>
        <v>0</v>
      </c>
      <c r="F9" s="447">
        <v>0</v>
      </c>
      <c r="G9" s="447">
        <f>+'1.4.6 오수관로 교체및보수'!D57</f>
        <v>0</v>
      </c>
      <c r="H9" s="448">
        <f>+'1.4.6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+'1.4.6 오수관로 교체및보수'!B58</f>
        <v>0</v>
      </c>
      <c r="F10" s="447">
        <v>0</v>
      </c>
      <c r="G10" s="447">
        <f>+'1.4.6 오수관로 교체및보수'!D58</f>
        <v>0</v>
      </c>
      <c r="H10" s="448">
        <f>+'1.4.6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418</v>
      </c>
      <c r="B12" s="769" t="s">
        <v>419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420</v>
      </c>
      <c r="C13" s="270" t="s">
        <v>421</v>
      </c>
      <c r="D13" s="446">
        <f t="shared" si="0"/>
        <v>5048</v>
      </c>
      <c r="E13" s="447">
        <f>+'1.4.7 우수관로 교체 및 보수'!B48</f>
        <v>3150</v>
      </c>
      <c r="F13" s="447">
        <f>+'1.4.7 우수관로 교체 및 보수'!C48</f>
        <v>1229</v>
      </c>
      <c r="G13" s="447">
        <f>+'1.4.7 우수관로 교체 및 보수'!D48</f>
        <v>669</v>
      </c>
      <c r="H13" s="448">
        <f>+'1.4.7 우수관로 교체 및 보수'!E48</f>
        <v>0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5048</v>
      </c>
      <c r="E15" s="447">
        <f>SUM(E13:E14)</f>
        <v>3150</v>
      </c>
      <c r="F15" s="447">
        <f>SUM(F13:F14)</f>
        <v>1229</v>
      </c>
      <c r="G15" s="447">
        <f>SUM(G13:G14)</f>
        <v>669</v>
      </c>
      <c r="H15" s="448">
        <f>SUM(H13:H14)</f>
        <v>0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33601</v>
      </c>
      <c r="E16" s="450">
        <f>+'1.4.2 공공하수처리시설 신증설'!B56</f>
        <v>22214</v>
      </c>
      <c r="F16" s="450">
        <f>+'1.4.2 공공하수처리시설 신증설'!C56</f>
        <v>0</v>
      </c>
      <c r="G16" s="450">
        <f>+'1.4.2 공공하수처리시설 신증설'!D56</f>
        <v>0</v>
      </c>
      <c r="H16" s="451">
        <f>+'1.4.2 공공하수처리시설 신증설'!E56</f>
        <v>11387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+'1.4.3 공공하수처리시설 기능정상화'!B56</f>
        <v>0</v>
      </c>
      <c r="F17" s="447">
        <f>+'1.4.3 공공하수처리시설 기능정상화'!C56</f>
        <v>0</v>
      </c>
      <c r="G17" s="447">
        <f>+'1.4.3 공공하수처리시설 기능정상화'!D56</f>
        <v>0</v>
      </c>
      <c r="H17" s="448">
        <f>+'1.4.3 공공하수처리시설 기능정상화'!E56</f>
        <v>0</v>
      </c>
    </row>
    <row r="18" spans="1:8" ht="20.100000000000001" customHeight="1">
      <c r="A18" s="271" t="s">
        <v>425</v>
      </c>
      <c r="B18" s="747" t="s">
        <v>919</v>
      </c>
      <c r="C18" s="765"/>
      <c r="D18" s="446">
        <f t="shared" si="0"/>
        <v>0</v>
      </c>
      <c r="E18" s="447">
        <f>+'1.4.8 하수저류시설'!B55</f>
        <v>0</v>
      </c>
      <c r="F18" s="447">
        <f>+'1.4.8 하수저류시설'!C55</f>
        <v>0</v>
      </c>
      <c r="G18" s="447">
        <f>+'1.4.8 하수저류시설'!D55</f>
        <v>0</v>
      </c>
      <c r="H18" s="448">
        <f>+'1.4.8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53719</v>
      </c>
      <c r="E19" s="453">
        <f>+E16+E17+E7+E8+E11+E12+E15+E18</f>
        <v>34605</v>
      </c>
      <c r="F19" s="453">
        <f>+F16+F17+F7+F8+F11+F12+F15+F18</f>
        <v>7058</v>
      </c>
      <c r="G19" s="453">
        <f>+G16+G17+G7+G8+G11+G12+G15+G18</f>
        <v>669</v>
      </c>
      <c r="H19" s="454">
        <f>+H16+H17+H7+H8+H11+H12+H15+H18</f>
        <v>11387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A4:C4"/>
    <mergeCell ref="A5:A7"/>
    <mergeCell ref="B5:B7"/>
    <mergeCell ref="A8:A11"/>
    <mergeCell ref="B8:C8"/>
    <mergeCell ref="B9:B11"/>
    <mergeCell ref="B18:C18"/>
    <mergeCell ref="A19:C19"/>
    <mergeCell ref="A12:A15"/>
    <mergeCell ref="B12:C12"/>
    <mergeCell ref="B13:B15"/>
    <mergeCell ref="A16:A17"/>
    <mergeCell ref="B16:C16"/>
    <mergeCell ref="B17:C17"/>
  </mergeCells>
  <phoneticPr fontId="4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zoomScaleNormal="100" zoomScaleSheetLayoutView="100" workbookViewId="0"/>
    <sheetView topLeftCell="A43" workbookViewId="1">
      <selection activeCell="B54" sqref="B54"/>
    </sheetView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1061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3500</v>
      </c>
      <c r="C9" s="101"/>
      <c r="D9" s="101">
        <v>0</v>
      </c>
      <c r="E9" s="101">
        <v>2500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v>3000</v>
      </c>
      <c r="C10" s="96"/>
      <c r="D10" s="96"/>
      <c r="E10" s="96">
        <v>2000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v>4000</v>
      </c>
      <c r="C11" s="96"/>
      <c r="D11" s="96"/>
      <c r="E11" s="96">
        <v>3000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448</v>
      </c>
      <c r="B12" s="107">
        <f>+M16</f>
        <v>20790</v>
      </c>
      <c r="C12" s="96"/>
      <c r="D12" s="96"/>
      <c r="E12" s="96">
        <f>L16</f>
        <v>11068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450</v>
      </c>
      <c r="B13" s="107">
        <v>18828</v>
      </c>
      <c r="C13" s="96"/>
      <c r="D13" s="96"/>
      <c r="E13" s="96">
        <f>K16</f>
        <v>8884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IFERROR(B13+((B12-B13)/(B11-B10))*(B9-B10),0)</f>
        <v>19809</v>
      </c>
      <c r="C14" s="97"/>
      <c r="D14" s="108"/>
      <c r="E14" s="108">
        <f>IFERROR(E13+((E12-E13)/(E11-E10))*(E9-E10),0)</f>
        <v>9976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/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L16" s="13">
        <f>ROUND((L6+L7+L8+L9+L10+L11+L12+L15)*1.1,0)</f>
        <v>11068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19809</v>
      </c>
      <c r="C19" s="115">
        <f>+C14</f>
        <v>0</v>
      </c>
      <c r="D19" s="101">
        <f>D14</f>
        <v>0</v>
      </c>
      <c r="E19" s="101">
        <f>E14</f>
        <v>9976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10000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20000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4.5199999999999997E-2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4.3700000000000003E-2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4.3728650000000001E-2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4.520528E-2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465</v>
      </c>
      <c r="B25" s="97">
        <f>+ROUND(B19*B24,0)</f>
        <v>866</v>
      </c>
      <c r="C25" s="97">
        <f>+ROUND(C19*C24,0)</f>
        <v>0</v>
      </c>
      <c r="D25" s="97">
        <f>+ROUND(D19*D24,0)</f>
        <v>0</v>
      </c>
      <c r="E25" s="97">
        <f>+ROUND(E19*E24,0)</f>
        <v>451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466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467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468</v>
      </c>
      <c r="B29" s="297" t="s">
        <v>469</v>
      </c>
      <c r="C29" s="298" t="s">
        <v>470</v>
      </c>
      <c r="D29" s="298" t="s">
        <v>471</v>
      </c>
      <c r="E29" s="298" t="s">
        <v>472</v>
      </c>
      <c r="F29" s="299" t="s">
        <v>473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474</v>
      </c>
      <c r="B30" s="117">
        <f>+B19</f>
        <v>19809</v>
      </c>
      <c r="C30" s="115"/>
      <c r="D30" s="117">
        <f>+D19</f>
        <v>0</v>
      </c>
      <c r="E30" s="117">
        <f>+E19</f>
        <v>9976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>
        <f>+I37</f>
        <v>10000</v>
      </c>
      <c r="E31" s="112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+J37</f>
        <v>20000</v>
      </c>
      <c r="C32" s="112"/>
      <c r="D32" s="112">
        <f>+I37</f>
        <v>10000</v>
      </c>
      <c r="E32" s="112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35">
        <f>+I38</f>
        <v>9.3699999999999992E-2</v>
      </c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+J38</f>
        <v>7.4999999999999997E-2</v>
      </c>
      <c r="C34" s="135"/>
      <c r="D34" s="135">
        <f>+I38</f>
        <v>9.3699999999999992E-2</v>
      </c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B33+((B34-B33)/(B32-B31))*(B30-B31)</f>
        <v>7.5357170000000001E-2</v>
      </c>
      <c r="C35" s="135"/>
      <c r="D35" s="135">
        <f>D34</f>
        <v>9.3699999999999992E-2</v>
      </c>
      <c r="E35" s="135">
        <f>D34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1493</v>
      </c>
      <c r="C36" s="97">
        <f>+ROUND(C30*C35,0)</f>
        <v>0</v>
      </c>
      <c r="D36" s="97">
        <f>+ROUND(D30*D35,0)</f>
        <v>0</v>
      </c>
      <c r="E36" s="97">
        <f>+ROUND(E30*E35,0)</f>
        <v>935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19809</v>
      </c>
      <c r="C41" s="115">
        <f>+C19</f>
        <v>0</v>
      </c>
      <c r="D41" s="115">
        <f>+D19</f>
        <v>0</v>
      </c>
      <c r="E41" s="115">
        <f>+E19</f>
        <v>9976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10000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20000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2.5000000000000001E-3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2.3E-3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2.3038199999999998E-3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2.50096E-3</v>
      </c>
      <c r="F46" s="113"/>
    </row>
    <row r="47" spans="1:17" ht="20.100000000000001" customHeight="1">
      <c r="A47" s="111" t="s">
        <v>478</v>
      </c>
      <c r="B47" s="97">
        <f>+ROUND(B41*B46,0)</f>
        <v>46</v>
      </c>
      <c r="C47" s="97">
        <f>+ROUND(C41*C46,0)</f>
        <v>0</v>
      </c>
      <c r="D47" s="97">
        <f>+ROUND(D41*D46,0)</f>
        <v>0</v>
      </c>
      <c r="E47" s="97">
        <f>+ROUND(E41*E46,0)</f>
        <v>25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19809</v>
      </c>
      <c r="C52" s="126">
        <f>+C14</f>
        <v>0</v>
      </c>
      <c r="D52" s="126">
        <f>+D14</f>
        <v>0</v>
      </c>
      <c r="E52" s="126">
        <f>+E14</f>
        <v>9976</v>
      </c>
      <c r="F52" s="127"/>
    </row>
    <row r="53" spans="1:6" ht="20.100000000000001" customHeight="1">
      <c r="A53" s="132" t="s">
        <v>480</v>
      </c>
      <c r="B53" s="129">
        <f>+B25</f>
        <v>866</v>
      </c>
      <c r="C53" s="121">
        <f>+C25</f>
        <v>0</v>
      </c>
      <c r="D53" s="121">
        <f>+D25</f>
        <v>0</v>
      </c>
      <c r="E53" s="121">
        <f>+E25</f>
        <v>451</v>
      </c>
      <c r="F53" s="122"/>
    </row>
    <row r="54" spans="1:6" ht="20.100000000000001" customHeight="1">
      <c r="A54" s="132" t="s">
        <v>475</v>
      </c>
      <c r="B54" s="129">
        <f>+B36</f>
        <v>1493</v>
      </c>
      <c r="C54" s="121">
        <f>+C36</f>
        <v>0</v>
      </c>
      <c r="D54" s="121">
        <f>+D36</f>
        <v>0</v>
      </c>
      <c r="E54" s="121">
        <f>+E36</f>
        <v>935</v>
      </c>
      <c r="F54" s="122"/>
    </row>
    <row r="55" spans="1:6" ht="20.100000000000001" customHeight="1">
      <c r="A55" s="132" t="s">
        <v>478</v>
      </c>
      <c r="B55" s="129">
        <f>+B47</f>
        <v>46</v>
      </c>
      <c r="C55" s="121">
        <f>+C47</f>
        <v>0</v>
      </c>
      <c r="D55" s="121">
        <f>+D47</f>
        <v>0</v>
      </c>
      <c r="E55" s="121">
        <f>+E47</f>
        <v>25</v>
      </c>
      <c r="F55" s="122"/>
    </row>
    <row r="56" spans="1:6" ht="20.100000000000001" customHeight="1">
      <c r="A56" s="133" t="s">
        <v>481</v>
      </c>
      <c r="B56" s="130">
        <f>SUM(B52:B55)</f>
        <v>22214</v>
      </c>
      <c r="C56" s="123">
        <f>SUM(C52:C55)</f>
        <v>0</v>
      </c>
      <c r="D56" s="123">
        <f>SUM(D52:D55)</f>
        <v>0</v>
      </c>
      <c r="E56" s="123">
        <f>SUM(E52:E55)</f>
        <v>11387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view="pageBreakPreview" topLeftCell="A40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963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+'가.굴착교체(대소-간선)'!E21</f>
        <v>0</v>
      </c>
      <c r="C5" s="101">
        <f>+'가.굴착교체(대소-간선)'!G21</f>
        <v>0</v>
      </c>
      <c r="D5" s="101">
        <f>+'가.굴착교체(대소-간선)'!I21</f>
        <v>0</v>
      </c>
      <c r="E5" s="101">
        <f>+'가.굴착교체(대소-간선)'!K21</f>
        <v>0</v>
      </c>
      <c r="F5" s="144"/>
      <c r="G5" s="5"/>
      <c r="H5" s="7" t="s">
        <v>417</v>
      </c>
      <c r="I5" s="70" t="e">
        <f>+B5/B10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+'나.전체보수(대소-간선)'!E19</f>
        <v>0</v>
      </c>
      <c r="C6" s="94">
        <f>+'나.전체보수(대소-간선)'!G19</f>
        <v>0</v>
      </c>
      <c r="D6" s="94">
        <f>+'나.전체보수(대소-간선)'!I19</f>
        <v>0</v>
      </c>
      <c r="E6" s="94">
        <f>+'나.전체보수(대소-간선)'!K19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+'다.부분보수(대소-간선)'!E17</f>
        <v>0</v>
      </c>
      <c r="C7" s="96">
        <f>+'다.부분보수(대소-간선)'!G17</f>
        <v>0</v>
      </c>
      <c r="D7" s="96">
        <f>+'다.부분보수(대소-간선)'!I17</f>
        <v>0</v>
      </c>
      <c r="E7" s="96">
        <f>+'다.부분보수(대소-간선)'!K17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+'라.맨홀보수(대소-간선)'!D12</f>
        <v>0</v>
      </c>
      <c r="C8" s="96">
        <f>+'라.맨홀보수(대소-간선)'!F12</f>
        <v>0</v>
      </c>
      <c r="D8" s="96">
        <f>+'라.맨홀보수(대소-간선)'!H12</f>
        <v>0</v>
      </c>
      <c r="E8" s="96">
        <f>+'라.맨홀보수(대소-간선)'!J12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+'마.우수토실개량(대소-간선)'!D11</f>
        <v>0</v>
      </c>
      <c r="C9" s="96">
        <f>+'마.우수토실개량(대소-간선)'!F11</f>
        <v>0</v>
      </c>
      <c r="D9" s="96">
        <f>+'마.우수토실개량(대소-간선)'!H11</f>
        <v>0</v>
      </c>
      <c r="E9" s="96">
        <f>+'마.우수토실개량(대소-간선)'!J11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+'가.굴착교체(대소-간선)'!W23/'1.4.4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497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498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499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500</v>
      </c>
      <c r="B14" s="297" t="s">
        <v>501</v>
      </c>
      <c r="C14" s="298" t="s">
        <v>502</v>
      </c>
      <c r="D14" s="298" t="s">
        <v>503</v>
      </c>
      <c r="E14" s="298" t="s">
        <v>504</v>
      </c>
      <c r="F14" s="299" t="s">
        <v>505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506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96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74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74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74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 t="e">
        <f>+ROUND(B55*I5,0)</f>
        <v>#DIV/0!</v>
      </c>
      <c r="C56" s="145" t="e">
        <f>+ROUND(C55*J5,0)</f>
        <v>#DIV/0!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 t="e">
        <f>+B55-B56</f>
        <v>#DIV/0!</v>
      </c>
      <c r="C57" s="137" t="e">
        <f>+C55-C56</f>
        <v>#DIV/0!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14" width="9.125" style="2" bestFit="1" customWidth="1"/>
    <col min="15" max="16" width="9.5" style="2" bestFit="1" customWidth="1"/>
    <col min="17" max="19" width="9" style="2"/>
    <col min="20" max="20" width="9.125" style="2" bestFit="1" customWidth="1"/>
    <col min="21" max="21" width="9.875" style="2" bestFit="1" customWidth="1"/>
    <col min="22" max="28" width="9.125" style="2" bestFit="1" customWidth="1"/>
    <col min="29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0" t="s">
        <v>974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30" ht="20.100000000000001" customHeight="1">
      <c r="A4" s="40"/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76" t="s">
        <v>69</v>
      </c>
      <c r="N5" s="272">
        <v>300</v>
      </c>
      <c r="O5" s="44">
        <v>512740</v>
      </c>
      <c r="P5" s="44">
        <v>782541</v>
      </c>
    </row>
    <row r="6" spans="1:30" ht="20.100000000000001" customHeight="1">
      <c r="I6" s="8"/>
      <c r="K6" s="8" t="s">
        <v>512</v>
      </c>
      <c r="M6" s="776"/>
      <c r="N6" s="272">
        <v>400</v>
      </c>
      <c r="O6" s="44">
        <v>580188</v>
      </c>
      <c r="P6" s="44">
        <v>859007</v>
      </c>
    </row>
    <row r="7" spans="1:30" ht="20.100000000000001" customHeight="1">
      <c r="A7" s="783" t="s">
        <v>435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500</v>
      </c>
      <c r="O7" s="44">
        <v>624861</v>
      </c>
      <c r="P7" s="44">
        <v>912820</v>
      </c>
    </row>
    <row r="8" spans="1:30" ht="20.100000000000001" customHeight="1">
      <c r="A8" s="784"/>
      <c r="B8" s="786"/>
      <c r="C8" s="788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76"/>
      <c r="N8" s="272">
        <v>600</v>
      </c>
      <c r="O8" s="44">
        <v>705821</v>
      </c>
      <c r="P8" s="44">
        <v>1016585</v>
      </c>
      <c r="S8" s="12" t="s">
        <v>516</v>
      </c>
    </row>
    <row r="9" spans="1:30" ht="20.100000000000001" customHeight="1">
      <c r="A9" s="907" t="s">
        <v>517</v>
      </c>
      <c r="B9" s="397">
        <v>250</v>
      </c>
      <c r="C9" s="394">
        <f>ROUND(AVERAGE(O5,O26)*L1,0)</f>
        <v>1028945</v>
      </c>
      <c r="D9" s="106"/>
      <c r="E9" s="101">
        <f>+ROUND($C9*D9/1000000,0)</f>
        <v>0</v>
      </c>
      <c r="F9" s="106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76"/>
      <c r="N9" s="272">
        <v>700</v>
      </c>
      <c r="O9" s="44">
        <v>782918</v>
      </c>
      <c r="P9" s="44">
        <v>1102578</v>
      </c>
      <c r="S9" s="796" t="s">
        <v>435</v>
      </c>
      <c r="T9" s="791" t="s">
        <v>513</v>
      </c>
      <c r="U9" s="791" t="s">
        <v>514</v>
      </c>
      <c r="V9" s="790" t="s">
        <v>436</v>
      </c>
      <c r="W9" s="790"/>
      <c r="X9" s="790" t="s">
        <v>437</v>
      </c>
      <c r="Y9" s="790"/>
      <c r="Z9" s="790" t="s">
        <v>438</v>
      </c>
      <c r="AA9" s="790"/>
      <c r="AB9" s="790" t="s">
        <v>439</v>
      </c>
      <c r="AC9" s="790"/>
    </row>
    <row r="10" spans="1:30" ht="20.100000000000001" customHeight="1">
      <c r="A10" s="780"/>
      <c r="B10" s="347">
        <v>300</v>
      </c>
      <c r="C10" s="332">
        <f>ROUND(AVERAGE(O5,O27)*$L$1,0)</f>
        <v>1079303</v>
      </c>
      <c r="D10" s="106"/>
      <c r="E10" s="94">
        <f t="shared" ref="E10:G20" si="0">+ROUND($C10*D10/1000000,0)</f>
        <v>0</v>
      </c>
      <c r="F10" s="106"/>
      <c r="G10" s="94">
        <f t="shared" si="0"/>
        <v>0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76"/>
      <c r="N10" s="272">
        <v>800</v>
      </c>
      <c r="O10" s="44">
        <v>854676</v>
      </c>
      <c r="P10" s="44">
        <v>1183365</v>
      </c>
      <c r="S10" s="793"/>
      <c r="T10" s="797"/>
      <c r="U10" s="797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0"/>
      <c r="B11" s="347">
        <v>400</v>
      </c>
      <c r="C11" s="332">
        <f>ROUND(AVERAGE(O6,O28)*$L$1,0)</f>
        <v>1254144</v>
      </c>
      <c r="D11" s="139"/>
      <c r="E11" s="94">
        <f t="shared" si="0"/>
        <v>0</v>
      </c>
      <c r="F11" s="139"/>
      <c r="G11" s="94">
        <f t="shared" si="0"/>
        <v>0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76"/>
      <c r="N11" s="272">
        <v>900</v>
      </c>
      <c r="O11" s="44">
        <v>945775</v>
      </c>
      <c r="P11" s="44">
        <v>1283451</v>
      </c>
      <c r="S11" s="791" t="s">
        <v>518</v>
      </c>
      <c r="T11" s="272">
        <v>300</v>
      </c>
      <c r="U11" s="46">
        <f t="shared" ref="U11:U22" si="3">+C9</f>
        <v>1028945</v>
      </c>
      <c r="V11" s="66">
        <v>82</v>
      </c>
      <c r="W11" s="10">
        <f t="shared" ref="W11:W22" si="4">+ROUND($C9*V11/1000000,0)</f>
        <v>84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780"/>
      <c r="B12" s="347">
        <v>450</v>
      </c>
      <c r="C12" s="332">
        <f>(C11+C13)/2</f>
        <v>1321950</v>
      </c>
      <c r="D12" s="139"/>
      <c r="E12" s="94">
        <f t="shared" si="0"/>
        <v>0</v>
      </c>
      <c r="F12" s="139"/>
      <c r="G12" s="94">
        <f t="shared" si="0"/>
        <v>0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76"/>
      <c r="N12" s="272">
        <v>1000</v>
      </c>
      <c r="O12" s="44">
        <v>1051853</v>
      </c>
      <c r="P12" s="44">
        <v>1398649</v>
      </c>
      <c r="S12" s="792"/>
      <c r="T12" s="272">
        <v>400</v>
      </c>
      <c r="U12" s="46">
        <f t="shared" si="3"/>
        <v>1079303</v>
      </c>
      <c r="V12" s="66">
        <v>39</v>
      </c>
      <c r="W12" s="10">
        <f t="shared" si="4"/>
        <v>42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-39</v>
      </c>
    </row>
    <row r="13" spans="1:30" ht="20.100000000000001" customHeight="1">
      <c r="A13" s="780"/>
      <c r="B13" s="347">
        <v>500</v>
      </c>
      <c r="C13" s="332">
        <f t="shared" ref="C13:C18" si="9">ROUND(AVERAGE(O7,O29)*$L$1,0)</f>
        <v>1389756</v>
      </c>
      <c r="D13" s="139"/>
      <c r="E13" s="94">
        <f t="shared" si="0"/>
        <v>0</v>
      </c>
      <c r="F13" s="139"/>
      <c r="G13" s="94">
        <f t="shared" si="0"/>
        <v>0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76"/>
      <c r="N13" s="272">
        <v>1100</v>
      </c>
      <c r="O13" s="44">
        <v>1188358</v>
      </c>
      <c r="P13" s="44">
        <v>1557399</v>
      </c>
      <c r="S13" s="792"/>
      <c r="T13" s="272">
        <v>450</v>
      </c>
      <c r="U13" s="46">
        <f t="shared" si="3"/>
        <v>1254144</v>
      </c>
      <c r="V13" s="66">
        <v>301</v>
      </c>
      <c r="W13" s="10">
        <f t="shared" si="4"/>
        <v>377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-301</v>
      </c>
    </row>
    <row r="14" spans="1:30" ht="20.100000000000001" customHeight="1">
      <c r="A14" s="780"/>
      <c r="B14" s="347">
        <v>600</v>
      </c>
      <c r="C14" s="332">
        <f t="shared" si="9"/>
        <v>1577282</v>
      </c>
      <c r="D14" s="139"/>
      <c r="E14" s="94">
        <f t="shared" si="0"/>
        <v>0</v>
      </c>
      <c r="F14" s="139"/>
      <c r="G14" s="94">
        <f t="shared" si="0"/>
        <v>0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76"/>
      <c r="N14" s="272">
        <v>1200</v>
      </c>
      <c r="O14" s="44">
        <v>1313909</v>
      </c>
      <c r="P14" s="44">
        <v>1691805</v>
      </c>
      <c r="S14" s="792"/>
      <c r="T14" s="272">
        <v>500</v>
      </c>
      <c r="U14" s="46">
        <f t="shared" si="3"/>
        <v>1321950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0</v>
      </c>
    </row>
    <row r="15" spans="1:30" ht="20.100000000000001" customHeight="1">
      <c r="A15" s="780"/>
      <c r="B15" s="347">
        <v>700</v>
      </c>
      <c r="C15" s="332">
        <f t="shared" si="9"/>
        <v>1770233</v>
      </c>
      <c r="D15" s="139"/>
      <c r="E15" s="94">
        <f t="shared" si="0"/>
        <v>0</v>
      </c>
      <c r="F15" s="94"/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76"/>
      <c r="N15" s="272">
        <v>1350</v>
      </c>
      <c r="O15" s="44">
        <v>1519849</v>
      </c>
      <c r="P15" s="44">
        <v>1910605</v>
      </c>
      <c r="S15" s="792"/>
      <c r="T15" s="272">
        <v>600</v>
      </c>
      <c r="U15" s="46">
        <f t="shared" si="3"/>
        <v>1389756</v>
      </c>
      <c r="V15" s="66">
        <v>86</v>
      </c>
      <c r="W15" s="10">
        <f t="shared" si="4"/>
        <v>120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780"/>
      <c r="B16" s="347">
        <v>800</v>
      </c>
      <c r="C16" s="332">
        <f t="shared" si="9"/>
        <v>1960780</v>
      </c>
      <c r="D16" s="139"/>
      <c r="E16" s="94">
        <f t="shared" si="0"/>
        <v>0</v>
      </c>
      <c r="F16" s="94"/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76" t="s">
        <v>76</v>
      </c>
      <c r="N16" s="272">
        <v>300</v>
      </c>
      <c r="O16" s="44">
        <v>707247</v>
      </c>
      <c r="P16" s="44">
        <v>977038</v>
      </c>
      <c r="S16" s="792"/>
      <c r="T16" s="272">
        <v>700</v>
      </c>
      <c r="U16" s="46">
        <f t="shared" si="3"/>
        <v>1577282</v>
      </c>
      <c r="V16" s="66">
        <v>459</v>
      </c>
      <c r="W16" s="10">
        <f t="shared" si="4"/>
        <v>724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-459</v>
      </c>
    </row>
    <row r="17" spans="1:30" ht="20.100000000000001" customHeight="1">
      <c r="A17" s="780"/>
      <c r="B17" s="347">
        <v>900</v>
      </c>
      <c r="C17" s="332">
        <f t="shared" si="9"/>
        <v>2149016</v>
      </c>
      <c r="D17" s="139"/>
      <c r="E17" s="94">
        <f t="shared" si="0"/>
        <v>0</v>
      </c>
      <c r="F17" s="94"/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76"/>
      <c r="N17" s="272">
        <v>400</v>
      </c>
      <c r="O17" s="44">
        <v>827275</v>
      </c>
      <c r="P17" s="44">
        <v>1106094</v>
      </c>
      <c r="S17" s="792"/>
      <c r="T17" s="272">
        <v>800</v>
      </c>
      <c r="U17" s="46">
        <f t="shared" si="3"/>
        <v>1770233</v>
      </c>
      <c r="V17" s="66">
        <v>253</v>
      </c>
      <c r="W17" s="10">
        <f t="shared" si="4"/>
        <v>448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0"/>
      <c r="B18" s="347">
        <v>1000</v>
      </c>
      <c r="C18" s="332">
        <f t="shared" si="9"/>
        <v>2396055</v>
      </c>
      <c r="D18" s="139"/>
      <c r="E18" s="94">
        <f t="shared" si="0"/>
        <v>0</v>
      </c>
      <c r="F18" s="94"/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76"/>
      <c r="N18" s="272">
        <v>500</v>
      </c>
      <c r="O18" s="44">
        <v>935411</v>
      </c>
      <c r="P18" s="44">
        <v>1223371</v>
      </c>
      <c r="S18" s="792"/>
      <c r="T18" s="272">
        <v>900</v>
      </c>
      <c r="U18" s="46">
        <f t="shared" si="3"/>
        <v>1960780</v>
      </c>
      <c r="V18" s="66">
        <v>231</v>
      </c>
      <c r="W18" s="10">
        <f t="shared" si="4"/>
        <v>453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0"/>
      <c r="B19" s="347">
        <v>1200</v>
      </c>
      <c r="C19" s="332">
        <f>ROUND(AVERAGE(O14,O35)*$L$1,0)</f>
        <v>2946426</v>
      </c>
      <c r="D19" s="139"/>
      <c r="E19" s="94">
        <f t="shared" si="0"/>
        <v>0</v>
      </c>
      <c r="F19" s="94"/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76"/>
      <c r="N19" s="272">
        <v>600</v>
      </c>
      <c r="O19" s="44">
        <v>1068860</v>
      </c>
      <c r="P19" s="44">
        <v>1379624</v>
      </c>
      <c r="S19" s="792"/>
      <c r="T19" s="272">
        <v>1000</v>
      </c>
      <c r="U19" s="46">
        <f t="shared" si="3"/>
        <v>2149016</v>
      </c>
      <c r="V19" s="66">
        <v>205</v>
      </c>
      <c r="W19" s="10">
        <f t="shared" si="4"/>
        <v>441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0"/>
      <c r="B20" s="152"/>
      <c r="C20" s="153"/>
      <c r="D20" s="139"/>
      <c r="E20" s="94">
        <f t="shared" si="0"/>
        <v>0</v>
      </c>
      <c r="F20" s="94"/>
      <c r="G20" s="94">
        <f t="shared" si="0"/>
        <v>0</v>
      </c>
      <c r="H20" s="94"/>
      <c r="I20" s="94">
        <f t="shared" si="1"/>
        <v>0</v>
      </c>
      <c r="J20" s="94"/>
      <c r="K20" s="153">
        <f t="shared" si="2"/>
        <v>0</v>
      </c>
      <c r="L20" s="9"/>
      <c r="M20" s="776"/>
      <c r="N20" s="272">
        <v>700</v>
      </c>
      <c r="O20" s="44">
        <v>1206659</v>
      </c>
      <c r="P20" s="44">
        <v>1526319</v>
      </c>
      <c r="S20" s="792"/>
      <c r="T20" s="272">
        <v>1100</v>
      </c>
      <c r="U20" s="46">
        <f t="shared" si="3"/>
        <v>2396055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84"/>
      <c r="B21" s="777" t="s">
        <v>406</v>
      </c>
      <c r="C21" s="778"/>
      <c r="D21" s="142">
        <f t="shared" ref="D21:K21" si="10">SUM(D9:D20)</f>
        <v>0</v>
      </c>
      <c r="E21" s="137">
        <f t="shared" si="10"/>
        <v>0</v>
      </c>
      <c r="F21" s="137">
        <f t="shared" si="10"/>
        <v>0</v>
      </c>
      <c r="G21" s="137">
        <f t="shared" si="10"/>
        <v>0</v>
      </c>
      <c r="H21" s="137">
        <f t="shared" si="10"/>
        <v>0</v>
      </c>
      <c r="I21" s="137">
        <f t="shared" si="10"/>
        <v>0</v>
      </c>
      <c r="J21" s="137">
        <f t="shared" si="10"/>
        <v>0</v>
      </c>
      <c r="K21" s="154">
        <f t="shared" si="10"/>
        <v>0</v>
      </c>
      <c r="L21" s="9"/>
      <c r="M21" s="776"/>
      <c r="N21" s="272">
        <v>800</v>
      </c>
      <c r="O21" s="44">
        <v>1373571</v>
      </c>
      <c r="P21" s="44">
        <v>1702260</v>
      </c>
      <c r="S21" s="792"/>
      <c r="T21" s="272">
        <v>1200</v>
      </c>
      <c r="U21" s="46">
        <f t="shared" si="3"/>
        <v>2946426</v>
      </c>
      <c r="V21" s="66">
        <v>300</v>
      </c>
      <c r="W21" s="10">
        <f t="shared" si="4"/>
        <v>884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+E21+'마.우수토실개량(대소-간선)'!D11+'라.맨홀보수(대소-간선)'!D12</f>
        <v>0</v>
      </c>
      <c r="F22" s="13"/>
      <c r="G22" s="13"/>
      <c r="H22" s="13"/>
      <c r="I22" s="13"/>
      <c r="J22" s="13"/>
      <c r="K22" s="13"/>
      <c r="L22" s="9"/>
      <c r="M22" s="776"/>
      <c r="N22" s="272">
        <v>900</v>
      </c>
      <c r="O22" s="44">
        <v>1509424</v>
      </c>
      <c r="P22" s="44">
        <v>1847090</v>
      </c>
      <c r="S22" s="792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76"/>
      <c r="N23" s="272">
        <v>1000</v>
      </c>
      <c r="O23" s="44">
        <v>1730822</v>
      </c>
      <c r="P23" s="44">
        <v>2077609</v>
      </c>
      <c r="S23" s="793"/>
      <c r="T23" s="794" t="s">
        <v>406</v>
      </c>
      <c r="U23" s="795"/>
      <c r="V23" s="11">
        <f t="shared" ref="V23:AC23" si="11">SUM(V11:V22)</f>
        <v>4502</v>
      </c>
      <c r="W23" s="11">
        <f t="shared" si="11"/>
        <v>3573</v>
      </c>
      <c r="X23" s="11">
        <f t="shared" si="11"/>
        <v>0</v>
      </c>
      <c r="Y23" s="11">
        <f t="shared" si="11"/>
        <v>0</v>
      </c>
      <c r="Z23" s="11">
        <f t="shared" si="11"/>
        <v>0</v>
      </c>
      <c r="AA23" s="11">
        <f t="shared" si="11"/>
        <v>0</v>
      </c>
      <c r="AB23" s="11">
        <f t="shared" si="11"/>
        <v>0</v>
      </c>
      <c r="AC23" s="11">
        <f t="shared" si="11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76"/>
      <c r="N24" s="272">
        <v>1100</v>
      </c>
      <c r="O24" s="44">
        <v>1990647</v>
      </c>
      <c r="P24" s="44">
        <v>2359688</v>
      </c>
    </row>
    <row r="25" spans="1:30" ht="20.100000000000001" customHeight="1">
      <c r="C25" s="2">
        <v>2116</v>
      </c>
      <c r="D25" s="2">
        <v>250</v>
      </c>
      <c r="E25" s="2">
        <v>0</v>
      </c>
      <c r="F25" s="2">
        <f>ROUND($C$25*E25,0)</f>
        <v>0</v>
      </c>
      <c r="G25" s="2">
        <f t="shared" ref="G25:G30" si="12">ROUND(F25*1,0)</f>
        <v>0</v>
      </c>
      <c r="H25" s="2">
        <f t="shared" ref="H25:H30" si="13">ROUND(F25*0,0)</f>
        <v>0</v>
      </c>
      <c r="I25" s="2">
        <f>F25-G25-H25</f>
        <v>0</v>
      </c>
      <c r="L25" s="9"/>
      <c r="M25" s="776"/>
      <c r="N25" s="272">
        <v>1200</v>
      </c>
      <c r="O25" s="44">
        <v>2234280</v>
      </c>
      <c r="P25" s="44">
        <v>2612176</v>
      </c>
    </row>
    <row r="26" spans="1:30" ht="20.100000000000001" customHeight="1">
      <c r="D26" s="2">
        <v>300</v>
      </c>
      <c r="E26" s="2">
        <v>0.75</v>
      </c>
      <c r="F26" s="2">
        <f>ROUND($C$25*E26,0)+1</f>
        <v>1588</v>
      </c>
      <c r="G26" s="2">
        <f t="shared" si="12"/>
        <v>1588</v>
      </c>
      <c r="H26" s="2">
        <f t="shared" si="13"/>
        <v>0</v>
      </c>
      <c r="I26" s="2">
        <f t="shared" ref="I26:I35" si="14">F26-G26-H26</f>
        <v>0</v>
      </c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30" ht="20.100000000000001" customHeight="1">
      <c r="D27" s="2">
        <v>400</v>
      </c>
      <c r="E27" s="2">
        <v>0.09</v>
      </c>
      <c r="F27" s="2">
        <f t="shared" ref="F27:F35" si="15">ROUND($C$25*E27,0)</f>
        <v>190</v>
      </c>
      <c r="G27" s="2">
        <f t="shared" si="12"/>
        <v>190</v>
      </c>
      <c r="H27" s="2">
        <f t="shared" si="13"/>
        <v>0</v>
      </c>
      <c r="I27" s="2">
        <f>F27-G27-H27</f>
        <v>0</v>
      </c>
      <c r="L27" s="9"/>
      <c r="M27" s="776"/>
      <c r="N27" s="272">
        <v>300</v>
      </c>
      <c r="O27" s="44">
        <v>525101</v>
      </c>
      <c r="P27" s="44">
        <v>794902</v>
      </c>
    </row>
    <row r="28" spans="1:30" ht="20.100000000000001" customHeight="1">
      <c r="D28" s="2">
        <v>450</v>
      </c>
      <c r="E28" s="2">
        <v>0.02</v>
      </c>
      <c r="F28" s="2">
        <f t="shared" si="15"/>
        <v>42</v>
      </c>
      <c r="G28" s="2">
        <f t="shared" si="12"/>
        <v>42</v>
      </c>
      <c r="H28" s="2">
        <f t="shared" si="13"/>
        <v>0</v>
      </c>
      <c r="I28" s="2">
        <f>F28-G28-H28</f>
        <v>0</v>
      </c>
      <c r="M28" s="776"/>
      <c r="N28" s="272">
        <v>400</v>
      </c>
      <c r="O28" s="44">
        <v>625778</v>
      </c>
      <c r="P28" s="44">
        <v>904597</v>
      </c>
    </row>
    <row r="29" spans="1:30" ht="20.100000000000001" customHeight="1">
      <c r="D29" s="2">
        <v>500</v>
      </c>
      <c r="E29" s="2">
        <v>0.13</v>
      </c>
      <c r="F29" s="2">
        <f t="shared" si="15"/>
        <v>275</v>
      </c>
      <c r="G29" s="2">
        <f t="shared" si="12"/>
        <v>275</v>
      </c>
      <c r="H29" s="2">
        <f t="shared" si="13"/>
        <v>0</v>
      </c>
      <c r="I29" s="2">
        <f>F29-G29-H29</f>
        <v>0</v>
      </c>
      <c r="M29" s="776"/>
      <c r="N29" s="272">
        <v>500</v>
      </c>
      <c r="O29" s="44">
        <v>711507</v>
      </c>
      <c r="P29" s="44">
        <v>999476</v>
      </c>
    </row>
    <row r="30" spans="1:30" ht="20.100000000000001" customHeight="1">
      <c r="D30" s="2">
        <v>600</v>
      </c>
      <c r="E30" s="2">
        <v>0.01</v>
      </c>
      <c r="F30" s="2">
        <f t="shared" si="15"/>
        <v>21</v>
      </c>
      <c r="G30" s="2">
        <f t="shared" si="12"/>
        <v>21</v>
      </c>
      <c r="H30" s="2">
        <f t="shared" si="13"/>
        <v>0</v>
      </c>
      <c r="I30" s="2">
        <f>F30-G30-H30</f>
        <v>0</v>
      </c>
      <c r="M30" s="776"/>
      <c r="N30" s="272">
        <v>600</v>
      </c>
      <c r="O30" s="44">
        <v>810869</v>
      </c>
      <c r="P30" s="44">
        <v>1121644</v>
      </c>
    </row>
    <row r="31" spans="1:30" ht="20.100000000000001" customHeight="1">
      <c r="D31" s="2">
        <v>700</v>
      </c>
      <c r="F31" s="2">
        <f t="shared" si="15"/>
        <v>0</v>
      </c>
      <c r="G31" s="2">
        <f>ROUND(F31*0.9,0)</f>
        <v>0</v>
      </c>
      <c r="H31" s="2">
        <f>ROUND(F31*0.08,0)</f>
        <v>0</v>
      </c>
      <c r="I31" s="2">
        <f t="shared" si="14"/>
        <v>0</v>
      </c>
      <c r="L31" s="9"/>
      <c r="M31" s="776"/>
      <c r="N31" s="272">
        <v>700</v>
      </c>
      <c r="O31" s="44">
        <v>919311</v>
      </c>
      <c r="P31" s="44">
        <v>1238972</v>
      </c>
    </row>
    <row r="32" spans="1:30" ht="20.100000000000001" customHeight="1">
      <c r="D32" s="2">
        <v>800</v>
      </c>
      <c r="F32" s="2">
        <f t="shared" si="15"/>
        <v>0</v>
      </c>
      <c r="G32" s="2">
        <f>ROUND(F32*0.9,0)</f>
        <v>0</v>
      </c>
      <c r="H32" s="2">
        <f>ROUND(F32*0.08,0)</f>
        <v>0</v>
      </c>
      <c r="I32" s="2">
        <f t="shared" si="14"/>
        <v>0</v>
      </c>
      <c r="L32" s="29"/>
      <c r="M32" s="776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900</v>
      </c>
      <c r="F33" s="2">
        <f t="shared" si="15"/>
        <v>0</v>
      </c>
      <c r="G33" s="2">
        <f>ROUND(F33*0.9,0)</f>
        <v>0</v>
      </c>
      <c r="H33" s="2">
        <f>ROUND(F33*0.08,0)</f>
        <v>0</v>
      </c>
      <c r="I33" s="2">
        <f t="shared" si="14"/>
        <v>0</v>
      </c>
      <c r="L33" s="45"/>
      <c r="M33" s="776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1000</v>
      </c>
      <c r="F34" s="2">
        <f t="shared" si="15"/>
        <v>0</v>
      </c>
      <c r="G34" s="2">
        <f>ROUND(F34*0.9,0)</f>
        <v>0</v>
      </c>
      <c r="H34" s="2">
        <f>ROUND(F34*0.08,0)</f>
        <v>0</v>
      </c>
      <c r="I34" s="2">
        <f t="shared" si="14"/>
        <v>0</v>
      </c>
      <c r="L34" s="45"/>
      <c r="M34" s="776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1200</v>
      </c>
      <c r="F35" s="2">
        <f t="shared" si="15"/>
        <v>0</v>
      </c>
      <c r="G35" s="2">
        <f>ROUND(F35*0.9,0)</f>
        <v>0</v>
      </c>
      <c r="H35" s="2">
        <f>ROUND(F35*0.08,0)</f>
        <v>0</v>
      </c>
      <c r="I35" s="2">
        <f t="shared" si="14"/>
        <v>0</v>
      </c>
      <c r="L35" s="35"/>
      <c r="M35" s="776"/>
      <c r="N35" s="272">
        <v>1200</v>
      </c>
      <c r="O35" s="44">
        <v>1519329</v>
      </c>
      <c r="P35" s="44">
        <v>1897235</v>
      </c>
    </row>
    <row r="36" spans="4:16" ht="20.100000000000001" customHeight="1"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L37" s="36"/>
      <c r="M37" s="776"/>
      <c r="N37" s="272" t="s">
        <v>80</v>
      </c>
      <c r="O37" s="44">
        <v>1980997</v>
      </c>
      <c r="P37" s="44">
        <v>2266643</v>
      </c>
    </row>
    <row r="38" spans="4:16" ht="20.100000000000001" customHeight="1">
      <c r="L38" s="35"/>
      <c r="M38" s="776"/>
      <c r="N38" s="272" t="s">
        <v>81</v>
      </c>
      <c r="O38" s="44">
        <v>2008266</v>
      </c>
      <c r="P38" s="44">
        <v>2293922</v>
      </c>
    </row>
    <row r="39" spans="4:16" ht="20.100000000000001" customHeight="1">
      <c r="L39" s="35"/>
      <c r="M39" s="776"/>
      <c r="N39" s="272" t="s">
        <v>82</v>
      </c>
      <c r="O39" s="44">
        <v>2087044</v>
      </c>
      <c r="P39" s="44">
        <v>2432231</v>
      </c>
    </row>
    <row r="40" spans="4:16" ht="20.100000000000001" customHeight="1">
      <c r="L40" s="35"/>
      <c r="M40" s="776"/>
      <c r="N40" s="272" t="s">
        <v>83</v>
      </c>
      <c r="O40" s="44">
        <v>2235747</v>
      </c>
      <c r="P40" s="44">
        <v>2580933</v>
      </c>
    </row>
    <row r="41" spans="4:16" ht="20.100000000000001" customHeight="1">
      <c r="L41" s="35"/>
      <c r="M41" s="776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6"/>
      <c r="M46" s="776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9"/>
      <c r="M47" s="776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37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  <mergeCell ref="B21:C21"/>
    <mergeCell ref="T23:U23"/>
    <mergeCell ref="J7:K7"/>
    <mergeCell ref="A9:A21"/>
    <mergeCell ref="S9:S10"/>
    <mergeCell ref="T9:T10"/>
    <mergeCell ref="U9:U10"/>
    <mergeCell ref="M26:M35"/>
    <mergeCell ref="M36:M51"/>
    <mergeCell ref="X9:Y9"/>
    <mergeCell ref="Z9:AA9"/>
    <mergeCell ref="AB9:AC9"/>
    <mergeCell ref="S11:S23"/>
    <mergeCell ref="M16:M25"/>
    <mergeCell ref="V9:W9"/>
  </mergeCells>
  <phoneticPr fontId="4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491</v>
      </c>
      <c r="N5" s="272" t="s">
        <v>223</v>
      </c>
      <c r="O5" s="44">
        <v>142417</v>
      </c>
      <c r="P5" s="81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182035</v>
      </c>
      <c r="P6" s="81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14"/>
      <c r="N7" s="272" t="s">
        <v>225</v>
      </c>
      <c r="O7" s="44">
        <v>220784</v>
      </c>
      <c r="P7" s="81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527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14"/>
      <c r="N8" s="272" t="s">
        <v>226</v>
      </c>
      <c r="O8" s="44">
        <v>257397</v>
      </c>
      <c r="P8" s="81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14"/>
      <c r="N9" s="272" t="s">
        <v>227</v>
      </c>
      <c r="O9" s="44">
        <v>316310</v>
      </c>
      <c r="P9" s="81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14"/>
      <c r="N10" s="272" t="s">
        <v>228</v>
      </c>
      <c r="O10" s="44">
        <v>382855</v>
      </c>
      <c r="P10" s="81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14"/>
      <c r="N11" s="272" t="s">
        <v>229</v>
      </c>
      <c r="O11" s="44">
        <v>459144</v>
      </c>
      <c r="P11" s="81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14"/>
      <c r="N12" s="272" t="s">
        <v>230</v>
      </c>
      <c r="O12" s="44">
        <v>543955</v>
      </c>
      <c r="P12" s="81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14"/>
      <c r="N13" s="272" t="s">
        <v>231</v>
      </c>
      <c r="O13" s="44">
        <v>637524</v>
      </c>
      <c r="P13" s="81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14"/>
      <c r="N14" s="272" t="s">
        <v>232</v>
      </c>
      <c r="O14" s="44">
        <v>740257</v>
      </c>
      <c r="P14" s="81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14"/>
      <c r="N15" s="272" t="s">
        <v>233</v>
      </c>
      <c r="O15" s="44">
        <v>815662</v>
      </c>
      <c r="P15" s="81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14"/>
      <c r="N16" s="272"/>
      <c r="O16" s="44"/>
      <c r="P16" s="81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14"/>
      <c r="N17" s="272"/>
      <c r="O17" s="44"/>
      <c r="P17" s="81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15"/>
      <c r="N18" s="272"/>
      <c r="O18" s="44"/>
      <c r="P18" s="818"/>
      <c r="Q18" s="44">
        <f t="shared" si="0"/>
        <v>0</v>
      </c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1"/>
      <c r="B19" s="777" t="s">
        <v>406</v>
      </c>
      <c r="C19" s="778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530</v>
      </c>
      <c r="T34" s="835" t="s">
        <v>321</v>
      </c>
      <c r="U34" s="836"/>
      <c r="V34" s="836"/>
      <c r="W34" s="836"/>
      <c r="X34" s="836"/>
      <c r="Y34" s="837"/>
    </row>
    <row r="35" spans="12:36" ht="30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531</v>
      </c>
      <c r="T49" s="825" t="s">
        <v>338</v>
      </c>
      <c r="U49" s="826"/>
      <c r="V49" s="826"/>
      <c r="W49" s="826"/>
      <c r="X49" s="826"/>
      <c r="Y49" s="827"/>
    </row>
    <row r="50" spans="12:25" ht="30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245</v>
      </c>
      <c r="G1" s="3"/>
      <c r="H1" s="3"/>
    </row>
    <row r="2" spans="1:20" ht="20.100000000000001" customHeight="1">
      <c r="A2" s="2" t="s">
        <v>0</v>
      </c>
      <c r="G2" s="3"/>
      <c r="H2" s="3"/>
    </row>
    <row r="3" spans="1:20" ht="20.100000000000001" customHeight="1">
      <c r="A3" s="4" t="s">
        <v>242</v>
      </c>
      <c r="G3" s="5"/>
      <c r="H3" s="6" t="s">
        <v>1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2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3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</v>
      </c>
      <c r="G6" s="5"/>
      <c r="H6" s="6" t="s">
        <v>5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6</v>
      </c>
      <c r="G7" s="5"/>
      <c r="H7" s="6" t="s">
        <v>7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76" t="s">
        <v>8</v>
      </c>
      <c r="B8" s="105" t="s">
        <v>9</v>
      </c>
      <c r="C8" s="103" t="s">
        <v>10</v>
      </c>
      <c r="D8" s="103" t="s">
        <v>11</v>
      </c>
      <c r="E8" s="103" t="s">
        <v>12</v>
      </c>
      <c r="F8" s="104" t="s">
        <v>13</v>
      </c>
      <c r="G8" s="5"/>
      <c r="H8" s="6" t="s">
        <v>14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57</v>
      </c>
      <c r="B9" s="106">
        <v>0</v>
      </c>
      <c r="C9" s="101">
        <v>0</v>
      </c>
      <c r="D9" s="101">
        <v>0</v>
      </c>
      <c r="E9" s="101">
        <v>0</v>
      </c>
      <c r="F9" s="102"/>
      <c r="G9" s="5"/>
      <c r="H9" s="6" t="s">
        <v>16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17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18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19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20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21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22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23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24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25</v>
      </c>
      <c r="B14" s="108">
        <v>0</v>
      </c>
      <c r="C14" s="97">
        <v>0</v>
      </c>
      <c r="D14" s="98">
        <v>0</v>
      </c>
      <c r="E14" s="98">
        <v>0</v>
      </c>
      <c r="F14" s="99"/>
      <c r="G14" s="5"/>
      <c r="H14" s="6" t="s">
        <v>26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27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28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29</v>
      </c>
      <c r="G17" s="16"/>
      <c r="H17" s="16" t="s">
        <v>30</v>
      </c>
      <c r="P17" s="2">
        <v>1.3</v>
      </c>
    </row>
    <row r="18" spans="1:16" ht="20.100000000000001" customHeight="1">
      <c r="A18" s="76" t="s">
        <v>31</v>
      </c>
      <c r="B18" s="105" t="s">
        <v>32</v>
      </c>
      <c r="C18" s="103" t="s">
        <v>33</v>
      </c>
      <c r="D18" s="103" t="s">
        <v>34</v>
      </c>
      <c r="E18" s="103" t="s">
        <v>35</v>
      </c>
      <c r="F18" s="104" t="s">
        <v>36</v>
      </c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20" t="s">
        <v>42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43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45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47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</v>
      </c>
      <c r="B25" s="108">
        <v>0</v>
      </c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49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29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76" t="s">
        <v>31</v>
      </c>
      <c r="B29" s="105" t="s">
        <v>32</v>
      </c>
      <c r="C29" s="103" t="s">
        <v>33</v>
      </c>
      <c r="D29" s="103" t="s">
        <v>34</v>
      </c>
      <c r="E29" s="103" t="s">
        <v>35</v>
      </c>
      <c r="F29" s="104" t="s">
        <v>36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42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43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45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47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50</v>
      </c>
      <c r="B36" s="108">
        <v>0</v>
      </c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51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52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29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76" t="s">
        <v>31</v>
      </c>
      <c r="B40" s="105" t="s">
        <v>32</v>
      </c>
      <c r="C40" s="103" t="s">
        <v>33</v>
      </c>
      <c r="D40" s="103" t="s">
        <v>34</v>
      </c>
      <c r="E40" s="103" t="s">
        <v>35</v>
      </c>
      <c r="F40" s="104" t="s">
        <v>36</v>
      </c>
      <c r="G40" s="9"/>
      <c r="H40" s="9"/>
    </row>
    <row r="41" spans="1:17" ht="20.100000000000001" customHeight="1">
      <c r="A41" s="120" t="s">
        <v>42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43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45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47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54</v>
      </c>
      <c r="B47" s="108">
        <v>0</v>
      </c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55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29</v>
      </c>
    </row>
    <row r="51" spans="1:6" ht="20.100000000000001" customHeight="1">
      <c r="A51" s="76" t="s">
        <v>31</v>
      </c>
      <c r="B51" s="105" t="s">
        <v>32</v>
      </c>
      <c r="C51" s="103" t="s">
        <v>33</v>
      </c>
      <c r="D51" s="103" t="s">
        <v>34</v>
      </c>
      <c r="E51" s="103" t="s">
        <v>35</v>
      </c>
      <c r="F51" s="104" t="s">
        <v>36</v>
      </c>
    </row>
    <row r="52" spans="1:6" ht="20.100000000000001" customHeight="1">
      <c r="A52" s="131" t="s">
        <v>25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50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54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56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533</v>
      </c>
      <c r="N5" s="272" t="s">
        <v>223</v>
      </c>
      <c r="O5" s="44">
        <v>415877</v>
      </c>
      <c r="P5" s="81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579329</v>
      </c>
      <c r="P6" s="81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14"/>
      <c r="N7" s="272" t="s">
        <v>225</v>
      </c>
      <c r="O7" s="44">
        <v>612315</v>
      </c>
      <c r="P7" s="81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536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14"/>
      <c r="N8" s="272" t="s">
        <v>226</v>
      </c>
      <c r="O8" s="44">
        <v>757477</v>
      </c>
      <c r="P8" s="81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14"/>
      <c r="N9" s="272" t="s">
        <v>227</v>
      </c>
      <c r="O9" s="44">
        <v>846044</v>
      </c>
      <c r="P9" s="81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14"/>
      <c r="N10" s="272" t="s">
        <v>228</v>
      </c>
      <c r="O10" s="44">
        <v>960369</v>
      </c>
      <c r="P10" s="81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14"/>
      <c r="N11" s="272" t="s">
        <v>229</v>
      </c>
      <c r="O11" s="44">
        <v>1086032</v>
      </c>
      <c r="P11" s="81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14"/>
      <c r="N12" s="272" t="s">
        <v>230</v>
      </c>
      <c r="O12" s="44">
        <v>1155632</v>
      </c>
      <c r="P12" s="81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14"/>
      <c r="N13" s="272" t="s">
        <v>230</v>
      </c>
      <c r="O13" s="44">
        <v>1155632</v>
      </c>
      <c r="P13" s="81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14"/>
      <c r="N14" s="272" t="s">
        <v>231</v>
      </c>
      <c r="O14" s="44">
        <v>1269088</v>
      </c>
      <c r="P14" s="81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14"/>
      <c r="N15" s="272" t="s">
        <v>232</v>
      </c>
      <c r="O15" s="44">
        <v>1370696</v>
      </c>
      <c r="P15" s="81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15"/>
      <c r="N16" s="272" t="s">
        <v>233</v>
      </c>
      <c r="O16" s="44">
        <v>1475229</v>
      </c>
      <c r="P16" s="81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1"/>
      <c r="B17" s="777" t="s">
        <v>95</v>
      </c>
      <c r="C17" s="778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E19" s="13">
        <f>+'나.전체보수(대소-간선)'!E19+'다.부분보수(대소-간선)'!E17</f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20.100000000000001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20.100000000000001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view="pageBreakPreview" zoomScaleNormal="100" zoomScaleSheetLayoutView="100"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547</v>
      </c>
      <c r="M5" s="53" t="s">
        <v>548</v>
      </c>
      <c r="N5" s="290" t="s">
        <v>549</v>
      </c>
      <c r="O5" s="290" t="s">
        <v>550</v>
      </c>
      <c r="P5" s="62">
        <f>ROUND(3*3*4.5,0)</f>
        <v>41</v>
      </c>
      <c r="Q5" s="55">
        <v>10231</v>
      </c>
      <c r="R5" s="55">
        <f>P5*Q5</f>
        <v>419471</v>
      </c>
      <c r="S5" s="61" t="s">
        <v>551</v>
      </c>
    </row>
    <row r="6" spans="1:19" ht="20.100000000000001" customHeight="1">
      <c r="A6" s="783" t="s">
        <v>468</v>
      </c>
      <c r="B6" s="787" t="s">
        <v>552</v>
      </c>
      <c r="C6" s="789" t="s">
        <v>469</v>
      </c>
      <c r="D6" s="781"/>
      <c r="E6" s="781" t="s">
        <v>470</v>
      </c>
      <c r="F6" s="781"/>
      <c r="G6" s="781" t="s">
        <v>471</v>
      </c>
      <c r="H6" s="781"/>
      <c r="I6" s="781" t="s">
        <v>472</v>
      </c>
      <c r="J6" s="782"/>
      <c r="L6" s="842"/>
      <c r="M6" s="53" t="s">
        <v>553</v>
      </c>
      <c r="N6" s="290" t="s">
        <v>554</v>
      </c>
      <c r="O6" s="290" t="s">
        <v>550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840"/>
      <c r="B7" s="841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527" t="s">
        <v>561</v>
      </c>
      <c r="B8" s="550">
        <v>5500753</v>
      </c>
      <c r="C8" s="548"/>
      <c r="D8" s="196">
        <f>+ROUND($B8*C8/1000000,0)</f>
        <v>0</v>
      </c>
      <c r="E8" s="280"/>
      <c r="F8" s="196">
        <f>+ROUND($B8*E8/1000000,0)</f>
        <v>0</v>
      </c>
      <c r="G8" s="280"/>
      <c r="H8" s="277"/>
      <c r="I8" s="280"/>
      <c r="J8" s="278"/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524" t="s">
        <v>564</v>
      </c>
      <c r="B9" s="363">
        <v>576917</v>
      </c>
      <c r="C9" s="549"/>
      <c r="D9" s="94">
        <f t="shared" ref="D9:F11" si="0">+ROUND($B9*C9/1000000,0)</f>
        <v>0</v>
      </c>
      <c r="E9" s="198"/>
      <c r="F9" s="94">
        <f t="shared" si="0"/>
        <v>0</v>
      </c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524" t="s">
        <v>570</v>
      </c>
      <c r="B10" s="363">
        <v>223017</v>
      </c>
      <c r="C10" s="549"/>
      <c r="D10" s="94">
        <f t="shared" si="0"/>
        <v>0</v>
      </c>
      <c r="E10" s="198"/>
      <c r="F10" s="94">
        <f t="shared" si="0"/>
        <v>0</v>
      </c>
      <c r="G10" s="198"/>
      <c r="H10" s="293"/>
      <c r="I10" s="198"/>
      <c r="J10" s="151"/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524" t="s">
        <v>573</v>
      </c>
      <c r="B11" s="363">
        <v>6000</v>
      </c>
      <c r="C11" s="549"/>
      <c r="D11" s="94">
        <f t="shared" si="0"/>
        <v>0</v>
      </c>
      <c r="E11" s="198"/>
      <c r="F11" s="94">
        <f t="shared" si="0"/>
        <v>0</v>
      </c>
      <c r="G11" s="198"/>
      <c r="H11" s="293"/>
      <c r="I11" s="198"/>
      <c r="J11" s="151"/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526" t="s">
        <v>406</v>
      </c>
      <c r="B12" s="335"/>
      <c r="C12" s="166">
        <v>0</v>
      </c>
      <c r="D12" s="164">
        <f>SUM(D8:D11)</f>
        <v>0</v>
      </c>
      <c r="E12" s="164"/>
      <c r="F12" s="164">
        <f>SUM(F8:F11)</f>
        <v>0</v>
      </c>
      <c r="G12" s="164">
        <f>SUM(G8:G11)</f>
        <v>0</v>
      </c>
      <c r="H12" s="164">
        <f>SUM(H8:H11)</f>
        <v>0</v>
      </c>
      <c r="I12" s="164">
        <f>SUM(I8:I11)</f>
        <v>0</v>
      </c>
      <c r="J12" s="165">
        <f>SUM(J8:J11)</f>
        <v>0</v>
      </c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3" t="s">
        <v>587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84"/>
      <c r="B7" s="788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590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591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964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+'가.관로신설(대소-오수지선)'!E26</f>
        <v>5190</v>
      </c>
      <c r="C5" s="101">
        <f>+'가.관로신설(대소-오수지선)'!G26</f>
        <v>3641</v>
      </c>
      <c r="D5" s="101">
        <f>+'가.관로신설(대소-오수지선)'!I26</f>
        <v>0</v>
      </c>
      <c r="E5" s="101">
        <f>+'가.관로신설(대소-오수지선)'!K26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+'나.배수설비(대소)'!E23</f>
        <v>1836</v>
      </c>
      <c r="C6" s="94">
        <f>+'나.배수설비(대소)'!G23</f>
        <v>1368</v>
      </c>
      <c r="D6" s="94">
        <f>+'나.배수설비(대소)'!I23</f>
        <v>0</v>
      </c>
      <c r="E6" s="94">
        <f>+'나.배수설비(대소)'!K23</f>
        <v>0</v>
      </c>
      <c r="F6" s="95"/>
      <c r="G6" s="5"/>
      <c r="H6" s="7" t="s">
        <v>594</v>
      </c>
      <c r="I6" s="70" t="e">
        <f>('가.관로신설(대소-오수지선)'!#REF!+'나.배수설비(대소)'!E18/'나.배수설비(대소)'!D18+'다.맨홀펌프장(대소)'!D21)/'1.4.5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+'다.맨홀펌프장(대소)'!D23</f>
        <v>1041</v>
      </c>
      <c r="C7" s="96">
        <f>+'다.맨홀펌프장(대소)'!F23</f>
        <v>92</v>
      </c>
      <c r="D7" s="96">
        <f>+'다.맨홀펌프장(대소)'!H23</f>
        <v>0</v>
      </c>
      <c r="E7" s="96">
        <f>+'다.맨홀펌프장(대소)'!J23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8067</v>
      </c>
      <c r="C8" s="97">
        <f>SUM(C5:C7)</f>
        <v>5101</v>
      </c>
      <c r="D8" s="97">
        <f>SUM(D5:D7)</f>
        <v>0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597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598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599</v>
      </c>
      <c r="B12" s="297" t="s">
        <v>600</v>
      </c>
      <c r="C12" s="298" t="s">
        <v>601</v>
      </c>
      <c r="D12" s="298" t="s">
        <v>602</v>
      </c>
      <c r="E12" s="298" t="s">
        <v>603</v>
      </c>
      <c r="F12" s="299" t="s">
        <v>604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605</v>
      </c>
      <c r="B13" s="117">
        <f>+B8</f>
        <v>8067</v>
      </c>
      <c r="C13" s="117">
        <f>+C8</f>
        <v>5101</v>
      </c>
      <c r="D13" s="101">
        <v>0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5000</v>
      </c>
      <c r="D14" s="118">
        <f>IFERROR(INDEX($H$17:$L$33,MATCH(D13,$H$17:$H$33,1),1),0)</f>
        <v>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10000</v>
      </c>
      <c r="D15" s="118">
        <f>IFERROR(INDEX($H$17:$L$33,MATCH(D13,$H$17:$H$33,1)+1,1),0)</f>
        <v>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4.6299999999999994E-2</v>
      </c>
      <c r="D16" s="141">
        <f>IFERROR(INDEX($H$17:$L$33,MATCH(D13,$H$17:$H$33,1),2)+INDEX($H$17:$L$33,MATCH(D13,$H$17:$H$33,1),3),0)</f>
        <v>0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4.5199999999999997E-2</v>
      </c>
      <c r="D17" s="141">
        <f>IFERROR(INDEX($H$17:$L$33,MATCH(D13,$H$17:$H$33,1)+1,2)+INDEX($H$17:$L$33,MATCH(D13,$H$17:$H$33,1)+1,3),0)</f>
        <v>0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4.5625259999999994E-2</v>
      </c>
      <c r="C18" s="141">
        <f>IFERROR(C16+((C17-C16)/(C15-C14))*(C13-C14),0)</f>
        <v>4.6277779999999991E-2</v>
      </c>
      <c r="D18" s="141">
        <f>IFERROR(D16+((D17-D16)/(D15-D14))*(D13-D14),0)</f>
        <v>0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368</v>
      </c>
      <c r="C19" s="97">
        <f>+ROUND(C13*C18,0)</f>
        <v>236</v>
      </c>
      <c r="D19" s="98">
        <v>0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8067</v>
      </c>
      <c r="C24" s="115">
        <f>+C13</f>
        <v>5101</v>
      </c>
      <c r="D24" s="101">
        <v>0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96">
        <f>I35</f>
        <v>10000</v>
      </c>
      <c r="D25" s="96">
        <v>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J35</f>
        <v>20000</v>
      </c>
      <c r="C26" s="96">
        <f>I35</f>
        <v>10000</v>
      </c>
      <c r="D26" s="96">
        <v>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74">
        <f>I36</f>
        <v>9.3699999999999992E-2</v>
      </c>
      <c r="D27" s="96">
        <v>0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J36</f>
        <v>7.4999999999999997E-2</v>
      </c>
      <c r="C28" s="174">
        <f>I36</f>
        <v>9.3699999999999992E-2</v>
      </c>
      <c r="D28" s="96">
        <v>0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B27+((B28-B27)/(B26-B25))*(B24-B25)</f>
        <v>9.7314709999999985E-2</v>
      </c>
      <c r="C29" s="174">
        <f>I36</f>
        <v>9.3699999999999992E-2</v>
      </c>
      <c r="D29" s="96">
        <v>0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785</v>
      </c>
      <c r="C30" s="97">
        <f>+ROUND(C24*C29,0)</f>
        <v>478</v>
      </c>
      <c r="D30" s="98">
        <v>0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8067</v>
      </c>
      <c r="C40" s="115">
        <f>+C13</f>
        <v>5101</v>
      </c>
      <c r="D40" s="101">
        <v>0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5000</v>
      </c>
      <c r="D41" s="118">
        <f>IFERROR(INDEX($H$17:$L$33,MATCH(D8,$H$17:$H$33,1),1),0)</f>
        <v>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10000</v>
      </c>
      <c r="D42" s="118">
        <f>IFERROR(INDEX($H$17:$L$33,MATCH(D8,$H$17:$H$33,1)+1,1),0)</f>
        <v>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2.7000000000000001E-3</v>
      </c>
      <c r="D43" s="141">
        <f>IFERROR(INDEX($H$17:$L$33,MATCH(D8,$H$17:$H$33,1),5),0)</f>
        <v>0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2.5000000000000001E-3</v>
      </c>
      <c r="D44" s="141">
        <f>IFERROR(INDEX($H$17:$L$33,MATCH(D8,$H$17:$H$33,1)+1,5),0)</f>
        <v>0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2.5773200000000001E-3</v>
      </c>
      <c r="C45" s="141">
        <f>IFERROR(C43+((C44-C43)/(C42-C41))*(C40-C41),0)</f>
        <v>2.6959600000000003E-3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21</v>
      </c>
      <c r="C46" s="97">
        <f>+ROUND(C40*C45,0)</f>
        <v>14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8067</v>
      </c>
      <c r="C51" s="126">
        <f>+C8</f>
        <v>5101</v>
      </c>
      <c r="D51" s="126">
        <f>+D8</f>
        <v>0</v>
      </c>
      <c r="E51" s="126">
        <f>+E8</f>
        <v>0</v>
      </c>
      <c r="F51" s="127"/>
    </row>
    <row r="52" spans="1:6" ht="20.100000000000001" customHeight="1">
      <c r="A52" s="132" t="s">
        <v>606</v>
      </c>
      <c r="B52" s="129">
        <f>+B19</f>
        <v>368</v>
      </c>
      <c r="C52" s="121">
        <f>+C19</f>
        <v>236</v>
      </c>
      <c r="D52" s="121">
        <f>+D19</f>
        <v>0</v>
      </c>
      <c r="E52" s="121">
        <f>+E19</f>
        <v>0</v>
      </c>
      <c r="F52" s="122"/>
    </row>
    <row r="53" spans="1:6" ht="20.100000000000001" customHeight="1">
      <c r="A53" s="132" t="s">
        <v>607</v>
      </c>
      <c r="B53" s="129">
        <f>+B30</f>
        <v>785</v>
      </c>
      <c r="C53" s="121">
        <f>+C30</f>
        <v>478</v>
      </c>
      <c r="D53" s="121">
        <f>+D30</f>
        <v>0</v>
      </c>
      <c r="E53" s="121">
        <f>+E30</f>
        <v>0</v>
      </c>
      <c r="F53" s="122"/>
    </row>
    <row r="54" spans="1:6" ht="20.100000000000001" customHeight="1">
      <c r="A54" s="132" t="s">
        <v>478</v>
      </c>
      <c r="B54" s="129">
        <f>+B46</f>
        <v>21</v>
      </c>
      <c r="C54" s="121">
        <f>+C46</f>
        <v>14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9241</v>
      </c>
      <c r="C55" s="123">
        <f>SUM(C51:C54)</f>
        <v>5829</v>
      </c>
      <c r="D55" s="123">
        <f>SUM(D51:D54)</f>
        <v>0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608</v>
      </c>
      <c r="B1" s="1"/>
      <c r="C1" s="1"/>
      <c r="D1" s="1"/>
    </row>
    <row r="2" spans="1:20" ht="20.100000000000001" customHeight="1">
      <c r="A2" s="2" t="s">
        <v>609</v>
      </c>
    </row>
    <row r="3" spans="1:20" ht="20.100000000000001" customHeight="1">
      <c r="A3" s="40" t="s">
        <v>1060</v>
      </c>
      <c r="B3" s="40"/>
      <c r="C3" s="40"/>
      <c r="D3" s="40"/>
      <c r="M3" s="776" t="s">
        <v>64</v>
      </c>
      <c r="N3" s="776" t="s">
        <v>610</v>
      </c>
      <c r="O3" s="776" t="s">
        <v>66</v>
      </c>
      <c r="P3" s="776"/>
      <c r="Q3" s="844" t="s">
        <v>64</v>
      </c>
      <c r="R3" s="776" t="s">
        <v>610</v>
      </c>
      <c r="S3" s="776" t="s">
        <v>66</v>
      </c>
      <c r="T3" s="776"/>
    </row>
    <row r="4" spans="1:20" ht="20.100000000000001" customHeight="1">
      <c r="A4" s="40" t="s">
        <v>611</v>
      </c>
      <c r="B4" s="40"/>
      <c r="C4" s="40"/>
      <c r="D4" s="40"/>
      <c r="M4" s="776"/>
      <c r="N4" s="776"/>
      <c r="O4" s="272" t="s">
        <v>67</v>
      </c>
      <c r="P4" s="272" t="s">
        <v>68</v>
      </c>
      <c r="Q4" s="844"/>
      <c r="R4" s="776"/>
      <c r="S4" s="272" t="s">
        <v>67</v>
      </c>
      <c r="T4" s="272" t="s">
        <v>68</v>
      </c>
    </row>
    <row r="5" spans="1:20" ht="20.100000000000001" customHeight="1">
      <c r="A5" s="2" t="s">
        <v>612</v>
      </c>
      <c r="M5" s="169" t="s">
        <v>69</v>
      </c>
      <c r="N5" s="272">
        <v>300</v>
      </c>
      <c r="O5" s="44">
        <v>512740</v>
      </c>
      <c r="P5" s="44">
        <v>782541</v>
      </c>
      <c r="Q5" s="845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613</v>
      </c>
      <c r="M6" s="169"/>
      <c r="N6" s="272">
        <v>400</v>
      </c>
      <c r="O6" s="44">
        <v>580188</v>
      </c>
      <c r="P6" s="44">
        <v>859007</v>
      </c>
      <c r="Q6" s="846"/>
      <c r="R6" s="272">
        <v>100</v>
      </c>
      <c r="S6" s="44">
        <v>102960</v>
      </c>
      <c r="T6" s="44">
        <v>323665</v>
      </c>
    </row>
    <row r="7" spans="1:20" ht="20.100000000000001" customHeight="1">
      <c r="A7" s="783" t="s">
        <v>614</v>
      </c>
      <c r="B7" s="785" t="s">
        <v>615</v>
      </c>
      <c r="C7" s="787" t="s">
        <v>616</v>
      </c>
      <c r="D7" s="789" t="s">
        <v>617</v>
      </c>
      <c r="E7" s="781"/>
      <c r="F7" s="781" t="s">
        <v>618</v>
      </c>
      <c r="G7" s="781"/>
      <c r="H7" s="781" t="s">
        <v>619</v>
      </c>
      <c r="I7" s="781"/>
      <c r="J7" s="781" t="s">
        <v>620</v>
      </c>
      <c r="K7" s="782"/>
      <c r="M7" s="169"/>
      <c r="N7" s="272">
        <v>500</v>
      </c>
      <c r="O7" s="44">
        <v>624861</v>
      </c>
      <c r="P7" s="44">
        <v>912820</v>
      </c>
      <c r="Q7" s="846"/>
      <c r="R7" s="272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621</v>
      </c>
      <c r="E8" s="273" t="s">
        <v>622</v>
      </c>
      <c r="F8" s="281" t="s">
        <v>621</v>
      </c>
      <c r="G8" s="273" t="s">
        <v>622</v>
      </c>
      <c r="H8" s="281" t="s">
        <v>621</v>
      </c>
      <c r="I8" s="273" t="s">
        <v>622</v>
      </c>
      <c r="J8" s="281" t="s">
        <v>621</v>
      </c>
      <c r="K8" s="274" t="s">
        <v>622</v>
      </c>
      <c r="M8" s="169"/>
      <c r="N8" s="272">
        <v>600</v>
      </c>
      <c r="O8" s="44">
        <v>705821</v>
      </c>
      <c r="P8" s="44">
        <v>1016585</v>
      </c>
      <c r="Q8" s="846"/>
      <c r="R8" s="272">
        <v>200</v>
      </c>
      <c r="S8" s="44">
        <v>172293</v>
      </c>
      <c r="T8" s="44">
        <v>405664</v>
      </c>
    </row>
    <row r="9" spans="1:20" ht="20.100000000000001" customHeight="1">
      <c r="A9" s="783" t="s">
        <v>590</v>
      </c>
      <c r="B9" s="690">
        <v>80</v>
      </c>
      <c r="C9" s="691">
        <f>+T5</f>
        <v>309684</v>
      </c>
      <c r="D9" s="106">
        <v>0</v>
      </c>
      <c r="E9" s="101">
        <f>+ROUND($C9*D9/1000000,0)</f>
        <v>0</v>
      </c>
      <c r="F9" s="101">
        <v>666</v>
      </c>
      <c r="G9" s="101">
        <f>+ROUND($C9*F9/1000000,0)</f>
        <v>206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6"/>
      <c r="R9" s="272">
        <v>300</v>
      </c>
      <c r="S9" s="44">
        <v>248738</v>
      </c>
      <c r="T9" s="44">
        <v>494561</v>
      </c>
    </row>
    <row r="10" spans="1:20" ht="20.100000000000001" customHeight="1">
      <c r="A10" s="780"/>
      <c r="B10" s="152">
        <v>200</v>
      </c>
      <c r="C10" s="153">
        <f>+P26</f>
        <v>737848</v>
      </c>
      <c r="D10" s="139">
        <v>618</v>
      </c>
      <c r="E10" s="94">
        <f>+ROUND($C10*D10/1000000,0)</f>
        <v>456</v>
      </c>
      <c r="F10" s="94">
        <v>1755</v>
      </c>
      <c r="G10" s="94">
        <f>+ROUND($C10*F10/1000000,0)</f>
        <v>1295</v>
      </c>
      <c r="H10" s="94"/>
      <c r="I10" s="94">
        <f>+ROUND($C10*H10/1000000,0)</f>
        <v>0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6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0"/>
      <c r="B11" s="152">
        <v>300</v>
      </c>
      <c r="C11" s="153">
        <f>+P27</f>
        <v>794902</v>
      </c>
      <c r="D11" s="139">
        <v>0</v>
      </c>
      <c r="E11" s="94">
        <f>+ROUND($C11*D11/1000000,0)</f>
        <v>0</v>
      </c>
      <c r="F11" s="94"/>
      <c r="G11" s="94">
        <f>+ROUND($C11*F11/1000000,0)</f>
        <v>0</v>
      </c>
      <c r="H11" s="94"/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6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0"/>
      <c r="B12" s="152" t="s">
        <v>406</v>
      </c>
      <c r="C12" s="153"/>
      <c r="D12" s="139">
        <f>SUM(D9:D11)</f>
        <v>618</v>
      </c>
      <c r="E12" s="94">
        <f t="shared" ref="E12:K12" si="0">SUM(E9:E11)</f>
        <v>456</v>
      </c>
      <c r="F12" s="94">
        <f t="shared" si="0"/>
        <v>2421</v>
      </c>
      <c r="G12" s="94">
        <f t="shared" si="0"/>
        <v>1501</v>
      </c>
      <c r="H12" s="94">
        <f t="shared" si="0"/>
        <v>0</v>
      </c>
      <c r="I12" s="94">
        <f t="shared" si="0"/>
        <v>0</v>
      </c>
      <c r="J12" s="94">
        <f t="shared" si="0"/>
        <v>0</v>
      </c>
      <c r="K12" s="153">
        <f t="shared" si="0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6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0" t="s">
        <v>591</v>
      </c>
      <c r="B13" s="152">
        <v>80</v>
      </c>
      <c r="C13" s="153">
        <f>+T5</f>
        <v>309684</v>
      </c>
      <c r="D13" s="139">
        <v>4147</v>
      </c>
      <c r="E13" s="94">
        <f>+ROUND($C13*D13/1000000,0)</f>
        <v>1284</v>
      </c>
      <c r="F13" s="94"/>
      <c r="G13" s="94">
        <f>+ROUND($C13*F13/1000000,0)</f>
        <v>0</v>
      </c>
      <c r="H13" s="94"/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272">
        <v>1100</v>
      </c>
      <c r="O13" s="44">
        <v>1188358</v>
      </c>
      <c r="P13" s="44">
        <v>1557399</v>
      </c>
      <c r="Q13" s="846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9"/>
      <c r="B14" s="152">
        <v>100</v>
      </c>
      <c r="C14" s="153">
        <f>+T6</f>
        <v>323665</v>
      </c>
      <c r="D14" s="139">
        <v>3463</v>
      </c>
      <c r="E14" s="94">
        <f>+ROUND($C14*D14/1000000,0)</f>
        <v>1121</v>
      </c>
      <c r="F14" s="94"/>
      <c r="G14" s="94">
        <f>+ROUND($C14*F14/1000000,0)</f>
        <v>0</v>
      </c>
      <c r="H14" s="94"/>
      <c r="I14" s="94">
        <f>+ROUND($C14*H14/1000000,0)</f>
        <v>0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7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9"/>
      <c r="B15" s="152">
        <v>150</v>
      </c>
      <c r="C15" s="153">
        <f>+T7</f>
        <v>366708</v>
      </c>
      <c r="D15" s="139">
        <v>4415</v>
      </c>
      <c r="E15" s="94">
        <f>+ROUND($C15*D15/1000000,0)</f>
        <v>1619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49"/>
      <c r="B16" s="152">
        <v>200</v>
      </c>
      <c r="C16" s="153">
        <f>+P26</f>
        <v>737848</v>
      </c>
      <c r="D16" s="139">
        <v>962</v>
      </c>
      <c r="E16" s="94">
        <f>+ROUND($C16*D16/1000000,0)</f>
        <v>710</v>
      </c>
      <c r="F16" s="94">
        <f t="shared" ref="F16:K16" si="1">SUM(F13:F15)</f>
        <v>0</v>
      </c>
      <c r="G16" s="94">
        <f>+ROUND($C16*F16/1000000,0)</f>
        <v>0</v>
      </c>
      <c r="H16" s="94">
        <f t="shared" si="1"/>
        <v>0</v>
      </c>
      <c r="I16" s="94">
        <f t="shared" si="1"/>
        <v>0</v>
      </c>
      <c r="J16" s="94">
        <f t="shared" si="1"/>
        <v>0</v>
      </c>
      <c r="K16" s="153">
        <f t="shared" si="1"/>
        <v>0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848"/>
      <c r="B17" s="152" t="s">
        <v>406</v>
      </c>
      <c r="C17" s="153"/>
      <c r="D17" s="139">
        <f>SUM(D13:D16)</f>
        <v>12987</v>
      </c>
      <c r="E17" s="139">
        <f t="shared" ref="E17:K17" si="2">SUM(E13:E16)</f>
        <v>4734</v>
      </c>
      <c r="F17" s="139">
        <f t="shared" si="2"/>
        <v>0</v>
      </c>
      <c r="G17" s="139">
        <f t="shared" si="2"/>
        <v>0</v>
      </c>
      <c r="H17" s="139">
        <f t="shared" si="2"/>
        <v>0</v>
      </c>
      <c r="I17" s="139">
        <f t="shared" si="2"/>
        <v>0</v>
      </c>
      <c r="J17" s="139">
        <f t="shared" si="2"/>
        <v>0</v>
      </c>
      <c r="K17" s="139">
        <f t="shared" si="2"/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848" t="s">
        <v>1076</v>
      </c>
      <c r="B18" s="155">
        <v>80</v>
      </c>
      <c r="C18" s="153">
        <f>C9</f>
        <v>309684</v>
      </c>
      <c r="D18" s="139"/>
      <c r="E18" s="94">
        <f>+ROUND($C18*D18/1000000,0)</f>
        <v>0</v>
      </c>
      <c r="F18" s="94">
        <v>743</v>
      </c>
      <c r="G18" s="94">
        <f>+ROUND($C18*F18/1000000,0)</f>
        <v>230</v>
      </c>
      <c r="H18" s="94"/>
      <c r="I18" s="94"/>
      <c r="J18" s="94"/>
      <c r="K18" s="153"/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780"/>
      <c r="B19" s="152">
        <v>200</v>
      </c>
      <c r="C19" s="153">
        <f>C10</f>
        <v>737848</v>
      </c>
      <c r="D19" s="139"/>
      <c r="E19" s="94">
        <f>+ROUND($C19*D19/1000000,0)</f>
        <v>0</v>
      </c>
      <c r="F19" s="94">
        <f>743+1846</f>
        <v>2589</v>
      </c>
      <c r="G19" s="94">
        <f>+ROUND($C19*F19/1000000,0)</f>
        <v>1910</v>
      </c>
      <c r="H19" s="94"/>
      <c r="I19" s="94"/>
      <c r="J19" s="94"/>
      <c r="K19" s="153"/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780"/>
      <c r="B20" s="152" t="s">
        <v>406</v>
      </c>
      <c r="C20" s="134"/>
      <c r="D20" s="139">
        <f>SUM(D18:D19)</f>
        <v>0</v>
      </c>
      <c r="E20" s="139">
        <f t="shared" ref="E20:K20" si="3">SUM(E18:E19)</f>
        <v>0</v>
      </c>
      <c r="F20" s="139">
        <f t="shared" si="3"/>
        <v>3332</v>
      </c>
      <c r="G20" s="139">
        <f t="shared" si="3"/>
        <v>2140</v>
      </c>
      <c r="H20" s="139">
        <f t="shared" si="3"/>
        <v>0</v>
      </c>
      <c r="I20" s="139">
        <f t="shared" si="3"/>
        <v>0</v>
      </c>
      <c r="J20" s="139">
        <f t="shared" si="3"/>
        <v>0</v>
      </c>
      <c r="K20" s="139">
        <f t="shared" si="3"/>
        <v>0</v>
      </c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840" t="s">
        <v>56</v>
      </c>
      <c r="B21" s="152">
        <v>80</v>
      </c>
      <c r="C21" s="153"/>
      <c r="D21" s="168">
        <f>ROUND(D9+D13+D18,0)</f>
        <v>4147</v>
      </c>
      <c r="E21" s="94">
        <f t="shared" ref="E21:K21" si="4">ROUND(E9+E13+E18,0)</f>
        <v>1284</v>
      </c>
      <c r="F21" s="94">
        <f t="shared" si="4"/>
        <v>1409</v>
      </c>
      <c r="G21" s="94">
        <f t="shared" si="4"/>
        <v>436</v>
      </c>
      <c r="H21" s="94">
        <f t="shared" si="4"/>
        <v>0</v>
      </c>
      <c r="I21" s="94">
        <f t="shared" si="4"/>
        <v>0</v>
      </c>
      <c r="J21" s="94">
        <f t="shared" si="4"/>
        <v>0</v>
      </c>
      <c r="K21" s="153">
        <f t="shared" si="4"/>
        <v>0</v>
      </c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849"/>
      <c r="B22" s="152">
        <v>100</v>
      </c>
      <c r="C22" s="153"/>
      <c r="D22" s="168">
        <f>ROUND(D14,0)</f>
        <v>3463</v>
      </c>
      <c r="E22" s="168">
        <f t="shared" ref="E22:K23" si="5">ROUND(E14,0)</f>
        <v>1121</v>
      </c>
      <c r="F22" s="168">
        <f t="shared" si="5"/>
        <v>0</v>
      </c>
      <c r="G22" s="168">
        <f t="shared" si="5"/>
        <v>0</v>
      </c>
      <c r="H22" s="168">
        <f t="shared" si="5"/>
        <v>0</v>
      </c>
      <c r="I22" s="168">
        <f t="shared" si="5"/>
        <v>0</v>
      </c>
      <c r="J22" s="168">
        <f t="shared" si="5"/>
        <v>0</v>
      </c>
      <c r="K22" s="168">
        <f t="shared" si="5"/>
        <v>0</v>
      </c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849"/>
      <c r="B23" s="152">
        <v>150</v>
      </c>
      <c r="C23" s="153"/>
      <c r="D23" s="168">
        <f>ROUND(D15,0)</f>
        <v>4415</v>
      </c>
      <c r="E23" s="168">
        <f t="shared" si="5"/>
        <v>1619</v>
      </c>
      <c r="F23" s="168">
        <f t="shared" si="5"/>
        <v>0</v>
      </c>
      <c r="G23" s="168">
        <f t="shared" si="5"/>
        <v>0</v>
      </c>
      <c r="H23" s="168">
        <f t="shared" si="5"/>
        <v>0</v>
      </c>
      <c r="I23" s="168">
        <f t="shared" si="5"/>
        <v>0</v>
      </c>
      <c r="J23" s="168">
        <f t="shared" si="5"/>
        <v>0</v>
      </c>
      <c r="K23" s="168">
        <f t="shared" si="5"/>
        <v>0</v>
      </c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849"/>
      <c r="B24" s="152">
        <v>200</v>
      </c>
      <c r="C24" s="153"/>
      <c r="D24" s="168">
        <f>ROUND(D10+D16+D19,0)</f>
        <v>1580</v>
      </c>
      <c r="E24" s="168">
        <f t="shared" ref="E24:K24" si="6">ROUND(E10+E16+E19,0)</f>
        <v>1166</v>
      </c>
      <c r="F24" s="168">
        <f t="shared" si="6"/>
        <v>4344</v>
      </c>
      <c r="G24" s="168">
        <f t="shared" si="6"/>
        <v>3205</v>
      </c>
      <c r="H24" s="168">
        <f t="shared" si="6"/>
        <v>0</v>
      </c>
      <c r="I24" s="168">
        <f t="shared" si="6"/>
        <v>0</v>
      </c>
      <c r="J24" s="168">
        <f t="shared" si="6"/>
        <v>0</v>
      </c>
      <c r="K24" s="168">
        <f t="shared" si="6"/>
        <v>0</v>
      </c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849"/>
      <c r="B25" s="152">
        <v>300</v>
      </c>
      <c r="C25" s="153"/>
      <c r="D25" s="168">
        <f>ROUND(D11,0)</f>
        <v>0</v>
      </c>
      <c r="E25" s="168">
        <f t="shared" ref="E25:K25" si="7">ROUND(E11,0)</f>
        <v>0</v>
      </c>
      <c r="F25" s="168">
        <f t="shared" si="7"/>
        <v>0</v>
      </c>
      <c r="G25" s="168">
        <f t="shared" si="7"/>
        <v>0</v>
      </c>
      <c r="H25" s="168">
        <f t="shared" si="7"/>
        <v>0</v>
      </c>
      <c r="I25" s="168">
        <f t="shared" si="7"/>
        <v>0</v>
      </c>
      <c r="J25" s="168">
        <f t="shared" si="7"/>
        <v>0</v>
      </c>
      <c r="K25" s="168">
        <f t="shared" si="7"/>
        <v>0</v>
      </c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850"/>
      <c r="B26" s="167" t="s">
        <v>406</v>
      </c>
      <c r="C26" s="165"/>
      <c r="D26" s="166">
        <f>ROUND(SUM(D21:D25),0)</f>
        <v>13605</v>
      </c>
      <c r="E26" s="164">
        <f t="shared" ref="E26:K26" si="8">SUM(E21:E25)</f>
        <v>5190</v>
      </c>
      <c r="F26" s="164">
        <f t="shared" si="8"/>
        <v>5753</v>
      </c>
      <c r="G26" s="164">
        <f t="shared" si="8"/>
        <v>3641</v>
      </c>
      <c r="H26" s="164">
        <f t="shared" si="8"/>
        <v>0</v>
      </c>
      <c r="I26" s="164">
        <f t="shared" si="8"/>
        <v>0</v>
      </c>
      <c r="J26" s="164">
        <f t="shared" si="8"/>
        <v>0</v>
      </c>
      <c r="K26" s="165">
        <f t="shared" si="8"/>
        <v>0</v>
      </c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D28" s="2">
        <v>56391</v>
      </c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C32" s="379" t="s">
        <v>823</v>
      </c>
      <c r="D32" s="375" t="s">
        <v>825</v>
      </c>
      <c r="E32" s="376" t="s">
        <v>826</v>
      </c>
      <c r="F32" s="377">
        <v>3500.5</v>
      </c>
      <c r="G32" s="378">
        <v>381</v>
      </c>
      <c r="H32" s="377">
        <v>2984.4</v>
      </c>
      <c r="I32" s="378">
        <v>26</v>
      </c>
      <c r="J32" s="380">
        <v>6891.9</v>
      </c>
      <c r="K32" s="386">
        <f>J32/$J$36</f>
        <v>0.31931632326845294</v>
      </c>
      <c r="M32" s="776"/>
      <c r="N32" s="272">
        <v>800</v>
      </c>
      <c r="O32" s="44">
        <v>1030780</v>
      </c>
      <c r="P32" s="44">
        <v>1359468</v>
      </c>
    </row>
    <row r="33" spans="3:16" ht="20.100000000000001" customHeight="1">
      <c r="C33" s="381" t="s">
        <v>824</v>
      </c>
      <c r="D33" s="375" t="s">
        <v>827</v>
      </c>
      <c r="E33" s="376" t="s">
        <v>826</v>
      </c>
      <c r="F33" s="377">
        <v>2336</v>
      </c>
      <c r="G33" s="377">
        <v>1179.5</v>
      </c>
      <c r="H33" s="377">
        <v>2216.4</v>
      </c>
      <c r="I33" s="378">
        <v>23.3</v>
      </c>
      <c r="J33" s="380">
        <v>5755.2</v>
      </c>
      <c r="K33" s="386">
        <f>J33/$J$36</f>
        <v>0.266650604865799</v>
      </c>
      <c r="M33" s="776"/>
      <c r="N33" s="272">
        <v>900</v>
      </c>
      <c r="O33" s="44">
        <v>1120686</v>
      </c>
      <c r="P33" s="44">
        <v>1458352</v>
      </c>
    </row>
    <row r="34" spans="3:16" ht="20.100000000000001" customHeight="1">
      <c r="C34" s="925" t="s">
        <v>828</v>
      </c>
      <c r="D34" s="375" t="s">
        <v>829</v>
      </c>
      <c r="E34" s="376" t="s">
        <v>826</v>
      </c>
      <c r="F34" s="377">
        <v>3969.7</v>
      </c>
      <c r="G34" s="377">
        <v>1626.5</v>
      </c>
      <c r="H34" s="377">
        <v>1741.1</v>
      </c>
      <c r="I34" s="378" t="s">
        <v>268</v>
      </c>
      <c r="J34" s="380">
        <v>7337.3</v>
      </c>
      <c r="K34" s="386">
        <f>J34/$J$36</f>
        <v>0.33995264857551905</v>
      </c>
      <c r="M34" s="776"/>
      <c r="N34" s="272">
        <v>1000</v>
      </c>
      <c r="O34" s="44">
        <v>1252157</v>
      </c>
      <c r="P34" s="44">
        <v>1598943</v>
      </c>
    </row>
    <row r="35" spans="3:16" ht="20.100000000000001" customHeight="1">
      <c r="C35" s="926"/>
      <c r="D35" s="375" t="s">
        <v>830</v>
      </c>
      <c r="E35" s="376" t="s">
        <v>826</v>
      </c>
      <c r="F35" s="378" t="s">
        <v>268</v>
      </c>
      <c r="G35" s="378" t="s">
        <v>268</v>
      </c>
      <c r="H35" s="377">
        <v>1598.9</v>
      </c>
      <c r="I35" s="378" t="s">
        <v>268</v>
      </c>
      <c r="J35" s="380">
        <v>1598.9</v>
      </c>
      <c r="K35" s="386">
        <f>J35/$J$36</f>
        <v>7.4080423290229028E-2</v>
      </c>
      <c r="M35" s="776"/>
      <c r="N35" s="272">
        <v>1200</v>
      </c>
      <c r="O35" s="44">
        <v>1519329</v>
      </c>
      <c r="P35" s="44">
        <v>1897235</v>
      </c>
    </row>
    <row r="36" spans="3:16" ht="20.100000000000001" customHeight="1">
      <c r="C36" s="927" t="s">
        <v>831</v>
      </c>
      <c r="D36" s="928"/>
      <c r="E36" s="382" t="s">
        <v>826</v>
      </c>
      <c r="F36" s="383">
        <v>9806.2000000000007</v>
      </c>
      <c r="G36" s="383">
        <v>3187</v>
      </c>
      <c r="H36" s="383">
        <v>8540.7999999999993</v>
      </c>
      <c r="I36" s="384">
        <v>49.3</v>
      </c>
      <c r="J36" s="385">
        <v>21583.3</v>
      </c>
      <c r="K36" s="2">
        <f>J36/$J$36</f>
        <v>1</v>
      </c>
      <c r="M36" s="776" t="s">
        <v>519</v>
      </c>
      <c r="N36" s="272" t="s">
        <v>79</v>
      </c>
      <c r="O36" s="44">
        <v>1813280</v>
      </c>
      <c r="P36" s="44">
        <v>2098936</v>
      </c>
    </row>
    <row r="37" spans="3:16" ht="20.100000000000001" customHeight="1">
      <c r="M37" s="776"/>
      <c r="N37" s="272" t="s">
        <v>80</v>
      </c>
      <c r="O37" s="44">
        <v>1980997</v>
      </c>
      <c r="P37" s="44">
        <v>2266643</v>
      </c>
    </row>
    <row r="38" spans="3:16" ht="20.100000000000001" customHeight="1">
      <c r="H38" s="2">
        <v>21583</v>
      </c>
      <c r="I38" s="2">
        <f>ROUND($H$38*K32,0)</f>
        <v>6892</v>
      </c>
      <c r="J38" s="2">
        <v>12987</v>
      </c>
      <c r="K38" s="2">
        <f>ROUND($J$38*K32,0)</f>
        <v>4147</v>
      </c>
      <c r="M38" s="776"/>
      <c r="N38" s="272" t="s">
        <v>81</v>
      </c>
      <c r="O38" s="44">
        <v>2008266</v>
      </c>
      <c r="P38" s="44">
        <v>2293922</v>
      </c>
    </row>
    <row r="39" spans="3:16" ht="20.100000000000001" customHeight="1">
      <c r="I39" s="2">
        <f>ROUND($H$38*K33,0)</f>
        <v>5755</v>
      </c>
      <c r="K39" s="2">
        <f>ROUND($J$38*K33,0)</f>
        <v>3463</v>
      </c>
      <c r="M39" s="776"/>
      <c r="N39" s="272" t="s">
        <v>82</v>
      </c>
      <c r="O39" s="44">
        <v>2087044</v>
      </c>
      <c r="P39" s="44">
        <v>2432231</v>
      </c>
    </row>
    <row r="40" spans="3:16" ht="20.100000000000001" customHeight="1">
      <c r="I40" s="2">
        <f>ROUND($H$38*K34,0)</f>
        <v>7337</v>
      </c>
      <c r="K40" s="2">
        <f>ROUND($J$38*K34,0)</f>
        <v>4415</v>
      </c>
      <c r="M40" s="776"/>
      <c r="N40" s="272" t="s">
        <v>83</v>
      </c>
      <c r="O40" s="44">
        <v>2235747</v>
      </c>
      <c r="P40" s="44">
        <v>2580933</v>
      </c>
    </row>
    <row r="41" spans="3:16" ht="20.100000000000001" customHeight="1">
      <c r="I41" s="2">
        <f>ROUND($H$38*K35,0)</f>
        <v>1599</v>
      </c>
      <c r="K41" s="2">
        <f>ROUND($J$38*K35,0)</f>
        <v>962</v>
      </c>
      <c r="M41" s="776"/>
      <c r="N41" s="272" t="s">
        <v>84</v>
      </c>
      <c r="O41" s="44">
        <v>2493065</v>
      </c>
      <c r="P41" s="44">
        <v>2838251</v>
      </c>
    </row>
    <row r="42" spans="3:16" ht="20.100000000000001" customHeight="1">
      <c r="I42" s="2">
        <f>$H$38*K36</f>
        <v>21583</v>
      </c>
      <c r="K42" s="2">
        <f>ROUND($J$38*K36,0)</f>
        <v>12987</v>
      </c>
      <c r="M42" s="776"/>
      <c r="N42" s="272" t="s">
        <v>85</v>
      </c>
      <c r="O42" s="44">
        <v>2688377</v>
      </c>
      <c r="P42" s="44">
        <v>3033563</v>
      </c>
    </row>
    <row r="43" spans="3:16" ht="20.100000000000001" customHeight="1">
      <c r="M43" s="776"/>
      <c r="N43" s="272" t="s">
        <v>86</v>
      </c>
      <c r="O43" s="44">
        <v>2712639</v>
      </c>
      <c r="P43" s="44">
        <v>3057825</v>
      </c>
    </row>
    <row r="44" spans="3:16" ht="20.100000000000001" customHeight="1">
      <c r="M44" s="776"/>
      <c r="N44" s="272" t="s">
        <v>87</v>
      </c>
      <c r="O44" s="44">
        <v>3180065</v>
      </c>
      <c r="P44" s="44">
        <v>3525251</v>
      </c>
    </row>
    <row r="45" spans="3:16" ht="20.100000000000001" customHeight="1">
      <c r="M45" s="776"/>
      <c r="N45" s="272" t="s">
        <v>88</v>
      </c>
      <c r="O45" s="44">
        <v>3443537</v>
      </c>
      <c r="P45" s="44">
        <v>3966580</v>
      </c>
    </row>
    <row r="46" spans="3:16" ht="20.100000000000001" customHeight="1">
      <c r="M46" s="776"/>
      <c r="N46" s="272" t="s">
        <v>89</v>
      </c>
      <c r="O46" s="44">
        <v>3790171</v>
      </c>
      <c r="P46" s="44">
        <v>4313203</v>
      </c>
    </row>
    <row r="47" spans="3:16" ht="20.100000000000001" customHeight="1">
      <c r="M47" s="776"/>
      <c r="N47" s="272" t="s">
        <v>90</v>
      </c>
      <c r="O47" s="44">
        <v>4445958</v>
      </c>
      <c r="P47" s="44">
        <v>4968990</v>
      </c>
    </row>
    <row r="48" spans="3:16" ht="20.100000000000001" customHeight="1">
      <c r="M48" s="776"/>
      <c r="N48" s="272" t="s">
        <v>91</v>
      </c>
      <c r="O48" s="44">
        <v>4058779</v>
      </c>
      <c r="P48" s="44">
        <v>4581821</v>
      </c>
    </row>
    <row r="49" spans="13:16" ht="20.100000000000001" customHeight="1">
      <c r="M49" s="776"/>
      <c r="N49" s="272" t="s">
        <v>92</v>
      </c>
      <c r="O49" s="44">
        <v>4541703</v>
      </c>
      <c r="P49" s="44">
        <v>5064746</v>
      </c>
    </row>
    <row r="50" spans="13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3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3">
    <mergeCell ref="S3:T3"/>
    <mergeCell ref="C34:C35"/>
    <mergeCell ref="C36:D36"/>
    <mergeCell ref="A21:A26"/>
    <mergeCell ref="M3:M4"/>
    <mergeCell ref="N3:N4"/>
    <mergeCell ref="O3:P3"/>
    <mergeCell ref="Q3:Q4"/>
    <mergeCell ref="R3:R4"/>
    <mergeCell ref="Q5:Q14"/>
    <mergeCell ref="A7:A8"/>
    <mergeCell ref="B7:B8"/>
    <mergeCell ref="C7:C8"/>
    <mergeCell ref="D7:E7"/>
    <mergeCell ref="F7:G7"/>
    <mergeCell ref="M36:M51"/>
    <mergeCell ref="H7:I7"/>
    <mergeCell ref="J7:K7"/>
    <mergeCell ref="A9:A12"/>
    <mergeCell ref="M16:M25"/>
    <mergeCell ref="M26:M35"/>
    <mergeCell ref="A13:A17"/>
    <mergeCell ref="A18:A20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435</v>
      </c>
      <c r="B7" s="781"/>
      <c r="C7" s="787" t="s">
        <v>534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8" t="s">
        <v>590</v>
      </c>
      <c r="B9" s="851"/>
      <c r="C9" s="156">
        <v>3600000</v>
      </c>
      <c r="D9" s="106">
        <v>9</v>
      </c>
      <c r="E9" s="101">
        <f t="shared" ref="E9:E22" si="2">+ROUND($C9*D9/1000000,0)</f>
        <v>32</v>
      </c>
      <c r="F9" s="101">
        <v>243</v>
      </c>
      <c r="G9" s="101">
        <f t="shared" ref="G9:G22" si="3">+ROUND($C9*F9/1000000,0)</f>
        <v>875</v>
      </c>
      <c r="H9" s="101">
        <v>0</v>
      </c>
      <c r="I9" s="101">
        <f t="shared" ref="I9:I22" si="4">+ROUND($C9*H9/1000000,0)</f>
        <v>0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 t="s">
        <v>591</v>
      </c>
      <c r="B10" s="852"/>
      <c r="C10" s="153">
        <v>3600000</v>
      </c>
      <c r="D10" s="139">
        <v>500</v>
      </c>
      <c r="E10" s="94">
        <f t="shared" si="2"/>
        <v>1800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 t="s">
        <v>804</v>
      </c>
      <c r="B11" s="852"/>
      <c r="C11" s="153">
        <v>3600000</v>
      </c>
      <c r="D11" s="139">
        <v>1</v>
      </c>
      <c r="E11" s="94">
        <f t="shared" si="2"/>
        <v>4</v>
      </c>
      <c r="F11" s="94">
        <f>18+119</f>
        <v>137</v>
      </c>
      <c r="G11" s="94">
        <f t="shared" si="3"/>
        <v>493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481</v>
      </c>
      <c r="B23" s="777"/>
      <c r="C23" s="165">
        <f>+C20</f>
        <v>3600000</v>
      </c>
      <c r="D23" s="166">
        <f>SUM(D9:D22)</f>
        <v>510</v>
      </c>
      <c r="E23" s="164">
        <f>SUM(E9:E22)</f>
        <v>1836</v>
      </c>
      <c r="F23" s="164">
        <f t="shared" ref="F23:K23" si="6">SUM(F9:F20)</f>
        <v>380</v>
      </c>
      <c r="G23" s="164">
        <f t="shared" si="6"/>
        <v>1368</v>
      </c>
      <c r="H23" s="164">
        <f t="shared" si="6"/>
        <v>0</v>
      </c>
      <c r="I23" s="164">
        <f t="shared" si="6"/>
        <v>0</v>
      </c>
      <c r="J23" s="164">
        <f t="shared" si="6"/>
        <v>0</v>
      </c>
      <c r="K23" s="165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J7:K7"/>
    <mergeCell ref="A7:B8"/>
    <mergeCell ref="C7:C8"/>
    <mergeCell ref="D7:E7"/>
    <mergeCell ref="F7:G7"/>
    <mergeCell ref="H7:I7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M20:M24"/>
    <mergeCell ref="N20:O20"/>
    <mergeCell ref="A21:B21"/>
    <mergeCell ref="N21:N22"/>
    <mergeCell ref="A22:B22"/>
    <mergeCell ref="A23:B23"/>
    <mergeCell ref="N23:N24"/>
    <mergeCell ref="Q23:T23"/>
    <mergeCell ref="M25:M29"/>
    <mergeCell ref="N25:O25"/>
    <mergeCell ref="N26:N27"/>
    <mergeCell ref="N28:N29"/>
    <mergeCell ref="Q28:T28"/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4"/>
  <sheetViews>
    <sheetView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1062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3" t="s">
        <v>435</v>
      </c>
      <c r="B7" s="782"/>
      <c r="C7" s="789" t="s">
        <v>436</v>
      </c>
      <c r="D7" s="781"/>
      <c r="E7" s="781" t="s">
        <v>437</v>
      </c>
      <c r="F7" s="781"/>
      <c r="G7" s="781" t="s">
        <v>438</v>
      </c>
      <c r="H7" s="781"/>
      <c r="I7" s="781" t="s">
        <v>439</v>
      </c>
      <c r="J7" s="782"/>
      <c r="M7" s="2"/>
      <c r="N7" s="2"/>
    </row>
    <row r="8" spans="1:14" ht="30" customHeight="1">
      <c r="A8" s="784"/>
      <c r="B8" s="778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898" t="s">
        <v>632</v>
      </c>
      <c r="B9" s="172" t="s">
        <v>908</v>
      </c>
      <c r="C9" s="173">
        <v>0.2</v>
      </c>
      <c r="D9" s="101">
        <f t="shared" ref="D9:F20" si="0">+ROUND(0.0292*(C9*60*24)+83.662,0)</f>
        <v>92</v>
      </c>
      <c r="E9" s="101">
        <v>0</v>
      </c>
      <c r="F9" s="101"/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849"/>
      <c r="B10" s="151" t="s">
        <v>909</v>
      </c>
      <c r="C10" s="170">
        <v>0.2</v>
      </c>
      <c r="D10" s="94">
        <f t="shared" si="0"/>
        <v>92</v>
      </c>
      <c r="E10" s="94">
        <v>0</v>
      </c>
      <c r="F10" s="94"/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849"/>
      <c r="B11" s="172" t="s">
        <v>910</v>
      </c>
      <c r="C11" s="170">
        <v>0.24</v>
      </c>
      <c r="D11" s="94">
        <f t="shared" si="0"/>
        <v>94</v>
      </c>
      <c r="E11" s="94">
        <v>0</v>
      </c>
      <c r="F11" s="94"/>
      <c r="G11" s="94">
        <v>0</v>
      </c>
      <c r="H11" s="94">
        <v>0</v>
      </c>
      <c r="I11" s="94">
        <v>0</v>
      </c>
      <c r="J11" s="153">
        <v>0</v>
      </c>
      <c r="M11" s="2"/>
      <c r="N11" s="2"/>
    </row>
    <row r="12" spans="1:14" ht="20.100000000000001" customHeight="1">
      <c r="A12" s="849"/>
      <c r="B12" s="151" t="s">
        <v>911</v>
      </c>
      <c r="C12" s="170">
        <v>0.3</v>
      </c>
      <c r="D12" s="94">
        <f t="shared" si="0"/>
        <v>96</v>
      </c>
      <c r="E12" s="94">
        <v>0</v>
      </c>
      <c r="F12" s="94"/>
      <c r="G12" s="94">
        <v>0</v>
      </c>
      <c r="H12" s="94">
        <v>0</v>
      </c>
      <c r="I12" s="94">
        <v>0</v>
      </c>
      <c r="J12" s="153">
        <v>0</v>
      </c>
      <c r="M12" s="2"/>
      <c r="N12" s="2"/>
    </row>
    <row r="13" spans="1:14" ht="20.100000000000001" customHeight="1">
      <c r="A13" s="849"/>
      <c r="B13" s="172" t="s">
        <v>912</v>
      </c>
      <c r="C13" s="170">
        <v>0.2</v>
      </c>
      <c r="D13" s="94">
        <f t="shared" si="0"/>
        <v>92</v>
      </c>
      <c r="E13" s="94">
        <v>0</v>
      </c>
      <c r="F13" s="94"/>
      <c r="G13" s="94">
        <v>0</v>
      </c>
      <c r="H13" s="94">
        <v>0</v>
      </c>
      <c r="I13" s="94">
        <v>0</v>
      </c>
      <c r="J13" s="153">
        <v>0</v>
      </c>
      <c r="M13" s="2"/>
      <c r="N13" s="2"/>
    </row>
    <row r="14" spans="1:14" ht="20.100000000000001" customHeight="1">
      <c r="A14" s="849"/>
      <c r="B14" s="151" t="s">
        <v>913</v>
      </c>
      <c r="C14" s="170">
        <v>0.2</v>
      </c>
      <c r="D14" s="94">
        <f t="shared" si="0"/>
        <v>92</v>
      </c>
      <c r="E14" s="94">
        <v>0</v>
      </c>
      <c r="F14" s="94"/>
      <c r="G14" s="94">
        <v>0</v>
      </c>
      <c r="H14" s="94">
        <v>0</v>
      </c>
      <c r="I14" s="94">
        <v>0</v>
      </c>
      <c r="J14" s="153">
        <v>0</v>
      </c>
      <c r="M14" s="2"/>
      <c r="N14" s="2"/>
    </row>
    <row r="15" spans="1:14" ht="20.100000000000001" customHeight="1">
      <c r="A15" s="849"/>
      <c r="B15" s="172" t="s">
        <v>914</v>
      </c>
      <c r="C15" s="170">
        <v>0.34</v>
      </c>
      <c r="D15" s="94">
        <f t="shared" si="0"/>
        <v>98</v>
      </c>
      <c r="E15" s="94">
        <v>0</v>
      </c>
      <c r="F15" s="94"/>
      <c r="G15" s="94">
        <v>0</v>
      </c>
      <c r="H15" s="94">
        <v>0</v>
      </c>
      <c r="I15" s="94">
        <v>0</v>
      </c>
      <c r="J15" s="153">
        <v>0</v>
      </c>
      <c r="M15" s="2"/>
      <c r="N15" s="2"/>
    </row>
    <row r="16" spans="1:14" ht="20.100000000000001" customHeight="1">
      <c r="A16" s="849"/>
      <c r="B16" s="151" t="s">
        <v>915</v>
      </c>
      <c r="C16" s="170">
        <v>0.27</v>
      </c>
      <c r="D16" s="94">
        <f t="shared" si="0"/>
        <v>95</v>
      </c>
      <c r="E16" s="94">
        <v>0</v>
      </c>
      <c r="F16" s="94"/>
      <c r="G16" s="94">
        <v>0</v>
      </c>
      <c r="H16" s="94">
        <v>0</v>
      </c>
      <c r="I16" s="94">
        <v>0</v>
      </c>
      <c r="J16" s="153">
        <v>0</v>
      </c>
      <c r="M16" s="2"/>
      <c r="N16" s="2"/>
    </row>
    <row r="17" spans="1:14" ht="20.100000000000001" customHeight="1">
      <c r="A17" s="849"/>
      <c r="B17" s="172" t="s">
        <v>916</v>
      </c>
      <c r="C17" s="170">
        <v>0.2</v>
      </c>
      <c r="D17" s="94">
        <f t="shared" si="0"/>
        <v>92</v>
      </c>
      <c r="E17" s="94">
        <v>0</v>
      </c>
      <c r="F17" s="94"/>
      <c r="G17" s="94">
        <v>0</v>
      </c>
      <c r="H17" s="94">
        <v>0</v>
      </c>
      <c r="I17" s="94">
        <v>0</v>
      </c>
      <c r="J17" s="153">
        <v>0</v>
      </c>
      <c r="M17" s="2"/>
      <c r="N17" s="2"/>
    </row>
    <row r="18" spans="1:14" ht="20.100000000000001" customHeight="1">
      <c r="A18" s="849"/>
      <c r="B18" s="151" t="s">
        <v>917</v>
      </c>
      <c r="C18" s="170">
        <v>0.52</v>
      </c>
      <c r="D18" s="94">
        <f t="shared" si="0"/>
        <v>106</v>
      </c>
      <c r="E18" s="94">
        <v>0</v>
      </c>
      <c r="F18" s="94"/>
      <c r="G18" s="94">
        <v>0</v>
      </c>
      <c r="H18" s="94">
        <v>0</v>
      </c>
      <c r="I18" s="94">
        <v>0</v>
      </c>
      <c r="J18" s="153">
        <v>0</v>
      </c>
      <c r="M18" s="2"/>
      <c r="N18" s="2"/>
    </row>
    <row r="19" spans="1:14" ht="20.100000000000001" customHeight="1">
      <c r="A19" s="848"/>
      <c r="B19" s="172" t="s">
        <v>918</v>
      </c>
      <c r="C19" s="170">
        <v>0.2</v>
      </c>
      <c r="D19" s="94">
        <f t="shared" si="0"/>
        <v>92</v>
      </c>
      <c r="E19" s="94">
        <v>0</v>
      </c>
      <c r="F19" s="94"/>
      <c r="G19" s="94">
        <v>0</v>
      </c>
      <c r="H19" s="94">
        <v>0</v>
      </c>
      <c r="I19" s="94">
        <v>0</v>
      </c>
      <c r="J19" s="153">
        <v>0</v>
      </c>
      <c r="M19" s="2"/>
      <c r="N19" s="2"/>
    </row>
    <row r="20" spans="1:14" ht="20.100000000000001" customHeight="1">
      <c r="A20" s="292" t="s">
        <v>1076</v>
      </c>
      <c r="B20" s="172" t="s">
        <v>1077</v>
      </c>
      <c r="C20" s="173"/>
      <c r="D20" s="101"/>
      <c r="E20" s="170">
        <v>0.2</v>
      </c>
      <c r="F20" s="94">
        <f t="shared" si="0"/>
        <v>92</v>
      </c>
      <c r="G20" s="101">
        <v>0</v>
      </c>
      <c r="H20" s="101">
        <v>0</v>
      </c>
      <c r="I20" s="101">
        <v>0</v>
      </c>
      <c r="J20" s="156">
        <v>0</v>
      </c>
      <c r="K20" s="2">
        <v>3</v>
      </c>
      <c r="M20" s="2"/>
      <c r="N20" s="2"/>
    </row>
    <row r="21" spans="1:14" ht="20.100000000000001" customHeight="1">
      <c r="A21" s="275"/>
      <c r="B21" s="151"/>
      <c r="C21" s="170"/>
      <c r="D21" s="94"/>
      <c r="E21" s="94">
        <v>0</v>
      </c>
      <c r="F21" s="94">
        <v>0</v>
      </c>
      <c r="G21" s="94">
        <v>0</v>
      </c>
      <c r="H21" s="94">
        <v>0</v>
      </c>
      <c r="I21" s="94">
        <v>0</v>
      </c>
      <c r="J21" s="153">
        <v>0</v>
      </c>
    </row>
    <row r="22" spans="1:14" ht="20.100000000000001" customHeight="1">
      <c r="A22" s="275"/>
      <c r="B22" s="151"/>
      <c r="C22" s="170"/>
      <c r="D22" s="94"/>
      <c r="E22" s="94">
        <v>0</v>
      </c>
      <c r="F22" s="94">
        <v>0</v>
      </c>
      <c r="G22" s="94">
        <v>0</v>
      </c>
      <c r="H22" s="94">
        <v>0</v>
      </c>
      <c r="I22" s="94">
        <v>0</v>
      </c>
      <c r="J22" s="153">
        <v>0</v>
      </c>
    </row>
    <row r="23" spans="1:14" ht="20.100000000000001" customHeight="1">
      <c r="A23" s="784" t="s">
        <v>634</v>
      </c>
      <c r="B23" s="778"/>
      <c r="C23" s="171"/>
      <c r="D23" s="164">
        <f>SUM(D9:D22)</f>
        <v>1041</v>
      </c>
      <c r="E23" s="164">
        <v>0</v>
      </c>
      <c r="F23" s="164">
        <f>SUM(F9:F22)</f>
        <v>92</v>
      </c>
      <c r="G23" s="164">
        <v>0</v>
      </c>
      <c r="H23" s="164">
        <v>0</v>
      </c>
      <c r="I23" s="164">
        <v>0</v>
      </c>
      <c r="J23" s="165">
        <v>0</v>
      </c>
    </row>
    <row r="24" spans="1:14" ht="20.100000000000001" customHeight="1">
      <c r="C24" s="63"/>
      <c r="M24" s="2"/>
      <c r="N24" s="2"/>
    </row>
    <row r="25" spans="1:14" ht="20.100000000000001" customHeight="1">
      <c r="C25" s="63"/>
      <c r="M25" s="2"/>
      <c r="N25" s="2"/>
    </row>
    <row r="26" spans="1:14" ht="20.100000000000001" customHeight="1">
      <c r="C26" s="63"/>
      <c r="M26" s="2"/>
      <c r="N26" s="2"/>
    </row>
    <row r="27" spans="1:14" ht="20.100000000000001" customHeight="1"/>
    <row r="28" spans="1:14" ht="20.100000000000001" customHeight="1"/>
    <row r="29" spans="1:14" ht="20.100000000000001" customHeight="1"/>
    <row r="30" spans="1:14" ht="20.100000000000001" customHeight="1"/>
    <row r="31" spans="1:14" ht="20.100000000000001" customHeight="1"/>
    <row r="32" spans="1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</sheetData>
  <mergeCells count="7">
    <mergeCell ref="I7:J7"/>
    <mergeCell ref="A23:B23"/>
    <mergeCell ref="A9:A19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B9" sqref="B9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965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+'가.굴착교체(대소-오수지선)'!I23</f>
        <v>0</v>
      </c>
      <c r="C5" s="101">
        <f>+'가.굴착교체(대소-오수지선)'!K23</f>
        <v>0</v>
      </c>
      <c r="D5" s="101">
        <f>+'가.굴착교체(대소-오수지선)'!M23</f>
        <v>0</v>
      </c>
      <c r="E5" s="101">
        <f>+'가.굴착교체(대소-오수지선)'!O23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+'나.전체보수(대소-오수지선)'!E17</f>
        <v>0</v>
      </c>
      <c r="C6" s="94">
        <f>+'나.전체보수(대소-오수지선)'!G17</f>
        <v>0</v>
      </c>
      <c r="D6" s="94">
        <f>+'나.전체보수(대소-오수지선)'!I17</f>
        <v>0</v>
      </c>
      <c r="E6" s="94">
        <f>+'나.전체보수(대소-오수지선)'!K17</f>
        <v>0</v>
      </c>
      <c r="F6" s="95"/>
      <c r="G6" s="5"/>
      <c r="H6" s="7" t="s">
        <v>417</v>
      </c>
      <c r="I6" s="70">
        <v>0</v>
      </c>
      <c r="J6" s="70">
        <f>+C5/C9</f>
        <v>0</v>
      </c>
      <c r="K6" s="70">
        <v>0</v>
      </c>
      <c r="L6" s="70">
        <v>0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+'다.부분보수(대소-오수지선)'!E17</f>
        <v>0</v>
      </c>
      <c r="C7" s="94">
        <f>+'다.부분보수(대소-오수지선)'!G17</f>
        <v>0</v>
      </c>
      <c r="D7" s="94">
        <f>+'다.부분보수(대소-오수지선)'!I17</f>
        <v>0</v>
      </c>
      <c r="E7" s="94">
        <f>+'다.부분보수(대소-오수지선)'!K17</f>
        <v>0</v>
      </c>
      <c r="F7" s="95"/>
      <c r="G7" s="5"/>
      <c r="H7" s="7" t="s">
        <v>413</v>
      </c>
      <c r="I7" s="71">
        <v>0</v>
      </c>
      <c r="J7" s="71">
        <f>1-J6</f>
        <v>1</v>
      </c>
      <c r="K7" s="71">
        <v>0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399">
        <f>ROUND('1.4.5 오수관로신설'!C7*0.03,0)</f>
        <v>3</v>
      </c>
      <c r="D8" s="399">
        <f>ROUND('1.4.5 오수관로신설'!D7*0.03,0)</f>
        <v>0</v>
      </c>
      <c r="E8" s="399">
        <f>ROUND('1.4.5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3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3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635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5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3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636</v>
      </c>
      <c r="B26" s="118">
        <f>+I39</f>
        <v>10000</v>
      </c>
      <c r="C26" s="112">
        <f>+I39</f>
        <v>10000</v>
      </c>
      <c r="D26" s="96">
        <f>+I39</f>
        <v>10000</v>
      </c>
      <c r="E26" s="118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637</v>
      </c>
      <c r="B27" s="118">
        <f>+I39</f>
        <v>10000</v>
      </c>
      <c r="C27" s="112">
        <f>+I39</f>
        <v>10000</v>
      </c>
      <c r="D27" s="96">
        <f>+J39</f>
        <v>20000</v>
      </c>
      <c r="E27" s="118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638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41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639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41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640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41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607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16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5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6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27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641</v>
      </c>
      <c r="D38" s="12"/>
      <c r="G38" s="9"/>
      <c r="H38" s="9" t="s">
        <v>643</v>
      </c>
    </row>
    <row r="39" spans="1:17" ht="20.100000000000001" customHeight="1">
      <c r="A39" s="14"/>
      <c r="B39" s="15"/>
      <c r="C39" s="15"/>
      <c r="D39" s="15"/>
      <c r="E39" s="15"/>
      <c r="F39" s="8" t="s">
        <v>642</v>
      </c>
      <c r="G39" s="9"/>
      <c r="H39" s="17" t="s">
        <v>645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614</v>
      </c>
      <c r="B40" s="297" t="s">
        <v>617</v>
      </c>
      <c r="C40" s="298" t="s">
        <v>618</v>
      </c>
      <c r="D40" s="298" t="s">
        <v>619</v>
      </c>
      <c r="E40" s="298" t="s">
        <v>620</v>
      </c>
      <c r="F40" s="299" t="s">
        <v>644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646</v>
      </c>
      <c r="B41" s="117">
        <f>+B14</f>
        <v>0</v>
      </c>
      <c r="C41" s="115">
        <f>+C14</f>
        <v>3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647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45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639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  <c r="G45" s="9"/>
    </row>
    <row r="46" spans="1:17" ht="20.100000000000001" customHeight="1">
      <c r="A46" s="110" t="s">
        <v>648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649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650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642</v>
      </c>
    </row>
    <row r="51" spans="1:6" ht="20.100000000000001" customHeight="1">
      <c r="A51" s="282" t="s">
        <v>614</v>
      </c>
      <c r="B51" s="297" t="s">
        <v>617</v>
      </c>
      <c r="C51" s="298" t="s">
        <v>618</v>
      </c>
      <c r="D51" s="298" t="s">
        <v>619</v>
      </c>
      <c r="E51" s="298" t="s">
        <v>620</v>
      </c>
      <c r="F51" s="299" t="s">
        <v>644</v>
      </c>
    </row>
    <row r="52" spans="1:6" ht="20.100000000000001" customHeight="1">
      <c r="A52" s="147" t="s">
        <v>622</v>
      </c>
      <c r="B52" s="148">
        <f>+B9</f>
        <v>0</v>
      </c>
      <c r="C52" s="149">
        <f>+C9</f>
        <v>3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3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f>+ROUND(B56*I6,0)</f>
        <v>0</v>
      </c>
      <c r="C57" s="146">
        <f>+ROUND(C56*J6,0)</f>
        <v>0</v>
      </c>
      <c r="D57" s="146">
        <f>+ROUND(D56*K6,0)</f>
        <v>0</v>
      </c>
      <c r="E57" s="146">
        <f>+ROUND(E56*L6,0)</f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>
        <f>+C56-C57</f>
        <v>3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8.625" style="2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76" t="s">
        <v>64</v>
      </c>
      <c r="R3" s="776" t="s">
        <v>511</v>
      </c>
      <c r="S3" s="776" t="s">
        <v>66</v>
      </c>
      <c r="T3" s="776"/>
      <c r="V3" s="844" t="s">
        <v>64</v>
      </c>
      <c r="W3" s="776" t="s">
        <v>511</v>
      </c>
      <c r="X3" s="776" t="s">
        <v>66</v>
      </c>
      <c r="Y3" s="776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76"/>
      <c r="R4" s="776"/>
      <c r="S4" s="272" t="s">
        <v>67</v>
      </c>
      <c r="T4" s="272" t="s">
        <v>68</v>
      </c>
      <c r="V4" s="844"/>
      <c r="W4" s="776"/>
      <c r="X4" s="578" t="s">
        <v>67</v>
      </c>
      <c r="Y4" s="578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76" t="s">
        <v>69</v>
      </c>
      <c r="R5" s="272">
        <v>300</v>
      </c>
      <c r="S5" s="44">
        <v>512740</v>
      </c>
      <c r="T5" s="44">
        <v>782541</v>
      </c>
      <c r="V5" s="845" t="s">
        <v>70</v>
      </c>
      <c r="W5" s="578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76"/>
      <c r="R6" s="272">
        <v>400</v>
      </c>
      <c r="S6" s="44">
        <v>580188</v>
      </c>
      <c r="T6" s="44">
        <v>859007</v>
      </c>
      <c r="V6" s="846"/>
      <c r="W6" s="578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76"/>
      <c r="R7" s="272">
        <v>500</v>
      </c>
      <c r="S7" s="44">
        <v>624861</v>
      </c>
      <c r="T7" s="44">
        <v>912820</v>
      </c>
      <c r="V7" s="846"/>
      <c r="W7" s="578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76"/>
      <c r="R8" s="272">
        <v>600</v>
      </c>
      <c r="S8" s="44">
        <v>705821</v>
      </c>
      <c r="T8" s="44">
        <v>1016585</v>
      </c>
      <c r="V8" s="846"/>
      <c r="W8" s="578">
        <v>200</v>
      </c>
      <c r="X8" s="44">
        <v>172293</v>
      </c>
      <c r="Y8" s="44">
        <v>405664</v>
      </c>
    </row>
    <row r="9" spans="1:25" ht="20.100000000000001" customHeight="1">
      <c r="A9" s="783" t="s">
        <v>655</v>
      </c>
      <c r="B9" s="781" t="s">
        <v>656</v>
      </c>
      <c r="C9" s="785" t="s">
        <v>657</v>
      </c>
      <c r="D9" s="785" t="s">
        <v>658</v>
      </c>
      <c r="E9" s="785" t="s">
        <v>659</v>
      </c>
      <c r="F9" s="785" t="s">
        <v>513</v>
      </c>
      <c r="G9" s="787" t="s">
        <v>514</v>
      </c>
      <c r="H9" s="789" t="s">
        <v>436</v>
      </c>
      <c r="I9" s="781"/>
      <c r="J9" s="781" t="s">
        <v>437</v>
      </c>
      <c r="K9" s="781"/>
      <c r="L9" s="781" t="s">
        <v>438</v>
      </c>
      <c r="M9" s="781"/>
      <c r="N9" s="781" t="s">
        <v>439</v>
      </c>
      <c r="O9" s="782"/>
      <c r="Q9" s="776"/>
      <c r="R9" s="272">
        <v>700</v>
      </c>
      <c r="S9" s="44">
        <v>782918</v>
      </c>
      <c r="T9" s="44">
        <v>1102578</v>
      </c>
      <c r="V9" s="846"/>
      <c r="W9" s="578">
        <v>300</v>
      </c>
      <c r="X9" s="44">
        <v>248738</v>
      </c>
      <c r="Y9" s="44">
        <v>494561</v>
      </c>
    </row>
    <row r="10" spans="1:25" ht="20.100000000000001" customHeight="1">
      <c r="A10" s="840"/>
      <c r="B10" s="889"/>
      <c r="C10" s="889"/>
      <c r="D10" s="888"/>
      <c r="E10" s="888"/>
      <c r="F10" s="888"/>
      <c r="G10" s="841"/>
      <c r="H10" s="316" t="s">
        <v>515</v>
      </c>
      <c r="I10" s="317" t="s">
        <v>452</v>
      </c>
      <c r="J10" s="318" t="s">
        <v>515</v>
      </c>
      <c r="K10" s="317" t="s">
        <v>452</v>
      </c>
      <c r="L10" s="318" t="s">
        <v>515</v>
      </c>
      <c r="M10" s="317" t="s">
        <v>452</v>
      </c>
      <c r="N10" s="318" t="s">
        <v>515</v>
      </c>
      <c r="O10" s="319" t="s">
        <v>452</v>
      </c>
      <c r="P10" s="67"/>
      <c r="Q10" s="776"/>
      <c r="R10" s="272">
        <v>800</v>
      </c>
      <c r="S10" s="44">
        <v>854676</v>
      </c>
      <c r="T10" s="44">
        <v>1183365</v>
      </c>
      <c r="V10" s="846"/>
      <c r="W10" s="578">
        <v>400</v>
      </c>
      <c r="X10" s="44">
        <v>348039</v>
      </c>
      <c r="Y10" s="44">
        <v>606519</v>
      </c>
    </row>
    <row r="11" spans="1:25" ht="20.100000000000001" customHeight="1">
      <c r="A11" s="931" t="s">
        <v>966</v>
      </c>
      <c r="B11" s="932" t="s">
        <v>966</v>
      </c>
      <c r="C11" s="929"/>
      <c r="D11" s="391"/>
      <c r="E11" s="370">
        <v>0</v>
      </c>
      <c r="F11" s="391">
        <v>150</v>
      </c>
      <c r="G11" s="392">
        <f>ROUND(Y7*$P$1,0)</f>
        <v>550062</v>
      </c>
      <c r="H11" s="389">
        <v>0</v>
      </c>
      <c r="I11" s="322">
        <f t="shared" ref="I11:I16" si="0">+ROUND($G11*H11/1000000,0)</f>
        <v>0</v>
      </c>
      <c r="J11" s="387"/>
      <c r="K11" s="324">
        <f t="shared" ref="K11:K16" si="1">+ROUND($G11*J11/1000000,0)</f>
        <v>0</v>
      </c>
      <c r="L11" s="387">
        <v>0</v>
      </c>
      <c r="M11" s="324">
        <f t="shared" ref="M11:M16" si="2">+ROUND($G11*L11/1000000,0)</f>
        <v>0</v>
      </c>
      <c r="N11" s="387">
        <v>0</v>
      </c>
      <c r="O11" s="325">
        <f t="shared" ref="O11:O16" si="3">+ROUND($G11*N11/1000000,0)</f>
        <v>0</v>
      </c>
      <c r="P11" s="67"/>
      <c r="Q11" s="776"/>
      <c r="R11" s="272">
        <v>900</v>
      </c>
      <c r="S11" s="44">
        <v>945775</v>
      </c>
      <c r="T11" s="44">
        <v>1283451</v>
      </c>
      <c r="V11" s="846"/>
      <c r="W11" s="578">
        <v>500</v>
      </c>
      <c r="X11" s="44">
        <v>453129</v>
      </c>
      <c r="Y11" s="44">
        <v>724142</v>
      </c>
    </row>
    <row r="12" spans="1:25" ht="20.100000000000001" customHeight="1">
      <c r="A12" s="883"/>
      <c r="B12" s="886"/>
      <c r="C12" s="930"/>
      <c r="D12" s="344"/>
      <c r="E12" s="328">
        <v>0</v>
      </c>
      <c r="F12" s="344">
        <v>200</v>
      </c>
      <c r="G12" s="393">
        <f>ROUND(T26*$P$1,0)</f>
        <v>1106772</v>
      </c>
      <c r="H12" s="390">
        <v>0</v>
      </c>
      <c r="I12" s="327">
        <f t="shared" si="0"/>
        <v>0</v>
      </c>
      <c r="J12" s="388"/>
      <c r="K12" s="329">
        <f t="shared" si="1"/>
        <v>0</v>
      </c>
      <c r="L12" s="388">
        <v>0</v>
      </c>
      <c r="M12" s="329">
        <f t="shared" si="2"/>
        <v>0</v>
      </c>
      <c r="N12" s="388">
        <v>0</v>
      </c>
      <c r="O12" s="330">
        <f t="shared" si="3"/>
        <v>0</v>
      </c>
      <c r="P12" s="67"/>
      <c r="Q12" s="776"/>
      <c r="R12" s="272">
        <v>1000</v>
      </c>
      <c r="S12" s="44">
        <v>1051853</v>
      </c>
      <c r="T12" s="44">
        <v>1398649</v>
      </c>
      <c r="V12" s="846"/>
      <c r="W12" s="578">
        <v>600</v>
      </c>
      <c r="X12" s="44">
        <v>563069</v>
      </c>
      <c r="Y12" s="44">
        <v>846789</v>
      </c>
    </row>
    <row r="13" spans="1:25" ht="20.100000000000001" customHeight="1">
      <c r="A13" s="883"/>
      <c r="B13" s="886"/>
      <c r="C13" s="930"/>
      <c r="D13" s="344"/>
      <c r="E13" s="328">
        <v>0</v>
      </c>
      <c r="F13" s="344">
        <v>300</v>
      </c>
      <c r="G13" s="393">
        <f>ROUND(T27*$P$1,0)</f>
        <v>1192353</v>
      </c>
      <c r="H13" s="390">
        <v>0</v>
      </c>
      <c r="I13" s="327">
        <f t="shared" si="0"/>
        <v>0</v>
      </c>
      <c r="J13" s="388"/>
      <c r="K13" s="329">
        <f t="shared" si="1"/>
        <v>0</v>
      </c>
      <c r="L13" s="388">
        <v>0</v>
      </c>
      <c r="M13" s="329">
        <f t="shared" si="2"/>
        <v>0</v>
      </c>
      <c r="N13" s="388">
        <v>0</v>
      </c>
      <c r="O13" s="330">
        <f t="shared" si="3"/>
        <v>0</v>
      </c>
      <c r="P13" s="67"/>
      <c r="Q13" s="776"/>
      <c r="R13" s="272">
        <v>1100</v>
      </c>
      <c r="S13" s="44">
        <v>1188358</v>
      </c>
      <c r="T13" s="44">
        <v>1557399</v>
      </c>
      <c r="V13" s="846"/>
      <c r="W13" s="578">
        <v>700</v>
      </c>
      <c r="X13" s="44">
        <v>708878</v>
      </c>
      <c r="Y13" s="44">
        <v>1005274</v>
      </c>
    </row>
    <row r="14" spans="1:25" ht="20.100000000000001" customHeight="1">
      <c r="A14" s="883"/>
      <c r="B14" s="886"/>
      <c r="C14" s="930"/>
      <c r="D14" s="344"/>
      <c r="E14" s="328">
        <v>0</v>
      </c>
      <c r="F14" s="344">
        <v>400</v>
      </c>
      <c r="G14" s="393">
        <f>ROUND(T28*$P$1,0)</f>
        <v>1356896</v>
      </c>
      <c r="H14" s="390">
        <v>0</v>
      </c>
      <c r="I14" s="327">
        <f t="shared" si="0"/>
        <v>0</v>
      </c>
      <c r="J14" s="388"/>
      <c r="K14" s="329">
        <f t="shared" si="1"/>
        <v>0</v>
      </c>
      <c r="L14" s="388">
        <v>0</v>
      </c>
      <c r="M14" s="329">
        <f t="shared" si="2"/>
        <v>0</v>
      </c>
      <c r="N14" s="388">
        <v>0</v>
      </c>
      <c r="O14" s="330">
        <f t="shared" si="3"/>
        <v>0</v>
      </c>
      <c r="P14" s="67"/>
      <c r="Q14" s="776"/>
      <c r="R14" s="272">
        <v>1200</v>
      </c>
      <c r="S14" s="44">
        <v>1313909</v>
      </c>
      <c r="T14" s="44">
        <v>1691805</v>
      </c>
      <c r="V14" s="847"/>
      <c r="W14" s="578">
        <v>800</v>
      </c>
      <c r="X14" s="44">
        <v>860005</v>
      </c>
      <c r="Y14" s="44">
        <v>1169007</v>
      </c>
    </row>
    <row r="15" spans="1:25" ht="20.100000000000001" customHeight="1">
      <c r="A15" s="883"/>
      <c r="B15" s="886"/>
      <c r="C15" s="930"/>
      <c r="D15" s="344"/>
      <c r="E15" s="328">
        <v>0</v>
      </c>
      <c r="F15" s="344">
        <v>450</v>
      </c>
      <c r="G15" s="393">
        <f>(G14+G16)/2</f>
        <v>1428055</v>
      </c>
      <c r="H15" s="390">
        <v>0</v>
      </c>
      <c r="I15" s="327">
        <f t="shared" si="0"/>
        <v>0</v>
      </c>
      <c r="J15" s="388"/>
      <c r="K15" s="329">
        <f t="shared" si="1"/>
        <v>0</v>
      </c>
      <c r="L15" s="388">
        <v>0</v>
      </c>
      <c r="M15" s="329">
        <f t="shared" si="2"/>
        <v>0</v>
      </c>
      <c r="N15" s="388">
        <v>0</v>
      </c>
      <c r="O15" s="330">
        <f t="shared" si="3"/>
        <v>0</v>
      </c>
      <c r="P15" s="67"/>
      <c r="Q15" s="776"/>
      <c r="R15" s="272">
        <v>1350</v>
      </c>
      <c r="S15" s="44">
        <v>1519849</v>
      </c>
      <c r="T15" s="44">
        <v>1910605</v>
      </c>
    </row>
    <row r="16" spans="1:25" ht="20.100000000000001" customHeight="1">
      <c r="A16" s="883"/>
      <c r="B16" s="886"/>
      <c r="C16" s="930"/>
      <c r="D16" s="344"/>
      <c r="E16" s="328">
        <v>0</v>
      </c>
      <c r="F16" s="344">
        <v>500</v>
      </c>
      <c r="G16" s="393">
        <f t="shared" ref="G16:G21" si="4">ROUND(T29*$P$1,0)</f>
        <v>1499214</v>
      </c>
      <c r="H16" s="390">
        <v>0</v>
      </c>
      <c r="I16" s="327">
        <f t="shared" si="0"/>
        <v>0</v>
      </c>
      <c r="J16" s="388"/>
      <c r="K16" s="329">
        <f t="shared" si="1"/>
        <v>0</v>
      </c>
      <c r="L16" s="388">
        <v>0</v>
      </c>
      <c r="M16" s="329">
        <f t="shared" si="2"/>
        <v>0</v>
      </c>
      <c r="N16" s="388">
        <v>0</v>
      </c>
      <c r="O16" s="330">
        <f t="shared" si="3"/>
        <v>0</v>
      </c>
      <c r="P16" s="72" t="s">
        <v>660</v>
      </c>
      <c r="Q16" s="776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883"/>
      <c r="B17" s="886"/>
      <c r="C17" s="346"/>
      <c r="D17" s="331"/>
      <c r="E17" s="328">
        <v>0</v>
      </c>
      <c r="F17" s="347">
        <v>600</v>
      </c>
      <c r="G17" s="393">
        <f t="shared" si="4"/>
        <v>1682466</v>
      </c>
      <c r="H17" s="338">
        <v>0</v>
      </c>
      <c r="I17" s="331">
        <f>+ROUND($G17*H17/1000000,0)</f>
        <v>0</v>
      </c>
      <c r="J17" s="331"/>
      <c r="K17" s="331">
        <f>+ROUND($G17*J17/1000000,0)</f>
        <v>0</v>
      </c>
      <c r="L17" s="331">
        <f>+E17</f>
        <v>0</v>
      </c>
      <c r="M17" s="331">
        <f t="shared" ref="M17:M22" si="5">+ROUND($G17*L17/1000000,0)</f>
        <v>0</v>
      </c>
      <c r="N17" s="331">
        <v>0</v>
      </c>
      <c r="O17" s="332">
        <f t="shared" ref="O17:O22" si="6">+ROUND($G17*N17/1000000,0)</f>
        <v>0</v>
      </c>
      <c r="P17" s="67"/>
      <c r="Q17" s="776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A18" s="883"/>
      <c r="B18" s="886"/>
      <c r="C18" s="346"/>
      <c r="D18" s="348"/>
      <c r="E18" s="328">
        <v>0</v>
      </c>
      <c r="F18" s="347">
        <v>700</v>
      </c>
      <c r="G18" s="393">
        <f t="shared" si="4"/>
        <v>1858458</v>
      </c>
      <c r="H18" s="338">
        <v>0</v>
      </c>
      <c r="I18" s="331">
        <f t="shared" ref="I18:K22" si="7">+ROUND($G18*H18/1000000,0)</f>
        <v>0</v>
      </c>
      <c r="J18" s="331"/>
      <c r="K18" s="331">
        <f t="shared" si="7"/>
        <v>0</v>
      </c>
      <c r="L18" s="331">
        <f>+E18</f>
        <v>0</v>
      </c>
      <c r="M18" s="331">
        <f t="shared" si="5"/>
        <v>0</v>
      </c>
      <c r="N18" s="331">
        <v>0</v>
      </c>
      <c r="O18" s="332">
        <f t="shared" si="6"/>
        <v>0</v>
      </c>
      <c r="P18" s="67"/>
      <c r="Q18" s="776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A19" s="883"/>
      <c r="B19" s="886"/>
      <c r="C19" s="346"/>
      <c r="D19" s="348"/>
      <c r="E19" s="328">
        <v>0</v>
      </c>
      <c r="F19" s="347">
        <v>800</v>
      </c>
      <c r="G19" s="393">
        <f t="shared" si="4"/>
        <v>2039202</v>
      </c>
      <c r="H19" s="338">
        <v>0</v>
      </c>
      <c r="I19" s="331">
        <f t="shared" si="7"/>
        <v>0</v>
      </c>
      <c r="J19" s="331"/>
      <c r="K19" s="331">
        <f t="shared" si="7"/>
        <v>0</v>
      </c>
      <c r="L19" s="331">
        <v>0</v>
      </c>
      <c r="M19" s="331">
        <f t="shared" si="5"/>
        <v>0</v>
      </c>
      <c r="N19" s="331">
        <v>0</v>
      </c>
      <c r="O19" s="332">
        <f t="shared" si="6"/>
        <v>0</v>
      </c>
      <c r="P19" s="67"/>
      <c r="Q19" s="776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A20" s="883"/>
      <c r="B20" s="886"/>
      <c r="C20" s="346"/>
      <c r="D20" s="348"/>
      <c r="E20" s="328">
        <v>0</v>
      </c>
      <c r="F20" s="347">
        <v>900</v>
      </c>
      <c r="G20" s="393">
        <f t="shared" si="4"/>
        <v>2187528</v>
      </c>
      <c r="H20" s="338">
        <v>0</v>
      </c>
      <c r="I20" s="331">
        <f t="shared" si="7"/>
        <v>0</v>
      </c>
      <c r="J20" s="331"/>
      <c r="K20" s="331">
        <f t="shared" si="7"/>
        <v>0</v>
      </c>
      <c r="L20" s="331">
        <f>+E20</f>
        <v>0</v>
      </c>
      <c r="M20" s="331">
        <f t="shared" si="5"/>
        <v>0</v>
      </c>
      <c r="N20" s="331">
        <v>0</v>
      </c>
      <c r="O20" s="332">
        <f t="shared" si="6"/>
        <v>0</v>
      </c>
      <c r="P20" s="67"/>
      <c r="Q20" s="776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A21" s="884"/>
      <c r="B21" s="887"/>
      <c r="C21" s="346"/>
      <c r="D21" s="348"/>
      <c r="E21" s="328">
        <v>0</v>
      </c>
      <c r="F21" s="347">
        <v>1000</v>
      </c>
      <c r="G21" s="393">
        <f t="shared" si="4"/>
        <v>2398415</v>
      </c>
      <c r="H21" s="338">
        <v>0</v>
      </c>
      <c r="I21" s="331">
        <f t="shared" si="7"/>
        <v>0</v>
      </c>
      <c r="J21" s="331"/>
      <c r="K21" s="331">
        <f t="shared" si="7"/>
        <v>0</v>
      </c>
      <c r="L21" s="331">
        <f>+E21</f>
        <v>0</v>
      </c>
      <c r="M21" s="331">
        <f t="shared" si="5"/>
        <v>0</v>
      </c>
      <c r="N21" s="331">
        <v>0</v>
      </c>
      <c r="O21" s="332">
        <f t="shared" si="6"/>
        <v>0</v>
      </c>
      <c r="P21" s="67"/>
      <c r="Q21" s="776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A22" s="303"/>
      <c r="B22" s="306"/>
      <c r="C22" s="306"/>
      <c r="D22" s="96"/>
      <c r="E22" s="94"/>
      <c r="F22" s="152"/>
      <c r="G22" s="153"/>
      <c r="H22" s="139">
        <v>0</v>
      </c>
      <c r="I22" s="94">
        <f t="shared" si="7"/>
        <v>0</v>
      </c>
      <c r="J22" s="94">
        <v>0</v>
      </c>
      <c r="K22" s="94">
        <f t="shared" si="7"/>
        <v>0</v>
      </c>
      <c r="L22" s="94">
        <f>+E22</f>
        <v>0</v>
      </c>
      <c r="M22" s="94">
        <f t="shared" si="5"/>
        <v>0</v>
      </c>
      <c r="N22" s="94">
        <v>0</v>
      </c>
      <c r="O22" s="153">
        <f t="shared" si="6"/>
        <v>0</v>
      </c>
      <c r="P22" s="67"/>
      <c r="Q22" s="776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A23" s="276" t="s">
        <v>406</v>
      </c>
      <c r="B23" s="273"/>
      <c r="C23" s="273"/>
      <c r="D23" s="137">
        <f>SUM(D17:D22)</f>
        <v>0</v>
      </c>
      <c r="E23" s="164">
        <f>SUM(E17:E22)</f>
        <v>0</v>
      </c>
      <c r="F23" s="167">
        <v>200</v>
      </c>
      <c r="G23" s="165"/>
      <c r="H23" s="166">
        <f t="shared" ref="H23:O23" si="8">SUM(H11:H22)</f>
        <v>0</v>
      </c>
      <c r="I23" s="164">
        <f t="shared" si="8"/>
        <v>0</v>
      </c>
      <c r="J23" s="164">
        <f t="shared" si="8"/>
        <v>0</v>
      </c>
      <c r="K23" s="164">
        <f t="shared" si="8"/>
        <v>0</v>
      </c>
      <c r="L23" s="164">
        <f t="shared" si="8"/>
        <v>0</v>
      </c>
      <c r="M23" s="164">
        <f t="shared" si="8"/>
        <v>0</v>
      </c>
      <c r="N23" s="164">
        <f t="shared" si="8"/>
        <v>0</v>
      </c>
      <c r="O23" s="164">
        <f t="shared" si="8"/>
        <v>0</v>
      </c>
      <c r="P23" s="67"/>
      <c r="Q23" s="776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I24" s="2" t="s">
        <v>809</v>
      </c>
      <c r="J24" s="2" t="s">
        <v>810</v>
      </c>
      <c r="K24" s="2" t="s">
        <v>811</v>
      </c>
      <c r="P24" s="67"/>
      <c r="Q24" s="776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E25" s="2">
        <v>9790</v>
      </c>
      <c r="F25" s="2">
        <v>250</v>
      </c>
      <c r="G25" s="2">
        <v>0</v>
      </c>
      <c r="H25" s="2">
        <f>ROUND($E$25*G25,0)</f>
        <v>0</v>
      </c>
      <c r="I25" s="2">
        <f>ROUND(H25*1,0)</f>
        <v>0</v>
      </c>
      <c r="J25" s="2">
        <f>ROUND(H25*0,0)</f>
        <v>0</v>
      </c>
      <c r="K25" s="2">
        <f>H25-I25-J25</f>
        <v>0</v>
      </c>
      <c r="P25" s="67"/>
      <c r="Q25" s="776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300</v>
      </c>
      <c r="G26" s="2">
        <v>0.95</v>
      </c>
      <c r="H26" s="2">
        <f>ROUND($E$25*G26,0)-1</f>
        <v>9300</v>
      </c>
      <c r="I26" s="2">
        <f t="shared" ref="I26:I33" si="9">ROUND(H26*1,0)</f>
        <v>9300</v>
      </c>
      <c r="J26" s="2">
        <f t="shared" ref="J26:J33" si="10">ROUND(H26*0,0)</f>
        <v>0</v>
      </c>
      <c r="K26" s="2">
        <f t="shared" ref="K26:K33" si="11">H26-I26-J26</f>
        <v>0</v>
      </c>
      <c r="P26" s="67"/>
      <c r="Q26" s="776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400</v>
      </c>
      <c r="G27" s="2">
        <v>0</v>
      </c>
      <c r="H27" s="2">
        <f t="shared" ref="H27:H35" si="12">ROUND($E$25*G27,0)</f>
        <v>0</v>
      </c>
      <c r="I27" s="2">
        <f t="shared" si="9"/>
        <v>0</v>
      </c>
      <c r="J27" s="2">
        <f t="shared" si="10"/>
        <v>0</v>
      </c>
      <c r="K27" s="2">
        <f t="shared" si="11"/>
        <v>0</v>
      </c>
      <c r="P27" s="67"/>
      <c r="Q27" s="776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450</v>
      </c>
      <c r="G28" s="2">
        <v>0</v>
      </c>
      <c r="H28" s="2">
        <f t="shared" si="12"/>
        <v>0</v>
      </c>
      <c r="I28" s="2">
        <f t="shared" si="9"/>
        <v>0</v>
      </c>
      <c r="J28" s="2">
        <f t="shared" si="10"/>
        <v>0</v>
      </c>
      <c r="K28" s="2">
        <f t="shared" si="11"/>
        <v>0</v>
      </c>
      <c r="Q28" s="776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500</v>
      </c>
      <c r="G29" s="2">
        <v>0.04</v>
      </c>
      <c r="H29" s="2">
        <f t="shared" si="12"/>
        <v>392</v>
      </c>
      <c r="I29" s="2">
        <f t="shared" si="9"/>
        <v>392</v>
      </c>
      <c r="J29" s="2">
        <f t="shared" si="10"/>
        <v>0</v>
      </c>
      <c r="K29" s="2">
        <f t="shared" si="11"/>
        <v>0</v>
      </c>
      <c r="Q29" s="776"/>
      <c r="R29" s="272">
        <v>500</v>
      </c>
      <c r="S29" s="44">
        <v>711507</v>
      </c>
      <c r="T29" s="44">
        <v>999476</v>
      </c>
    </row>
    <row r="30" spans="1:23" ht="20.100000000000001" customHeight="1">
      <c r="F30" s="2">
        <v>600</v>
      </c>
      <c r="G30" s="2">
        <v>0.01</v>
      </c>
      <c r="H30" s="2">
        <f t="shared" si="12"/>
        <v>98</v>
      </c>
      <c r="I30" s="2">
        <f t="shared" si="9"/>
        <v>98</v>
      </c>
      <c r="J30" s="2">
        <f t="shared" si="10"/>
        <v>0</v>
      </c>
      <c r="K30" s="2">
        <f t="shared" si="11"/>
        <v>0</v>
      </c>
      <c r="Q30" s="776"/>
      <c r="R30" s="272">
        <v>600</v>
      </c>
      <c r="S30" s="44">
        <v>810869</v>
      </c>
      <c r="T30" s="44">
        <v>1121644</v>
      </c>
    </row>
    <row r="31" spans="1:23" ht="20.100000000000001" customHeight="1">
      <c r="F31" s="2">
        <v>700</v>
      </c>
      <c r="G31" s="2">
        <v>0</v>
      </c>
      <c r="H31" s="2">
        <f t="shared" si="12"/>
        <v>0</v>
      </c>
      <c r="I31" s="2">
        <f t="shared" si="9"/>
        <v>0</v>
      </c>
      <c r="J31" s="2">
        <f t="shared" si="10"/>
        <v>0</v>
      </c>
      <c r="K31" s="2">
        <f t="shared" si="11"/>
        <v>0</v>
      </c>
      <c r="P31" s="67"/>
      <c r="Q31" s="776"/>
      <c r="R31" s="272">
        <v>700</v>
      </c>
      <c r="S31" s="44">
        <v>919311</v>
      </c>
      <c r="T31" s="44">
        <v>1238972</v>
      </c>
    </row>
    <row r="32" spans="1:23" ht="20.100000000000001" customHeight="1">
      <c r="F32" s="2">
        <v>800</v>
      </c>
      <c r="G32" s="2">
        <v>0</v>
      </c>
      <c r="H32" s="2">
        <f t="shared" si="12"/>
        <v>0</v>
      </c>
      <c r="I32" s="2">
        <f t="shared" si="9"/>
        <v>0</v>
      </c>
      <c r="J32" s="2">
        <f t="shared" si="10"/>
        <v>0</v>
      </c>
      <c r="K32" s="2">
        <f t="shared" si="11"/>
        <v>0</v>
      </c>
      <c r="P32" s="29"/>
      <c r="Q32" s="776"/>
      <c r="R32" s="272">
        <v>800</v>
      </c>
      <c r="S32" s="44">
        <v>1030780</v>
      </c>
      <c r="T32" s="44">
        <v>1359468</v>
      </c>
    </row>
    <row r="33" spans="6:20" ht="20.100000000000001" customHeight="1">
      <c r="F33" s="2">
        <v>900</v>
      </c>
      <c r="G33" s="2">
        <v>0</v>
      </c>
      <c r="H33" s="2">
        <f t="shared" si="12"/>
        <v>0</v>
      </c>
      <c r="I33" s="2">
        <f t="shared" si="9"/>
        <v>0</v>
      </c>
      <c r="J33" s="2">
        <f t="shared" si="10"/>
        <v>0</v>
      </c>
      <c r="K33" s="2">
        <f t="shared" si="11"/>
        <v>0</v>
      </c>
      <c r="P33" s="45"/>
      <c r="Q33" s="776"/>
      <c r="R33" s="272">
        <v>900</v>
      </c>
      <c r="S33" s="44">
        <v>1120686</v>
      </c>
      <c r="T33" s="44">
        <v>1458352</v>
      </c>
    </row>
    <row r="34" spans="6:20" ht="20.100000000000001" customHeight="1">
      <c r="F34" s="2">
        <v>1000</v>
      </c>
      <c r="G34" s="2">
        <v>0</v>
      </c>
      <c r="H34" s="2">
        <f t="shared" si="12"/>
        <v>0</v>
      </c>
      <c r="I34" s="2">
        <f>ROUND(H34*0.8,0)</f>
        <v>0</v>
      </c>
      <c r="J34" s="2">
        <f>ROUND(H34*0.15,0)</f>
        <v>0</v>
      </c>
      <c r="K34" s="2">
        <f>H34-I34-J34</f>
        <v>0</v>
      </c>
      <c r="P34" s="45"/>
      <c r="Q34" s="776"/>
      <c r="R34" s="272">
        <v>1000</v>
      </c>
      <c r="S34" s="44">
        <v>1252157</v>
      </c>
      <c r="T34" s="44">
        <v>1598943</v>
      </c>
    </row>
    <row r="35" spans="6:20" ht="20.100000000000001" customHeight="1">
      <c r="F35" s="2">
        <v>1200</v>
      </c>
      <c r="G35" s="2">
        <v>0</v>
      </c>
      <c r="H35" s="2">
        <f t="shared" si="12"/>
        <v>0</v>
      </c>
      <c r="I35" s="2">
        <f>ROUND(H35*0.8,0)</f>
        <v>0</v>
      </c>
      <c r="J35" s="2">
        <f>ROUND(H35*0.15,0)</f>
        <v>0</v>
      </c>
      <c r="K35" s="2">
        <f>H35-I35-J35</f>
        <v>0</v>
      </c>
      <c r="P35" s="35"/>
      <c r="Q35" s="776"/>
      <c r="R35" s="272">
        <v>1200</v>
      </c>
      <c r="S35" s="44">
        <v>1519329</v>
      </c>
      <c r="T35" s="44">
        <v>1897235</v>
      </c>
    </row>
    <row r="36" spans="6:20" ht="20.100000000000001" customHeight="1">
      <c r="P36" s="35"/>
      <c r="Q36" s="776" t="s">
        <v>519</v>
      </c>
      <c r="R36" s="272" t="s">
        <v>79</v>
      </c>
      <c r="S36" s="44">
        <v>1813280</v>
      </c>
      <c r="T36" s="44">
        <v>2098936</v>
      </c>
    </row>
    <row r="37" spans="6:20" ht="20.100000000000001" customHeight="1">
      <c r="P37" s="36"/>
      <c r="Q37" s="776"/>
      <c r="R37" s="272" t="s">
        <v>80</v>
      </c>
      <c r="S37" s="44">
        <v>1980997</v>
      </c>
      <c r="T37" s="44">
        <v>2266643</v>
      </c>
    </row>
    <row r="38" spans="6:20" ht="20.100000000000001" customHeight="1">
      <c r="P38" s="35"/>
      <c r="Q38" s="776"/>
      <c r="R38" s="272" t="s">
        <v>81</v>
      </c>
      <c r="S38" s="44">
        <v>2008266</v>
      </c>
      <c r="T38" s="44">
        <v>2293922</v>
      </c>
    </row>
    <row r="39" spans="6:20" ht="20.100000000000001" customHeight="1">
      <c r="P39" s="35"/>
      <c r="Q39" s="776"/>
      <c r="R39" s="272" t="s">
        <v>82</v>
      </c>
      <c r="S39" s="44">
        <v>2087044</v>
      </c>
      <c r="T39" s="44">
        <v>2432231</v>
      </c>
    </row>
    <row r="40" spans="6:20" ht="20.100000000000001" customHeight="1">
      <c r="P40" s="35"/>
      <c r="Q40" s="776"/>
      <c r="R40" s="272" t="s">
        <v>83</v>
      </c>
      <c r="S40" s="44">
        <v>2235747</v>
      </c>
      <c r="T40" s="44">
        <v>2580933</v>
      </c>
    </row>
    <row r="41" spans="6:20" ht="20.100000000000001" customHeight="1">
      <c r="P41" s="35"/>
      <c r="Q41" s="776"/>
      <c r="R41" s="272" t="s">
        <v>84</v>
      </c>
      <c r="S41" s="44">
        <v>2493065</v>
      </c>
      <c r="T41" s="44">
        <v>2838251</v>
      </c>
    </row>
    <row r="42" spans="6:20" ht="20.100000000000001" customHeight="1">
      <c r="P42" s="35"/>
      <c r="Q42" s="776"/>
      <c r="R42" s="272" t="s">
        <v>85</v>
      </c>
      <c r="S42" s="44">
        <v>2688377</v>
      </c>
      <c r="T42" s="44">
        <v>3033563</v>
      </c>
    </row>
    <row r="43" spans="6:20" ht="20.100000000000001" customHeight="1">
      <c r="P43" s="35"/>
      <c r="Q43" s="776"/>
      <c r="R43" s="272" t="s">
        <v>86</v>
      </c>
      <c r="S43" s="44">
        <v>2712639</v>
      </c>
      <c r="T43" s="44">
        <v>3057825</v>
      </c>
    </row>
    <row r="44" spans="6:20" ht="20.100000000000001" customHeight="1">
      <c r="P44" s="35"/>
      <c r="Q44" s="776"/>
      <c r="R44" s="272" t="s">
        <v>87</v>
      </c>
      <c r="S44" s="44">
        <v>3180065</v>
      </c>
      <c r="T44" s="44">
        <v>3525251</v>
      </c>
    </row>
    <row r="45" spans="6:20" ht="20.100000000000001" customHeight="1">
      <c r="P45" s="35"/>
      <c r="Q45" s="776"/>
      <c r="R45" s="272" t="s">
        <v>88</v>
      </c>
      <c r="S45" s="44">
        <v>3443537</v>
      </c>
      <c r="T45" s="44">
        <v>3966580</v>
      </c>
    </row>
    <row r="46" spans="6:20" ht="20.100000000000001" customHeight="1">
      <c r="P46" s="36"/>
      <c r="Q46" s="776"/>
      <c r="R46" s="272" t="s">
        <v>89</v>
      </c>
      <c r="S46" s="44">
        <v>3790171</v>
      </c>
      <c r="T46" s="44">
        <v>4313203</v>
      </c>
    </row>
    <row r="47" spans="6:20" ht="20.100000000000001" customHeight="1">
      <c r="P47" s="67"/>
      <c r="Q47" s="776"/>
      <c r="R47" s="272" t="s">
        <v>90</v>
      </c>
      <c r="S47" s="44">
        <v>4445958</v>
      </c>
      <c r="T47" s="44">
        <v>4968990</v>
      </c>
    </row>
    <row r="48" spans="6:20" ht="20.100000000000001" customHeight="1">
      <c r="P48" s="73"/>
      <c r="Q48" s="776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76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76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76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V3:V4"/>
    <mergeCell ref="W3:W4"/>
    <mergeCell ref="X3:Y3"/>
    <mergeCell ref="V5:V14"/>
    <mergeCell ref="Q3:Q4"/>
    <mergeCell ref="R3:R4"/>
    <mergeCell ref="S3:T3"/>
    <mergeCell ref="Q5:Q15"/>
    <mergeCell ref="A11:A21"/>
    <mergeCell ref="B11:B21"/>
    <mergeCell ref="F9:F10"/>
    <mergeCell ref="G9:G10"/>
    <mergeCell ref="H9:I9"/>
    <mergeCell ref="A9:A10"/>
    <mergeCell ref="B9:B10"/>
    <mergeCell ref="C9:C10"/>
    <mergeCell ref="D9:D10"/>
    <mergeCell ref="E9:E10"/>
    <mergeCell ref="Q36:Q51"/>
    <mergeCell ref="Q16:Q25"/>
    <mergeCell ref="N9:O9"/>
    <mergeCell ref="Q26:Q35"/>
    <mergeCell ref="C11:C16"/>
    <mergeCell ref="J9:K9"/>
    <mergeCell ref="L9:M9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" t="s">
        <v>345</v>
      </c>
      <c r="L3" s="3"/>
    </row>
    <row r="4" spans="1:21" ht="20.100000000000001" customHeight="1">
      <c r="A4" s="40" t="s">
        <v>661</v>
      </c>
      <c r="B4" s="40"/>
      <c r="C4" s="40"/>
      <c r="D4" s="40"/>
      <c r="M4" s="776" t="s">
        <v>64</v>
      </c>
      <c r="N4" s="776" t="s">
        <v>511</v>
      </c>
      <c r="O4" s="776" t="s">
        <v>66</v>
      </c>
      <c r="P4" s="776"/>
      <c r="R4" s="844" t="s">
        <v>64</v>
      </c>
      <c r="S4" s="776" t="s">
        <v>511</v>
      </c>
      <c r="T4" s="776" t="s">
        <v>66</v>
      </c>
      <c r="U4" s="776"/>
    </row>
    <row r="5" spans="1:21" ht="20.100000000000001" customHeight="1">
      <c r="A5" s="2" t="s">
        <v>431</v>
      </c>
      <c r="M5" s="776"/>
      <c r="N5" s="776"/>
      <c r="O5" s="272" t="s">
        <v>67</v>
      </c>
      <c r="P5" s="272" t="s">
        <v>68</v>
      </c>
      <c r="R5" s="844"/>
      <c r="S5" s="776"/>
      <c r="T5" s="578" t="s">
        <v>67</v>
      </c>
      <c r="U5" s="578" t="s">
        <v>68</v>
      </c>
    </row>
    <row r="6" spans="1:21" ht="20.100000000000001" customHeight="1">
      <c r="I6" s="8"/>
      <c r="K6" s="8" t="s">
        <v>512</v>
      </c>
      <c r="M6" s="776" t="s">
        <v>69</v>
      </c>
      <c r="N6" s="272">
        <v>300</v>
      </c>
      <c r="O6" s="44">
        <v>512740</v>
      </c>
      <c r="P6" s="44">
        <v>782541</v>
      </c>
      <c r="R6" s="845" t="s">
        <v>70</v>
      </c>
      <c r="S6" s="578">
        <v>80</v>
      </c>
      <c r="T6" s="44">
        <v>91404</v>
      </c>
      <c r="U6" s="44">
        <v>309684</v>
      </c>
    </row>
    <row r="7" spans="1:21" ht="20.100000000000001" customHeight="1">
      <c r="A7" s="783" t="s">
        <v>655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400</v>
      </c>
      <c r="O7" s="44">
        <v>580188</v>
      </c>
      <c r="P7" s="44">
        <v>859007</v>
      </c>
      <c r="R7" s="846"/>
      <c r="S7" s="578">
        <v>100</v>
      </c>
      <c r="T7" s="44">
        <v>102960</v>
      </c>
      <c r="U7" s="44">
        <v>323665</v>
      </c>
    </row>
    <row r="8" spans="1:21" ht="20.100000000000001" customHeight="1">
      <c r="A8" s="784"/>
      <c r="B8" s="786"/>
      <c r="C8" s="788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76"/>
      <c r="N8" s="272">
        <v>500</v>
      </c>
      <c r="O8" s="44">
        <v>624861</v>
      </c>
      <c r="P8" s="44">
        <v>912820</v>
      </c>
      <c r="R8" s="846"/>
      <c r="S8" s="578">
        <v>150</v>
      </c>
      <c r="T8" s="44">
        <v>139786</v>
      </c>
      <c r="U8" s="44">
        <v>366708</v>
      </c>
    </row>
    <row r="9" spans="1:21" ht="20.100000000000001" customHeight="1">
      <c r="A9" s="893" t="s">
        <v>590</v>
      </c>
      <c r="B9" s="184">
        <v>150</v>
      </c>
      <c r="C9" s="576">
        <f>+ROUND(U8*$L$1*$L$2,0)</f>
        <v>381376</v>
      </c>
      <c r="D9" s="186"/>
      <c r="E9" s="177">
        <f>+ROUND($C9*D9/1000000,0)</f>
        <v>0</v>
      </c>
      <c r="F9" s="177"/>
      <c r="G9" s="177">
        <f>+ROUND($C9*F9/1000000,0)</f>
        <v>0</v>
      </c>
      <c r="H9" s="177"/>
      <c r="I9" s="177">
        <f>+ROUND($C9*H9/1000000,0)</f>
        <v>0</v>
      </c>
      <c r="J9" s="177"/>
      <c r="K9" s="185">
        <f>+ROUND($C9*J9/1000000,0)</f>
        <v>0</v>
      </c>
      <c r="M9" s="776"/>
      <c r="N9" s="272">
        <v>600</v>
      </c>
      <c r="O9" s="44">
        <v>705821</v>
      </c>
      <c r="P9" s="44">
        <v>1016585</v>
      </c>
      <c r="R9" s="846"/>
      <c r="S9" s="578">
        <v>200</v>
      </c>
      <c r="T9" s="44">
        <v>172293</v>
      </c>
      <c r="U9" s="44">
        <v>405664</v>
      </c>
    </row>
    <row r="10" spans="1:21" ht="20.100000000000001" customHeight="1">
      <c r="A10" s="894"/>
      <c r="B10" s="184">
        <v>200</v>
      </c>
      <c r="C10" s="576">
        <f>+ROUND(P27*$L$1*$L$2,0)</f>
        <v>767362</v>
      </c>
      <c r="D10" s="186"/>
      <c r="E10" s="177">
        <f t="shared" ref="E10:E16" si="0">+ROUND($C10*D10/1000000,0)</f>
        <v>0</v>
      </c>
      <c r="F10" s="177"/>
      <c r="G10" s="177">
        <f t="shared" ref="G10:G16" si="1">+ROUND($C10*F10/1000000,0)</f>
        <v>0</v>
      </c>
      <c r="H10" s="177"/>
      <c r="I10" s="177">
        <f t="shared" ref="I10:I16" si="2">+ROUND($C10*H10/1000000,0)</f>
        <v>0</v>
      </c>
      <c r="J10" s="177"/>
      <c r="K10" s="185">
        <f t="shared" ref="K10:K16" si="3">+ROUND($C10*J10/1000000,0)</f>
        <v>0</v>
      </c>
      <c r="M10" s="776"/>
      <c r="N10" s="272">
        <v>700</v>
      </c>
      <c r="O10" s="44">
        <v>782918</v>
      </c>
      <c r="P10" s="44">
        <v>1102578</v>
      </c>
      <c r="R10" s="846"/>
      <c r="S10" s="578">
        <v>300</v>
      </c>
      <c r="T10" s="44">
        <v>248738</v>
      </c>
      <c r="U10" s="44">
        <v>494561</v>
      </c>
    </row>
    <row r="11" spans="1:21" ht="20.100000000000001" customHeight="1">
      <c r="A11" s="894"/>
      <c r="B11" s="184">
        <v>250</v>
      </c>
      <c r="C11" s="576">
        <f>+ROUND(((P28+P27)/2)*$L$1*$L$2,0)</f>
        <v>797030</v>
      </c>
      <c r="D11" s="186"/>
      <c r="E11" s="177">
        <f t="shared" si="0"/>
        <v>0</v>
      </c>
      <c r="F11" s="177"/>
      <c r="G11" s="177">
        <f t="shared" si="1"/>
        <v>0</v>
      </c>
      <c r="H11" s="177"/>
      <c r="I11" s="177">
        <f t="shared" si="2"/>
        <v>0</v>
      </c>
      <c r="J11" s="177"/>
      <c r="K11" s="185">
        <f t="shared" si="3"/>
        <v>0</v>
      </c>
      <c r="L11" s="9"/>
      <c r="M11" s="776"/>
      <c r="N11" s="272">
        <v>800</v>
      </c>
      <c r="O11" s="44">
        <v>854676</v>
      </c>
      <c r="P11" s="44">
        <v>1183365</v>
      </c>
      <c r="R11" s="846"/>
      <c r="S11" s="578">
        <v>400</v>
      </c>
      <c r="T11" s="44">
        <v>348039</v>
      </c>
      <c r="U11" s="44">
        <v>606519</v>
      </c>
    </row>
    <row r="12" spans="1:21" ht="20.100000000000001" customHeight="1">
      <c r="A12" s="894"/>
      <c r="B12" s="184">
        <v>300</v>
      </c>
      <c r="C12" s="576">
        <f>+ROUND(P28*L1*L2,0)</f>
        <v>826698</v>
      </c>
      <c r="D12" s="186"/>
      <c r="E12" s="177">
        <f t="shared" si="0"/>
        <v>0</v>
      </c>
      <c r="F12" s="177"/>
      <c r="G12" s="177">
        <f t="shared" si="1"/>
        <v>0</v>
      </c>
      <c r="H12" s="177"/>
      <c r="I12" s="177">
        <f t="shared" si="2"/>
        <v>0</v>
      </c>
      <c r="J12" s="177"/>
      <c r="K12" s="185">
        <f t="shared" si="3"/>
        <v>0</v>
      </c>
      <c r="L12" s="9"/>
      <c r="M12" s="776"/>
      <c r="N12" s="272">
        <v>900</v>
      </c>
      <c r="O12" s="44">
        <v>945775</v>
      </c>
      <c r="P12" s="44">
        <v>1283451</v>
      </c>
      <c r="R12" s="846"/>
      <c r="S12" s="578">
        <v>500</v>
      </c>
      <c r="T12" s="44">
        <v>453129</v>
      </c>
      <c r="U12" s="44">
        <v>724142</v>
      </c>
    </row>
    <row r="13" spans="1:21" ht="20.100000000000001" customHeight="1">
      <c r="A13" s="894"/>
      <c r="B13" s="184">
        <v>400</v>
      </c>
      <c r="C13" s="576">
        <f>+ROUND(P29*$L$1*$L$2,0)</f>
        <v>940781</v>
      </c>
      <c r="D13" s="186"/>
      <c r="E13" s="177">
        <f t="shared" si="0"/>
        <v>0</v>
      </c>
      <c r="F13" s="177"/>
      <c r="G13" s="177">
        <f t="shared" si="1"/>
        <v>0</v>
      </c>
      <c r="H13" s="177"/>
      <c r="I13" s="177">
        <f t="shared" si="2"/>
        <v>0</v>
      </c>
      <c r="J13" s="177"/>
      <c r="K13" s="185">
        <f t="shared" si="3"/>
        <v>0</v>
      </c>
      <c r="L13" s="9"/>
      <c r="M13" s="776"/>
      <c r="N13" s="272">
        <v>1000</v>
      </c>
      <c r="O13" s="44">
        <v>1051853</v>
      </c>
      <c r="P13" s="44">
        <v>1398649</v>
      </c>
      <c r="R13" s="846"/>
      <c r="S13" s="578">
        <v>600</v>
      </c>
      <c r="T13" s="44">
        <v>563069</v>
      </c>
      <c r="U13" s="44">
        <v>846789</v>
      </c>
    </row>
    <row r="14" spans="1:21" ht="20.100000000000001" customHeight="1">
      <c r="A14" s="894"/>
      <c r="B14" s="184">
        <v>500</v>
      </c>
      <c r="C14" s="576">
        <f>+ROUND(P30*$L$1*$L$2,0)</f>
        <v>1039455</v>
      </c>
      <c r="D14" s="186"/>
      <c r="E14" s="177">
        <f t="shared" si="0"/>
        <v>0</v>
      </c>
      <c r="F14" s="177"/>
      <c r="G14" s="177">
        <f t="shared" si="1"/>
        <v>0</v>
      </c>
      <c r="H14" s="177"/>
      <c r="I14" s="177">
        <f t="shared" si="2"/>
        <v>0</v>
      </c>
      <c r="J14" s="177"/>
      <c r="K14" s="185">
        <f t="shared" si="3"/>
        <v>0</v>
      </c>
      <c r="L14" s="9"/>
      <c r="M14" s="776"/>
      <c r="N14" s="272">
        <v>1100</v>
      </c>
      <c r="O14" s="44">
        <v>1188358</v>
      </c>
      <c r="P14" s="44">
        <v>1557399</v>
      </c>
      <c r="R14" s="846"/>
      <c r="S14" s="578">
        <v>700</v>
      </c>
      <c r="T14" s="44">
        <v>708878</v>
      </c>
      <c r="U14" s="44">
        <v>1005274</v>
      </c>
    </row>
    <row r="15" spans="1:21" ht="20.100000000000001" customHeight="1">
      <c r="A15" s="894"/>
      <c r="B15" s="178">
        <v>600</v>
      </c>
      <c r="C15" s="576">
        <f>+ROUND(P31*$L$1*$L$2,0)</f>
        <v>1166510</v>
      </c>
      <c r="D15" s="186"/>
      <c r="E15" s="177">
        <f t="shared" si="0"/>
        <v>0</v>
      </c>
      <c r="F15" s="177"/>
      <c r="G15" s="177">
        <f t="shared" si="1"/>
        <v>0</v>
      </c>
      <c r="H15" s="177"/>
      <c r="I15" s="177">
        <f t="shared" si="2"/>
        <v>0</v>
      </c>
      <c r="J15" s="177"/>
      <c r="K15" s="185">
        <f t="shared" si="3"/>
        <v>0</v>
      </c>
      <c r="L15" s="9"/>
      <c r="M15" s="776"/>
      <c r="N15" s="272">
        <v>1200</v>
      </c>
      <c r="O15" s="44">
        <v>1313909</v>
      </c>
      <c r="P15" s="44">
        <v>1691805</v>
      </c>
      <c r="R15" s="847"/>
      <c r="S15" s="578">
        <v>800</v>
      </c>
      <c r="T15" s="44">
        <v>860005</v>
      </c>
      <c r="U15" s="44">
        <v>1169007</v>
      </c>
    </row>
    <row r="16" spans="1:21" ht="20.100000000000001" customHeight="1">
      <c r="A16" s="894"/>
      <c r="B16" s="178"/>
      <c r="C16" s="179"/>
      <c r="D16" s="182"/>
      <c r="E16" s="177">
        <f t="shared" si="0"/>
        <v>0</v>
      </c>
      <c r="F16" s="176">
        <v>0</v>
      </c>
      <c r="G16" s="177">
        <f t="shared" si="1"/>
        <v>0</v>
      </c>
      <c r="H16" s="176"/>
      <c r="I16" s="177">
        <f t="shared" si="2"/>
        <v>0</v>
      </c>
      <c r="J16" s="176"/>
      <c r="K16" s="185">
        <f t="shared" si="3"/>
        <v>0</v>
      </c>
      <c r="L16" s="9"/>
      <c r="M16" s="776"/>
      <c r="N16" s="272">
        <v>1350</v>
      </c>
      <c r="O16" s="44">
        <v>1519849</v>
      </c>
      <c r="P16" s="44">
        <v>1910605</v>
      </c>
    </row>
    <row r="17" spans="1:16" ht="20.100000000000001" customHeight="1">
      <c r="A17" s="895"/>
      <c r="B17" s="896" t="s">
        <v>406</v>
      </c>
      <c r="C17" s="897"/>
      <c r="D17" s="183">
        <f t="shared" ref="D17:K17" si="4">SUM(D9:D16)</f>
        <v>0</v>
      </c>
      <c r="E17" s="180">
        <f t="shared" si="4"/>
        <v>0</v>
      </c>
      <c r="F17" s="180">
        <f t="shared" si="4"/>
        <v>0</v>
      </c>
      <c r="G17" s="180">
        <f t="shared" si="4"/>
        <v>0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76" t="s">
        <v>76</v>
      </c>
      <c r="N17" s="272">
        <v>300</v>
      </c>
      <c r="O17" s="44">
        <v>707247</v>
      </c>
      <c r="P17" s="44">
        <v>977038</v>
      </c>
    </row>
    <row r="18" spans="1:16" ht="20.100000000000001" customHeight="1">
      <c r="L18" s="9"/>
      <c r="M18" s="776"/>
      <c r="N18" s="272">
        <v>400</v>
      </c>
      <c r="O18" s="44">
        <v>827275</v>
      </c>
      <c r="P18" s="44">
        <v>1106094</v>
      </c>
    </row>
    <row r="19" spans="1:16" ht="20.100000000000001" customHeight="1">
      <c r="L19" s="9"/>
      <c r="M19" s="776"/>
      <c r="N19" s="272">
        <v>500</v>
      </c>
      <c r="O19" s="44">
        <v>935411</v>
      </c>
      <c r="P19" s="44">
        <v>1223371</v>
      </c>
    </row>
    <row r="20" spans="1:16" ht="20.100000000000001" customHeight="1">
      <c r="L20" s="9"/>
      <c r="M20" s="776"/>
      <c r="N20" s="272">
        <v>600</v>
      </c>
      <c r="O20" s="44">
        <v>1068860</v>
      </c>
      <c r="P20" s="44">
        <v>1379624</v>
      </c>
    </row>
    <row r="21" spans="1:16" ht="20.100000000000001" customHeight="1">
      <c r="L21" s="9"/>
      <c r="M21" s="776"/>
      <c r="N21" s="272">
        <v>700</v>
      </c>
      <c r="O21" s="44">
        <v>1206659</v>
      </c>
      <c r="P21" s="44">
        <v>1526319</v>
      </c>
    </row>
    <row r="22" spans="1:16" ht="20.100000000000001" customHeight="1">
      <c r="L22" s="9"/>
      <c r="M22" s="776"/>
      <c r="N22" s="272">
        <v>800</v>
      </c>
      <c r="O22" s="44">
        <v>1373571</v>
      </c>
      <c r="P22" s="44">
        <v>1702260</v>
      </c>
    </row>
    <row r="23" spans="1:16" ht="20.100000000000001" customHeight="1">
      <c r="L23" s="9"/>
      <c r="M23" s="776"/>
      <c r="N23" s="272">
        <v>900</v>
      </c>
      <c r="O23" s="44">
        <v>1509424</v>
      </c>
      <c r="P23" s="44">
        <v>1847090</v>
      </c>
    </row>
    <row r="24" spans="1:16" ht="20.100000000000001" customHeight="1">
      <c r="L24" s="9"/>
      <c r="M24" s="776"/>
      <c r="N24" s="272">
        <v>1000</v>
      </c>
      <c r="O24" s="44">
        <v>1730822</v>
      </c>
      <c r="P24" s="44">
        <v>2077609</v>
      </c>
    </row>
    <row r="25" spans="1:16" ht="20.100000000000001" customHeight="1">
      <c r="L25" s="9"/>
      <c r="M25" s="776"/>
      <c r="N25" s="272">
        <v>1100</v>
      </c>
      <c r="O25" s="44">
        <v>1990647</v>
      </c>
      <c r="P25" s="44">
        <v>2359688</v>
      </c>
    </row>
    <row r="26" spans="1:16" ht="20.100000000000001" customHeight="1">
      <c r="L26" s="9"/>
      <c r="M26" s="776"/>
      <c r="N26" s="272">
        <v>1200</v>
      </c>
      <c r="O26" s="44">
        <v>2234280</v>
      </c>
      <c r="P26" s="44">
        <v>2612176</v>
      </c>
    </row>
    <row r="27" spans="1:16" ht="20.100000000000001" customHeight="1">
      <c r="L27" s="9"/>
      <c r="M27" s="776" t="s">
        <v>77</v>
      </c>
      <c r="N27" s="272">
        <v>200</v>
      </c>
      <c r="O27" s="44">
        <v>476678</v>
      </c>
      <c r="P27" s="44">
        <v>737848</v>
      </c>
    </row>
    <row r="28" spans="1:16" ht="20.100000000000001" customHeight="1">
      <c r="L28" s="9"/>
      <c r="M28" s="776"/>
      <c r="N28" s="272">
        <v>300</v>
      </c>
      <c r="O28" s="44">
        <v>525101</v>
      </c>
      <c r="P28" s="44">
        <v>794902</v>
      </c>
    </row>
    <row r="29" spans="1:16" ht="20.100000000000001" customHeight="1">
      <c r="M29" s="776"/>
      <c r="N29" s="272">
        <v>400</v>
      </c>
      <c r="O29" s="44">
        <v>625778</v>
      </c>
      <c r="P29" s="44">
        <v>904597</v>
      </c>
    </row>
    <row r="30" spans="1:16" ht="20.100000000000001" customHeight="1">
      <c r="M30" s="776"/>
      <c r="N30" s="272">
        <v>500</v>
      </c>
      <c r="O30" s="44">
        <v>711507</v>
      </c>
      <c r="P30" s="44">
        <v>999476</v>
      </c>
    </row>
    <row r="31" spans="1:16" ht="20.100000000000001" customHeight="1">
      <c r="M31" s="776"/>
      <c r="N31" s="272">
        <v>600</v>
      </c>
      <c r="O31" s="44">
        <v>810869</v>
      </c>
      <c r="P31" s="44">
        <v>1121644</v>
      </c>
    </row>
    <row r="32" spans="1:16" ht="20.100000000000001" customHeight="1">
      <c r="L32" s="9"/>
      <c r="M32" s="776"/>
      <c r="N32" s="272">
        <v>700</v>
      </c>
      <c r="O32" s="44">
        <v>919311</v>
      </c>
      <c r="P32" s="44">
        <v>1238972</v>
      </c>
    </row>
    <row r="33" spans="12:16" ht="20.100000000000001" customHeight="1">
      <c r="L33" s="29"/>
      <c r="M33" s="776"/>
      <c r="N33" s="272">
        <v>800</v>
      </c>
      <c r="O33" s="44">
        <v>1030780</v>
      </c>
      <c r="P33" s="44">
        <v>1359468</v>
      </c>
    </row>
    <row r="34" spans="12:16" ht="20.100000000000001" customHeight="1">
      <c r="L34" s="45"/>
      <c r="M34" s="776"/>
      <c r="N34" s="272">
        <v>900</v>
      </c>
      <c r="O34" s="44">
        <v>1120686</v>
      </c>
      <c r="P34" s="44">
        <v>1458352</v>
      </c>
    </row>
    <row r="35" spans="12:16" ht="20.100000000000001" customHeight="1">
      <c r="L35" s="45"/>
      <c r="M35" s="776"/>
      <c r="N35" s="272">
        <v>1000</v>
      </c>
      <c r="O35" s="44">
        <v>1252157</v>
      </c>
      <c r="P35" s="44">
        <v>1598943</v>
      </c>
    </row>
    <row r="36" spans="12:16" ht="20.100000000000001" customHeight="1">
      <c r="L36" s="35"/>
      <c r="M36" s="776"/>
      <c r="N36" s="272">
        <v>1200</v>
      </c>
      <c r="O36" s="44">
        <v>1519329</v>
      </c>
      <c r="P36" s="44">
        <v>1897235</v>
      </c>
    </row>
    <row r="37" spans="12:16" ht="20.100000000000001" customHeight="1">
      <c r="L37" s="35"/>
      <c r="M37" s="776" t="s">
        <v>519</v>
      </c>
      <c r="N37" s="272" t="s">
        <v>79</v>
      </c>
      <c r="O37" s="44">
        <v>1813280</v>
      </c>
      <c r="P37" s="44">
        <v>2098936</v>
      </c>
    </row>
    <row r="38" spans="12:16" ht="20.100000000000001" customHeight="1">
      <c r="L38" s="36"/>
      <c r="M38" s="776"/>
      <c r="N38" s="272" t="s">
        <v>80</v>
      </c>
      <c r="O38" s="44">
        <v>1980997</v>
      </c>
      <c r="P38" s="44">
        <v>2266643</v>
      </c>
    </row>
    <row r="39" spans="12:16" ht="20.100000000000001" customHeight="1">
      <c r="L39" s="35"/>
      <c r="M39" s="776"/>
      <c r="N39" s="272" t="s">
        <v>81</v>
      </c>
      <c r="O39" s="44">
        <v>2008266</v>
      </c>
      <c r="P39" s="44">
        <v>2293922</v>
      </c>
    </row>
    <row r="40" spans="12:16" ht="20.100000000000001" customHeight="1">
      <c r="L40" s="35"/>
      <c r="M40" s="776"/>
      <c r="N40" s="272" t="s">
        <v>82</v>
      </c>
      <c r="O40" s="44">
        <v>2087044</v>
      </c>
      <c r="P40" s="44">
        <v>2432231</v>
      </c>
    </row>
    <row r="41" spans="12:16" ht="20.100000000000001" customHeight="1">
      <c r="L41" s="35"/>
      <c r="M41" s="776"/>
      <c r="N41" s="272" t="s">
        <v>83</v>
      </c>
      <c r="O41" s="44">
        <v>2235747</v>
      </c>
      <c r="P41" s="44">
        <v>2580933</v>
      </c>
    </row>
    <row r="42" spans="12:16" ht="20.100000000000001" customHeight="1">
      <c r="L42" s="35"/>
      <c r="M42" s="776"/>
      <c r="N42" s="272" t="s">
        <v>84</v>
      </c>
      <c r="O42" s="44">
        <v>2493065</v>
      </c>
      <c r="P42" s="44">
        <v>2838251</v>
      </c>
    </row>
    <row r="43" spans="12:16" ht="20.100000000000001" customHeight="1">
      <c r="L43" s="35"/>
      <c r="M43" s="776"/>
      <c r="N43" s="272" t="s">
        <v>85</v>
      </c>
      <c r="O43" s="44">
        <v>2688377</v>
      </c>
      <c r="P43" s="44">
        <v>3033563</v>
      </c>
    </row>
    <row r="44" spans="12:16" ht="20.100000000000001" customHeight="1">
      <c r="L44" s="35"/>
      <c r="M44" s="776"/>
      <c r="N44" s="272" t="s">
        <v>86</v>
      </c>
      <c r="O44" s="44">
        <v>2712639</v>
      </c>
      <c r="P44" s="44">
        <v>3057825</v>
      </c>
    </row>
    <row r="45" spans="12:16" ht="20.100000000000001" customHeight="1">
      <c r="L45" s="35"/>
      <c r="M45" s="776"/>
      <c r="N45" s="272" t="s">
        <v>87</v>
      </c>
      <c r="O45" s="44">
        <v>3180065</v>
      </c>
      <c r="P45" s="44">
        <v>3525251</v>
      </c>
    </row>
    <row r="46" spans="12:16" ht="20.100000000000001" customHeight="1">
      <c r="L46" s="35"/>
      <c r="M46" s="776"/>
      <c r="N46" s="272" t="s">
        <v>88</v>
      </c>
      <c r="O46" s="44">
        <v>3443537</v>
      </c>
      <c r="P46" s="44">
        <v>3966580</v>
      </c>
    </row>
    <row r="47" spans="12:16" ht="20.100000000000001" customHeight="1">
      <c r="L47" s="36"/>
      <c r="M47" s="776"/>
      <c r="N47" s="272" t="s">
        <v>89</v>
      </c>
      <c r="O47" s="44">
        <v>3790171</v>
      </c>
      <c r="P47" s="44">
        <v>4313203</v>
      </c>
    </row>
    <row r="48" spans="12:16" ht="20.100000000000001" customHeight="1">
      <c r="L48" s="9"/>
      <c r="M48" s="776"/>
      <c r="N48" s="272" t="s">
        <v>90</v>
      </c>
      <c r="O48" s="44">
        <v>4445958</v>
      </c>
      <c r="P48" s="44">
        <v>4968990</v>
      </c>
    </row>
    <row r="49" spans="12:16" ht="20.100000000000001" customHeight="1">
      <c r="L49" s="37"/>
      <c r="M49" s="776"/>
      <c r="N49" s="272" t="s">
        <v>91</v>
      </c>
      <c r="O49" s="44">
        <v>4058779</v>
      </c>
      <c r="P49" s="44">
        <v>4581821</v>
      </c>
    </row>
    <row r="50" spans="12:16" ht="20.100000000000001" customHeight="1">
      <c r="L50" s="9"/>
      <c r="M50" s="776"/>
      <c r="N50" s="272" t="s">
        <v>92</v>
      </c>
      <c r="O50" s="44">
        <v>4541703</v>
      </c>
      <c r="P50" s="44">
        <v>5064746</v>
      </c>
    </row>
    <row r="51" spans="12:16" ht="20.100000000000001" customHeight="1">
      <c r="M51" s="776"/>
      <c r="N51" s="272" t="s">
        <v>93</v>
      </c>
      <c r="O51" s="44">
        <v>5297975</v>
      </c>
      <c r="P51" s="44">
        <v>5821007</v>
      </c>
    </row>
    <row r="52" spans="12:16" ht="20.100000000000001" customHeight="1">
      <c r="M52" s="776"/>
      <c r="N52" s="272" t="s">
        <v>94</v>
      </c>
      <c r="O52" s="44">
        <v>5625868</v>
      </c>
      <c r="P52" s="44">
        <v>6148911</v>
      </c>
    </row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0">
    <mergeCell ref="R4:R5"/>
    <mergeCell ref="S4:S5"/>
    <mergeCell ref="T4:U4"/>
    <mergeCell ref="R6:R15"/>
    <mergeCell ref="M37:M52"/>
    <mergeCell ref="M4:M5"/>
    <mergeCell ref="N4:N5"/>
    <mergeCell ref="O4:P4"/>
    <mergeCell ref="M6:M16"/>
    <mergeCell ref="J7:K7"/>
    <mergeCell ref="B17:C17"/>
    <mergeCell ref="M17:M26"/>
    <mergeCell ref="M27:M36"/>
    <mergeCell ref="A7:A8"/>
    <mergeCell ref="B7:B8"/>
    <mergeCell ref="C7:C8"/>
    <mergeCell ref="D7:E7"/>
    <mergeCell ref="F7:G7"/>
    <mergeCell ref="H7:I7"/>
    <mergeCell ref="A9:A17"/>
  </mergeCells>
  <phoneticPr fontId="4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953</v>
      </c>
      <c r="G1" s="3"/>
      <c r="H1" s="3"/>
    </row>
    <row r="2" spans="1:20" ht="20.100000000000001" customHeight="1">
      <c r="A2" s="2" t="s">
        <v>59</v>
      </c>
      <c r="G2" s="3"/>
      <c r="H2" s="3"/>
    </row>
    <row r="3" spans="1:20" ht="20.100000000000001" customHeight="1">
      <c r="F3" s="8" t="s">
        <v>6</v>
      </c>
      <c r="G3" s="5"/>
      <c r="H3" s="21" t="s">
        <v>175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76" t="s">
        <v>8</v>
      </c>
      <c r="B4" s="105" t="s">
        <v>9</v>
      </c>
      <c r="C4" s="103" t="s">
        <v>10</v>
      </c>
      <c r="D4" s="103" t="s">
        <v>11</v>
      </c>
      <c r="E4" s="103" t="s">
        <v>12</v>
      </c>
      <c r="F4" s="104" t="s">
        <v>13</v>
      </c>
      <c r="G4" s="5"/>
      <c r="H4" s="7" t="s">
        <v>174</v>
      </c>
      <c r="I4" s="41" t="s">
        <v>170</v>
      </c>
      <c r="J4" s="41" t="s">
        <v>171</v>
      </c>
      <c r="K4" s="41" t="s">
        <v>172</v>
      </c>
      <c r="L4" s="41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60</v>
      </c>
      <c r="B5" s="106">
        <f>+'가.굴착교체(음성-간선)'!E22</f>
        <v>0</v>
      </c>
      <c r="C5" s="101">
        <f>+'가.굴착교체(음성-간선)'!G22</f>
        <v>0</v>
      </c>
      <c r="D5" s="101">
        <f>+'가.굴착교체(음성-간선)'!I22</f>
        <v>0</v>
      </c>
      <c r="E5" s="101">
        <f>+'가.굴착교체(음성-간선)'!K22</f>
        <v>0</v>
      </c>
      <c r="F5" s="144"/>
      <c r="G5" s="5"/>
      <c r="H5" s="7" t="s">
        <v>168</v>
      </c>
      <c r="I5" s="70" t="e">
        <f>+(B5+B8+B9)/B10</f>
        <v>#DIV/0!</v>
      </c>
      <c r="J5" s="70" t="e">
        <f>+(C5+C8+C9)/C10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105</v>
      </c>
      <c r="B6" s="139">
        <f>+'나.전체보수(음성-간선)'!E22</f>
        <v>0</v>
      </c>
      <c r="C6" s="94">
        <f>+'나.전체보수(음성-간선)'!G22</f>
        <v>0</v>
      </c>
      <c r="D6" s="94">
        <f>+'나.전체보수(음성-간선)'!I22</f>
        <v>0</v>
      </c>
      <c r="E6" s="94">
        <f>+'나.전체보수(음성-간선)'!K22</f>
        <v>0</v>
      </c>
      <c r="F6" s="134"/>
      <c r="G6" s="5"/>
      <c r="H6" s="7" t="s">
        <v>169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106</v>
      </c>
      <c r="B7" s="107">
        <f>+'다.부분보수(음성-간선)'!E20</f>
        <v>0</v>
      </c>
      <c r="C7" s="96">
        <f>+'다.부분보수(음성-간선)'!G20</f>
        <v>0</v>
      </c>
      <c r="D7" s="96">
        <f>+'다.부분보수(음성-간선)'!I20</f>
        <v>0</v>
      </c>
      <c r="E7" s="96">
        <f>+'다.부분보수(음성-간선)'!K20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61</v>
      </c>
      <c r="B8" s="107">
        <f>+'라.맨홀보수(음성-간선)'!D12</f>
        <v>0</v>
      </c>
      <c r="C8" s="96">
        <f>+'라.맨홀보수(음성-간선)'!F12</f>
        <v>0</v>
      </c>
      <c r="D8" s="96">
        <f>+'라.맨홀보수(음성-간선)'!H12</f>
        <v>0</v>
      </c>
      <c r="E8" s="96">
        <f>+'라.맨홀보수(음성-간선)'!J12</f>
        <v>0</v>
      </c>
      <c r="F8" s="134"/>
      <c r="G8" s="5"/>
      <c r="H8" s="21" t="s">
        <v>201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62</v>
      </c>
      <c r="B9" s="107">
        <f>+'마.우수토실개량(음성-간선)'!D11</f>
        <v>0</v>
      </c>
      <c r="C9" s="96">
        <f>+'마.우수토실개량(음성-간선)'!F11</f>
        <v>0</v>
      </c>
      <c r="D9" s="96">
        <f>+'마.우수토실개량(음성-간선)'!H11</f>
        <v>0</v>
      </c>
      <c r="E9" s="96">
        <f>+'마.우수토실개량(음성-간선)'!J11</f>
        <v>0</v>
      </c>
      <c r="F9" s="134"/>
      <c r="G9" s="5"/>
      <c r="H9" s="7" t="s">
        <v>174</v>
      </c>
      <c r="I9" s="74" t="s">
        <v>170</v>
      </c>
      <c r="J9" s="74" t="s">
        <v>171</v>
      </c>
      <c r="K9" s="74" t="s">
        <v>172</v>
      </c>
      <c r="L9" s="74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25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202</v>
      </c>
      <c r="I10" s="70" t="e">
        <f>+'가.굴착교체(음성-간선)'!W23/'1.2.4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203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28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29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76" t="s">
        <v>31</v>
      </c>
      <c r="B14" s="105" t="s">
        <v>32</v>
      </c>
      <c r="C14" s="103" t="s">
        <v>33</v>
      </c>
      <c r="D14" s="103" t="s">
        <v>34</v>
      </c>
      <c r="E14" s="103" t="s">
        <v>35</v>
      </c>
      <c r="F14" s="104" t="s">
        <v>36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42</v>
      </c>
      <c r="B15" s="117">
        <f>+B10</f>
        <v>0</v>
      </c>
      <c r="C15" s="115">
        <f>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43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30</v>
      </c>
    </row>
    <row r="18" spans="1:16" ht="20.100000000000001" customHeight="1">
      <c r="A18" s="110" t="s">
        <v>45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37</v>
      </c>
      <c r="I18" s="17" t="s">
        <v>38</v>
      </c>
      <c r="J18" s="17" t="s">
        <v>39</v>
      </c>
      <c r="K18" s="17" t="s">
        <v>40</v>
      </c>
      <c r="L18" s="17" t="s">
        <v>41</v>
      </c>
    </row>
    <row r="19" spans="1:16" ht="20.100000000000001" customHeight="1">
      <c r="A19" s="110" t="s">
        <v>46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47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</v>
      </c>
      <c r="B21" s="97">
        <f>+ROUND(B15*B20,0)</f>
        <v>0</v>
      </c>
      <c r="C21" s="97">
        <f>+ROUND(C15*C20,0)</f>
        <v>0</v>
      </c>
      <c r="D21" s="97">
        <f>+ROUND(D15*D20,0)</f>
        <v>0</v>
      </c>
      <c r="E21" s="97">
        <f>+ROUND(E15*E20,0)</f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49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29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76" t="s">
        <v>31</v>
      </c>
      <c r="B25" s="105" t="s">
        <v>32</v>
      </c>
      <c r="C25" s="103" t="s">
        <v>33</v>
      </c>
      <c r="D25" s="103" t="s">
        <v>34</v>
      </c>
      <c r="E25" s="103" t="s">
        <v>35</v>
      </c>
      <c r="F25" s="104" t="s">
        <v>36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42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43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45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47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50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51</v>
      </c>
    </row>
    <row r="37" spans="1:17" ht="20.100000000000001" customHeight="1">
      <c r="A37" s="2" t="s">
        <v>52</v>
      </c>
      <c r="D37" s="12"/>
      <c r="G37" s="9"/>
      <c r="H37" s="17" t="s">
        <v>37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29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76" t="s">
        <v>31</v>
      </c>
      <c r="B39" s="105" t="s">
        <v>32</v>
      </c>
      <c r="C39" s="103" t="s">
        <v>33</v>
      </c>
      <c r="D39" s="103" t="s">
        <v>34</v>
      </c>
      <c r="E39" s="103" t="s">
        <v>35</v>
      </c>
      <c r="F39" s="104" t="s">
        <v>36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42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43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45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47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54</v>
      </c>
      <c r="B46" s="97">
        <f>+ROUND(B40*B45,0)</f>
        <v>0</v>
      </c>
      <c r="C46" s="97">
        <f>+ROUND(C40*C45,0)</f>
        <v>0</v>
      </c>
      <c r="D46" s="97">
        <f>+ROUND(D40*D45,0)</f>
        <v>0</v>
      </c>
      <c r="E46" s="97">
        <f>+ROUND(E40*E45,0)</f>
        <v>0</v>
      </c>
      <c r="F46" s="114"/>
    </row>
    <row r="47" spans="1:17" ht="20.100000000000001" customHeight="1"/>
    <row r="48" spans="1:17" ht="20.100000000000001" customHeight="1">
      <c r="A48" s="2" t="s">
        <v>55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29</v>
      </c>
    </row>
    <row r="50" spans="1:6" ht="20.100000000000001" customHeight="1">
      <c r="A50" s="76" t="s">
        <v>31</v>
      </c>
      <c r="B50" s="105" t="s">
        <v>32</v>
      </c>
      <c r="C50" s="103" t="s">
        <v>33</v>
      </c>
      <c r="D50" s="103" t="s">
        <v>34</v>
      </c>
      <c r="E50" s="103" t="s">
        <v>35</v>
      </c>
      <c r="F50" s="104" t="s">
        <v>36</v>
      </c>
    </row>
    <row r="51" spans="1:6" ht="20.100000000000001" customHeight="1">
      <c r="A51" s="147" t="s">
        <v>25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50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54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56</v>
      </c>
      <c r="B55" s="515">
        <f>SUM(B51:B54)</f>
        <v>0</v>
      </c>
      <c r="C55" s="516">
        <f>SUM(C51:C54)</f>
        <v>0</v>
      </c>
      <c r="D55" s="516">
        <f>SUM(D51:D54)</f>
        <v>0</v>
      </c>
      <c r="E55" s="516">
        <f>SUM(E51:E54)</f>
        <v>0</v>
      </c>
      <c r="F55" s="517"/>
    </row>
    <row r="56" spans="1:6" ht="20.100000000000001" customHeight="1">
      <c r="A56" s="513" t="s">
        <v>168</v>
      </c>
      <c r="B56" s="518" t="e">
        <f>+ROUND(B55*I5,0)</f>
        <v>#DIV/0!</v>
      </c>
      <c r="C56" s="519">
        <v>0</v>
      </c>
      <c r="D56" s="519">
        <v>0</v>
      </c>
      <c r="E56" s="519">
        <v>0</v>
      </c>
      <c r="F56" s="520"/>
    </row>
    <row r="57" spans="1:6" ht="20.100000000000001" customHeight="1">
      <c r="A57" s="514" t="s">
        <v>169</v>
      </c>
      <c r="B57" s="395" t="e">
        <f>+B55-B56</f>
        <v>#DIV/0!</v>
      </c>
      <c r="C57" s="352"/>
      <c r="D57" s="352">
        <f>+D55-D56</f>
        <v>0</v>
      </c>
      <c r="E57" s="352">
        <f>+E55-E56</f>
        <v>0</v>
      </c>
      <c r="F57" s="521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2"/>
  <sheetViews>
    <sheetView view="pageBreakPreview" zoomScaleNormal="100" zoomScaleSheetLayoutView="100" workbookViewId="0">
      <selection activeCell="F15" sqref="F9:F1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" t="s">
        <v>345</v>
      </c>
      <c r="L3" s="3"/>
      <c r="M3" s="776" t="s">
        <v>64</v>
      </c>
      <c r="N3" s="776" t="s">
        <v>511</v>
      </c>
      <c r="O3" s="776" t="s">
        <v>66</v>
      </c>
      <c r="P3" s="776"/>
      <c r="R3" s="776" t="s">
        <v>64</v>
      </c>
      <c r="S3" s="776" t="s">
        <v>511</v>
      </c>
      <c r="T3" s="813" t="s">
        <v>524</v>
      </c>
      <c r="U3" s="813" t="s">
        <v>663</v>
      </c>
      <c r="V3" s="813" t="s">
        <v>526</v>
      </c>
    </row>
    <row r="4" spans="1:22" ht="20.100000000000001" customHeight="1">
      <c r="A4" s="40" t="s">
        <v>662</v>
      </c>
      <c r="B4" s="40"/>
      <c r="C4" s="40"/>
      <c r="D4" s="40"/>
      <c r="M4" s="776"/>
      <c r="N4" s="776"/>
      <c r="O4" s="272" t="s">
        <v>67</v>
      </c>
      <c r="P4" s="272" t="s">
        <v>68</v>
      </c>
      <c r="R4" s="776"/>
      <c r="S4" s="776"/>
      <c r="T4" s="815"/>
      <c r="U4" s="815"/>
      <c r="V4" s="815"/>
    </row>
    <row r="5" spans="1:22" ht="20.100000000000001" customHeight="1">
      <c r="A5" s="2" t="s">
        <v>431</v>
      </c>
      <c r="M5" s="776" t="s">
        <v>69</v>
      </c>
      <c r="N5" s="272">
        <v>300</v>
      </c>
      <c r="O5" s="44">
        <v>512740</v>
      </c>
      <c r="P5" s="44">
        <v>782541</v>
      </c>
      <c r="R5" s="813" t="s">
        <v>533</v>
      </c>
      <c r="S5" s="272">
        <v>250</v>
      </c>
      <c r="T5" s="44">
        <v>436222.93999999994</v>
      </c>
      <c r="U5" s="816">
        <v>0.35</v>
      </c>
      <c r="V5" s="44">
        <f>+ROUND(T5+T5*$U$5,0)</f>
        <v>588901</v>
      </c>
    </row>
    <row r="6" spans="1:22" ht="20.100000000000001" customHeight="1">
      <c r="I6" s="8"/>
      <c r="K6" s="8" t="s">
        <v>512</v>
      </c>
      <c r="M6" s="776"/>
      <c r="N6" s="272">
        <v>400</v>
      </c>
      <c r="O6" s="44">
        <v>580188</v>
      </c>
      <c r="P6" s="44">
        <v>859007</v>
      </c>
      <c r="R6" s="814"/>
      <c r="S6" s="272">
        <v>300</v>
      </c>
      <c r="T6" s="44">
        <v>482485.98749999993</v>
      </c>
      <c r="U6" s="817"/>
      <c r="V6" s="44">
        <f t="shared" ref="V6:V16" si="0">+ROUND(T6+T6*$U$5,0)</f>
        <v>651356</v>
      </c>
    </row>
    <row r="7" spans="1:22" ht="20.100000000000001" customHeight="1">
      <c r="A7" s="783" t="s">
        <v>655</v>
      </c>
      <c r="B7" s="785" t="s">
        <v>513</v>
      </c>
      <c r="C7" s="787" t="s">
        <v>534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500</v>
      </c>
      <c r="O7" s="44">
        <v>624861</v>
      </c>
      <c r="P7" s="44">
        <v>912820</v>
      </c>
      <c r="R7" s="814"/>
      <c r="S7" s="272">
        <v>400</v>
      </c>
      <c r="T7" s="44">
        <v>645109.09</v>
      </c>
      <c r="U7" s="817"/>
      <c r="V7" s="44">
        <f t="shared" si="0"/>
        <v>870897</v>
      </c>
    </row>
    <row r="8" spans="1:22" ht="20.100000000000001" customHeight="1">
      <c r="A8" s="784"/>
      <c r="B8" s="786"/>
      <c r="C8" s="788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776"/>
      <c r="N8" s="272">
        <v>600</v>
      </c>
      <c r="O8" s="44">
        <v>705821</v>
      </c>
      <c r="P8" s="44">
        <v>1016585</v>
      </c>
      <c r="R8" s="814"/>
      <c r="S8" s="272">
        <v>450</v>
      </c>
      <c r="T8" s="44">
        <v>695339.56749999989</v>
      </c>
      <c r="U8" s="817"/>
      <c r="V8" s="44">
        <f t="shared" si="0"/>
        <v>938708</v>
      </c>
    </row>
    <row r="9" spans="1:22" ht="20.100000000000001" customHeight="1">
      <c r="A9" s="893" t="s">
        <v>590</v>
      </c>
      <c r="B9" s="184">
        <v>150</v>
      </c>
      <c r="C9" s="185">
        <f>+ROUND(V5*L1,0)*0.9</f>
        <v>689013.9</v>
      </c>
      <c r="D9" s="186"/>
      <c r="E9" s="177">
        <f>+ROUND($C9*D9/1000000,0)</f>
        <v>0</v>
      </c>
      <c r="F9" s="177"/>
      <c r="G9" s="177">
        <f>+ROUND($C9*F9/1000000,0)</f>
        <v>0</v>
      </c>
      <c r="H9" s="177"/>
      <c r="I9" s="177">
        <f>+ROUND($C9*H9/1000000,0)</f>
        <v>0</v>
      </c>
      <c r="J9" s="177"/>
      <c r="K9" s="185">
        <f>+ROUND($C9*J9/1000000,0)</f>
        <v>0</v>
      </c>
      <c r="M9" s="776"/>
      <c r="N9" s="272">
        <v>700</v>
      </c>
      <c r="O9" s="44">
        <v>782918</v>
      </c>
      <c r="P9" s="44">
        <v>1102578</v>
      </c>
      <c r="R9" s="814"/>
      <c r="S9" s="272">
        <v>500</v>
      </c>
      <c r="T9" s="44">
        <v>853537.02499999991</v>
      </c>
      <c r="U9" s="817"/>
      <c r="V9" s="44">
        <f t="shared" si="0"/>
        <v>1152275</v>
      </c>
    </row>
    <row r="10" spans="1:22" ht="20.100000000000001" customHeight="1">
      <c r="A10" s="894"/>
      <c r="B10" s="184">
        <v>200</v>
      </c>
      <c r="C10" s="179">
        <f>+ROUND(V5*L1,0)*0.95</f>
        <v>727292.45</v>
      </c>
      <c r="D10" s="182"/>
      <c r="E10" s="176">
        <f t="shared" ref="E10:G16" si="1">+ROUND($C10*D10/1000000,0)</f>
        <v>0</v>
      </c>
      <c r="F10" s="176"/>
      <c r="G10" s="176">
        <f t="shared" si="1"/>
        <v>0</v>
      </c>
      <c r="H10" s="176"/>
      <c r="I10" s="176">
        <f t="shared" ref="I10:I16" si="2">+ROUND($C10*H10/1000000,0)</f>
        <v>0</v>
      </c>
      <c r="J10" s="176"/>
      <c r="K10" s="179">
        <f t="shared" ref="K10:K16" si="3">+ROUND($C10*J10/1000000,0)</f>
        <v>0</v>
      </c>
      <c r="M10" s="776"/>
      <c r="N10" s="272">
        <v>800</v>
      </c>
      <c r="O10" s="44">
        <v>854676</v>
      </c>
      <c r="P10" s="44">
        <v>1183365</v>
      </c>
      <c r="R10" s="814"/>
      <c r="S10" s="272">
        <v>600</v>
      </c>
      <c r="T10" s="44">
        <v>938366.40749999986</v>
      </c>
      <c r="U10" s="817"/>
      <c r="V10" s="44">
        <f t="shared" si="0"/>
        <v>1266795</v>
      </c>
    </row>
    <row r="11" spans="1:22" ht="20.100000000000001" customHeight="1">
      <c r="A11" s="894"/>
      <c r="B11" s="184">
        <v>250</v>
      </c>
      <c r="C11" s="179">
        <f>+ROUND(V5*L1,0)</f>
        <v>765571</v>
      </c>
      <c r="D11" s="182"/>
      <c r="E11" s="176">
        <f t="shared" si="1"/>
        <v>0</v>
      </c>
      <c r="F11" s="176"/>
      <c r="G11" s="176">
        <f t="shared" si="1"/>
        <v>0</v>
      </c>
      <c r="H11" s="176"/>
      <c r="I11" s="176">
        <f t="shared" si="2"/>
        <v>0</v>
      </c>
      <c r="J11" s="176"/>
      <c r="K11" s="179">
        <f t="shared" si="3"/>
        <v>0</v>
      </c>
      <c r="L11" s="9"/>
      <c r="M11" s="776"/>
      <c r="N11" s="272">
        <v>900</v>
      </c>
      <c r="O11" s="44">
        <v>945775</v>
      </c>
      <c r="P11" s="44">
        <v>1283451</v>
      </c>
      <c r="R11" s="814"/>
      <c r="S11" s="272">
        <v>700</v>
      </c>
      <c r="T11" s="44">
        <v>1076378.9574999998</v>
      </c>
      <c r="U11" s="817"/>
      <c r="V11" s="44">
        <f t="shared" si="0"/>
        <v>1453112</v>
      </c>
    </row>
    <row r="12" spans="1:22" ht="20.100000000000001" customHeight="1">
      <c r="A12" s="894"/>
      <c r="B12" s="184">
        <v>300</v>
      </c>
      <c r="C12" s="179">
        <f>+ROUND(V6*L1,0)</f>
        <v>846763</v>
      </c>
      <c r="D12" s="182"/>
      <c r="E12" s="176">
        <f t="shared" si="1"/>
        <v>0</v>
      </c>
      <c r="F12" s="176"/>
      <c r="G12" s="176">
        <f t="shared" si="1"/>
        <v>0</v>
      </c>
      <c r="H12" s="176"/>
      <c r="I12" s="176">
        <f t="shared" si="2"/>
        <v>0</v>
      </c>
      <c r="J12" s="176"/>
      <c r="K12" s="179">
        <f t="shared" si="3"/>
        <v>0</v>
      </c>
      <c r="L12" s="9"/>
      <c r="M12" s="776"/>
      <c r="N12" s="272">
        <v>1000</v>
      </c>
      <c r="O12" s="44">
        <v>1051853</v>
      </c>
      <c r="P12" s="44">
        <v>1398649</v>
      </c>
      <c r="R12" s="814"/>
      <c r="S12" s="272">
        <v>800</v>
      </c>
      <c r="T12" s="44">
        <v>1273983.7524999999</v>
      </c>
      <c r="U12" s="817"/>
      <c r="V12" s="44">
        <f t="shared" si="0"/>
        <v>1719878</v>
      </c>
    </row>
    <row r="13" spans="1:22" ht="20.100000000000001" customHeight="1">
      <c r="A13" s="894"/>
      <c r="B13" s="184">
        <v>400</v>
      </c>
      <c r="C13" s="577">
        <f>+ROUND(V7*L1,0)</f>
        <v>1132166</v>
      </c>
      <c r="D13" s="182"/>
      <c r="E13" s="176">
        <f t="shared" si="1"/>
        <v>0</v>
      </c>
      <c r="F13" s="176"/>
      <c r="G13" s="176">
        <f t="shared" si="1"/>
        <v>0</v>
      </c>
      <c r="H13" s="176"/>
      <c r="I13" s="176">
        <f t="shared" si="2"/>
        <v>0</v>
      </c>
      <c r="J13" s="176"/>
      <c r="K13" s="179">
        <f t="shared" si="3"/>
        <v>0</v>
      </c>
      <c r="L13" s="9"/>
      <c r="M13" s="776"/>
      <c r="N13" s="272">
        <v>1100</v>
      </c>
      <c r="O13" s="44">
        <v>1188358</v>
      </c>
      <c r="P13" s="44">
        <v>1557399</v>
      </c>
      <c r="R13" s="814"/>
      <c r="S13" s="272">
        <v>900</v>
      </c>
      <c r="T13" s="44">
        <v>1434939.5399999998</v>
      </c>
      <c r="U13" s="817"/>
      <c r="V13" s="44">
        <f t="shared" si="0"/>
        <v>1937168</v>
      </c>
    </row>
    <row r="14" spans="1:22" ht="20.100000000000001" customHeight="1">
      <c r="A14" s="894"/>
      <c r="B14" s="184">
        <v>500</v>
      </c>
      <c r="C14" s="577">
        <f>+ROUND(V9*L1,0)</f>
        <v>1497958</v>
      </c>
      <c r="D14" s="182"/>
      <c r="E14" s="176"/>
      <c r="F14" s="176"/>
      <c r="G14" s="176"/>
      <c r="H14" s="176"/>
      <c r="I14" s="176"/>
      <c r="J14" s="176"/>
      <c r="K14" s="179"/>
      <c r="L14" s="9"/>
      <c r="M14" s="776"/>
      <c r="N14" s="272">
        <v>1200</v>
      </c>
      <c r="O14" s="44">
        <v>1313909</v>
      </c>
      <c r="P14" s="44">
        <v>1691805</v>
      </c>
      <c r="R14" s="814"/>
      <c r="S14" s="272">
        <v>1000</v>
      </c>
      <c r="T14" s="44">
        <v>1552984.7074999998</v>
      </c>
      <c r="U14" s="817"/>
      <c r="V14" s="44">
        <f t="shared" si="0"/>
        <v>2096529</v>
      </c>
    </row>
    <row r="15" spans="1:22" ht="20.100000000000001" customHeight="1">
      <c r="A15" s="894"/>
      <c r="B15" s="178">
        <v>600</v>
      </c>
      <c r="C15" s="577">
        <f>+ROUND(V10*L1,0)</f>
        <v>1646834</v>
      </c>
      <c r="D15" s="182"/>
      <c r="E15" s="176">
        <f t="shared" si="1"/>
        <v>0</v>
      </c>
      <c r="F15" s="176"/>
      <c r="G15" s="176">
        <f t="shared" si="1"/>
        <v>0</v>
      </c>
      <c r="H15" s="176"/>
      <c r="I15" s="176">
        <f t="shared" si="2"/>
        <v>0</v>
      </c>
      <c r="J15" s="176"/>
      <c r="K15" s="179">
        <f t="shared" si="3"/>
        <v>0</v>
      </c>
      <c r="L15" s="9"/>
      <c r="M15" s="776"/>
      <c r="N15" s="272">
        <v>1350</v>
      </c>
      <c r="O15" s="44">
        <v>1519849</v>
      </c>
      <c r="P15" s="44">
        <v>1910605</v>
      </c>
      <c r="R15" s="814"/>
      <c r="S15" s="272">
        <v>1100</v>
      </c>
      <c r="T15" s="44">
        <v>1686561.7249999999</v>
      </c>
      <c r="U15" s="817"/>
      <c r="V15" s="44">
        <f t="shared" si="0"/>
        <v>2276858</v>
      </c>
    </row>
    <row r="16" spans="1:22" ht="20.100000000000001" customHeight="1">
      <c r="A16" s="894"/>
      <c r="B16" s="178"/>
      <c r="C16" s="179"/>
      <c r="D16" s="182"/>
      <c r="E16" s="176">
        <f t="shared" si="1"/>
        <v>0</v>
      </c>
      <c r="F16" s="176"/>
      <c r="G16" s="176">
        <f t="shared" si="1"/>
        <v>0</v>
      </c>
      <c r="H16" s="176"/>
      <c r="I16" s="176">
        <f t="shared" si="2"/>
        <v>0</v>
      </c>
      <c r="J16" s="176"/>
      <c r="K16" s="179">
        <f t="shared" si="3"/>
        <v>0</v>
      </c>
      <c r="L16" s="72" t="s">
        <v>660</v>
      </c>
      <c r="M16" s="776" t="s">
        <v>76</v>
      </c>
      <c r="N16" s="272">
        <v>300</v>
      </c>
      <c r="O16" s="44">
        <v>707247</v>
      </c>
      <c r="P16" s="44">
        <v>977038</v>
      </c>
      <c r="R16" s="815"/>
      <c r="S16" s="272">
        <v>1200</v>
      </c>
      <c r="T16" s="44">
        <v>1780239.5724999998</v>
      </c>
      <c r="U16" s="818"/>
      <c r="V16" s="44">
        <f t="shared" si="0"/>
        <v>2403323</v>
      </c>
    </row>
    <row r="17" spans="1:16" ht="20.100000000000001" customHeight="1">
      <c r="A17" s="895"/>
      <c r="B17" s="896" t="s">
        <v>406</v>
      </c>
      <c r="C17" s="897"/>
      <c r="D17" s="183">
        <f t="shared" ref="D17:K17" si="4">SUM(D9:D16)</f>
        <v>0</v>
      </c>
      <c r="E17" s="180">
        <f t="shared" si="4"/>
        <v>0</v>
      </c>
      <c r="F17" s="180">
        <f t="shared" si="4"/>
        <v>0</v>
      </c>
      <c r="G17" s="180">
        <f t="shared" si="4"/>
        <v>0</v>
      </c>
      <c r="H17" s="180">
        <f t="shared" si="4"/>
        <v>0</v>
      </c>
      <c r="I17" s="180">
        <f t="shared" si="4"/>
        <v>0</v>
      </c>
      <c r="J17" s="180">
        <f t="shared" si="4"/>
        <v>0</v>
      </c>
      <c r="K17" s="181">
        <f t="shared" si="4"/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L21" s="9"/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L22" s="9"/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L23" s="9"/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L24" s="9"/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L25" s="9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L28" s="9"/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L29" s="9"/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M32" s="776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9"/>
      <c r="M33" s="776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29"/>
      <c r="M34" s="776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45"/>
      <c r="M35" s="776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4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5"/>
      <c r="M37" s="776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6"/>
      <c r="M39" s="776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5"/>
      <c r="M46" s="776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35"/>
      <c r="M47" s="776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6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37"/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L51" s="9"/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</sheetData>
  <mergeCells count="23"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  <mergeCell ref="F7:G7"/>
    <mergeCell ref="M36:M51"/>
    <mergeCell ref="H7:I7"/>
    <mergeCell ref="J7:K7"/>
    <mergeCell ref="B17:C17"/>
    <mergeCell ref="M16:M25"/>
    <mergeCell ref="M26:M35"/>
    <mergeCell ref="A9:A17"/>
    <mergeCell ref="A7:A8"/>
    <mergeCell ref="B7:B8"/>
    <mergeCell ref="C7:C8"/>
    <mergeCell ref="D7:E7"/>
  </mergeCells>
  <phoneticPr fontId="4" type="noConversion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5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967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+'가.굴착교체(대소-우수)'!E28</f>
        <v>2751</v>
      </c>
      <c r="C5" s="101">
        <f>+'가.굴착교체(대소-우수)'!G28</f>
        <v>1066</v>
      </c>
      <c r="D5" s="101">
        <f>+'가.굴착교체(대소-우수)'!I28</f>
        <v>577</v>
      </c>
      <c r="E5" s="101">
        <f>+'가.굴착교체(대소-우수)'!K28</f>
        <v>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664</v>
      </c>
      <c r="B6" s="108">
        <f>SUM(B5:B5)</f>
        <v>2751</v>
      </c>
      <c r="C6" s="97">
        <f>SUM(C5:C5)</f>
        <v>1066</v>
      </c>
      <c r="D6" s="97">
        <f>SUM(D5:D5)</f>
        <v>577</v>
      </c>
      <c r="E6" s="97">
        <f>SUM(E5:E5)</f>
        <v>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665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666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667</v>
      </c>
      <c r="B10" s="297" t="s">
        <v>668</v>
      </c>
      <c r="C10" s="298" t="s">
        <v>669</v>
      </c>
      <c r="D10" s="298" t="s">
        <v>670</v>
      </c>
      <c r="E10" s="298" t="s">
        <v>671</v>
      </c>
      <c r="F10" s="299" t="s">
        <v>672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673</v>
      </c>
      <c r="B11" s="117">
        <f>+B6</f>
        <v>2751</v>
      </c>
      <c r="C11" s="117">
        <f>+C6</f>
        <v>1066</v>
      </c>
      <c r="D11" s="117">
        <f>+D6</f>
        <v>577</v>
      </c>
      <c r="E11" s="117">
        <f>+E6</f>
        <v>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674</v>
      </c>
      <c r="B12" s="118">
        <f>IFERROR(INDEX($H$15:$L$31,MATCH(B11,$H$15:$H$31,1),1),0)</f>
        <v>2000</v>
      </c>
      <c r="C12" s="118">
        <f>IFERROR(INDEX($H$15:$L$31,MATCH(C11,$H$15:$H$31,1),1),0)</f>
        <v>1000</v>
      </c>
      <c r="D12" s="118">
        <f>IFERROR(INDEX($H$15:$L$31,MATCH(D11,$H$15:$H$31,1),1),0)</f>
        <v>500</v>
      </c>
      <c r="E12" s="118">
        <f>IFERROR(INDEX($H$15:$L$31,MATCH(E11,$H$15:$H$31,1),1),0)</f>
        <v>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3000</v>
      </c>
      <c r="C13" s="118">
        <f>IFERROR(INDEX($H$15:$L$31,MATCH(C11,$H$15:$H$31,1)+1,1),0)</f>
        <v>2000</v>
      </c>
      <c r="D13" s="118">
        <f>IFERROR(INDEX($H$15:$L$31,MATCH(D11,$H$15:$H$31,1)+1,1),0)</f>
        <v>1000</v>
      </c>
      <c r="E13" s="118">
        <f>IFERROR(INDEX($H$15:$L$31,MATCH(E11,$H$15:$H$31,1)+1,1),0)</f>
        <v>0</v>
      </c>
      <c r="F13" s="113"/>
      <c r="G13" s="16"/>
      <c r="H13" s="16" t="s">
        <v>675</v>
      </c>
    </row>
    <row r="14" spans="1:20" ht="18.600000000000001" customHeight="1">
      <c r="A14" s="110" t="s">
        <v>676</v>
      </c>
      <c r="B14" s="141">
        <f>IFERROR(INDEX($H$15:$L$31,MATCH(B11,$H$15:$H$31,1),2)+INDEX($H$15:$L$31,MATCH(B11,$H$15:$H$31,1),3),0)</f>
        <v>4.9000000000000002E-2</v>
      </c>
      <c r="C14" s="141">
        <f>IFERROR(INDEX($H$15:$L$31,MATCH(C11,$H$15:$H$31,1),2)+INDEX($H$15:$L$31,MATCH(C11,$H$15:$H$31,1),3),0)</f>
        <v>5.3199999999999997E-2</v>
      </c>
      <c r="D14" s="141">
        <f>IFERROR(INDEX($H$15:$L$31,MATCH(D11,$H$15:$H$31,1),2)+INDEX($H$15:$L$31,MATCH(D11,$H$15:$H$31,1),3),0)</f>
        <v>6.0399999999999995E-2</v>
      </c>
      <c r="E14" s="141">
        <f>IFERROR(INDEX($H$15:$L$31,MATCH(E11,$H$15:$H$31,1),2)+INDEX($H$15:$L$31,MATCH(E11,$H$15:$H$31,1),3),0)</f>
        <v>0</v>
      </c>
      <c r="F14" s="113"/>
      <c r="G14" s="16"/>
      <c r="H14" s="17" t="s">
        <v>677</v>
      </c>
      <c r="I14" s="17" t="s">
        <v>38</v>
      </c>
      <c r="J14" s="17" t="s">
        <v>39</v>
      </c>
      <c r="K14" s="17" t="s">
        <v>678</v>
      </c>
      <c r="L14" s="17" t="s">
        <v>41</v>
      </c>
    </row>
    <row r="15" spans="1:20" ht="18.600000000000001" customHeight="1">
      <c r="A15" s="110" t="s">
        <v>679</v>
      </c>
      <c r="B15" s="141">
        <f>IFERROR(INDEX($H$15:$L$31,MATCH(B11,$H$15:$H$31,1)+1,2)+INDEX($H$15:$L$31,MATCH(B11,$H$15:$H$31,1)+1,3),0)</f>
        <v>4.7200000000000006E-2</v>
      </c>
      <c r="C15" s="141">
        <f>IFERROR(INDEX($H$15:$L$31,MATCH(C11,$H$15:$H$31,1)+1,2)+INDEX($H$15:$L$31,MATCH(C11,$H$15:$H$31,1)+1,3),0)</f>
        <v>4.9000000000000002E-2</v>
      </c>
      <c r="D15" s="141">
        <f>IFERROR(INDEX($H$15:$L$31,MATCH(D11,$H$15:$H$31,1)+1,2)+INDEX($H$15:$L$31,MATCH(D11,$H$15:$H$31,1)+1,3),0)</f>
        <v>5.3199999999999997E-2</v>
      </c>
      <c r="E15" s="141">
        <f>IFERROR(INDEX($H$15:$L$31,MATCH(E11,$H$15:$H$31,1)+1,2)+INDEX($H$15:$L$31,MATCH(E11,$H$15:$H$31,1)+1,3),0)</f>
        <v>0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680</v>
      </c>
      <c r="B16" s="141">
        <f>IFERROR(B14+((B15-B14)/(B13-B12))*(B11-B12),0)</f>
        <v>4.7648200000000002E-2</v>
      </c>
      <c r="C16" s="141">
        <f>IFERROR(C14+((C15-C14)/(C13-C12))*(C11-C12),0)</f>
        <v>5.2922799999999999E-2</v>
      </c>
      <c r="D16" s="141">
        <f>IFERROR(D14+((D15-D14)/(D13-D12))*(D11-D12),0)</f>
        <v>5.9291199999999995E-2</v>
      </c>
      <c r="E16" s="141">
        <f>IFERROR(E14+((E15-E14)/(E13-E12))*(E11-E12),0)</f>
        <v>0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681</v>
      </c>
      <c r="B17" s="97">
        <f>+ROUND(B11*B16,0)</f>
        <v>131</v>
      </c>
      <c r="C17" s="97">
        <f>+ROUND(C11*C16,0)</f>
        <v>56</v>
      </c>
      <c r="D17" s="97">
        <f>+ROUND(D11*D16,0)</f>
        <v>34</v>
      </c>
      <c r="E17" s="97">
        <f>+ROUND(E11*E16,0)</f>
        <v>0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682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666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667</v>
      </c>
      <c r="B21" s="297" t="s">
        <v>668</v>
      </c>
      <c r="C21" s="298" t="s">
        <v>669</v>
      </c>
      <c r="D21" s="298" t="s">
        <v>670</v>
      </c>
      <c r="E21" s="298" t="s">
        <v>671</v>
      </c>
      <c r="F21" s="299" t="s">
        <v>672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673</v>
      </c>
      <c r="B22" s="117">
        <f>+B11</f>
        <v>2751</v>
      </c>
      <c r="C22" s="117">
        <f>+C11</f>
        <v>1066</v>
      </c>
      <c r="D22" s="117">
        <f>+D11</f>
        <v>577</v>
      </c>
      <c r="E22" s="117">
        <f>+E11</f>
        <v>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217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258</v>
      </c>
      <c r="C28" s="97">
        <f>+ROUND(C22*C27,0)</f>
        <v>100</v>
      </c>
      <c r="D28" s="97">
        <f>+ROUND(D22*D27,0)</f>
        <v>54</v>
      </c>
      <c r="E28" s="97">
        <f>+ROUND(E22*E27,0)</f>
        <v>0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2751</v>
      </c>
      <c r="C33" s="117">
        <f>+C11</f>
        <v>1066</v>
      </c>
      <c r="D33" s="117">
        <f>+D11</f>
        <v>577</v>
      </c>
      <c r="E33" s="117">
        <f>+E11</f>
        <v>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2000</v>
      </c>
      <c r="C34" s="118">
        <f>IFERROR(INDEX($H$15:$L$31,MATCH(C6,$H$15:$H$31,1),1),0)</f>
        <v>1000</v>
      </c>
      <c r="D34" s="118">
        <f>IFERROR(INDEX($H$15:$L$31,MATCH(D6,$H$15:$H$31,1),1),0)</f>
        <v>500</v>
      </c>
      <c r="E34" s="118">
        <f>IFERROR(INDEX($H$15:$L$31,MATCH(E6,$H$15:$H$31,1),1),0)</f>
        <v>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3000</v>
      </c>
      <c r="C35" s="118">
        <f>IFERROR(INDEX($H$15:$L$31,MATCH(C6,$H$15:$H$31,1)+1,1),0)</f>
        <v>2000</v>
      </c>
      <c r="D35" s="118">
        <f>IFERROR(INDEX($H$15:$L$31,MATCH(D6,$H$15:$H$31,1)+1,1),0)</f>
        <v>1000</v>
      </c>
      <c r="E35" s="118">
        <f>IFERROR(INDEX($H$15:$L$31,MATCH(E6,$H$15:$H$31,1)+1,1),0)</f>
        <v>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3.5999999999999999E-3</v>
      </c>
      <c r="C36" s="141">
        <f>IFERROR(INDEX($H$15:$L$31,MATCH(C6,$H$15:$H$31,1),5),0)</f>
        <v>6.3E-3</v>
      </c>
      <c r="D36" s="141">
        <f>IFERROR(INDEX($H$15:$L$31,MATCH(D6,$H$15:$H$31,1),5),0)</f>
        <v>7.1999999999999998E-3</v>
      </c>
      <c r="E36" s="141">
        <f>IFERROR(INDEX($H$15:$L$31,MATCH(E6,$H$15:$H$31,1),5),0)</f>
        <v>0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3.5999999999999999E-3</v>
      </c>
      <c r="D37" s="141">
        <f>IFERROR(INDEX($H$15:$L$31,MATCH(D6,$H$15:$H$31,1)+1,5),0)</f>
        <v>6.3E-3</v>
      </c>
      <c r="E37" s="141">
        <f>IFERROR(INDEX($H$15:$L$31,MATCH(E6,$H$15:$H$31,1)+1,5),0)</f>
        <v>0</v>
      </c>
      <c r="F37" s="113"/>
      <c r="G37" s="9"/>
      <c r="H37" s="9"/>
    </row>
    <row r="38" spans="1:17" ht="18.600000000000001" customHeight="1">
      <c r="A38" s="110" t="s">
        <v>648</v>
      </c>
      <c r="B38" s="141">
        <f>IFERROR(B36+((B37-B36)/(B35-B34))*(B33-B34),0)</f>
        <v>3.5999999999999999E-3</v>
      </c>
      <c r="C38" s="141">
        <f>IFERROR(C36+((C37-C36)/(C35-C34))*(C33-C34),0)</f>
        <v>6.1218000000000002E-3</v>
      </c>
      <c r="D38" s="141">
        <f>IFERROR(D36+((D37-D36)/(D35-D34))*(D33-D34),0)</f>
        <v>7.0613999999999998E-3</v>
      </c>
      <c r="E38" s="141">
        <f>IFERROR(E36+((E37-E36)/(E35-E34))*(E33-E34),0)</f>
        <v>0</v>
      </c>
      <c r="F38" s="113"/>
      <c r="G38" s="9"/>
    </row>
    <row r="39" spans="1:17" ht="18.600000000000001" customHeight="1">
      <c r="A39" s="111" t="s">
        <v>649</v>
      </c>
      <c r="B39" s="97">
        <f>+ROUND(B33*B38,0)</f>
        <v>10</v>
      </c>
      <c r="C39" s="97">
        <f>+ROUND(C33*C38,0)</f>
        <v>7</v>
      </c>
      <c r="D39" s="97">
        <f>+ROUND(D33*D38,0)</f>
        <v>4</v>
      </c>
      <c r="E39" s="97">
        <f>+ROUND(E33*E38,0)</f>
        <v>0</v>
      </c>
      <c r="F39" s="114"/>
    </row>
    <row r="40" spans="1:17" ht="18.600000000000001" customHeight="1"/>
    <row r="41" spans="1:17" ht="18.600000000000001" customHeight="1">
      <c r="A41" s="2" t="s">
        <v>650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642</v>
      </c>
    </row>
    <row r="43" spans="1:17" ht="18.600000000000001" customHeight="1">
      <c r="A43" s="282" t="s">
        <v>614</v>
      </c>
      <c r="B43" s="297" t="s">
        <v>617</v>
      </c>
      <c r="C43" s="298" t="s">
        <v>618</v>
      </c>
      <c r="D43" s="298" t="s">
        <v>619</v>
      </c>
      <c r="E43" s="298" t="s">
        <v>620</v>
      </c>
      <c r="F43" s="299" t="s">
        <v>644</v>
      </c>
    </row>
    <row r="44" spans="1:17" ht="18.600000000000001" customHeight="1">
      <c r="A44" s="131" t="s">
        <v>622</v>
      </c>
      <c r="B44" s="128">
        <f>+B6</f>
        <v>2751</v>
      </c>
      <c r="C44" s="126">
        <f>+C6</f>
        <v>1066</v>
      </c>
      <c r="D44" s="126">
        <f>+D6</f>
        <v>577</v>
      </c>
      <c r="E44" s="126">
        <f>+E6</f>
        <v>0</v>
      </c>
      <c r="F44" s="127"/>
    </row>
    <row r="45" spans="1:17" ht="18.600000000000001" customHeight="1">
      <c r="A45" s="132" t="s">
        <v>480</v>
      </c>
      <c r="B45" s="129">
        <f>+B17</f>
        <v>131</v>
      </c>
      <c r="C45" s="121">
        <f>+C17</f>
        <v>56</v>
      </c>
      <c r="D45" s="121">
        <f>+D17</f>
        <v>34</v>
      </c>
      <c r="E45" s="121">
        <f>+E17</f>
        <v>0</v>
      </c>
      <c r="F45" s="122"/>
    </row>
    <row r="46" spans="1:17" ht="18.600000000000001" customHeight="1">
      <c r="A46" s="132" t="s">
        <v>475</v>
      </c>
      <c r="B46" s="129">
        <f>+B28</f>
        <v>258</v>
      </c>
      <c r="C46" s="121">
        <f>+C28</f>
        <v>100</v>
      </c>
      <c r="D46" s="121">
        <f>+D28</f>
        <v>54</v>
      </c>
      <c r="E46" s="121">
        <f>+E28</f>
        <v>0</v>
      </c>
      <c r="F46" s="122"/>
    </row>
    <row r="47" spans="1:17" ht="18.600000000000001" customHeight="1">
      <c r="A47" s="132" t="s">
        <v>478</v>
      </c>
      <c r="B47" s="129">
        <f>+B39</f>
        <v>10</v>
      </c>
      <c r="C47" s="121">
        <f>+C39</f>
        <v>7</v>
      </c>
      <c r="D47" s="121">
        <f>+D39</f>
        <v>4</v>
      </c>
      <c r="E47" s="121">
        <f>+E39</f>
        <v>0</v>
      </c>
      <c r="F47" s="122"/>
    </row>
    <row r="48" spans="1:17" ht="18.600000000000001" customHeight="1">
      <c r="A48" s="133" t="s">
        <v>481</v>
      </c>
      <c r="B48" s="130">
        <f>SUM(B44:B47)</f>
        <v>3150</v>
      </c>
      <c r="C48" s="123">
        <f>SUM(C44:C47)</f>
        <v>1229</v>
      </c>
      <c r="D48" s="123">
        <f>SUM(D44:D47)</f>
        <v>669</v>
      </c>
      <c r="E48" s="123">
        <f>SUM(E44:E47)</f>
        <v>0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topLeftCell="A7" zoomScaleNormal="100" zoomScaleSheetLayoutView="100" workbookViewId="0"/>
    <sheetView topLeftCell="A13" workbookViewId="1">
      <selection activeCell="D27" sqref="D27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16" ht="20.100000000000001" customHeight="1">
      <c r="A4" s="40" t="s">
        <v>683</v>
      </c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76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76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76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76"/>
      <c r="N8" s="272">
        <v>600</v>
      </c>
      <c r="O8" s="44">
        <v>705821</v>
      </c>
      <c r="P8" s="44">
        <v>1016585</v>
      </c>
    </row>
    <row r="9" spans="1:16" ht="20.100000000000001" customHeight="1">
      <c r="A9" s="783" t="s">
        <v>435</v>
      </c>
      <c r="B9" s="785" t="s">
        <v>513</v>
      </c>
      <c r="C9" s="787" t="s">
        <v>514</v>
      </c>
      <c r="D9" s="789" t="s">
        <v>436</v>
      </c>
      <c r="E9" s="781"/>
      <c r="F9" s="781" t="s">
        <v>437</v>
      </c>
      <c r="G9" s="781"/>
      <c r="H9" s="781" t="s">
        <v>438</v>
      </c>
      <c r="I9" s="781"/>
      <c r="J9" s="781" t="s">
        <v>439</v>
      </c>
      <c r="K9" s="782"/>
      <c r="M9" s="776"/>
      <c r="N9" s="272">
        <v>700</v>
      </c>
      <c r="O9" s="44">
        <v>782918</v>
      </c>
      <c r="P9" s="44">
        <v>1102578</v>
      </c>
    </row>
    <row r="10" spans="1:16" ht="20.100000000000001" customHeight="1">
      <c r="A10" s="840"/>
      <c r="B10" s="888"/>
      <c r="C10" s="841"/>
      <c r="D10" s="316" t="s">
        <v>515</v>
      </c>
      <c r="E10" s="460" t="s">
        <v>452</v>
      </c>
      <c r="F10" s="459" t="s">
        <v>515</v>
      </c>
      <c r="G10" s="460" t="s">
        <v>452</v>
      </c>
      <c r="H10" s="459" t="s">
        <v>515</v>
      </c>
      <c r="I10" s="460" t="s">
        <v>452</v>
      </c>
      <c r="J10" s="459" t="s">
        <v>515</v>
      </c>
      <c r="K10" s="470" t="s">
        <v>452</v>
      </c>
      <c r="L10" s="9"/>
      <c r="M10" s="776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35" t="s">
        <v>536</v>
      </c>
      <c r="B11" s="534">
        <v>250</v>
      </c>
      <c r="C11" s="535">
        <f>+ROUND(P5*L1*0.96,0)</f>
        <v>976611</v>
      </c>
      <c r="D11" s="537"/>
      <c r="E11" s="322">
        <f t="shared" ref="E11:G27" si="0">+ROUND($C11*D11/1000000,0)</f>
        <v>0</v>
      </c>
      <c r="F11" s="323"/>
      <c r="G11" s="322">
        <f t="shared" si="0"/>
        <v>0</v>
      </c>
      <c r="H11" s="323">
        <v>30</v>
      </c>
      <c r="I11" s="322">
        <f t="shared" ref="I11:I27" si="1">+ROUND($C11*H11/1000000,0)</f>
        <v>29</v>
      </c>
      <c r="J11" s="323"/>
      <c r="K11" s="364">
        <f t="shared" ref="K11:K20" si="2">+ROUND($C11*J11/1000000,0)</f>
        <v>0</v>
      </c>
      <c r="L11" s="9"/>
      <c r="M11" s="776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36"/>
      <c r="B12" s="666">
        <v>300</v>
      </c>
      <c r="C12" s="536">
        <f>+ROUND(P5*$L$1,0)</f>
        <v>1017303</v>
      </c>
      <c r="D12" s="372"/>
      <c r="E12" s="327">
        <f t="shared" si="0"/>
        <v>0</v>
      </c>
      <c r="F12" s="328"/>
      <c r="G12" s="327">
        <f t="shared" si="0"/>
        <v>0</v>
      </c>
      <c r="H12" s="328">
        <v>4</v>
      </c>
      <c r="I12" s="327">
        <f t="shared" si="1"/>
        <v>4</v>
      </c>
      <c r="J12" s="328"/>
      <c r="K12" s="365">
        <f t="shared" si="2"/>
        <v>0</v>
      </c>
      <c r="L12" s="9"/>
      <c r="M12" s="776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36"/>
      <c r="B13" s="663">
        <v>400</v>
      </c>
      <c r="C13" s="536">
        <f>+ROUND(P6*$L$1,0)</f>
        <v>1116709</v>
      </c>
      <c r="D13" s="372"/>
      <c r="E13" s="327">
        <f t="shared" si="0"/>
        <v>0</v>
      </c>
      <c r="F13" s="328">
        <v>46</v>
      </c>
      <c r="G13" s="327">
        <f t="shared" si="0"/>
        <v>51</v>
      </c>
      <c r="H13" s="328">
        <v>174</v>
      </c>
      <c r="I13" s="327">
        <f t="shared" si="1"/>
        <v>194</v>
      </c>
      <c r="J13" s="328"/>
      <c r="K13" s="365">
        <f t="shared" si="2"/>
        <v>0</v>
      </c>
      <c r="L13" s="9"/>
      <c r="M13" s="776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36"/>
      <c r="B14" s="663">
        <v>450</v>
      </c>
      <c r="C14" s="536">
        <f>(C13+C15)/2</f>
        <v>1151687.5</v>
      </c>
      <c r="D14" s="372"/>
      <c r="E14" s="327">
        <f t="shared" si="0"/>
        <v>0</v>
      </c>
      <c r="F14" s="328"/>
      <c r="G14" s="327">
        <f t="shared" si="0"/>
        <v>0</v>
      </c>
      <c r="H14" s="328"/>
      <c r="I14" s="327">
        <f t="shared" si="1"/>
        <v>0</v>
      </c>
      <c r="J14" s="328"/>
      <c r="K14" s="365">
        <f t="shared" si="2"/>
        <v>0</v>
      </c>
      <c r="L14" s="9"/>
      <c r="M14" s="776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36"/>
      <c r="B15" s="663">
        <v>500</v>
      </c>
      <c r="C15" s="536">
        <f>+ROUND(P7*$L$1,0)</f>
        <v>1186666</v>
      </c>
      <c r="D15" s="372"/>
      <c r="E15" s="327">
        <f t="shared" si="0"/>
        <v>0</v>
      </c>
      <c r="F15" s="328"/>
      <c r="G15" s="327">
        <f t="shared" si="0"/>
        <v>0</v>
      </c>
      <c r="H15" s="328">
        <v>23</v>
      </c>
      <c r="I15" s="327">
        <f t="shared" si="1"/>
        <v>27</v>
      </c>
      <c r="J15" s="328"/>
      <c r="K15" s="365">
        <f t="shared" si="2"/>
        <v>0</v>
      </c>
      <c r="L15" s="9"/>
      <c r="M15" s="776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36"/>
      <c r="B16" s="663">
        <v>600</v>
      </c>
      <c r="C16" s="536">
        <f>+ROUND(P8*$L$1,0)</f>
        <v>1321561</v>
      </c>
      <c r="D16" s="372"/>
      <c r="E16" s="327">
        <f t="shared" si="0"/>
        <v>0</v>
      </c>
      <c r="F16" s="328">
        <v>115</v>
      </c>
      <c r="G16" s="327">
        <f t="shared" si="0"/>
        <v>152</v>
      </c>
      <c r="H16" s="328"/>
      <c r="I16" s="327">
        <f t="shared" si="1"/>
        <v>0</v>
      </c>
      <c r="J16" s="328"/>
      <c r="K16" s="365">
        <f t="shared" si="2"/>
        <v>0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36"/>
      <c r="B17" s="663">
        <v>700</v>
      </c>
      <c r="C17" s="536">
        <f>+ROUND(P9*$L$1,0)</f>
        <v>1433351</v>
      </c>
      <c r="D17" s="372"/>
      <c r="E17" s="327">
        <f t="shared" si="0"/>
        <v>0</v>
      </c>
      <c r="F17" s="328"/>
      <c r="G17" s="327">
        <f t="shared" si="0"/>
        <v>0</v>
      </c>
      <c r="H17" s="328"/>
      <c r="I17" s="327">
        <f t="shared" si="1"/>
        <v>0</v>
      </c>
      <c r="J17" s="328"/>
      <c r="K17" s="365">
        <f t="shared" si="2"/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36"/>
      <c r="B18" s="663">
        <v>800</v>
      </c>
      <c r="C18" s="536">
        <f>+ROUND(P10*$L$1,0)</f>
        <v>1538375</v>
      </c>
      <c r="D18" s="372"/>
      <c r="E18" s="327">
        <f t="shared" si="0"/>
        <v>0</v>
      </c>
      <c r="F18" s="328"/>
      <c r="G18" s="327">
        <f t="shared" si="0"/>
        <v>0</v>
      </c>
      <c r="H18" s="328">
        <v>171</v>
      </c>
      <c r="I18" s="327">
        <f t="shared" si="1"/>
        <v>263</v>
      </c>
      <c r="J18" s="328"/>
      <c r="K18" s="365">
        <f t="shared" si="2"/>
        <v>0</v>
      </c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36"/>
      <c r="B19" s="663">
        <v>1000</v>
      </c>
      <c r="C19" s="536">
        <f>+ROUND(P12*$L$1,0)</f>
        <v>1818244</v>
      </c>
      <c r="D19" s="372"/>
      <c r="E19" s="327">
        <f t="shared" si="0"/>
        <v>0</v>
      </c>
      <c r="F19" s="328">
        <v>217</v>
      </c>
      <c r="G19" s="327">
        <f t="shared" si="0"/>
        <v>395</v>
      </c>
      <c r="H19" s="328">
        <v>33</v>
      </c>
      <c r="I19" s="327">
        <f t="shared" si="1"/>
        <v>60</v>
      </c>
      <c r="J19" s="328"/>
      <c r="K19" s="365">
        <f t="shared" si="2"/>
        <v>0</v>
      </c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36"/>
      <c r="B20" s="531">
        <v>1200</v>
      </c>
      <c r="C20" s="536">
        <f t="shared" ref="C20" si="3">+ROUND(P14*$L$1,0)</f>
        <v>2199347</v>
      </c>
      <c r="D20" s="372"/>
      <c r="E20" s="327">
        <f t="shared" si="0"/>
        <v>0</v>
      </c>
      <c r="F20" s="328">
        <v>213</v>
      </c>
      <c r="G20" s="327">
        <f t="shared" si="0"/>
        <v>468</v>
      </c>
      <c r="H20" s="328"/>
      <c r="I20" s="327">
        <f t="shared" si="1"/>
        <v>0</v>
      </c>
      <c r="J20" s="328"/>
      <c r="K20" s="365">
        <f t="shared" si="2"/>
        <v>0</v>
      </c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36"/>
      <c r="B21" s="531" t="s">
        <v>932</v>
      </c>
      <c r="C21" s="536">
        <f>+ROUND(P36*0.25*$L$1,0)</f>
        <v>682154</v>
      </c>
      <c r="D21" s="372"/>
      <c r="E21" s="327">
        <f t="shared" si="0"/>
        <v>0</v>
      </c>
      <c r="F21" s="328"/>
      <c r="G21" s="327">
        <f t="shared" si="0"/>
        <v>0</v>
      </c>
      <c r="H21" s="328"/>
      <c r="I21" s="327">
        <f t="shared" si="1"/>
        <v>0</v>
      </c>
      <c r="J21" s="328"/>
      <c r="K21" s="365"/>
      <c r="L21" s="9"/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36"/>
      <c r="B22" s="531" t="s">
        <v>933</v>
      </c>
      <c r="C22" s="536">
        <f>+ROUND(P36*L1,0)</f>
        <v>2728617</v>
      </c>
      <c r="D22" s="373"/>
      <c r="E22" s="327">
        <f t="shared" si="0"/>
        <v>0</v>
      </c>
      <c r="F22" s="327"/>
      <c r="G22" s="327">
        <f t="shared" si="0"/>
        <v>0</v>
      </c>
      <c r="H22" s="327"/>
      <c r="I22" s="327">
        <f t="shared" si="1"/>
        <v>0</v>
      </c>
      <c r="J22" s="327"/>
      <c r="K22" s="365"/>
      <c r="L22" s="9"/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36"/>
      <c r="B23" s="531" t="s">
        <v>934</v>
      </c>
      <c r="C23" s="536">
        <f>+ROUND(P38*L1,0)</f>
        <v>2982099</v>
      </c>
      <c r="D23" s="373"/>
      <c r="E23" s="327">
        <f t="shared" si="0"/>
        <v>0</v>
      </c>
      <c r="F23" s="327"/>
      <c r="G23" s="327">
        <f t="shared" si="0"/>
        <v>0</v>
      </c>
      <c r="H23" s="327"/>
      <c r="I23" s="327">
        <f t="shared" si="1"/>
        <v>0</v>
      </c>
      <c r="J23" s="327"/>
      <c r="K23" s="365"/>
      <c r="L23" s="9"/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36"/>
      <c r="B24" s="531" t="s">
        <v>935</v>
      </c>
      <c r="C24" s="536">
        <f>+ROUND(P40*L1,0)</f>
        <v>3355213</v>
      </c>
      <c r="D24" s="373"/>
      <c r="E24" s="327">
        <f t="shared" si="0"/>
        <v>0</v>
      </c>
      <c r="F24" s="327"/>
      <c r="G24" s="327">
        <f t="shared" si="0"/>
        <v>0</v>
      </c>
      <c r="H24" s="327"/>
      <c r="I24" s="327">
        <f t="shared" si="1"/>
        <v>0</v>
      </c>
      <c r="J24" s="327"/>
      <c r="K24" s="365"/>
      <c r="L24" s="9"/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36"/>
      <c r="B25" s="531" t="s">
        <v>936</v>
      </c>
      <c r="C25" s="536">
        <f>+ROUND(P44*L1,0)</f>
        <v>4582826</v>
      </c>
      <c r="D25" s="373"/>
      <c r="E25" s="327">
        <f t="shared" si="0"/>
        <v>0</v>
      </c>
      <c r="F25" s="327"/>
      <c r="G25" s="327">
        <f t="shared" si="0"/>
        <v>0</v>
      </c>
      <c r="H25" s="327"/>
      <c r="I25" s="327">
        <f t="shared" si="1"/>
        <v>0</v>
      </c>
      <c r="J25" s="327"/>
      <c r="K25" s="365"/>
      <c r="L25" s="9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36"/>
      <c r="B26" s="531" t="s">
        <v>937</v>
      </c>
      <c r="C26" s="536">
        <f>+ROUND(P47*L1,0)</f>
        <v>6459687</v>
      </c>
      <c r="D26" s="373"/>
      <c r="E26" s="327"/>
      <c r="F26" s="327"/>
      <c r="G26" s="327"/>
      <c r="H26" s="327"/>
      <c r="I26" s="327"/>
      <c r="J26" s="327"/>
      <c r="K26" s="365"/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36"/>
      <c r="B27" s="903" t="s">
        <v>938</v>
      </c>
      <c r="C27" s="934"/>
      <c r="D27" s="373">
        <v>3623.8</v>
      </c>
      <c r="E27" s="327">
        <v>2751</v>
      </c>
      <c r="F27" s="327"/>
      <c r="G27" s="327">
        <f t="shared" si="0"/>
        <v>0</v>
      </c>
      <c r="H27" s="327"/>
      <c r="I27" s="327">
        <f t="shared" si="1"/>
        <v>0</v>
      </c>
      <c r="J27" s="327"/>
      <c r="K27" s="365"/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A28" s="937"/>
      <c r="B28" s="919" t="s">
        <v>406</v>
      </c>
      <c r="C28" s="933"/>
      <c r="D28" s="374">
        <f t="shared" ref="D28:K28" si="4">SUM(D11:D27)</f>
        <v>3623.8</v>
      </c>
      <c r="E28" s="366">
        <f t="shared" si="4"/>
        <v>2751</v>
      </c>
      <c r="F28" s="366">
        <f t="shared" si="4"/>
        <v>591</v>
      </c>
      <c r="G28" s="366">
        <f t="shared" si="4"/>
        <v>1066</v>
      </c>
      <c r="H28" s="366">
        <f t="shared" si="4"/>
        <v>435</v>
      </c>
      <c r="I28" s="366">
        <f t="shared" si="4"/>
        <v>577</v>
      </c>
      <c r="J28" s="366">
        <f t="shared" si="4"/>
        <v>0</v>
      </c>
      <c r="K28" s="367">
        <f t="shared" si="4"/>
        <v>0</v>
      </c>
      <c r="L28" s="9"/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2184</v>
      </c>
      <c r="D31" s="2">
        <v>250</v>
      </c>
      <c r="E31" s="2">
        <v>0</v>
      </c>
      <c r="F31" s="2">
        <f t="shared" ref="F31:F41" si="5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7.0000000000000007E-2</v>
      </c>
      <c r="F32" s="2">
        <f t="shared" si="5"/>
        <v>153</v>
      </c>
      <c r="G32" s="2">
        <f t="shared" ref="G32:G39" si="6">ROUND(F32*1,0)</f>
        <v>153</v>
      </c>
      <c r="H32" s="2">
        <f t="shared" ref="H32:H39" si="7">ROUND(F32*0,0)</f>
        <v>0</v>
      </c>
      <c r="I32" s="2">
        <f t="shared" ref="I32:I39" si="8">F32-G32-H32</f>
        <v>0</v>
      </c>
      <c r="L32" s="9"/>
      <c r="M32" s="776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0.14000000000000001</v>
      </c>
      <c r="F33" s="2">
        <f t="shared" si="5"/>
        <v>306</v>
      </c>
      <c r="G33" s="2">
        <f t="shared" si="6"/>
        <v>306</v>
      </c>
      <c r="H33" s="2">
        <f t="shared" si="7"/>
        <v>0</v>
      </c>
      <c r="I33" s="2">
        <f t="shared" si="8"/>
        <v>0</v>
      </c>
      <c r="L33" s="29"/>
      <c r="M33" s="776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 t="shared" si="5"/>
        <v>131</v>
      </c>
      <c r="G34" s="2">
        <f t="shared" si="6"/>
        <v>131</v>
      </c>
      <c r="H34" s="2">
        <f t="shared" si="7"/>
        <v>0</v>
      </c>
      <c r="I34" s="2">
        <f t="shared" si="8"/>
        <v>0</v>
      </c>
      <c r="L34" s="45"/>
      <c r="M34" s="776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</v>
      </c>
      <c r="F35" s="2">
        <f t="shared" si="5"/>
        <v>218</v>
      </c>
      <c r="G35" s="2">
        <f t="shared" si="6"/>
        <v>218</v>
      </c>
      <c r="H35" s="2">
        <f t="shared" si="7"/>
        <v>0</v>
      </c>
      <c r="I35" s="2">
        <f t="shared" si="8"/>
        <v>0</v>
      </c>
      <c r="L35" s="45"/>
      <c r="M35" s="776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0.42</v>
      </c>
      <c r="F36" s="2">
        <f t="shared" si="5"/>
        <v>917</v>
      </c>
      <c r="G36" s="2">
        <f t="shared" si="6"/>
        <v>917</v>
      </c>
      <c r="H36" s="2">
        <f t="shared" si="7"/>
        <v>0</v>
      </c>
      <c r="I36" s="2">
        <f t="shared" si="8"/>
        <v>0</v>
      </c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0.03</v>
      </c>
      <c r="F37" s="2">
        <f t="shared" si="5"/>
        <v>66</v>
      </c>
      <c r="G37" s="2">
        <f t="shared" si="6"/>
        <v>66</v>
      </c>
      <c r="H37" s="2">
        <f t="shared" si="7"/>
        <v>0</v>
      </c>
      <c r="I37" s="2">
        <f t="shared" si="8"/>
        <v>0</v>
      </c>
      <c r="L37" s="35"/>
      <c r="M37" s="776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0.06</v>
      </c>
      <c r="F38" s="2">
        <f t="shared" si="5"/>
        <v>131</v>
      </c>
      <c r="G38" s="2">
        <f t="shared" si="6"/>
        <v>131</v>
      </c>
      <c r="H38" s="2">
        <f t="shared" si="7"/>
        <v>0</v>
      </c>
      <c r="I38" s="2">
        <f t="shared" si="8"/>
        <v>0</v>
      </c>
      <c r="L38" s="36"/>
      <c r="M38" s="776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5"/>
        <v>22</v>
      </c>
      <c r="G39" s="2">
        <f t="shared" si="6"/>
        <v>22</v>
      </c>
      <c r="H39" s="2">
        <f t="shared" si="7"/>
        <v>0</v>
      </c>
      <c r="I39" s="2">
        <f t="shared" si="8"/>
        <v>0</v>
      </c>
      <c r="L39" s="35"/>
      <c r="M39" s="776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0.06</v>
      </c>
      <c r="F40" s="2">
        <f t="shared" si="5"/>
        <v>131</v>
      </c>
      <c r="G40" s="2">
        <f>ROUND(F40*0.8,0)</f>
        <v>105</v>
      </c>
      <c r="H40" s="2">
        <f>ROUND(F40*0.15,0)</f>
        <v>20</v>
      </c>
      <c r="I40" s="2">
        <f>F40-G40-H40</f>
        <v>6</v>
      </c>
      <c r="L40" s="35"/>
      <c r="M40" s="776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0.05</v>
      </c>
      <c r="F41" s="2">
        <f t="shared" si="5"/>
        <v>109</v>
      </c>
      <c r="G41" s="2">
        <f>ROUND(F41*0.8,0)</f>
        <v>87</v>
      </c>
      <c r="H41" s="2">
        <f>ROUND(F41*0.15,0)</f>
        <v>16</v>
      </c>
      <c r="I41" s="2">
        <f>F41-G41-H41</f>
        <v>6</v>
      </c>
      <c r="L41" s="35"/>
      <c r="M41" s="776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76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76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M36:M51"/>
    <mergeCell ref="M3:M4"/>
    <mergeCell ref="N3:N4"/>
    <mergeCell ref="O3:P3"/>
    <mergeCell ref="M5:M15"/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B27:C27"/>
    <mergeCell ref="A11:A28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B11" sqref="B11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968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685</v>
      </c>
      <c r="G3" s="5"/>
    </row>
    <row r="4" spans="1:19" ht="20.100000000000001" customHeight="1">
      <c r="A4" s="4" t="s">
        <v>686</v>
      </c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/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/>
      <c r="C11" s="97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v>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v>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96">
        <v>0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96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96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>
        <f>+B16</f>
        <v>0</v>
      </c>
      <c r="C27" s="101"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v>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v>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96">
        <v>0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>
        <f>+B16</f>
        <v>0</v>
      </c>
      <c r="C40" s="101"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v>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96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96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96">
        <v>0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1071</v>
      </c>
    </row>
    <row r="2" spans="1:8" ht="20.100000000000001" customHeight="1">
      <c r="A2" s="1" t="s">
        <v>711</v>
      </c>
    </row>
    <row r="3" spans="1:8" ht="20.100000000000001" customHeight="1">
      <c r="A3" s="1"/>
      <c r="H3" s="3" t="s">
        <v>404</v>
      </c>
    </row>
    <row r="4" spans="1:8" ht="20.100000000000001" customHeight="1">
      <c r="A4" s="744" t="s">
        <v>405</v>
      </c>
      <c r="B4" s="745"/>
      <c r="C4" s="746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19" si="0">SUM(E5:H5)</f>
        <v>0</v>
      </c>
      <c r="E5" s="447">
        <f>+'1.5.4 오수간선및차집관로 교체및보수'!B56</f>
        <v>0</v>
      </c>
      <c r="F5" s="447">
        <f>+'1.5.4 오수간선및차집관로 교체및보수'!C56</f>
        <v>0</v>
      </c>
      <c r="G5" s="447">
        <f>+'1.5.4 오수간선및차집관로 교체및보수'!D56</f>
        <v>0</v>
      </c>
      <c r="H5" s="448">
        <f>+'1.5.4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+'1.5.4 오수간선및차집관로 교체및보수'!B57</f>
        <v>0</v>
      </c>
      <c r="F6" s="447">
        <f>+'1.5.4 오수간선및차집관로 교체및보수'!C57</f>
        <v>0</v>
      </c>
      <c r="G6" s="447">
        <f>+'1.5.4 오수간선및차집관로 교체및보수'!D57</f>
        <v>0</v>
      </c>
      <c r="H6" s="448">
        <f>+'1.5.4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10236</v>
      </c>
      <c r="E8" s="447">
        <f>+'1.5.5 오수관로신설'!B55</f>
        <v>6288</v>
      </c>
      <c r="F8" s="447">
        <f>+'1.5.5 오수관로신설'!C55</f>
        <v>586</v>
      </c>
      <c r="G8" s="447">
        <f>+'1.5.5 오수관로신설'!D55</f>
        <v>3362</v>
      </c>
      <c r="H8" s="448">
        <f>+'1.5.5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+'1.5.6 오수관로 교체및보수'!B57</f>
        <v>0</v>
      </c>
      <c r="F9" s="447">
        <v>0</v>
      </c>
      <c r="G9" s="447">
        <f>+'1.5.6 오수관로 교체및보수'!D57</f>
        <v>0</v>
      </c>
      <c r="H9" s="448">
        <f>+'1.5.6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+'1.5.6 오수관로 교체및보수'!B58</f>
        <v>0</v>
      </c>
      <c r="F10" s="447">
        <v>0</v>
      </c>
      <c r="G10" s="447">
        <f>+'1.5.6 오수관로 교체및보수'!D58</f>
        <v>0</v>
      </c>
      <c r="H10" s="448">
        <f>+'1.5.6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2907</v>
      </c>
      <c r="E13" s="447">
        <f>+'1.5.7 우수관로 교체 및 보수'!B48</f>
        <v>1376</v>
      </c>
      <c r="F13" s="447">
        <f>+'1.5.7 우수관로 교체 및 보수'!C48</f>
        <v>0</v>
      </c>
      <c r="G13" s="447">
        <f>+'1.5.7 우수관로 교체 및 보수'!D48</f>
        <v>0</v>
      </c>
      <c r="H13" s="448">
        <f>+'1.5.7 우수관로 교체 및 보수'!E48</f>
        <v>1531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2907</v>
      </c>
      <c r="E15" s="447">
        <f>SUM(E13:E14)</f>
        <v>1376</v>
      </c>
      <c r="F15" s="447">
        <f>SUM(F13:F14)</f>
        <v>0</v>
      </c>
      <c r="G15" s="447">
        <f>SUM(G13:G14)</f>
        <v>0</v>
      </c>
      <c r="H15" s="448">
        <f>SUM(H13:H14)</f>
        <v>1531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12381.5</v>
      </c>
      <c r="E16" s="450">
        <f>+'1.5.2 공공하수처리시설 신증설'!B56</f>
        <v>6045.5</v>
      </c>
      <c r="F16" s="450">
        <f>+'1.5.2 공공하수처리시설 신증설'!C56</f>
        <v>0</v>
      </c>
      <c r="G16" s="450">
        <f>+'1.5.2 공공하수처리시설 신증설'!D56</f>
        <v>0</v>
      </c>
      <c r="H16" s="451">
        <f>+'1.5.2 공공하수처리시설 신증설'!E56</f>
        <v>6336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+'1.5.3 공공하수처리시설 기능정상화'!B56</f>
        <v>0</v>
      </c>
      <c r="F17" s="447">
        <f>+'1.5.3 공공하수처리시설 기능정상화'!C56</f>
        <v>0</v>
      </c>
      <c r="G17" s="447">
        <f>+'1.5.3 공공하수처리시설 기능정상화'!D56</f>
        <v>0</v>
      </c>
      <c r="H17" s="448">
        <f>+'1.5.3 공공하수처리시설 기능정상화'!E56</f>
        <v>0</v>
      </c>
    </row>
    <row r="18" spans="1:8" ht="20.100000000000001" customHeight="1">
      <c r="A18" s="271" t="s">
        <v>425</v>
      </c>
      <c r="B18" s="747" t="s">
        <v>919</v>
      </c>
      <c r="C18" s="765"/>
      <c r="D18" s="446">
        <f t="shared" si="0"/>
        <v>0</v>
      </c>
      <c r="E18" s="447">
        <f>+'1.5.8 하수저류시설'!B55</f>
        <v>0</v>
      </c>
      <c r="F18" s="447">
        <f>+'1.5.8 하수저류시설'!C55</f>
        <v>0</v>
      </c>
      <c r="G18" s="447">
        <f>+'1.5.8 하수저류시설'!D55</f>
        <v>0</v>
      </c>
      <c r="H18" s="448">
        <f>+'1.5.8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25524.5</v>
      </c>
      <c r="E19" s="453">
        <f>+E16+E17+E7+E8+E11+E12+E15+E18</f>
        <v>13709.5</v>
      </c>
      <c r="F19" s="453">
        <f>+F16+F17+F7+F8+F11+F12+F15+F18</f>
        <v>586</v>
      </c>
      <c r="G19" s="453">
        <f>+G16+G17+G7+G8+G11+G12+G15+G18</f>
        <v>3362</v>
      </c>
      <c r="H19" s="454">
        <f>+H16+H17+H7+H8+H11+H12+H15+H18</f>
        <v>7867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A4:C4"/>
    <mergeCell ref="A5:A7"/>
    <mergeCell ref="B5:B7"/>
    <mergeCell ref="A8:A11"/>
    <mergeCell ref="B8:C8"/>
    <mergeCell ref="B9:B11"/>
    <mergeCell ref="B18:C18"/>
    <mergeCell ref="A19:C19"/>
    <mergeCell ref="A12:A15"/>
    <mergeCell ref="B12:C12"/>
    <mergeCell ref="B13:B15"/>
    <mergeCell ref="A16:A17"/>
    <mergeCell ref="B16:C16"/>
    <mergeCell ref="B17:C17"/>
  </mergeCells>
  <phoneticPr fontId="4" type="noConversion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view="pageBreakPreview" topLeftCell="A37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1061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1909</v>
      </c>
      <c r="J4" s="7">
        <v>2391</v>
      </c>
      <c r="K4" s="7">
        <v>2787</v>
      </c>
      <c r="L4" s="7">
        <v>2956</v>
      </c>
      <c r="M4" s="7">
        <v>3015</v>
      </c>
      <c r="N4" s="7">
        <v>3254</v>
      </c>
      <c r="O4" s="7">
        <v>3748</v>
      </c>
      <c r="P4" s="7">
        <v>5065</v>
      </c>
      <c r="Q4" s="7">
        <v>6415</v>
      </c>
      <c r="R4" s="7">
        <v>10406</v>
      </c>
      <c r="S4" s="7">
        <v>12365</v>
      </c>
      <c r="T4" s="7">
        <v>16345</v>
      </c>
    </row>
    <row r="5" spans="1:20" ht="20.100000000000001" customHeight="1">
      <c r="G5" s="5"/>
      <c r="H5" s="6" t="s">
        <v>430</v>
      </c>
      <c r="I5" s="7">
        <v>218</v>
      </c>
      <c r="J5" s="7">
        <v>380</v>
      </c>
      <c r="K5" s="7">
        <v>712</v>
      </c>
      <c r="L5" s="7">
        <v>1042</v>
      </c>
      <c r="M5" s="7">
        <v>1523</v>
      </c>
      <c r="N5" s="7">
        <v>1838</v>
      </c>
      <c r="O5" s="7">
        <v>1989</v>
      </c>
      <c r="P5" s="7">
        <v>2287</v>
      </c>
      <c r="Q5" s="7">
        <v>3035</v>
      </c>
      <c r="R5" s="7">
        <v>4743</v>
      </c>
      <c r="S5" s="7">
        <v>6740</v>
      </c>
      <c r="T5" s="7">
        <v>8925</v>
      </c>
    </row>
    <row r="6" spans="1:20" ht="20.100000000000001" customHeight="1">
      <c r="A6" s="2" t="s">
        <v>431</v>
      </c>
      <c r="G6" s="5"/>
      <c r="H6" s="6" t="s">
        <v>432</v>
      </c>
      <c r="I6" s="7">
        <v>317</v>
      </c>
      <c r="J6" s="7">
        <v>520</v>
      </c>
      <c r="K6" s="7">
        <v>662</v>
      </c>
      <c r="L6" s="7">
        <v>851</v>
      </c>
      <c r="M6" s="7">
        <v>1315</v>
      </c>
      <c r="N6" s="7">
        <v>1450</v>
      </c>
      <c r="O6" s="7">
        <v>1899</v>
      </c>
      <c r="P6" s="7">
        <v>2642</v>
      </c>
      <c r="Q6" s="7">
        <v>3436</v>
      </c>
      <c r="R6" s="7">
        <v>6440</v>
      </c>
      <c r="S6" s="7">
        <v>10021</v>
      </c>
      <c r="T6" s="7">
        <v>13393</v>
      </c>
    </row>
    <row r="7" spans="1:20" ht="20.100000000000001" customHeight="1">
      <c r="F7" s="8" t="s">
        <v>433</v>
      </c>
      <c r="G7" s="5"/>
      <c r="H7" s="6" t="s">
        <v>434</v>
      </c>
      <c r="I7" s="7">
        <v>889</v>
      </c>
      <c r="J7" s="7">
        <v>1486</v>
      </c>
      <c r="K7" s="7">
        <v>1833</v>
      </c>
      <c r="L7" s="7">
        <v>2337</v>
      </c>
      <c r="M7" s="7">
        <v>2981</v>
      </c>
      <c r="N7" s="7">
        <v>3350</v>
      </c>
      <c r="O7" s="7">
        <v>4060</v>
      </c>
      <c r="P7" s="7">
        <v>5034</v>
      </c>
      <c r="Q7" s="7">
        <v>7440</v>
      </c>
      <c r="R7" s="7">
        <v>13793</v>
      </c>
      <c r="S7" s="7">
        <v>17528</v>
      </c>
      <c r="T7" s="7">
        <v>24010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859</v>
      </c>
      <c r="J8" s="7">
        <v>1458</v>
      </c>
      <c r="K8" s="7">
        <v>1640</v>
      </c>
      <c r="L8" s="7">
        <v>2162</v>
      </c>
      <c r="M8" s="7">
        <v>2373</v>
      </c>
      <c r="N8" s="7">
        <v>2554</v>
      </c>
      <c r="O8" s="7">
        <v>2873</v>
      </c>
      <c r="P8" s="7">
        <v>3595</v>
      </c>
      <c r="Q8" s="7">
        <v>4790</v>
      </c>
      <c r="R8" s="7">
        <v>9361</v>
      </c>
      <c r="S8" s="7">
        <v>14557</v>
      </c>
      <c r="T8" s="7">
        <v>19327</v>
      </c>
    </row>
    <row r="9" spans="1:20" ht="20.100000000000001" customHeight="1">
      <c r="A9" s="109" t="s">
        <v>442</v>
      </c>
      <c r="B9" s="106">
        <v>550</v>
      </c>
      <c r="C9" s="101"/>
      <c r="D9" s="101">
        <v>0</v>
      </c>
      <c r="E9" s="101">
        <v>600</v>
      </c>
      <c r="F9" s="102"/>
      <c r="G9" s="5"/>
      <c r="H9" s="6" t="s">
        <v>443</v>
      </c>
      <c r="I9" s="7">
        <v>433</v>
      </c>
      <c r="J9" s="7">
        <v>522</v>
      </c>
      <c r="K9" s="7">
        <v>682</v>
      </c>
      <c r="L9" s="7">
        <v>785</v>
      </c>
      <c r="M9" s="7">
        <v>907</v>
      </c>
      <c r="N9" s="7">
        <v>967</v>
      </c>
      <c r="O9" s="7">
        <v>1191</v>
      </c>
      <c r="P9" s="7">
        <v>1635</v>
      </c>
      <c r="Q9" s="7">
        <v>2341</v>
      </c>
      <c r="R9" s="7">
        <v>3634</v>
      </c>
      <c r="S9" s="7">
        <v>4627</v>
      </c>
      <c r="T9" s="7">
        <v>6051</v>
      </c>
    </row>
    <row r="10" spans="1:20" ht="20.100000000000001" customHeight="1">
      <c r="A10" s="110" t="s">
        <v>444</v>
      </c>
      <c r="B10" s="107">
        <f>I3</f>
        <v>500</v>
      </c>
      <c r="C10" s="96"/>
      <c r="D10" s="96"/>
      <c r="E10" s="96">
        <v>500</v>
      </c>
      <c r="F10" s="95"/>
      <c r="G10" s="5"/>
      <c r="H10" s="6" t="s">
        <v>445</v>
      </c>
      <c r="I10" s="205">
        <v>1259</v>
      </c>
      <c r="J10" s="205">
        <v>1964</v>
      </c>
      <c r="K10" s="205">
        <v>2184</v>
      </c>
      <c r="L10" s="205">
        <v>2537</v>
      </c>
      <c r="M10" s="205">
        <v>2562</v>
      </c>
      <c r="N10" s="205">
        <v>2589</v>
      </c>
      <c r="O10" s="205">
        <v>2928</v>
      </c>
      <c r="P10" s="7">
        <v>1324</v>
      </c>
      <c r="Q10" s="7">
        <v>1983</v>
      </c>
      <c r="R10" s="7">
        <v>2513</v>
      </c>
      <c r="S10" s="7">
        <v>3684</v>
      </c>
      <c r="T10" s="7">
        <v>5207</v>
      </c>
    </row>
    <row r="11" spans="1:20" ht="20.100000000000001" customHeight="1">
      <c r="A11" s="110" t="s">
        <v>446</v>
      </c>
      <c r="B11" s="107">
        <f>J3</f>
        <v>1000</v>
      </c>
      <c r="C11" s="96"/>
      <c r="D11" s="96"/>
      <c r="E11" s="96">
        <v>1000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2151</v>
      </c>
      <c r="Q11" s="7">
        <v>2974</v>
      </c>
      <c r="R11" s="7">
        <v>3653</v>
      </c>
      <c r="S11" s="7">
        <v>4692</v>
      </c>
      <c r="T11" s="7">
        <v>6680</v>
      </c>
    </row>
    <row r="12" spans="1:20" ht="20.100000000000001" customHeight="1">
      <c r="A12" s="110" t="s">
        <v>214</v>
      </c>
      <c r="B12" s="107">
        <f>I16</f>
        <v>5036</v>
      </c>
      <c r="C12" s="96"/>
      <c r="D12" s="96"/>
      <c r="E12" s="96">
        <f>I16</f>
        <v>5036</v>
      </c>
      <c r="F12" s="95"/>
      <c r="G12" s="5"/>
      <c r="H12" s="6" t="s">
        <v>449</v>
      </c>
      <c r="I12" s="7">
        <v>536</v>
      </c>
      <c r="J12" s="7">
        <v>623</v>
      </c>
      <c r="K12" s="7">
        <v>665</v>
      </c>
      <c r="L12" s="7">
        <v>691</v>
      </c>
      <c r="M12" s="7">
        <v>898</v>
      </c>
      <c r="N12" s="7">
        <v>1151</v>
      </c>
      <c r="O12" s="7">
        <v>1245</v>
      </c>
      <c r="P12" s="7">
        <v>1715</v>
      </c>
      <c r="Q12" s="7">
        <v>2219</v>
      </c>
      <c r="R12" s="7">
        <v>2872</v>
      </c>
      <c r="S12" s="7">
        <v>3190</v>
      </c>
      <c r="T12" s="7">
        <v>4212</v>
      </c>
    </row>
    <row r="13" spans="1:20" ht="20.100000000000001" customHeight="1">
      <c r="A13" s="110" t="s">
        <v>215</v>
      </c>
      <c r="B13" s="107">
        <f>J16</f>
        <v>7581</v>
      </c>
      <c r="C13" s="96"/>
      <c r="D13" s="96"/>
      <c r="E13" s="96">
        <f>J16</f>
        <v>7581</v>
      </c>
      <c r="F13" s="95"/>
      <c r="G13" s="5"/>
      <c r="H13" s="6" t="s">
        <v>451</v>
      </c>
      <c r="I13" s="7">
        <v>38</v>
      </c>
      <c r="J13" s="7">
        <v>72</v>
      </c>
      <c r="K13" s="7">
        <v>88</v>
      </c>
      <c r="L13" s="7">
        <v>118</v>
      </c>
      <c r="M13" s="7">
        <v>131</v>
      </c>
      <c r="N13" s="7">
        <v>149</v>
      </c>
      <c r="O13" s="7">
        <v>193</v>
      </c>
      <c r="P13" s="7">
        <v>514</v>
      </c>
      <c r="Q13" s="7">
        <v>645</v>
      </c>
      <c r="R13" s="7">
        <v>971</v>
      </c>
      <c r="S13" s="7">
        <v>1083</v>
      </c>
      <c r="T13" s="7">
        <v>1517</v>
      </c>
    </row>
    <row r="14" spans="1:20" ht="20.100000000000001" customHeight="1">
      <c r="A14" s="111" t="s">
        <v>452</v>
      </c>
      <c r="B14" s="108">
        <f>B12+((B13-B12)/(B11-B10))*(B9-B10)</f>
        <v>5290.5</v>
      </c>
      <c r="C14" s="97"/>
      <c r="D14" s="108"/>
      <c r="E14" s="108">
        <f>E12+((E13-E12)/(E11-E10))*(E9-E10)</f>
        <v>5545</v>
      </c>
      <c r="F14" s="99"/>
      <c r="G14" s="5"/>
      <c r="H14" s="6" t="s">
        <v>453</v>
      </c>
      <c r="I14" s="7">
        <v>417</v>
      </c>
      <c r="J14" s="7">
        <v>455</v>
      </c>
      <c r="K14" s="7">
        <v>846</v>
      </c>
      <c r="L14" s="7">
        <v>1072</v>
      </c>
      <c r="M14" s="7">
        <v>1233</v>
      </c>
      <c r="N14" s="7">
        <v>1357</v>
      </c>
      <c r="O14" s="7">
        <v>1587</v>
      </c>
      <c r="P14" s="7">
        <v>1666</v>
      </c>
      <c r="Q14" s="7">
        <v>1790</v>
      </c>
      <c r="R14" s="7">
        <v>2915</v>
      </c>
      <c r="S14" s="7">
        <v>3499</v>
      </c>
      <c r="T14" s="7">
        <v>3749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285</v>
      </c>
      <c r="J15" s="7">
        <v>319</v>
      </c>
      <c r="K15" s="7">
        <v>410</v>
      </c>
      <c r="L15" s="7">
        <v>699</v>
      </c>
      <c r="M15" s="7">
        <v>810</v>
      </c>
      <c r="N15" s="7">
        <v>1025</v>
      </c>
      <c r="O15" s="7">
        <v>1299</v>
      </c>
      <c r="P15" s="7">
        <v>2320</v>
      </c>
      <c r="Q15" s="7">
        <v>2810</v>
      </c>
      <c r="R15" s="7">
        <v>2912</v>
      </c>
      <c r="S15" s="7">
        <v>3150</v>
      </c>
      <c r="T15" s="7">
        <v>3275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5036</v>
      </c>
      <c r="J16" s="13">
        <f>ROUND((J6+J7+J8+J9+J10+J11+J12+J15)*1.1,0)</f>
        <v>7581</v>
      </c>
      <c r="K16" s="13">
        <f>ROUND((K6+K7+K8+K9+K10+K11+K12+K15)*1.1,0)</f>
        <v>8884</v>
      </c>
      <c r="M16" s="13">
        <f>ROUND((P4+O5+M6+M7+M8+M9+M10+M11+M12+M15)*1.1,0)</f>
        <v>20790</v>
      </c>
      <c r="P16" s="13">
        <f>ROUND((P6+P7+P8+P9+P10+P11+P12+P15)*1.08,0)</f>
        <v>22049</v>
      </c>
      <c r="Q16" s="13">
        <f>ROUND((Q6+Q7+Q8+Q9+Q10+Q11+Q12+Q15)*1.08,0)</f>
        <v>30232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5290.5</v>
      </c>
      <c r="C19" s="115"/>
      <c r="D19" s="101">
        <f>D14</f>
        <v>0</v>
      </c>
      <c r="E19" s="117">
        <f>+E14</f>
        <v>5545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5000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IFERROR(INDEX($H$19:$L$35,MATCH(B19,$H$19:$H$35,1),1),0)</f>
        <v>5000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10000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IFERROR(INDEX($H$19:$L$35,MATCH(B19,$H$19:$H$35,1)+1,1),0)</f>
        <v>10000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4.6299999999999994E-2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4.6299999999999994E-2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4.5199999999999997E-2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4.5199999999999997E-2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4.6236089999999994E-2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4.6180099999999995E-2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245</v>
      </c>
      <c r="C25" s="97">
        <f>+ROUND(C19*C24,0)</f>
        <v>0</v>
      </c>
      <c r="D25" s="97">
        <f>+ROUND(D19*D24,0)</f>
        <v>0</v>
      </c>
      <c r="E25" s="97">
        <f>+ROUND(E19*E24,0)</f>
        <v>256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5290.5</v>
      </c>
      <c r="C30" s="115">
        <f>+C19</f>
        <v>0</v>
      </c>
      <c r="D30" s="117">
        <f>+D19</f>
        <v>0</v>
      </c>
      <c r="E30" s="117">
        <f>+E19</f>
        <v>5545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/>
      <c r="D31" s="112"/>
      <c r="E31" s="112">
        <f>+I37</f>
        <v>10000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/>
      <c r="D32" s="112"/>
      <c r="E32" s="112">
        <f>+I37</f>
        <v>10000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/>
      <c r="D33" s="135"/>
      <c r="E33" s="135">
        <f>+I38</f>
        <v>9.3699999999999992E-2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/>
      <c r="D34" s="135"/>
      <c r="E34" s="135">
        <f>+I38</f>
        <v>9.3699999999999992E-2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/>
      <c r="D35" s="135"/>
      <c r="E35" s="135">
        <f>E34</f>
        <v>9.3699999999999992E-2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496</v>
      </c>
      <c r="C36" s="97">
        <f>+ROUND(C30*C35,0)</f>
        <v>0</v>
      </c>
      <c r="D36" s="97">
        <f>+ROUND(D30*D35,0)</f>
        <v>0</v>
      </c>
      <c r="E36" s="97">
        <f>+ROUND(E30*E35,0)</f>
        <v>520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5290.5</v>
      </c>
      <c r="C41" s="115">
        <f>+C19</f>
        <v>0</v>
      </c>
      <c r="D41" s="115">
        <f>+D19</f>
        <v>0</v>
      </c>
      <c r="E41" s="117">
        <f>+E19</f>
        <v>5545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5000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5000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10000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10000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2.7000000000000001E-3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2.7000000000000001E-3</v>
      </c>
      <c r="F44" s="113"/>
    </row>
    <row r="45" spans="1:17" ht="20.100000000000001" customHeight="1">
      <c r="A45" s="110" t="s">
        <v>712</v>
      </c>
      <c r="B45" s="141">
        <f>IFERROR(INDEX($H$19:$L$35,MATCH(B14,$H$19:$H$35,1)+1,5),0)</f>
        <v>2.5000000000000001E-3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2.5000000000000001E-3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2.6883800000000002E-3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2.6781999999999999E-3</v>
      </c>
      <c r="F46" s="113"/>
    </row>
    <row r="47" spans="1:17" ht="20.100000000000001" customHeight="1">
      <c r="A47" s="111" t="s">
        <v>478</v>
      </c>
      <c r="B47" s="97">
        <f>+ROUND(B41*B46,0)</f>
        <v>14</v>
      </c>
      <c r="C47" s="97"/>
      <c r="D47" s="97">
        <f>+ROUND(D41*D46,0)</f>
        <v>0</v>
      </c>
      <c r="E47" s="97">
        <f>+ROUND(E41*E46,0)</f>
        <v>15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5290.5</v>
      </c>
      <c r="C52" s="126">
        <f>+C14</f>
        <v>0</v>
      </c>
      <c r="D52" s="126">
        <f>+D14</f>
        <v>0</v>
      </c>
      <c r="E52" s="126">
        <f>+E14</f>
        <v>5545</v>
      </c>
      <c r="F52" s="127"/>
    </row>
    <row r="53" spans="1:6" ht="20.100000000000001" customHeight="1">
      <c r="A53" s="132" t="s">
        <v>480</v>
      </c>
      <c r="B53" s="129">
        <f>+B25</f>
        <v>245</v>
      </c>
      <c r="C53" s="121">
        <f>+C25</f>
        <v>0</v>
      </c>
      <c r="D53" s="121">
        <f>+D25</f>
        <v>0</v>
      </c>
      <c r="E53" s="121">
        <f>+E25</f>
        <v>256</v>
      </c>
      <c r="F53" s="122"/>
    </row>
    <row r="54" spans="1:6" ht="20.100000000000001" customHeight="1">
      <c r="A54" s="132" t="s">
        <v>475</v>
      </c>
      <c r="B54" s="129">
        <f>+B36</f>
        <v>496</v>
      </c>
      <c r="C54" s="121">
        <f>+C36</f>
        <v>0</v>
      </c>
      <c r="D54" s="121">
        <f>+D36</f>
        <v>0</v>
      </c>
      <c r="E54" s="121">
        <f>+E36</f>
        <v>520</v>
      </c>
      <c r="F54" s="122"/>
    </row>
    <row r="55" spans="1:6" ht="20.100000000000001" customHeight="1">
      <c r="A55" s="132" t="s">
        <v>478</v>
      </c>
      <c r="B55" s="129">
        <f>+B47</f>
        <v>14</v>
      </c>
      <c r="C55" s="121">
        <f>+C47</f>
        <v>0</v>
      </c>
      <c r="D55" s="121">
        <f>+D47</f>
        <v>0</v>
      </c>
      <c r="E55" s="121">
        <f>+E47</f>
        <v>15</v>
      </c>
      <c r="F55" s="122"/>
    </row>
    <row r="56" spans="1:6" ht="20.100000000000001" customHeight="1">
      <c r="A56" s="133" t="s">
        <v>481</v>
      </c>
      <c r="B56" s="130">
        <f>SUM(B52:B55)</f>
        <v>6045.5</v>
      </c>
      <c r="C56" s="123">
        <f>SUM(C52:C55)</f>
        <v>0</v>
      </c>
      <c r="D56" s="123">
        <f>SUM(D52:D55)</f>
        <v>0</v>
      </c>
      <c r="E56" s="130">
        <f>SUM(E52:E55)</f>
        <v>6336</v>
      </c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713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+'가.굴착교체(생극-간선)'!E21</f>
        <v>0</v>
      </c>
      <c r="C5" s="101">
        <f>+'가.굴착교체(생극-간선)'!G21</f>
        <v>0</v>
      </c>
      <c r="D5" s="101">
        <f>+'가.굴착교체(생극-간선)'!I21</f>
        <v>0</v>
      </c>
      <c r="E5" s="101">
        <f>+'가.굴착교체(생극-간선)'!K21</f>
        <v>0</v>
      </c>
      <c r="F5" s="144"/>
      <c r="G5" s="5"/>
      <c r="H5" s="7" t="s">
        <v>417</v>
      </c>
      <c r="I5" s="70" t="e">
        <f>+B5/B10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+'나.전체보수(생극-간선)'!E19</f>
        <v>0</v>
      </c>
      <c r="C6" s="94">
        <f>+'나.전체보수(생극-간선)'!G19</f>
        <v>0</v>
      </c>
      <c r="D6" s="94">
        <f>+'나.전체보수(생극-간선)'!I19</f>
        <v>0</v>
      </c>
      <c r="E6" s="94">
        <f>+'나.전체보수(생극-간선)'!K19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+'다.부분보수(생극-간선)'!E17</f>
        <v>0</v>
      </c>
      <c r="C7" s="96">
        <f>+'다.부분보수(생극-간선)'!G17</f>
        <v>0</v>
      </c>
      <c r="D7" s="96">
        <f>+'다.부분보수(생극-간선)'!I17</f>
        <v>0</v>
      </c>
      <c r="E7" s="96">
        <f>+'다.부분보수(생극-간선)'!K17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+'라.맨홀보수(생극-간선)'!D12</f>
        <v>0</v>
      </c>
      <c r="C8" s="96">
        <f>+'라.맨홀보수(생극-간선)'!F12</f>
        <v>0</v>
      </c>
      <c r="D8" s="96">
        <f>+'라.맨홀보수(생극-간선)'!H12</f>
        <v>0</v>
      </c>
      <c r="E8" s="96">
        <f>+'라.맨홀보수(생극-간선)'!J12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+'마.우수토실개량(생극-간선)'!D11</f>
        <v>0</v>
      </c>
      <c r="C9" s="96">
        <f>+'마.우수토실개량(생극-간선)'!F11</f>
        <v>0</v>
      </c>
      <c r="D9" s="96">
        <f>+'마.우수토실개량(생극-간선)'!H11</f>
        <v>0</v>
      </c>
      <c r="E9" s="96">
        <f>+'마.우수토실개량(생극-간선)'!J11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+'가.굴착교체(생극-간선)'!W23/'1.5.4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7">
        <f>+ROUND(B40*B45,0)</f>
        <v>0</v>
      </c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/>
      <c r="C56" s="146">
        <f>C55</f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30" ht="20.100000000000001" customHeight="1">
      <c r="A4" s="40"/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76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76"/>
      <c r="N6" s="272">
        <v>400</v>
      </c>
      <c r="O6" s="44">
        <v>695100</v>
      </c>
      <c r="P6" s="44">
        <v>988070</v>
      </c>
    </row>
    <row r="7" spans="1:30" ht="20.100000000000001" customHeight="1">
      <c r="A7" s="783" t="s">
        <v>435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500</v>
      </c>
      <c r="O7" s="44">
        <v>744140</v>
      </c>
      <c r="P7" s="44">
        <v>1046720</v>
      </c>
    </row>
    <row r="8" spans="1:30" ht="20.100000000000001" customHeight="1">
      <c r="A8" s="784"/>
      <c r="B8" s="786"/>
      <c r="C8" s="788"/>
      <c r="D8" s="316" t="s">
        <v>515</v>
      </c>
      <c r="E8" s="317" t="s">
        <v>452</v>
      </c>
      <c r="F8" s="318" t="s">
        <v>515</v>
      </c>
      <c r="G8" s="317" t="s">
        <v>452</v>
      </c>
      <c r="H8" s="318" t="s">
        <v>515</v>
      </c>
      <c r="I8" s="317" t="s">
        <v>452</v>
      </c>
      <c r="J8" s="318" t="s">
        <v>515</v>
      </c>
      <c r="K8" s="319" t="s">
        <v>452</v>
      </c>
      <c r="M8" s="776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07" t="s">
        <v>714</v>
      </c>
      <c r="B9" s="397">
        <v>250</v>
      </c>
      <c r="C9" s="394">
        <f>ROUND(AVERAGE(O5,O26)*L1,0)</f>
        <v>1326092</v>
      </c>
      <c r="D9" s="321">
        <v>190</v>
      </c>
      <c r="E9" s="353">
        <f>+ROUND($C9*D9/1000000,0)</f>
        <v>252</v>
      </c>
      <c r="F9" s="321">
        <v>190</v>
      </c>
      <c r="G9" s="353">
        <f>+ROUND($C9*F9/1000000,0)</f>
        <v>252</v>
      </c>
      <c r="H9" s="353"/>
      <c r="I9" s="353">
        <f>+ROUND($C9*H9/1000000,0)</f>
        <v>0</v>
      </c>
      <c r="J9" s="353"/>
      <c r="K9" s="394">
        <f>+ROUND($C9*J9/1000000,0)</f>
        <v>0</v>
      </c>
      <c r="M9" s="776"/>
      <c r="N9" s="272">
        <v>700</v>
      </c>
      <c r="O9" s="44">
        <v>908330</v>
      </c>
      <c r="P9" s="44">
        <v>1242130</v>
      </c>
      <c r="S9" s="796" t="s">
        <v>435</v>
      </c>
      <c r="T9" s="791" t="s">
        <v>513</v>
      </c>
      <c r="U9" s="791" t="s">
        <v>514</v>
      </c>
      <c r="V9" s="790" t="s">
        <v>436</v>
      </c>
      <c r="W9" s="790"/>
      <c r="X9" s="790" t="s">
        <v>437</v>
      </c>
      <c r="Y9" s="790"/>
      <c r="Z9" s="790" t="s">
        <v>438</v>
      </c>
      <c r="AA9" s="790"/>
      <c r="AB9" s="790" t="s">
        <v>439</v>
      </c>
      <c r="AC9" s="790"/>
    </row>
    <row r="10" spans="1:30" ht="20.100000000000001" customHeight="1">
      <c r="A10" s="780"/>
      <c r="B10" s="347">
        <v>300</v>
      </c>
      <c r="C10" s="332">
        <f>ROUND(AVERAGE(O5,O27)*$L$1,0)</f>
        <v>1383986</v>
      </c>
      <c r="D10" s="326">
        <v>63</v>
      </c>
      <c r="E10" s="331">
        <f t="shared" ref="E10:G20" si="0">+ROUND($C10*D10/1000000,0)</f>
        <v>87</v>
      </c>
      <c r="F10" s="326">
        <v>63</v>
      </c>
      <c r="G10" s="331">
        <f t="shared" si="0"/>
        <v>87</v>
      </c>
      <c r="H10" s="331"/>
      <c r="I10" s="331">
        <f t="shared" ref="I10:I20" si="1">+ROUND($C10*H10/1000000,0)</f>
        <v>0</v>
      </c>
      <c r="J10" s="331"/>
      <c r="K10" s="332">
        <f t="shared" ref="K10:K20" si="2">+ROUND($C10*J10/1000000,0)</f>
        <v>0</v>
      </c>
      <c r="L10" s="9"/>
      <c r="M10" s="776"/>
      <c r="N10" s="272">
        <v>800</v>
      </c>
      <c r="O10" s="44">
        <v>985210</v>
      </c>
      <c r="P10" s="44">
        <v>1328710</v>
      </c>
      <c r="S10" s="793"/>
      <c r="T10" s="797"/>
      <c r="U10" s="797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780"/>
      <c r="B11" s="347">
        <v>400</v>
      </c>
      <c r="C11" s="332">
        <f>ROUND(AVERAGE(O6,O28)*$L$1,0)</f>
        <v>1494294</v>
      </c>
      <c r="D11" s="326"/>
      <c r="E11" s="331">
        <f t="shared" si="0"/>
        <v>0</v>
      </c>
      <c r="F11" s="326"/>
      <c r="G11" s="331">
        <f t="shared" si="0"/>
        <v>0</v>
      </c>
      <c r="H11" s="331"/>
      <c r="I11" s="331">
        <f t="shared" si="1"/>
        <v>0</v>
      </c>
      <c r="J11" s="331"/>
      <c r="K11" s="332">
        <f t="shared" si="2"/>
        <v>0</v>
      </c>
      <c r="L11" s="9"/>
      <c r="M11" s="776"/>
      <c r="N11" s="272">
        <v>900</v>
      </c>
      <c r="O11" s="44">
        <v>1082060</v>
      </c>
      <c r="P11" s="44">
        <v>1435170</v>
      </c>
      <c r="S11" s="791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108</v>
      </c>
    </row>
    <row r="12" spans="1:30" ht="20.100000000000001" customHeight="1">
      <c r="A12" s="780"/>
      <c r="B12" s="347">
        <v>450</v>
      </c>
      <c r="C12" s="332">
        <f>(C11+C13)/2</f>
        <v>1567153</v>
      </c>
      <c r="D12" s="326">
        <v>5</v>
      </c>
      <c r="E12" s="331">
        <f t="shared" si="0"/>
        <v>8</v>
      </c>
      <c r="F12" s="326">
        <v>5</v>
      </c>
      <c r="G12" s="331">
        <f t="shared" si="0"/>
        <v>8</v>
      </c>
      <c r="H12" s="331"/>
      <c r="I12" s="331">
        <f t="shared" si="1"/>
        <v>0</v>
      </c>
      <c r="J12" s="331"/>
      <c r="K12" s="332">
        <f t="shared" si="2"/>
        <v>0</v>
      </c>
      <c r="L12" s="9"/>
      <c r="M12" s="776"/>
      <c r="N12" s="272">
        <v>1000</v>
      </c>
      <c r="O12" s="44">
        <v>1224100</v>
      </c>
      <c r="P12" s="44">
        <v>1586920</v>
      </c>
      <c r="S12" s="792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24</v>
      </c>
    </row>
    <row r="13" spans="1:30" ht="20.100000000000001" customHeight="1">
      <c r="A13" s="780"/>
      <c r="B13" s="347">
        <v>500</v>
      </c>
      <c r="C13" s="332">
        <f t="shared" ref="C13:C18" si="9">ROUND(AVERAGE(O7,O29)*$L$1,0)</f>
        <v>1640012</v>
      </c>
      <c r="D13" s="333"/>
      <c r="E13" s="331">
        <f t="shared" si="0"/>
        <v>0</v>
      </c>
      <c r="F13" s="331"/>
      <c r="G13" s="331">
        <f t="shared" si="0"/>
        <v>0</v>
      </c>
      <c r="H13" s="331"/>
      <c r="I13" s="331">
        <f t="shared" si="1"/>
        <v>0</v>
      </c>
      <c r="J13" s="331"/>
      <c r="K13" s="332">
        <f t="shared" si="2"/>
        <v>0</v>
      </c>
      <c r="L13" s="9"/>
      <c r="M13" s="776"/>
      <c r="N13" s="272">
        <v>1100</v>
      </c>
      <c r="O13" s="44">
        <v>1364190</v>
      </c>
      <c r="P13" s="44">
        <v>1748220</v>
      </c>
      <c r="S13" s="792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-301</v>
      </c>
    </row>
    <row r="14" spans="1:30" ht="20.100000000000001" customHeight="1">
      <c r="A14" s="780"/>
      <c r="B14" s="347">
        <v>600</v>
      </c>
      <c r="C14" s="332">
        <f t="shared" si="9"/>
        <v>1833411</v>
      </c>
      <c r="D14" s="333"/>
      <c r="E14" s="331">
        <f t="shared" si="0"/>
        <v>0</v>
      </c>
      <c r="F14" s="331"/>
      <c r="G14" s="331">
        <f t="shared" si="0"/>
        <v>0</v>
      </c>
      <c r="H14" s="331"/>
      <c r="I14" s="331">
        <f t="shared" si="1"/>
        <v>0</v>
      </c>
      <c r="J14" s="331"/>
      <c r="K14" s="332">
        <f t="shared" si="2"/>
        <v>0</v>
      </c>
      <c r="L14" s="9"/>
      <c r="M14" s="776"/>
      <c r="N14" s="272">
        <v>1200</v>
      </c>
      <c r="O14" s="44">
        <v>1496390</v>
      </c>
      <c r="P14" s="44">
        <v>1889810</v>
      </c>
      <c r="S14" s="792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5</v>
      </c>
    </row>
    <row r="15" spans="1:30" ht="20.100000000000001" customHeight="1">
      <c r="A15" s="780"/>
      <c r="B15" s="347">
        <v>700</v>
      </c>
      <c r="C15" s="332">
        <f t="shared" si="9"/>
        <v>2034475</v>
      </c>
      <c r="D15" s="333"/>
      <c r="E15" s="331">
        <f t="shared" si="0"/>
        <v>0</v>
      </c>
      <c r="F15" s="331"/>
      <c r="G15" s="331">
        <f t="shared" si="0"/>
        <v>0</v>
      </c>
      <c r="H15" s="331"/>
      <c r="I15" s="331">
        <f t="shared" si="1"/>
        <v>0</v>
      </c>
      <c r="J15" s="331"/>
      <c r="K15" s="332">
        <f t="shared" si="2"/>
        <v>0</v>
      </c>
      <c r="L15" s="9"/>
      <c r="M15" s="776"/>
      <c r="N15" s="272">
        <v>1350</v>
      </c>
      <c r="O15" s="44">
        <v>1667580</v>
      </c>
      <c r="P15" s="44">
        <v>2146200</v>
      </c>
      <c r="S15" s="792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780"/>
      <c r="B16" s="347">
        <v>800</v>
      </c>
      <c r="C16" s="332">
        <f t="shared" si="9"/>
        <v>2236683</v>
      </c>
      <c r="D16" s="333"/>
      <c r="E16" s="331">
        <f t="shared" si="0"/>
        <v>0</v>
      </c>
      <c r="F16" s="331"/>
      <c r="G16" s="331">
        <f t="shared" si="0"/>
        <v>0</v>
      </c>
      <c r="H16" s="331"/>
      <c r="I16" s="331">
        <f t="shared" si="1"/>
        <v>0</v>
      </c>
      <c r="J16" s="331"/>
      <c r="K16" s="332">
        <f t="shared" si="2"/>
        <v>0</v>
      </c>
      <c r="L16" s="9"/>
      <c r="M16" s="776" t="s">
        <v>76</v>
      </c>
      <c r="N16" s="272">
        <v>300</v>
      </c>
      <c r="O16" s="44">
        <v>858250</v>
      </c>
      <c r="P16" s="44">
        <v>1141590</v>
      </c>
      <c r="S16" s="792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-459</v>
      </c>
    </row>
    <row r="17" spans="1:30" ht="20.100000000000001" customHeight="1">
      <c r="A17" s="780"/>
      <c r="B17" s="347">
        <v>900</v>
      </c>
      <c r="C17" s="332">
        <f t="shared" si="9"/>
        <v>2436832</v>
      </c>
      <c r="D17" s="333"/>
      <c r="E17" s="331">
        <f t="shared" si="0"/>
        <v>0</v>
      </c>
      <c r="F17" s="331"/>
      <c r="G17" s="331">
        <f t="shared" si="0"/>
        <v>0</v>
      </c>
      <c r="H17" s="331"/>
      <c r="I17" s="331">
        <f t="shared" si="1"/>
        <v>0</v>
      </c>
      <c r="J17" s="331"/>
      <c r="K17" s="332">
        <f t="shared" si="2"/>
        <v>0</v>
      </c>
      <c r="L17" s="9"/>
      <c r="M17" s="776"/>
      <c r="N17" s="272">
        <v>400</v>
      </c>
      <c r="O17" s="44">
        <v>948130</v>
      </c>
      <c r="P17" s="44">
        <v>1241090</v>
      </c>
      <c r="S17" s="792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780"/>
      <c r="B18" s="347">
        <v>1000</v>
      </c>
      <c r="C18" s="332">
        <f t="shared" si="9"/>
        <v>2759310</v>
      </c>
      <c r="D18" s="333"/>
      <c r="E18" s="331">
        <f t="shared" si="0"/>
        <v>0</v>
      </c>
      <c r="F18" s="331"/>
      <c r="G18" s="331">
        <f t="shared" si="0"/>
        <v>0</v>
      </c>
      <c r="H18" s="331"/>
      <c r="I18" s="331">
        <f t="shared" si="1"/>
        <v>0</v>
      </c>
      <c r="J18" s="331"/>
      <c r="K18" s="332">
        <f t="shared" si="2"/>
        <v>0</v>
      </c>
      <c r="L18" s="9"/>
      <c r="M18" s="776"/>
      <c r="N18" s="272">
        <v>500</v>
      </c>
      <c r="O18" s="44">
        <v>1062140</v>
      </c>
      <c r="P18" s="44">
        <v>1364730</v>
      </c>
      <c r="S18" s="792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780"/>
      <c r="B19" s="347">
        <v>1200</v>
      </c>
      <c r="C19" s="332">
        <f>ROUND(AVERAGE(O14,O35)*$L$1,0)</f>
        <v>3331105</v>
      </c>
      <c r="D19" s="333"/>
      <c r="E19" s="331">
        <f t="shared" si="0"/>
        <v>0</v>
      </c>
      <c r="F19" s="331"/>
      <c r="G19" s="331">
        <f t="shared" si="0"/>
        <v>0</v>
      </c>
      <c r="H19" s="331"/>
      <c r="I19" s="331">
        <f t="shared" si="1"/>
        <v>0</v>
      </c>
      <c r="J19" s="331"/>
      <c r="K19" s="332">
        <f t="shared" si="2"/>
        <v>0</v>
      </c>
      <c r="L19" s="9"/>
      <c r="M19" s="776"/>
      <c r="N19" s="272">
        <v>600</v>
      </c>
      <c r="O19" s="44">
        <v>1198160</v>
      </c>
      <c r="P19" s="44">
        <v>1522580</v>
      </c>
      <c r="S19" s="792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780"/>
      <c r="B20" s="152"/>
      <c r="C20" s="315"/>
      <c r="D20" s="333"/>
      <c r="E20" s="331">
        <f t="shared" si="0"/>
        <v>0</v>
      </c>
      <c r="F20" s="331"/>
      <c r="G20" s="331">
        <f t="shared" si="0"/>
        <v>0</v>
      </c>
      <c r="H20" s="331"/>
      <c r="I20" s="331">
        <f t="shared" si="1"/>
        <v>0</v>
      </c>
      <c r="J20" s="331"/>
      <c r="K20" s="332">
        <f t="shared" si="2"/>
        <v>0</v>
      </c>
      <c r="L20" s="9"/>
      <c r="M20" s="776"/>
      <c r="N20" s="272">
        <v>700</v>
      </c>
      <c r="O20" s="44">
        <v>1340850</v>
      </c>
      <c r="P20" s="44">
        <v>1674620</v>
      </c>
      <c r="S20" s="792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784"/>
      <c r="B21" s="777" t="s">
        <v>406</v>
      </c>
      <c r="C21" s="881"/>
      <c r="D21" s="395"/>
      <c r="E21" s="352"/>
      <c r="F21" s="352"/>
      <c r="G21" s="352"/>
      <c r="H21" s="352">
        <f>SUM(H9:H20)</f>
        <v>0</v>
      </c>
      <c r="I21" s="352">
        <f>SUM(I9:I20)</f>
        <v>0</v>
      </c>
      <c r="J21" s="352">
        <f>SUM(J9:J20)</f>
        <v>0</v>
      </c>
      <c r="K21" s="396">
        <f>SUM(K9:K20)</f>
        <v>0</v>
      </c>
      <c r="L21" s="9"/>
      <c r="M21" s="776"/>
      <c r="N21" s="272">
        <v>800</v>
      </c>
      <c r="O21" s="44">
        <v>1515080</v>
      </c>
      <c r="P21" s="44">
        <v>1858540</v>
      </c>
      <c r="S21" s="792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+E21+'마.우수토실개량(생극-간선)'!D11+'라.맨홀보수(생극-간선)'!D12</f>
        <v>0</v>
      </c>
      <c r="F22" s="13"/>
      <c r="G22" s="13"/>
      <c r="H22" s="13"/>
      <c r="I22" s="13"/>
      <c r="J22" s="13"/>
      <c r="K22" s="13"/>
      <c r="L22" s="9"/>
      <c r="M22" s="776"/>
      <c r="N22" s="272">
        <v>900</v>
      </c>
      <c r="O22" s="44">
        <v>1657660</v>
      </c>
      <c r="P22" s="44">
        <v>2010740</v>
      </c>
      <c r="S22" s="792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76"/>
      <c r="N23" s="272">
        <v>1000</v>
      </c>
      <c r="O23" s="44">
        <v>1917700</v>
      </c>
      <c r="P23" s="44">
        <v>2280490</v>
      </c>
      <c r="S23" s="793"/>
      <c r="T23" s="794" t="s">
        <v>406</v>
      </c>
      <c r="U23" s="795"/>
      <c r="V23" s="11">
        <f t="shared" ref="V23:AC23" si="10">SUM(V11:V22)</f>
        <v>4502</v>
      </c>
      <c r="W23" s="11">
        <f t="shared" si="10"/>
        <v>4127</v>
      </c>
      <c r="X23" s="11">
        <f t="shared" si="10"/>
        <v>0</v>
      </c>
      <c r="Y23" s="11">
        <f t="shared" si="10"/>
        <v>0</v>
      </c>
      <c r="Z23" s="11">
        <f t="shared" si="10"/>
        <v>0</v>
      </c>
      <c r="AA23" s="11">
        <f t="shared" si="10"/>
        <v>0</v>
      </c>
      <c r="AB23" s="11">
        <f t="shared" si="10"/>
        <v>0</v>
      </c>
      <c r="AC23" s="11">
        <f t="shared" si="10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76"/>
      <c r="N24" s="272">
        <v>1100</v>
      </c>
      <c r="O24" s="44">
        <v>2185750</v>
      </c>
      <c r="P24" s="44">
        <v>2569790</v>
      </c>
    </row>
    <row r="25" spans="1:30" ht="20.100000000000001" customHeight="1">
      <c r="C25" s="2">
        <v>258</v>
      </c>
      <c r="D25" s="2">
        <v>250</v>
      </c>
      <c r="E25" s="2">
        <v>0.74</v>
      </c>
      <c r="F25" s="2">
        <f>ROUND($C$25*E25,0)-1</f>
        <v>190</v>
      </c>
      <c r="G25" s="2">
        <f t="shared" ref="G25:G30" si="11">ROUND(F25*1,0)</f>
        <v>190</v>
      </c>
      <c r="H25" s="2">
        <f t="shared" ref="H25:H30" si="12">ROUND(F25*0,0)</f>
        <v>0</v>
      </c>
      <c r="I25" s="2">
        <f t="shared" ref="I25:I35" si="13">F25-G25-H25</f>
        <v>0</v>
      </c>
      <c r="L25" s="9"/>
      <c r="M25" s="776"/>
      <c r="N25" s="272">
        <v>1200</v>
      </c>
      <c r="O25" s="44">
        <v>2438880</v>
      </c>
      <c r="P25" s="44">
        <v>2832290</v>
      </c>
    </row>
    <row r="26" spans="1:30" ht="20.100000000000001" customHeight="1">
      <c r="D26" s="2">
        <v>300</v>
      </c>
      <c r="E26" s="2">
        <v>0.24</v>
      </c>
      <c r="F26" s="2">
        <f>ROUND($C$25*E26,0)+1</f>
        <v>63</v>
      </c>
      <c r="G26" s="2">
        <f t="shared" si="11"/>
        <v>63</v>
      </c>
      <c r="H26" s="2">
        <f t="shared" si="12"/>
        <v>0</v>
      </c>
      <c r="I26" s="2">
        <f t="shared" si="13"/>
        <v>0</v>
      </c>
      <c r="L26" s="9"/>
      <c r="M26" s="776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D27" s="2">
        <v>400</v>
      </c>
      <c r="E27" s="2">
        <v>0</v>
      </c>
      <c r="F27" s="2">
        <f t="shared" ref="F27:F35" si="14">ROUND($C$25*E27,0)</f>
        <v>0</v>
      </c>
      <c r="G27" s="2">
        <f t="shared" si="11"/>
        <v>0</v>
      </c>
      <c r="H27" s="2">
        <f t="shared" si="12"/>
        <v>0</v>
      </c>
      <c r="I27" s="2">
        <f t="shared" si="13"/>
        <v>0</v>
      </c>
      <c r="L27" s="9"/>
      <c r="M27" s="776"/>
      <c r="N27" s="272">
        <v>300</v>
      </c>
      <c r="O27" s="44">
        <v>671740</v>
      </c>
      <c r="P27" s="44">
        <v>955080</v>
      </c>
    </row>
    <row r="28" spans="1:30" ht="20.100000000000001" customHeight="1">
      <c r="D28" s="2">
        <v>450</v>
      </c>
      <c r="E28" s="2">
        <v>0.02</v>
      </c>
      <c r="F28" s="2">
        <f t="shared" si="14"/>
        <v>5</v>
      </c>
      <c r="G28" s="2">
        <f t="shared" si="11"/>
        <v>5</v>
      </c>
      <c r="H28" s="2">
        <f t="shared" si="12"/>
        <v>0</v>
      </c>
      <c r="I28" s="2">
        <f t="shared" si="13"/>
        <v>0</v>
      </c>
      <c r="M28" s="776"/>
      <c r="N28" s="272">
        <v>400</v>
      </c>
      <c r="O28" s="44">
        <v>741790</v>
      </c>
      <c r="P28" s="44">
        <v>1034760</v>
      </c>
    </row>
    <row r="29" spans="1:30" ht="20.100000000000001" customHeight="1">
      <c r="D29" s="2">
        <v>500</v>
      </c>
      <c r="E29" s="2">
        <v>0</v>
      </c>
      <c r="F29" s="2">
        <f t="shared" si="14"/>
        <v>0</v>
      </c>
      <c r="G29" s="2">
        <f t="shared" si="11"/>
        <v>0</v>
      </c>
      <c r="H29" s="2">
        <f t="shared" si="12"/>
        <v>0</v>
      </c>
      <c r="I29" s="2">
        <f t="shared" si="13"/>
        <v>0</v>
      </c>
      <c r="M29" s="776"/>
      <c r="N29" s="272">
        <v>500</v>
      </c>
      <c r="O29" s="44">
        <v>832870</v>
      </c>
      <c r="P29" s="44">
        <v>1135450</v>
      </c>
    </row>
    <row r="30" spans="1:30" ht="20.100000000000001" customHeight="1">
      <c r="D30" s="2">
        <v>600</v>
      </c>
      <c r="E30" s="2">
        <v>0</v>
      </c>
      <c r="F30" s="2">
        <f t="shared" si="14"/>
        <v>0</v>
      </c>
      <c r="G30" s="2">
        <f t="shared" si="11"/>
        <v>0</v>
      </c>
      <c r="H30" s="2">
        <f t="shared" si="12"/>
        <v>0</v>
      </c>
      <c r="I30" s="2">
        <f t="shared" si="13"/>
        <v>0</v>
      </c>
      <c r="M30" s="776"/>
      <c r="N30" s="272">
        <v>600</v>
      </c>
      <c r="O30" s="44">
        <v>935280</v>
      </c>
      <c r="P30" s="44">
        <v>1259740</v>
      </c>
    </row>
    <row r="31" spans="1:30" ht="20.100000000000001" customHeight="1">
      <c r="D31" s="2">
        <v>700</v>
      </c>
      <c r="E31" s="2">
        <v>0</v>
      </c>
      <c r="F31" s="2">
        <f t="shared" si="14"/>
        <v>0</v>
      </c>
      <c r="G31" s="2">
        <f>ROUND(F31*0.9,0)</f>
        <v>0</v>
      </c>
      <c r="H31" s="2">
        <f>ROUND(F31*0.08,0)</f>
        <v>0</v>
      </c>
      <c r="I31" s="2">
        <f t="shared" si="13"/>
        <v>0</v>
      </c>
      <c r="L31" s="9"/>
      <c r="M31" s="776"/>
      <c r="N31" s="272">
        <v>700</v>
      </c>
      <c r="O31" s="44">
        <v>1047990</v>
      </c>
      <c r="P31" s="44">
        <v>1381800</v>
      </c>
    </row>
    <row r="32" spans="1:30" ht="20.100000000000001" customHeight="1">
      <c r="D32" s="2">
        <v>800</v>
      </c>
      <c r="F32" s="2">
        <f t="shared" si="14"/>
        <v>0</v>
      </c>
      <c r="G32" s="2">
        <f>ROUND(F32*0.9,0)</f>
        <v>0</v>
      </c>
      <c r="H32" s="2">
        <f>ROUND(F32*0.08,0)</f>
        <v>0</v>
      </c>
      <c r="I32" s="2">
        <f t="shared" si="13"/>
        <v>0</v>
      </c>
      <c r="L32" s="29"/>
      <c r="M32" s="776"/>
      <c r="N32" s="272">
        <v>800</v>
      </c>
      <c r="O32" s="44">
        <v>1165550</v>
      </c>
      <c r="P32" s="44">
        <v>1509040</v>
      </c>
    </row>
    <row r="33" spans="4:16" ht="20.100000000000001" customHeight="1">
      <c r="D33" s="2">
        <v>900</v>
      </c>
      <c r="F33" s="2">
        <f t="shared" si="14"/>
        <v>0</v>
      </c>
      <c r="G33" s="2">
        <f>ROUND(F33*0.9,0)</f>
        <v>0</v>
      </c>
      <c r="H33" s="2">
        <f>ROUND(F33*0.08,0)</f>
        <v>0</v>
      </c>
      <c r="I33" s="2">
        <f t="shared" si="13"/>
        <v>0</v>
      </c>
      <c r="L33" s="45"/>
      <c r="M33" s="776"/>
      <c r="N33" s="272">
        <v>900</v>
      </c>
      <c r="O33" s="44">
        <v>1261160</v>
      </c>
      <c r="P33" s="44">
        <v>1614280</v>
      </c>
    </row>
    <row r="34" spans="4:16" ht="20.100000000000001" customHeight="1">
      <c r="D34" s="2">
        <v>1000</v>
      </c>
      <c r="F34" s="2">
        <f t="shared" si="14"/>
        <v>0</v>
      </c>
      <c r="G34" s="2">
        <f>ROUND(F34*0.9,0)</f>
        <v>0</v>
      </c>
      <c r="H34" s="2">
        <f>ROUND(F34*0.08,0)</f>
        <v>0</v>
      </c>
      <c r="I34" s="2">
        <f t="shared" si="13"/>
        <v>0</v>
      </c>
      <c r="L34" s="45"/>
      <c r="M34" s="776"/>
      <c r="N34" s="272">
        <v>1000</v>
      </c>
      <c r="O34" s="44">
        <v>1429210</v>
      </c>
      <c r="P34" s="44">
        <v>1792030</v>
      </c>
    </row>
    <row r="35" spans="4:16" ht="20.100000000000001" customHeight="1">
      <c r="D35" s="2">
        <v>1200</v>
      </c>
      <c r="F35" s="2">
        <f t="shared" si="14"/>
        <v>0</v>
      </c>
      <c r="G35" s="2">
        <f>ROUND(F35*0.9,0)</f>
        <v>0</v>
      </c>
      <c r="H35" s="2">
        <f>ROUND(F35*0.08,0)</f>
        <v>0</v>
      </c>
      <c r="I35" s="2">
        <f t="shared" si="13"/>
        <v>0</v>
      </c>
      <c r="L35" s="35"/>
      <c r="M35" s="776"/>
      <c r="N35" s="272">
        <v>1200</v>
      </c>
      <c r="O35" s="44">
        <v>1706750</v>
      </c>
      <c r="P35" s="44">
        <v>2100160</v>
      </c>
    </row>
    <row r="36" spans="4:16" ht="20.100000000000001" customHeight="1">
      <c r="L36" s="35"/>
      <c r="M36" s="776" t="s">
        <v>519</v>
      </c>
      <c r="N36" s="272" t="s">
        <v>79</v>
      </c>
      <c r="O36" s="44">
        <v>2170280</v>
      </c>
      <c r="P36" s="44">
        <v>2460500</v>
      </c>
    </row>
    <row r="37" spans="4:16" ht="20.100000000000001" customHeight="1">
      <c r="L37" s="36"/>
      <c r="M37" s="776"/>
      <c r="N37" s="272" t="s">
        <v>80</v>
      </c>
      <c r="O37" s="44">
        <v>2342490</v>
      </c>
      <c r="P37" s="44">
        <v>2632710</v>
      </c>
    </row>
    <row r="38" spans="4:16" ht="20.100000000000001" customHeight="1">
      <c r="L38" s="35"/>
      <c r="M38" s="776"/>
      <c r="N38" s="272" t="s">
        <v>81</v>
      </c>
      <c r="O38" s="44">
        <v>2386000</v>
      </c>
      <c r="P38" s="44">
        <v>2676210</v>
      </c>
    </row>
    <row r="39" spans="4:16" ht="20.100000000000001" customHeight="1">
      <c r="L39" s="35"/>
      <c r="M39" s="776"/>
      <c r="N39" s="272" t="s">
        <v>82</v>
      </c>
      <c r="O39" s="44">
        <v>2448100</v>
      </c>
      <c r="P39" s="44">
        <v>2798670</v>
      </c>
    </row>
    <row r="40" spans="4:16" ht="20.100000000000001" customHeight="1">
      <c r="L40" s="35"/>
      <c r="M40" s="776"/>
      <c r="N40" s="272" t="s">
        <v>83</v>
      </c>
      <c r="O40" s="44">
        <v>2638680</v>
      </c>
      <c r="P40" s="44">
        <v>2989240</v>
      </c>
    </row>
    <row r="41" spans="4:16" ht="20.100000000000001" customHeight="1">
      <c r="L41" s="35"/>
      <c r="M41" s="776"/>
      <c r="N41" s="272" t="s">
        <v>84</v>
      </c>
      <c r="O41" s="44">
        <v>2902880</v>
      </c>
      <c r="P41" s="44">
        <v>3253450</v>
      </c>
    </row>
    <row r="42" spans="4:16" ht="20.100000000000001" customHeight="1">
      <c r="L42" s="35"/>
      <c r="M42" s="776"/>
      <c r="N42" s="272" t="s">
        <v>85</v>
      </c>
      <c r="O42" s="44">
        <v>3126030</v>
      </c>
      <c r="P42" s="44">
        <v>3476590</v>
      </c>
    </row>
    <row r="43" spans="4:16" ht="20.100000000000001" customHeight="1">
      <c r="L43" s="35"/>
      <c r="M43" s="776"/>
      <c r="N43" s="272" t="s">
        <v>86</v>
      </c>
      <c r="O43" s="44">
        <v>3127790</v>
      </c>
      <c r="P43" s="44">
        <v>3478350</v>
      </c>
    </row>
    <row r="44" spans="4:16" ht="20.100000000000001" customHeight="1">
      <c r="L44" s="35"/>
      <c r="M44" s="776"/>
      <c r="N44" s="272" t="s">
        <v>87</v>
      </c>
      <c r="O44" s="44">
        <v>3624820</v>
      </c>
      <c r="P44" s="44">
        <v>3975390</v>
      </c>
    </row>
    <row r="45" spans="4:16" ht="20.100000000000001" customHeight="1">
      <c r="L45" s="35"/>
      <c r="M45" s="776"/>
      <c r="N45" s="272" t="s">
        <v>88</v>
      </c>
      <c r="O45" s="44">
        <v>3871160</v>
      </c>
      <c r="P45" s="44">
        <v>4402590</v>
      </c>
    </row>
    <row r="46" spans="4:16" ht="20.100000000000001" customHeight="1">
      <c r="L46" s="36"/>
      <c r="M46" s="776"/>
      <c r="N46" s="272" t="s">
        <v>89</v>
      </c>
      <c r="O46" s="44">
        <v>4243270</v>
      </c>
      <c r="P46" s="44">
        <v>4774710</v>
      </c>
    </row>
    <row r="47" spans="4:16" ht="20.100000000000001" customHeight="1">
      <c r="L47" s="9"/>
      <c r="M47" s="776"/>
      <c r="N47" s="272" t="s">
        <v>90</v>
      </c>
      <c r="O47" s="44">
        <v>4952980</v>
      </c>
      <c r="P47" s="44">
        <v>5484420</v>
      </c>
    </row>
    <row r="48" spans="4:16" ht="20.100000000000001" customHeight="1">
      <c r="L48" s="37"/>
      <c r="M48" s="776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76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76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76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  <mergeCell ref="B21:C21"/>
    <mergeCell ref="T23:U23"/>
    <mergeCell ref="J7:K7"/>
    <mergeCell ref="A9:A21"/>
    <mergeCell ref="S9:S10"/>
    <mergeCell ref="T9:T10"/>
    <mergeCell ref="U9:U10"/>
    <mergeCell ref="M26:M35"/>
    <mergeCell ref="M36:M51"/>
    <mergeCell ref="X9:Y9"/>
    <mergeCell ref="Z9:AA9"/>
    <mergeCell ref="AB9:AC9"/>
    <mergeCell ref="S11:S23"/>
    <mergeCell ref="M16:M25"/>
    <mergeCell ref="V9:W9"/>
  </mergeCells>
  <phoneticPr fontId="4" type="noConversion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491</v>
      </c>
      <c r="N5" s="272" t="s">
        <v>223</v>
      </c>
      <c r="O5" s="44">
        <v>142417</v>
      </c>
      <c r="P5" s="81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182035</v>
      </c>
      <c r="P6" s="81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14"/>
      <c r="N7" s="272" t="s">
        <v>225</v>
      </c>
      <c r="O7" s="44">
        <v>220784</v>
      </c>
      <c r="P7" s="81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714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14"/>
      <c r="N8" s="272" t="s">
        <v>226</v>
      </c>
      <c r="O8" s="44">
        <v>257397</v>
      </c>
      <c r="P8" s="81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14"/>
      <c r="N9" s="272" t="s">
        <v>227</v>
      </c>
      <c r="O9" s="44">
        <v>316310</v>
      </c>
      <c r="P9" s="81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14"/>
      <c r="N10" s="272" t="s">
        <v>228</v>
      </c>
      <c r="O10" s="44">
        <v>382855</v>
      </c>
      <c r="P10" s="81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14"/>
      <c r="N11" s="272" t="s">
        <v>229</v>
      </c>
      <c r="O11" s="44">
        <v>459144</v>
      </c>
      <c r="P11" s="81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14"/>
      <c r="N12" s="272" t="s">
        <v>230</v>
      </c>
      <c r="O12" s="44">
        <v>543955</v>
      </c>
      <c r="P12" s="81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14"/>
      <c r="N13" s="272" t="s">
        <v>231</v>
      </c>
      <c r="O13" s="44">
        <v>637524</v>
      </c>
      <c r="P13" s="81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14"/>
      <c r="N14" s="272" t="s">
        <v>232</v>
      </c>
      <c r="O14" s="44">
        <v>740257</v>
      </c>
      <c r="P14" s="81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3">
        <f t="shared" si="4"/>
        <v>1265449</v>
      </c>
      <c r="D15" s="139"/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14"/>
      <c r="N15" s="272" t="s">
        <v>233</v>
      </c>
      <c r="O15" s="44">
        <v>815662</v>
      </c>
      <c r="P15" s="81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14"/>
      <c r="N16" s="272"/>
      <c r="O16" s="44"/>
      <c r="P16" s="81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14"/>
      <c r="N17" s="272"/>
      <c r="O17" s="44"/>
      <c r="P17" s="81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15"/>
      <c r="N18" s="272"/>
      <c r="O18" s="44"/>
      <c r="P18" s="818"/>
      <c r="Q18" s="44">
        <f t="shared" si="0"/>
        <v>0</v>
      </c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1"/>
      <c r="B19" s="777" t="s">
        <v>406</v>
      </c>
      <c r="C19" s="778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530</v>
      </c>
      <c r="T34" s="835" t="s">
        <v>321</v>
      </c>
      <c r="U34" s="836"/>
      <c r="V34" s="836"/>
      <c r="W34" s="836"/>
      <c r="X34" s="836"/>
      <c r="Y34" s="837"/>
    </row>
    <row r="35" spans="12:36" ht="30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531</v>
      </c>
      <c r="T49" s="825" t="s">
        <v>338</v>
      </c>
      <c r="U49" s="826"/>
      <c r="V49" s="826"/>
      <c r="W49" s="826"/>
      <c r="X49" s="826"/>
      <c r="Y49" s="827"/>
    </row>
    <row r="50" spans="12:25" ht="30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14" width="9.125" style="2" bestFit="1" customWidth="1"/>
    <col min="15" max="16" width="9.5" style="2" bestFit="1" customWidth="1"/>
    <col min="17" max="19" width="9" style="2"/>
    <col min="20" max="20" width="9.125" style="2" bestFit="1" customWidth="1"/>
    <col min="21" max="21" width="9.875" style="2" bestFit="1" customWidth="1"/>
    <col min="22" max="28" width="9.125" style="2" bestFit="1" customWidth="1"/>
    <col min="29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246</v>
      </c>
      <c r="B1" s="1"/>
      <c r="C1" s="1"/>
      <c r="D1" s="1"/>
      <c r="L1" s="2">
        <v>2.0798999999999999</v>
      </c>
      <c r="M1" s="2" t="s">
        <v>99</v>
      </c>
    </row>
    <row r="2" spans="1:30" ht="20.100000000000001" customHeight="1">
      <c r="A2" s="2" t="s">
        <v>63</v>
      </c>
    </row>
    <row r="3" spans="1:30" ht="20.100000000000001" customHeight="1">
      <c r="A3" s="4" t="s">
        <v>975</v>
      </c>
      <c r="B3" s="40"/>
      <c r="C3" s="40"/>
      <c r="D3" s="40"/>
      <c r="M3" s="776" t="s">
        <v>64</v>
      </c>
      <c r="N3" s="776" t="s">
        <v>65</v>
      </c>
      <c r="O3" s="776" t="s">
        <v>66</v>
      </c>
      <c r="P3" s="776"/>
    </row>
    <row r="4" spans="1:30" ht="20.100000000000001" customHeight="1">
      <c r="A4" s="40"/>
      <c r="B4" s="40"/>
      <c r="C4" s="40"/>
      <c r="D4" s="40"/>
      <c r="M4" s="776"/>
      <c r="N4" s="776"/>
      <c r="O4" s="43" t="s">
        <v>67</v>
      </c>
      <c r="P4" s="43" t="s">
        <v>68</v>
      </c>
    </row>
    <row r="5" spans="1:30" ht="20.100000000000001" customHeight="1">
      <c r="A5" s="2" t="s">
        <v>4</v>
      </c>
      <c r="M5" s="776" t="s">
        <v>69</v>
      </c>
      <c r="N5" s="43">
        <v>300</v>
      </c>
      <c r="O5" s="44">
        <v>671603</v>
      </c>
      <c r="P5" s="44">
        <v>960326</v>
      </c>
    </row>
    <row r="6" spans="1:30" ht="20.100000000000001" customHeight="1">
      <c r="I6" s="8"/>
      <c r="K6" s="8" t="s">
        <v>71</v>
      </c>
      <c r="M6" s="776"/>
      <c r="N6" s="43">
        <v>400</v>
      </c>
      <c r="O6" s="44">
        <v>708307</v>
      </c>
      <c r="P6" s="44">
        <v>1006843</v>
      </c>
    </row>
    <row r="7" spans="1:30" ht="20.100000000000001" customHeight="1">
      <c r="A7" s="783" t="s">
        <v>8</v>
      </c>
      <c r="B7" s="785" t="s">
        <v>72</v>
      </c>
      <c r="C7" s="787" t="s">
        <v>73</v>
      </c>
      <c r="D7" s="789" t="s">
        <v>9</v>
      </c>
      <c r="E7" s="781"/>
      <c r="F7" s="781" t="s">
        <v>10</v>
      </c>
      <c r="G7" s="781"/>
      <c r="H7" s="781" t="s">
        <v>11</v>
      </c>
      <c r="I7" s="781"/>
      <c r="J7" s="781" t="s">
        <v>12</v>
      </c>
      <c r="K7" s="782"/>
      <c r="M7" s="776"/>
      <c r="N7" s="43">
        <v>500</v>
      </c>
      <c r="O7" s="44">
        <v>758279</v>
      </c>
      <c r="P7" s="44">
        <v>1066608</v>
      </c>
    </row>
    <row r="8" spans="1:30" ht="20.100000000000001" customHeight="1">
      <c r="A8" s="784"/>
      <c r="B8" s="786"/>
      <c r="C8" s="788"/>
      <c r="D8" s="160" t="s">
        <v>74</v>
      </c>
      <c r="E8" s="158" t="s">
        <v>75</v>
      </c>
      <c r="F8" s="157" t="s">
        <v>74</v>
      </c>
      <c r="G8" s="158" t="s">
        <v>75</v>
      </c>
      <c r="H8" s="157" t="s">
        <v>74</v>
      </c>
      <c r="I8" s="158" t="s">
        <v>75</v>
      </c>
      <c r="J8" s="157" t="s">
        <v>74</v>
      </c>
      <c r="K8" s="159" t="s">
        <v>75</v>
      </c>
      <c r="M8" s="776"/>
      <c r="N8" s="43">
        <v>600</v>
      </c>
      <c r="O8" s="44">
        <v>843426</v>
      </c>
      <c r="P8" s="44">
        <v>1174051</v>
      </c>
      <c r="S8" s="12" t="s">
        <v>200</v>
      </c>
    </row>
    <row r="9" spans="1:30" ht="20.100000000000001" customHeight="1">
      <c r="A9" s="779" t="s">
        <v>392</v>
      </c>
      <c r="B9" s="567">
        <v>200</v>
      </c>
      <c r="C9" s="569">
        <f>ROUND(AVERAGE(O26)*L1,0)</f>
        <v>1305709</v>
      </c>
      <c r="D9" s="106"/>
      <c r="E9" s="101">
        <f t="shared" ref="E9:E19" si="0">+ROUND($C9*D9/1000000,0)</f>
        <v>0</v>
      </c>
      <c r="F9" s="106"/>
      <c r="G9" s="101">
        <f t="shared" ref="G9:G21" si="1">+ROUND($C9*F9/1000000,0)</f>
        <v>0</v>
      </c>
      <c r="H9" s="101"/>
      <c r="I9" s="101">
        <f t="shared" ref="I9:I21" si="2">+ROUND($C9*H9/1000000,0)</f>
        <v>0</v>
      </c>
      <c r="J9" s="101"/>
      <c r="K9" s="156">
        <f t="shared" ref="K9:K21" si="3">+ROUND($C9*J9/1000000,0)</f>
        <v>0</v>
      </c>
      <c r="M9" s="776"/>
      <c r="N9" s="43">
        <v>700</v>
      </c>
      <c r="O9" s="44">
        <v>925588</v>
      </c>
      <c r="P9" s="44">
        <v>1265730</v>
      </c>
      <c r="S9" s="796" t="s">
        <v>8</v>
      </c>
      <c r="T9" s="791" t="s">
        <v>72</v>
      </c>
      <c r="U9" s="791" t="s">
        <v>73</v>
      </c>
      <c r="V9" s="790" t="s">
        <v>9</v>
      </c>
      <c r="W9" s="790"/>
      <c r="X9" s="790" t="s">
        <v>10</v>
      </c>
      <c r="Y9" s="790"/>
      <c r="Z9" s="790" t="s">
        <v>11</v>
      </c>
      <c r="AA9" s="790"/>
      <c r="AB9" s="790" t="s">
        <v>12</v>
      </c>
      <c r="AC9" s="790"/>
    </row>
    <row r="10" spans="1:30" ht="20.100000000000001" customHeight="1">
      <c r="A10" s="780"/>
      <c r="B10" s="568">
        <v>250</v>
      </c>
      <c r="C10" s="570">
        <f>ROUND(AVERAGE(O5,O26)*L1,0)</f>
        <v>1351288</v>
      </c>
      <c r="D10" s="106"/>
      <c r="E10" s="101">
        <f t="shared" si="0"/>
        <v>0</v>
      </c>
      <c r="F10" s="106"/>
      <c r="G10" s="101">
        <f t="shared" si="1"/>
        <v>0</v>
      </c>
      <c r="H10" s="101"/>
      <c r="I10" s="101">
        <f t="shared" si="2"/>
        <v>0</v>
      </c>
      <c r="J10" s="101"/>
      <c r="K10" s="156">
        <f t="shared" si="3"/>
        <v>0</v>
      </c>
      <c r="L10" s="9"/>
      <c r="M10" s="776"/>
      <c r="N10" s="43">
        <v>800</v>
      </c>
      <c r="O10" s="44">
        <v>1003929</v>
      </c>
      <c r="P10" s="44">
        <v>1353955</v>
      </c>
      <c r="S10" s="793"/>
      <c r="T10" s="797"/>
      <c r="U10" s="797"/>
      <c r="V10" s="42" t="s">
        <v>74</v>
      </c>
      <c r="W10" s="74" t="s">
        <v>25</v>
      </c>
      <c r="X10" s="42" t="s">
        <v>74</v>
      </c>
      <c r="Y10" s="74" t="s">
        <v>25</v>
      </c>
      <c r="Z10" s="42" t="s">
        <v>74</v>
      </c>
      <c r="AA10" s="74" t="s">
        <v>25</v>
      </c>
      <c r="AB10" s="42" t="s">
        <v>74</v>
      </c>
      <c r="AC10" s="74" t="s">
        <v>25</v>
      </c>
    </row>
    <row r="11" spans="1:30" ht="20.100000000000001" customHeight="1">
      <c r="A11" s="780"/>
      <c r="B11" s="568">
        <v>300</v>
      </c>
      <c r="C11" s="570">
        <f>ROUND(AVERAGE(O5,O27)*$L$1,0)</f>
        <v>1410282</v>
      </c>
      <c r="D11" s="106"/>
      <c r="E11" s="94">
        <f t="shared" si="0"/>
        <v>0</v>
      </c>
      <c r="F11" s="106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776"/>
      <c r="N11" s="43">
        <v>900</v>
      </c>
      <c r="O11" s="44">
        <v>1102619</v>
      </c>
      <c r="P11" s="44">
        <v>1462438</v>
      </c>
      <c r="S11" s="791" t="s">
        <v>391</v>
      </c>
      <c r="T11" s="75">
        <v>300</v>
      </c>
      <c r="U11" s="46">
        <f t="shared" ref="U11:U22" si="4">+C10</f>
        <v>1351288</v>
      </c>
      <c r="V11" s="66">
        <v>82</v>
      </c>
      <c r="W11" s="10">
        <f t="shared" ref="W11:W22" si="5">+ROUND($C10*V11/1000000,0)</f>
        <v>111</v>
      </c>
      <c r="X11" s="10"/>
      <c r="Y11" s="10">
        <f t="shared" ref="Y11:Y22" si="6">+ROUND($C10*X11/1000000,0)</f>
        <v>0</v>
      </c>
      <c r="Z11" s="10"/>
      <c r="AA11" s="10">
        <f t="shared" ref="AA11:AA22" si="7">+ROUND($C10*Z11/1000000,0)</f>
        <v>0</v>
      </c>
      <c r="AB11" s="10"/>
      <c r="AC11" s="10">
        <f t="shared" ref="AC11:AC22" si="8">+ROUND($C10*AB11/1000000,0)</f>
        <v>0</v>
      </c>
      <c r="AD11" s="13">
        <f t="shared" ref="AD11:AD23" si="9">+D10-V11</f>
        <v>-82</v>
      </c>
    </row>
    <row r="12" spans="1:30" ht="20.100000000000001" customHeight="1">
      <c r="A12" s="780"/>
      <c r="B12" s="568">
        <v>400</v>
      </c>
      <c r="C12" s="570">
        <f>ROUND(AVERAGE(O6,O28)*$L$1,0)</f>
        <v>1522685</v>
      </c>
      <c r="D12" s="139"/>
      <c r="E12" s="94">
        <f t="shared" si="0"/>
        <v>0</v>
      </c>
      <c r="F12" s="139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776"/>
      <c r="N12" s="43">
        <v>1000</v>
      </c>
      <c r="O12" s="44">
        <v>1247358</v>
      </c>
      <c r="P12" s="44">
        <v>1617071</v>
      </c>
      <c r="S12" s="792"/>
      <c r="T12" s="75">
        <v>400</v>
      </c>
      <c r="U12" s="46">
        <f t="shared" si="4"/>
        <v>1410282</v>
      </c>
      <c r="V12" s="66">
        <v>39</v>
      </c>
      <c r="W12" s="10">
        <f t="shared" si="5"/>
        <v>55</v>
      </c>
      <c r="X12" s="10"/>
      <c r="Y12" s="10">
        <f t="shared" si="6"/>
        <v>0</v>
      </c>
      <c r="Z12" s="10"/>
      <c r="AA12" s="10">
        <f t="shared" si="7"/>
        <v>0</v>
      </c>
      <c r="AB12" s="10"/>
      <c r="AC12" s="10">
        <f t="shared" si="8"/>
        <v>0</v>
      </c>
      <c r="AD12" s="13">
        <f t="shared" si="9"/>
        <v>-39</v>
      </c>
    </row>
    <row r="13" spans="1:30" ht="20.100000000000001" customHeight="1">
      <c r="A13" s="780"/>
      <c r="B13" s="568">
        <v>450</v>
      </c>
      <c r="C13" s="570">
        <f>(C12+C14)/2</f>
        <v>1596929</v>
      </c>
      <c r="D13" s="139"/>
      <c r="E13" s="94">
        <f t="shared" si="0"/>
        <v>0</v>
      </c>
      <c r="F13" s="139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776"/>
      <c r="N13" s="43">
        <v>1100</v>
      </c>
      <c r="O13" s="44">
        <v>1390110</v>
      </c>
      <c r="P13" s="44">
        <v>1781436</v>
      </c>
      <c r="S13" s="792"/>
      <c r="T13" s="75">
        <v>450</v>
      </c>
      <c r="U13" s="46">
        <f t="shared" si="4"/>
        <v>1522685</v>
      </c>
      <c r="V13" s="66">
        <v>301</v>
      </c>
      <c r="W13" s="10">
        <f t="shared" si="5"/>
        <v>458</v>
      </c>
      <c r="X13" s="10"/>
      <c r="Y13" s="10">
        <f t="shared" si="6"/>
        <v>0</v>
      </c>
      <c r="Z13" s="10"/>
      <c r="AA13" s="10">
        <f t="shared" si="7"/>
        <v>0</v>
      </c>
      <c r="AB13" s="10"/>
      <c r="AC13" s="10">
        <f t="shared" si="8"/>
        <v>0</v>
      </c>
      <c r="AD13" s="13">
        <f t="shared" si="9"/>
        <v>-301</v>
      </c>
    </row>
    <row r="14" spans="1:30" ht="20.100000000000001" customHeight="1">
      <c r="A14" s="780"/>
      <c r="B14" s="568">
        <v>500</v>
      </c>
      <c r="C14" s="570">
        <f t="shared" ref="C14:C19" si="10">ROUND(AVERAGE(O7,O29)*$L$1,0)</f>
        <v>1671173</v>
      </c>
      <c r="D14" s="139"/>
      <c r="E14" s="94">
        <f t="shared" si="0"/>
        <v>0</v>
      </c>
      <c r="F14" s="139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776"/>
      <c r="N14" s="43">
        <v>1200</v>
      </c>
      <c r="O14" s="44">
        <v>1524821</v>
      </c>
      <c r="P14" s="44">
        <v>1925716</v>
      </c>
      <c r="S14" s="792"/>
      <c r="T14" s="75">
        <v>500</v>
      </c>
      <c r="U14" s="46">
        <f t="shared" si="4"/>
        <v>1596929</v>
      </c>
      <c r="V14" s="66">
        <v>0</v>
      </c>
      <c r="W14" s="10">
        <f t="shared" si="5"/>
        <v>0</v>
      </c>
      <c r="X14" s="10"/>
      <c r="Y14" s="10">
        <f t="shared" si="6"/>
        <v>0</v>
      </c>
      <c r="Z14" s="10"/>
      <c r="AA14" s="10">
        <f t="shared" si="7"/>
        <v>0</v>
      </c>
      <c r="AB14" s="10"/>
      <c r="AC14" s="10">
        <f t="shared" si="8"/>
        <v>0</v>
      </c>
      <c r="AD14" s="13">
        <f t="shared" si="9"/>
        <v>0</v>
      </c>
    </row>
    <row r="15" spans="1:30" ht="20.100000000000001" customHeight="1">
      <c r="A15" s="780"/>
      <c r="B15" s="568">
        <v>600</v>
      </c>
      <c r="C15" s="570">
        <f t="shared" si="10"/>
        <v>1868245</v>
      </c>
      <c r="D15" s="139"/>
      <c r="E15" s="94">
        <f t="shared" si="0"/>
        <v>0</v>
      </c>
      <c r="F15" s="139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776"/>
      <c r="N15" s="43">
        <v>1350</v>
      </c>
      <c r="O15" s="44">
        <v>1699264</v>
      </c>
      <c r="P15" s="44">
        <v>2186978</v>
      </c>
      <c r="S15" s="792"/>
      <c r="T15" s="75">
        <v>600</v>
      </c>
      <c r="U15" s="46">
        <f t="shared" si="4"/>
        <v>1671173</v>
      </c>
      <c r="V15" s="66">
        <v>86</v>
      </c>
      <c r="W15" s="10">
        <f t="shared" si="5"/>
        <v>144</v>
      </c>
      <c r="X15" s="10"/>
      <c r="Y15" s="10">
        <f t="shared" si="6"/>
        <v>0</v>
      </c>
      <c r="Z15" s="10"/>
      <c r="AA15" s="10">
        <f t="shared" si="7"/>
        <v>0</v>
      </c>
      <c r="AB15" s="10"/>
      <c r="AC15" s="10">
        <f t="shared" si="8"/>
        <v>0</v>
      </c>
      <c r="AD15" s="13">
        <f t="shared" si="9"/>
        <v>-86</v>
      </c>
    </row>
    <row r="16" spans="1:30" ht="20.100000000000001" customHeight="1">
      <c r="A16" s="780"/>
      <c r="B16" s="568">
        <v>700</v>
      </c>
      <c r="C16" s="570">
        <f t="shared" si="10"/>
        <v>2073130</v>
      </c>
      <c r="D16" s="139"/>
      <c r="E16" s="94">
        <f t="shared" si="0"/>
        <v>0</v>
      </c>
      <c r="F16" s="139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776" t="s">
        <v>76</v>
      </c>
      <c r="N16" s="43">
        <v>300</v>
      </c>
      <c r="O16" s="44">
        <v>874557</v>
      </c>
      <c r="P16" s="44">
        <v>1163280</v>
      </c>
      <c r="S16" s="792"/>
      <c r="T16" s="75">
        <v>700</v>
      </c>
      <c r="U16" s="46">
        <f t="shared" si="4"/>
        <v>1868245</v>
      </c>
      <c r="V16" s="66">
        <v>459</v>
      </c>
      <c r="W16" s="10">
        <f t="shared" si="5"/>
        <v>858</v>
      </c>
      <c r="X16" s="10"/>
      <c r="Y16" s="10">
        <f t="shared" si="6"/>
        <v>0</v>
      </c>
      <c r="Z16" s="10"/>
      <c r="AA16" s="10">
        <f t="shared" si="7"/>
        <v>0</v>
      </c>
      <c r="AB16" s="10"/>
      <c r="AC16" s="10">
        <f t="shared" si="8"/>
        <v>0</v>
      </c>
      <c r="AD16" s="13">
        <f t="shared" si="9"/>
        <v>-459</v>
      </c>
    </row>
    <row r="17" spans="1:30" ht="20.100000000000001" customHeight="1">
      <c r="A17" s="780"/>
      <c r="B17" s="568">
        <v>800</v>
      </c>
      <c r="C17" s="570">
        <f t="shared" si="10"/>
        <v>2279179</v>
      </c>
      <c r="D17" s="139"/>
      <c r="E17" s="94">
        <f t="shared" si="0"/>
        <v>0</v>
      </c>
      <c r="F17" s="139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776"/>
      <c r="N17" s="43">
        <v>400</v>
      </c>
      <c r="O17" s="44">
        <v>966144</v>
      </c>
      <c r="P17" s="44">
        <v>1264671</v>
      </c>
      <c r="S17" s="792"/>
      <c r="T17" s="75">
        <v>800</v>
      </c>
      <c r="U17" s="46">
        <f t="shared" si="4"/>
        <v>2073130</v>
      </c>
      <c r="V17" s="66">
        <v>253</v>
      </c>
      <c r="W17" s="10">
        <f t="shared" si="5"/>
        <v>525</v>
      </c>
      <c r="X17" s="10"/>
      <c r="Y17" s="10">
        <f t="shared" si="6"/>
        <v>0</v>
      </c>
      <c r="Z17" s="10"/>
      <c r="AA17" s="10">
        <f t="shared" si="7"/>
        <v>0</v>
      </c>
      <c r="AB17" s="10"/>
      <c r="AC17" s="10">
        <f t="shared" si="8"/>
        <v>0</v>
      </c>
      <c r="AD17" s="13">
        <f t="shared" si="9"/>
        <v>-253</v>
      </c>
    </row>
    <row r="18" spans="1:30" ht="20.100000000000001" customHeight="1">
      <c r="A18" s="780"/>
      <c r="B18" s="568">
        <v>900</v>
      </c>
      <c r="C18" s="570">
        <f t="shared" si="10"/>
        <v>2483131</v>
      </c>
      <c r="D18" s="139"/>
      <c r="E18" s="94">
        <f t="shared" si="0"/>
        <v>0</v>
      </c>
      <c r="F18" s="139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776"/>
      <c r="N18" s="43">
        <v>500</v>
      </c>
      <c r="O18" s="44">
        <v>1082321</v>
      </c>
      <c r="P18" s="44">
        <v>1390660</v>
      </c>
      <c r="S18" s="792"/>
      <c r="T18" s="75">
        <v>900</v>
      </c>
      <c r="U18" s="46">
        <f t="shared" si="4"/>
        <v>2279179</v>
      </c>
      <c r="V18" s="66">
        <v>231</v>
      </c>
      <c r="W18" s="10">
        <f t="shared" si="5"/>
        <v>526</v>
      </c>
      <c r="X18" s="10"/>
      <c r="Y18" s="10">
        <f t="shared" si="6"/>
        <v>0</v>
      </c>
      <c r="Z18" s="10"/>
      <c r="AA18" s="10">
        <f t="shared" si="7"/>
        <v>0</v>
      </c>
      <c r="AB18" s="10"/>
      <c r="AC18" s="10">
        <f t="shared" si="8"/>
        <v>0</v>
      </c>
      <c r="AD18" s="13">
        <f t="shared" si="9"/>
        <v>-231</v>
      </c>
    </row>
    <row r="19" spans="1:30" ht="20.100000000000001" customHeight="1">
      <c r="A19" s="780"/>
      <c r="B19" s="568">
        <v>1000</v>
      </c>
      <c r="C19" s="570">
        <f t="shared" si="10"/>
        <v>2811737</v>
      </c>
      <c r="D19" s="139"/>
      <c r="E19" s="94">
        <f t="shared" si="0"/>
        <v>0</v>
      </c>
      <c r="F19" s="139"/>
      <c r="G19" s="94">
        <f t="shared" si="1"/>
        <v>0</v>
      </c>
      <c r="H19" s="94"/>
      <c r="I19" s="94">
        <f t="shared" si="2"/>
        <v>0</v>
      </c>
      <c r="J19" s="94"/>
      <c r="K19" s="153">
        <f t="shared" si="3"/>
        <v>0</v>
      </c>
      <c r="L19" s="9"/>
      <c r="M19" s="776"/>
      <c r="N19" s="43">
        <v>600</v>
      </c>
      <c r="O19" s="44">
        <v>1220925</v>
      </c>
      <c r="P19" s="44">
        <v>1551509</v>
      </c>
      <c r="S19" s="792"/>
      <c r="T19" s="75">
        <v>1000</v>
      </c>
      <c r="U19" s="46">
        <f t="shared" si="4"/>
        <v>2483131</v>
      </c>
      <c r="V19" s="66">
        <v>205</v>
      </c>
      <c r="W19" s="10">
        <f t="shared" si="5"/>
        <v>509</v>
      </c>
      <c r="X19" s="10"/>
      <c r="Y19" s="10">
        <f t="shared" si="6"/>
        <v>0</v>
      </c>
      <c r="Z19" s="10"/>
      <c r="AA19" s="10">
        <f t="shared" si="7"/>
        <v>0</v>
      </c>
      <c r="AB19" s="10"/>
      <c r="AC19" s="10">
        <f t="shared" si="8"/>
        <v>0</v>
      </c>
      <c r="AD19" s="13">
        <f t="shared" si="9"/>
        <v>-205</v>
      </c>
    </row>
    <row r="20" spans="1:30" ht="20.100000000000001" customHeight="1">
      <c r="A20" s="780"/>
      <c r="B20" s="568">
        <v>1200</v>
      </c>
      <c r="C20" s="570">
        <f>ROUND(AVERAGE(O14,O35)*$L$1,0)</f>
        <v>3394396</v>
      </c>
      <c r="D20" s="139"/>
      <c r="E20" s="94">
        <f>+ROUND($C20*D20/1000000,0)</f>
        <v>0</v>
      </c>
      <c r="F20" s="139"/>
      <c r="G20" s="94">
        <f t="shared" si="1"/>
        <v>0</v>
      </c>
      <c r="H20" s="94"/>
      <c r="I20" s="94">
        <f t="shared" si="2"/>
        <v>0</v>
      </c>
      <c r="J20" s="94"/>
      <c r="K20" s="153">
        <f t="shared" si="3"/>
        <v>0</v>
      </c>
      <c r="L20" s="9"/>
      <c r="M20" s="776"/>
      <c r="N20" s="43">
        <v>700</v>
      </c>
      <c r="O20" s="44">
        <v>1366326</v>
      </c>
      <c r="P20" s="44">
        <v>1706438</v>
      </c>
      <c r="S20" s="792"/>
      <c r="T20" s="75">
        <v>1100</v>
      </c>
      <c r="U20" s="46">
        <f t="shared" si="4"/>
        <v>2811737</v>
      </c>
      <c r="V20" s="66">
        <v>0</v>
      </c>
      <c r="W20" s="10">
        <f t="shared" si="5"/>
        <v>0</v>
      </c>
      <c r="X20" s="10"/>
      <c r="Y20" s="10">
        <f t="shared" si="6"/>
        <v>0</v>
      </c>
      <c r="Z20" s="10"/>
      <c r="AA20" s="10">
        <f t="shared" si="7"/>
        <v>0</v>
      </c>
      <c r="AB20" s="10"/>
      <c r="AC20" s="10">
        <f t="shared" si="8"/>
        <v>0</v>
      </c>
      <c r="AD20" s="13">
        <f t="shared" si="9"/>
        <v>0</v>
      </c>
    </row>
    <row r="21" spans="1:30" ht="20.100000000000001" customHeight="1">
      <c r="A21" s="780"/>
      <c r="B21" s="152"/>
      <c r="C21" s="153"/>
      <c r="D21" s="139"/>
      <c r="E21" s="94">
        <f>+ROUND($C21*D21/1000000,0)</f>
        <v>0</v>
      </c>
      <c r="F21" s="139"/>
      <c r="G21" s="94">
        <f t="shared" si="1"/>
        <v>0</v>
      </c>
      <c r="H21" s="94"/>
      <c r="I21" s="94">
        <f t="shared" si="2"/>
        <v>0</v>
      </c>
      <c r="J21" s="94"/>
      <c r="K21" s="153">
        <f t="shared" si="3"/>
        <v>0</v>
      </c>
      <c r="L21" s="9"/>
      <c r="M21" s="776"/>
      <c r="N21" s="43">
        <v>800</v>
      </c>
      <c r="O21" s="44">
        <v>1543867</v>
      </c>
      <c r="P21" s="44">
        <v>1893852</v>
      </c>
      <c r="S21" s="792"/>
      <c r="T21" s="75">
        <v>1200</v>
      </c>
      <c r="U21" s="46">
        <f t="shared" si="4"/>
        <v>3394396</v>
      </c>
      <c r="V21" s="66">
        <v>300</v>
      </c>
      <c r="W21" s="10">
        <f t="shared" si="5"/>
        <v>1018</v>
      </c>
      <c r="X21" s="10"/>
      <c r="Y21" s="10">
        <f t="shared" si="6"/>
        <v>0</v>
      </c>
      <c r="Z21" s="10"/>
      <c r="AA21" s="10">
        <f t="shared" si="7"/>
        <v>0</v>
      </c>
      <c r="AB21" s="10"/>
      <c r="AC21" s="10">
        <f t="shared" si="8"/>
        <v>0</v>
      </c>
      <c r="AD21" s="13">
        <f t="shared" si="9"/>
        <v>-300</v>
      </c>
    </row>
    <row r="22" spans="1:30" ht="20.100000000000001" customHeight="1">
      <c r="A22" s="571"/>
      <c r="B22" s="777" t="s">
        <v>95</v>
      </c>
      <c r="C22" s="778"/>
      <c r="D22" s="142">
        <f t="shared" ref="D22:K22" si="11">SUM(D9:D21)</f>
        <v>0</v>
      </c>
      <c r="E22" s="137">
        <f t="shared" si="11"/>
        <v>0</v>
      </c>
      <c r="F22" s="137">
        <f t="shared" si="11"/>
        <v>0</v>
      </c>
      <c r="G22" s="137">
        <f t="shared" si="11"/>
        <v>0</v>
      </c>
      <c r="H22" s="137">
        <f t="shared" si="11"/>
        <v>0</v>
      </c>
      <c r="I22" s="137">
        <f t="shared" si="11"/>
        <v>0</v>
      </c>
      <c r="J22" s="137">
        <f t="shared" si="11"/>
        <v>0</v>
      </c>
      <c r="K22" s="137">
        <f t="shared" si="11"/>
        <v>0</v>
      </c>
      <c r="L22" s="9"/>
      <c r="M22" s="776"/>
      <c r="N22" s="43">
        <v>900</v>
      </c>
      <c r="O22" s="44">
        <v>1689156</v>
      </c>
      <c r="P22" s="44">
        <v>2048944</v>
      </c>
      <c r="S22" s="792"/>
      <c r="T22" s="75">
        <v>1350</v>
      </c>
      <c r="U22" s="46">
        <f t="shared" si="4"/>
        <v>0</v>
      </c>
      <c r="V22" s="66">
        <v>2546</v>
      </c>
      <c r="W22" s="10">
        <f t="shared" si="5"/>
        <v>0</v>
      </c>
      <c r="X22" s="10"/>
      <c r="Y22" s="10">
        <f t="shared" si="6"/>
        <v>0</v>
      </c>
      <c r="Z22" s="10"/>
      <c r="AA22" s="10">
        <f t="shared" si="7"/>
        <v>0</v>
      </c>
      <c r="AB22" s="10"/>
      <c r="AC22" s="10">
        <f t="shared" si="8"/>
        <v>0</v>
      </c>
      <c r="AD22" s="13">
        <f t="shared" si="9"/>
        <v>-2546</v>
      </c>
    </row>
    <row r="23" spans="1:30" ht="20.100000000000001" customHeight="1">
      <c r="D23" s="13">
        <f>+D22-4505</f>
        <v>-4505</v>
      </c>
      <c r="E23" s="13">
        <f>+E22+'마.우수토실개량(음성-간선)'!D11+'라.맨홀보수(음성-간선)'!D12</f>
        <v>0</v>
      </c>
      <c r="F23" s="13"/>
      <c r="G23" s="13"/>
      <c r="H23" s="13"/>
      <c r="I23" s="13"/>
      <c r="J23" s="13"/>
      <c r="K23" s="13"/>
      <c r="L23" s="9"/>
      <c r="M23" s="776"/>
      <c r="N23" s="43">
        <v>1000</v>
      </c>
      <c r="O23" s="44">
        <v>1954136</v>
      </c>
      <c r="P23" s="44">
        <v>2323819</v>
      </c>
      <c r="S23" s="793"/>
      <c r="T23" s="794" t="s">
        <v>95</v>
      </c>
      <c r="U23" s="795"/>
      <c r="V23" s="11">
        <f t="shared" ref="V23:AC23" si="12">SUM(V11:V22)</f>
        <v>4502</v>
      </c>
      <c r="W23" s="11">
        <f t="shared" si="12"/>
        <v>4204</v>
      </c>
      <c r="X23" s="11">
        <f t="shared" si="12"/>
        <v>0</v>
      </c>
      <c r="Y23" s="11">
        <f t="shared" si="12"/>
        <v>0</v>
      </c>
      <c r="Z23" s="11">
        <f t="shared" si="12"/>
        <v>0</v>
      </c>
      <c r="AA23" s="11">
        <f t="shared" si="12"/>
        <v>0</v>
      </c>
      <c r="AB23" s="11">
        <f t="shared" si="12"/>
        <v>0</v>
      </c>
      <c r="AC23" s="11">
        <f t="shared" si="12"/>
        <v>0</v>
      </c>
      <c r="AD23" s="13">
        <f t="shared" si="9"/>
        <v>-4502</v>
      </c>
    </row>
    <row r="24" spans="1:30" ht="20.100000000000001" customHeight="1">
      <c r="E24" s="13">
        <v>26095</v>
      </c>
      <c r="L24" s="9"/>
      <c r="M24" s="776"/>
      <c r="N24" s="43">
        <v>1100</v>
      </c>
      <c r="O24" s="44">
        <v>2227279</v>
      </c>
      <c r="P24" s="44">
        <v>2618616</v>
      </c>
    </row>
    <row r="25" spans="1:30" ht="20.100000000000001" customHeight="1">
      <c r="L25" s="9"/>
      <c r="M25" s="776"/>
      <c r="N25" s="43">
        <v>1200</v>
      </c>
      <c r="O25" s="44">
        <v>2485219</v>
      </c>
      <c r="P25" s="44">
        <v>2886104</v>
      </c>
    </row>
    <row r="26" spans="1:30" ht="20.100000000000001" customHeight="1">
      <c r="L26" s="9"/>
      <c r="M26" s="776" t="s">
        <v>77</v>
      </c>
      <c r="N26" s="43">
        <v>200</v>
      </c>
      <c r="O26" s="44">
        <v>627775</v>
      </c>
      <c r="P26" s="44">
        <v>907104</v>
      </c>
    </row>
    <row r="27" spans="1:30" ht="20.100000000000001" customHeight="1">
      <c r="L27" s="9"/>
      <c r="M27" s="776"/>
      <c r="N27" s="43">
        <v>300</v>
      </c>
      <c r="O27" s="44">
        <v>684503</v>
      </c>
      <c r="P27" s="44">
        <v>973227</v>
      </c>
    </row>
    <row r="28" spans="1:30" ht="20.100000000000001" customHeight="1">
      <c r="M28" s="776"/>
      <c r="N28" s="43">
        <v>400</v>
      </c>
      <c r="O28" s="44">
        <v>755884</v>
      </c>
      <c r="P28" s="44">
        <v>1054420</v>
      </c>
    </row>
    <row r="29" spans="1:30" ht="20.100000000000001" customHeight="1">
      <c r="M29" s="776"/>
      <c r="N29" s="43">
        <v>500</v>
      </c>
      <c r="O29" s="44">
        <v>848695</v>
      </c>
      <c r="P29" s="44">
        <v>1157024</v>
      </c>
    </row>
    <row r="30" spans="1:30" ht="20.100000000000001" customHeight="1">
      <c r="M30" s="776"/>
      <c r="N30" s="43">
        <v>600</v>
      </c>
      <c r="O30" s="44">
        <v>953050</v>
      </c>
      <c r="P30" s="44">
        <v>1283675</v>
      </c>
    </row>
    <row r="31" spans="1:30" ht="20.100000000000001" customHeight="1">
      <c r="L31" s="9"/>
      <c r="M31" s="776"/>
      <c r="N31" s="43">
        <v>700</v>
      </c>
      <c r="O31" s="44">
        <v>1067902</v>
      </c>
      <c r="P31" s="44">
        <v>1408054</v>
      </c>
    </row>
    <row r="32" spans="1:30" ht="20.100000000000001" customHeight="1">
      <c r="L32" s="29"/>
      <c r="M32" s="776"/>
      <c r="N32" s="43">
        <v>800</v>
      </c>
      <c r="O32" s="44">
        <v>1187695</v>
      </c>
      <c r="P32" s="44">
        <v>1537712</v>
      </c>
    </row>
    <row r="33" spans="12:16" ht="20.100000000000001" customHeight="1">
      <c r="L33" s="45"/>
      <c r="M33" s="776"/>
      <c r="N33" s="43">
        <v>900</v>
      </c>
      <c r="O33" s="44">
        <v>1285122</v>
      </c>
      <c r="P33" s="44">
        <v>1644951</v>
      </c>
    </row>
    <row r="34" spans="12:16" ht="20.100000000000001" customHeight="1">
      <c r="L34" s="45"/>
      <c r="M34" s="776"/>
      <c r="N34" s="43">
        <v>1000</v>
      </c>
      <c r="O34" s="44">
        <v>1456365</v>
      </c>
      <c r="P34" s="44">
        <v>1826079</v>
      </c>
    </row>
    <row r="35" spans="12:16" ht="20.100000000000001" customHeight="1">
      <c r="L35" s="35"/>
      <c r="M35" s="776"/>
      <c r="N35" s="43">
        <v>1200</v>
      </c>
      <c r="O35" s="44">
        <v>1739178</v>
      </c>
      <c r="P35" s="44">
        <v>2140063</v>
      </c>
    </row>
    <row r="36" spans="12:16" ht="20.100000000000001" customHeight="1">
      <c r="L36" s="35"/>
      <c r="M36" s="776" t="s">
        <v>78</v>
      </c>
      <c r="N36" s="43" t="s">
        <v>79</v>
      </c>
      <c r="O36" s="44">
        <v>2211515</v>
      </c>
      <c r="P36" s="44">
        <v>2507250</v>
      </c>
    </row>
    <row r="37" spans="12:16" ht="20.100000000000001" customHeight="1">
      <c r="L37" s="36"/>
      <c r="M37" s="776"/>
      <c r="N37" s="43" t="s">
        <v>80</v>
      </c>
      <c r="O37" s="44">
        <v>2386997</v>
      </c>
      <c r="P37" s="44">
        <v>2682731</v>
      </c>
    </row>
    <row r="38" spans="12:16" ht="20.100000000000001" customHeight="1">
      <c r="L38" s="35"/>
      <c r="M38" s="776"/>
      <c r="N38" s="43" t="s">
        <v>81</v>
      </c>
      <c r="O38" s="44">
        <v>2431334</v>
      </c>
      <c r="P38" s="44">
        <v>2727058</v>
      </c>
    </row>
    <row r="39" spans="12:16" ht="20.100000000000001" customHeight="1">
      <c r="L39" s="35"/>
      <c r="M39" s="776"/>
      <c r="N39" s="43" t="s">
        <v>82</v>
      </c>
      <c r="O39" s="44">
        <v>2494614</v>
      </c>
      <c r="P39" s="44">
        <v>2851845</v>
      </c>
    </row>
    <row r="40" spans="12:16" ht="20.100000000000001" customHeight="1">
      <c r="L40" s="35"/>
      <c r="M40" s="776"/>
      <c r="N40" s="43" t="s">
        <v>83</v>
      </c>
      <c r="O40" s="44">
        <v>2688815</v>
      </c>
      <c r="P40" s="44">
        <v>3046036</v>
      </c>
    </row>
    <row r="41" spans="12:16" ht="20.100000000000001" customHeight="1">
      <c r="L41" s="35"/>
      <c r="M41" s="776"/>
      <c r="N41" s="43" t="s">
        <v>84</v>
      </c>
      <c r="O41" s="44">
        <v>2958035</v>
      </c>
      <c r="P41" s="44">
        <v>3315266</v>
      </c>
    </row>
    <row r="42" spans="12:16" ht="20.100000000000001" customHeight="1">
      <c r="L42" s="35"/>
      <c r="M42" s="776"/>
      <c r="N42" s="43" t="s">
        <v>85</v>
      </c>
      <c r="O42" s="44">
        <v>3185425</v>
      </c>
      <c r="P42" s="44">
        <v>3542645</v>
      </c>
    </row>
    <row r="43" spans="12:16" ht="20.100000000000001" customHeight="1">
      <c r="L43" s="35"/>
      <c r="M43" s="776"/>
      <c r="N43" s="43" t="s">
        <v>86</v>
      </c>
      <c r="O43" s="44">
        <v>3187218</v>
      </c>
      <c r="P43" s="44">
        <v>3544439</v>
      </c>
    </row>
    <row r="44" spans="12:16" ht="20.100000000000001" customHeight="1">
      <c r="L44" s="35"/>
      <c r="M44" s="776"/>
      <c r="N44" s="43" t="s">
        <v>87</v>
      </c>
      <c r="O44" s="44">
        <v>3693692</v>
      </c>
      <c r="P44" s="44">
        <v>4050922</v>
      </c>
    </row>
    <row r="45" spans="12:16" ht="20.100000000000001" customHeight="1">
      <c r="L45" s="35"/>
      <c r="M45" s="776"/>
      <c r="N45" s="43" t="s">
        <v>88</v>
      </c>
      <c r="O45" s="44">
        <v>3944712</v>
      </c>
      <c r="P45" s="44">
        <v>4486239</v>
      </c>
    </row>
    <row r="46" spans="12:16" ht="20.100000000000001" customHeight="1">
      <c r="L46" s="36"/>
      <c r="M46" s="776"/>
      <c r="N46" s="43" t="s">
        <v>89</v>
      </c>
      <c r="O46" s="44">
        <v>4323892</v>
      </c>
      <c r="P46" s="44">
        <v>4865429</v>
      </c>
    </row>
    <row r="47" spans="12:16" ht="20.100000000000001" customHeight="1">
      <c r="L47" s="9"/>
      <c r="M47" s="776"/>
      <c r="N47" s="43" t="s">
        <v>90</v>
      </c>
      <c r="O47" s="44">
        <v>5047087</v>
      </c>
      <c r="P47" s="44">
        <v>5588624</v>
      </c>
    </row>
    <row r="48" spans="12:16" ht="20.100000000000001" customHeight="1">
      <c r="L48" s="37"/>
      <c r="M48" s="776"/>
      <c r="N48" s="43" t="s">
        <v>91</v>
      </c>
      <c r="O48" s="44">
        <v>4587436</v>
      </c>
      <c r="P48" s="44">
        <v>5128963</v>
      </c>
    </row>
    <row r="49" spans="12:16" ht="20.100000000000001" customHeight="1">
      <c r="L49" s="9"/>
      <c r="M49" s="776"/>
      <c r="N49" s="43" t="s">
        <v>92</v>
      </c>
      <c r="O49" s="44">
        <v>5108889</v>
      </c>
      <c r="P49" s="44">
        <v>5650426</v>
      </c>
    </row>
    <row r="50" spans="12:16" ht="20.100000000000001" customHeight="1">
      <c r="M50" s="776"/>
      <c r="N50" s="43" t="s">
        <v>93</v>
      </c>
      <c r="O50" s="44">
        <v>5937000</v>
      </c>
      <c r="P50" s="44">
        <v>6478527</v>
      </c>
    </row>
    <row r="51" spans="12:16" ht="20.100000000000001" customHeight="1">
      <c r="M51" s="776"/>
      <c r="N51" s="43" t="s">
        <v>94</v>
      </c>
      <c r="O51" s="44">
        <v>6286639</v>
      </c>
      <c r="P51" s="44">
        <v>6828176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Z9:AA9"/>
    <mergeCell ref="AB9:AC9"/>
    <mergeCell ref="S11:S23"/>
    <mergeCell ref="T23:U23"/>
    <mergeCell ref="S9:S10"/>
    <mergeCell ref="T9:T10"/>
    <mergeCell ref="U9:U10"/>
    <mergeCell ref="V9:W9"/>
    <mergeCell ref="X9:Y9"/>
    <mergeCell ref="A9:A21"/>
    <mergeCell ref="H7:I7"/>
    <mergeCell ref="J7:K7"/>
    <mergeCell ref="M3:M4"/>
    <mergeCell ref="N3:N4"/>
    <mergeCell ref="M16:M25"/>
    <mergeCell ref="A7:A8"/>
    <mergeCell ref="B7:B8"/>
    <mergeCell ref="C7:C8"/>
    <mergeCell ref="D7:E7"/>
    <mergeCell ref="F7:G7"/>
    <mergeCell ref="M26:M35"/>
    <mergeCell ref="M36:M51"/>
    <mergeCell ref="M5:M15"/>
    <mergeCell ref="B22:C22"/>
    <mergeCell ref="O3:P3"/>
  </mergeCells>
  <phoneticPr fontId="4" type="noConversion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533</v>
      </c>
      <c r="N5" s="272" t="s">
        <v>223</v>
      </c>
      <c r="O5" s="44">
        <v>415877</v>
      </c>
      <c r="P5" s="81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579329</v>
      </c>
      <c r="P6" s="81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14"/>
      <c r="N7" s="272" t="s">
        <v>225</v>
      </c>
      <c r="O7" s="44">
        <v>612315</v>
      </c>
      <c r="P7" s="81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714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14"/>
      <c r="N8" s="272" t="s">
        <v>226</v>
      </c>
      <c r="O8" s="44">
        <v>757477</v>
      </c>
      <c r="P8" s="81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14"/>
      <c r="N9" s="272" t="s">
        <v>227</v>
      </c>
      <c r="O9" s="44">
        <v>846044</v>
      </c>
      <c r="P9" s="81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14"/>
      <c r="N10" s="272" t="s">
        <v>228</v>
      </c>
      <c r="O10" s="44">
        <v>960369</v>
      </c>
      <c r="P10" s="81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14"/>
      <c r="N11" s="272" t="s">
        <v>229</v>
      </c>
      <c r="O11" s="44">
        <v>1086032</v>
      </c>
      <c r="P11" s="81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14"/>
      <c r="N12" s="272" t="s">
        <v>230</v>
      </c>
      <c r="O12" s="44">
        <v>1155632</v>
      </c>
      <c r="P12" s="81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14"/>
      <c r="N13" s="272" t="s">
        <v>230</v>
      </c>
      <c r="O13" s="44">
        <v>1155632</v>
      </c>
      <c r="P13" s="81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14"/>
      <c r="N14" s="272" t="s">
        <v>231</v>
      </c>
      <c r="O14" s="44">
        <v>1269088</v>
      </c>
      <c r="P14" s="81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14"/>
      <c r="N15" s="272" t="s">
        <v>232</v>
      </c>
      <c r="O15" s="44">
        <v>1370696</v>
      </c>
      <c r="P15" s="81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15"/>
      <c r="N16" s="272" t="s">
        <v>233</v>
      </c>
      <c r="O16" s="44">
        <v>1475229</v>
      </c>
      <c r="P16" s="81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1"/>
      <c r="B17" s="777" t="s">
        <v>95</v>
      </c>
      <c r="C17" s="778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E19" s="13">
        <f>+'나.전체보수(생극-간선)'!E19+'다.부분보수(생극-간선)'!E17</f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20.100000000000001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20.100000000000001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3" t="s">
        <v>435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784"/>
      <c r="B7" s="788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279" t="s">
        <v>561</v>
      </c>
      <c r="B8" s="195">
        <v>5500753</v>
      </c>
      <c r="C8" s="196">
        <v>1</v>
      </c>
      <c r="D8" s="196">
        <f>+ROUND($B8*C8/1000000,0)</f>
        <v>6</v>
      </c>
      <c r="E8" s="196">
        <v>1</v>
      </c>
      <c r="F8" s="196">
        <f>+ROUND($B8*E8/1000000,0)</f>
        <v>6</v>
      </c>
      <c r="G8" s="280"/>
      <c r="H8" s="277"/>
      <c r="I8" s="280"/>
      <c r="J8" s="278"/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275" t="s">
        <v>564</v>
      </c>
      <c r="B9" s="197">
        <v>576917</v>
      </c>
      <c r="C9" s="197">
        <v>1</v>
      </c>
      <c r="D9" s="94">
        <f>+ROUND($B9*C9/1000000,0)</f>
        <v>1</v>
      </c>
      <c r="E9" s="197">
        <v>1</v>
      </c>
      <c r="F9" s="94">
        <f>+ROUND($B9*E9/1000000,0)</f>
        <v>1</v>
      </c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570</v>
      </c>
      <c r="B10" s="197">
        <v>223017</v>
      </c>
      <c r="C10" s="197">
        <v>1</v>
      </c>
      <c r="D10" s="94">
        <f>+ROUND($B10*C10/1000000,0)</f>
        <v>0</v>
      </c>
      <c r="E10" s="197">
        <v>1</v>
      </c>
      <c r="F10" s="94">
        <f>+ROUND($B10*E10/1000000,0)</f>
        <v>0</v>
      </c>
      <c r="G10" s="198"/>
      <c r="H10" s="293"/>
      <c r="I10" s="198"/>
      <c r="J10" s="151"/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275" t="s">
        <v>573</v>
      </c>
      <c r="B11" s="197">
        <v>6000</v>
      </c>
      <c r="C11" s="197">
        <v>1</v>
      </c>
      <c r="D11" s="94">
        <f>+ROUND($B11*C11/1000000,0)</f>
        <v>0</v>
      </c>
      <c r="E11" s="197">
        <v>1</v>
      </c>
      <c r="F11" s="94">
        <f>+ROUND($B11*E11/1000000,0)</f>
        <v>0</v>
      </c>
      <c r="G11" s="198"/>
      <c r="H11" s="293"/>
      <c r="I11" s="198"/>
      <c r="J11" s="151"/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276" t="s">
        <v>406</v>
      </c>
      <c r="B12" s="164"/>
      <c r="C12" s="164">
        <v>0</v>
      </c>
      <c r="D12" s="164"/>
      <c r="E12" s="164"/>
      <c r="F12" s="164"/>
      <c r="G12" s="164">
        <f>SUM(G8:G11)</f>
        <v>0</v>
      </c>
      <c r="H12" s="164">
        <f>SUM(H8:H11)</f>
        <v>0</v>
      </c>
      <c r="I12" s="164">
        <f>SUM(I8:I11)</f>
        <v>0</v>
      </c>
      <c r="J12" s="165">
        <f>SUM(J8:J11)</f>
        <v>0</v>
      </c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581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9963</v>
      </c>
      <c r="R5" s="55">
        <f>P5*Q5</f>
        <v>408483</v>
      </c>
      <c r="S5" s="61" t="s">
        <v>586</v>
      </c>
    </row>
    <row r="6" spans="1:19" ht="20.100000000000001" customHeight="1">
      <c r="A6" s="783" t="s">
        <v>587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555</v>
      </c>
    </row>
    <row r="7" spans="1:19" ht="20.100000000000001" customHeight="1">
      <c r="A7" s="784"/>
      <c r="B7" s="788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3043500</v>
      </c>
      <c r="R7" s="55">
        <f>P7*Q7</f>
        <v>3043500</v>
      </c>
      <c r="S7" s="52" t="s">
        <v>560</v>
      </c>
    </row>
    <row r="8" spans="1:19" ht="20.100000000000001" customHeight="1">
      <c r="A8" s="292" t="s">
        <v>715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608700</v>
      </c>
      <c r="R8" s="55">
        <f>P8*Q8</f>
        <v>608700</v>
      </c>
      <c r="S8" s="52" t="s">
        <v>563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716</v>
      </c>
    </row>
    <row r="10" spans="1:19" ht="20.100000000000001" customHeight="1">
      <c r="A10" s="275" t="s">
        <v>717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42" t="s">
        <v>718</v>
      </c>
      <c r="M10" s="842"/>
      <c r="N10" s="842"/>
      <c r="O10" s="290"/>
      <c r="P10" s="58"/>
      <c r="Q10" s="55"/>
      <c r="R10" s="55">
        <f>+ROUND(SUM(R5:R9)*0.5,0)</f>
        <v>5086326</v>
      </c>
      <c r="S10" s="52" t="s">
        <v>719</v>
      </c>
    </row>
    <row r="11" spans="1:19" ht="20.100000000000001" customHeight="1">
      <c r="A11" s="276" t="s">
        <v>720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38" t="s">
        <v>721</v>
      </c>
      <c r="M11" s="838"/>
      <c r="N11" s="838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38" t="s">
        <v>722</v>
      </c>
      <c r="M12" s="838"/>
      <c r="N12" s="838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9" t="s">
        <v>723</v>
      </c>
      <c r="M13" s="839"/>
      <c r="N13" s="839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724</v>
      </c>
    </row>
    <row r="16" spans="1:19" ht="20.100000000000001" hidden="1" customHeight="1">
      <c r="K16" s="9"/>
      <c r="L16" s="2">
        <v>550</v>
      </c>
      <c r="M16" s="2" t="s">
        <v>725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960</v>
      </c>
      <c r="G1" s="3"/>
      <c r="H1" s="3"/>
    </row>
    <row r="2" spans="1:20" ht="20.100000000000001" customHeight="1">
      <c r="A2" s="2" t="s">
        <v>726</v>
      </c>
      <c r="G2" s="3"/>
      <c r="H2" s="3"/>
    </row>
    <row r="3" spans="1:20" ht="20.100000000000001" customHeight="1">
      <c r="F3" s="8" t="s">
        <v>6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727</v>
      </c>
      <c r="B4" s="297" t="s">
        <v>9</v>
      </c>
      <c r="C4" s="298" t="s">
        <v>10</v>
      </c>
      <c r="D4" s="298" t="s">
        <v>34</v>
      </c>
      <c r="E4" s="298" t="s">
        <v>210</v>
      </c>
      <c r="F4" s="299" t="s">
        <v>728</v>
      </c>
      <c r="G4" s="5"/>
      <c r="H4" s="21" t="s">
        <v>729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146</v>
      </c>
      <c r="B5" s="106">
        <f>'가.관로신설(생극-오수지선)'!E16</f>
        <v>4484</v>
      </c>
      <c r="C5" s="101">
        <f>'가.관로신설(생극-오수지선)'!G16</f>
        <v>401</v>
      </c>
      <c r="D5" s="101">
        <f>'가.관로신설(생극-오수지선)'!I16</f>
        <v>2424</v>
      </c>
      <c r="E5" s="101">
        <f>+'가.관로신설(생극-오수지선)'!K16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'나.배수설비(생극)'!E23</f>
        <v>839</v>
      </c>
      <c r="C6" s="94">
        <f>'나.배수설비(생극)'!G23</f>
        <v>104</v>
      </c>
      <c r="D6" s="94">
        <f>'나.배수설비(생극)'!I23</f>
        <v>425</v>
      </c>
      <c r="E6" s="94">
        <f>+'나.배수설비(생극)'!K23</f>
        <v>0</v>
      </c>
      <c r="F6" s="95"/>
      <c r="G6" s="5"/>
      <c r="H6" s="7" t="s">
        <v>594</v>
      </c>
      <c r="I6" s="70" t="e">
        <f>('가.관로신설(생극-오수지선)'!#REF!+'나.배수설비(생극)'!E18/'나.배수설비(생극)'!D18+'다.맨홀펌프장(생극)'!#REF!)/'1.5.5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'다.맨홀펌프장(생극)'!D15</f>
        <v>180</v>
      </c>
      <c r="C7" s="96"/>
      <c r="D7" s="96">
        <f>'다.맨홀펌프장(생극)'!H15</f>
        <v>88</v>
      </c>
      <c r="E7" s="96">
        <f>+'다.맨홀펌프장(생극)'!J15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5503</v>
      </c>
      <c r="C8" s="97">
        <f>SUM(C5:C7)</f>
        <v>505</v>
      </c>
      <c r="D8" s="97">
        <f>SUM(D5:D7)</f>
        <v>2937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5503</v>
      </c>
      <c r="C13" s="117">
        <f>+C8</f>
        <v>505</v>
      </c>
      <c r="D13" s="117">
        <f>+D8</f>
        <v>2937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</v>
      </c>
      <c r="D14" s="118">
        <f>IFERROR(INDEX($H$17:$L$33,MATCH(D13,$H$17:$H$33,1),1),0)</f>
        <v>2000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</v>
      </c>
      <c r="D15" s="118">
        <f>IFERROR(INDEX($H$17:$L$33,MATCH(D13,$H$17:$H$33,1)+1,1),0)</f>
        <v>3000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6.0399999999999995E-2</v>
      </c>
      <c r="D16" s="141">
        <f>IFERROR(INDEX($H$17:$L$33,MATCH(D13,$H$17:$H$33,1),2)+INDEX($H$17:$L$33,MATCH(D13,$H$17:$H$33,1),3),0)</f>
        <v>4.9000000000000002E-2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5.3199999999999997E-2</v>
      </c>
      <c r="D17" s="141">
        <f>IFERROR(INDEX($H$17:$L$33,MATCH(D13,$H$17:$H$33,1)+1,2)+INDEX($H$17:$L$33,MATCH(D13,$H$17:$H$33,1)+1,3),0)</f>
        <v>4.7200000000000006E-2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4.6189339999999995E-2</v>
      </c>
      <c r="C18" s="141">
        <f>IFERROR(C16+((C17-C16)/(C15-C14))*(C13-C14),0)</f>
        <v>6.0327999999999993E-2</v>
      </c>
      <c r="D18" s="141">
        <f>IFERROR(D16+((D17-D16)/(D15-D14))*(D13-D14),0)</f>
        <v>4.7313400000000005E-2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97">
        <f>+ROUND(B13*B18,0)</f>
        <v>254</v>
      </c>
      <c r="C19" s="97">
        <f>+ROUND(C13*C18,0)</f>
        <v>30</v>
      </c>
      <c r="D19" s="97">
        <f>+ROUND(D13*D18,0)</f>
        <v>139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5503</v>
      </c>
      <c r="C24" s="115">
        <f>+C13</f>
        <v>505</v>
      </c>
      <c r="D24" s="115">
        <f>+D13</f>
        <v>2937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118">
        <f>I35</f>
        <v>10000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I35</f>
        <v>10000</v>
      </c>
      <c r="C26" s="118">
        <f>I35</f>
        <v>10000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730</v>
      </c>
      <c r="B27" s="141">
        <f>I36</f>
        <v>9.3699999999999992E-2</v>
      </c>
      <c r="C27" s="141">
        <f>I36</f>
        <v>9.3699999999999992E-2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I36</f>
        <v>9.3699999999999992E-2</v>
      </c>
      <c r="C28" s="141">
        <f>I36</f>
        <v>9.3699999999999992E-2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I36</f>
        <v>9.3699999999999992E-2</v>
      </c>
      <c r="C29" s="141">
        <f>I36</f>
        <v>9.3699999999999992E-2</v>
      </c>
      <c r="D29" s="141">
        <f>I36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97">
        <f>+ROUND(B24*B29,0)</f>
        <v>516</v>
      </c>
      <c r="C30" s="97">
        <f>+ROUND(C24*C29,0)</f>
        <v>47</v>
      </c>
      <c r="D30" s="97">
        <f>+ROUND(D24*D29,0)</f>
        <v>275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5503</v>
      </c>
      <c r="C40" s="115">
        <f>+C13</f>
        <v>505</v>
      </c>
      <c r="D40" s="115">
        <f>+D13</f>
        <v>2937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</v>
      </c>
      <c r="D41" s="118">
        <f>IFERROR(INDEX($H$17:$L$33,MATCH(D8,$H$17:$H$33,1),1),0)</f>
        <v>2000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</v>
      </c>
      <c r="D42" s="118">
        <f>IFERROR(INDEX($H$17:$L$33,MATCH(D8,$H$17:$H$33,1)+1,1),0)</f>
        <v>3000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7.1999999999999998E-3</v>
      </c>
      <c r="D43" s="141">
        <f>IFERROR(INDEX($H$17:$L$33,MATCH(D8,$H$17:$H$33,1),5),0)</f>
        <v>3.5999999999999999E-3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6.3E-3</v>
      </c>
      <c r="D44" s="141">
        <f>IFERROR(INDEX($H$17:$L$33,MATCH(D8,$H$17:$H$33,1)+1,5),0)</f>
        <v>3.5999999999999999E-3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2.6798799999999999E-3</v>
      </c>
      <c r="C45" s="141">
        <f>IFERROR(C43+((C44-C43)/(C42-C41))*(C40-C41),0)</f>
        <v>7.1909999999999995E-3</v>
      </c>
      <c r="D45" s="141">
        <f>IFERROR(D43+((D44-D43)/(D42-D41))*(D40-D41),0)</f>
        <v>3.5999999999999999E-3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15</v>
      </c>
      <c r="C46" s="97">
        <f>+ROUND(C40*C45,0)</f>
        <v>4</v>
      </c>
      <c r="D46" s="97">
        <f>+ROUND(D40*D45,0)</f>
        <v>11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5503</v>
      </c>
      <c r="C51" s="126">
        <f>+C8</f>
        <v>505</v>
      </c>
      <c r="D51" s="126">
        <f>+D8</f>
        <v>2937</v>
      </c>
      <c r="E51" s="126">
        <f>+E8</f>
        <v>0</v>
      </c>
      <c r="F51" s="127"/>
    </row>
    <row r="52" spans="1:6" ht="20.100000000000001" customHeight="1">
      <c r="A52" s="132" t="s">
        <v>480</v>
      </c>
      <c r="B52" s="129">
        <f>+B19</f>
        <v>254</v>
      </c>
      <c r="C52" s="121">
        <f>+C19</f>
        <v>30</v>
      </c>
      <c r="D52" s="121">
        <f>+D19</f>
        <v>139</v>
      </c>
      <c r="E52" s="121">
        <f>+E19</f>
        <v>0</v>
      </c>
      <c r="F52" s="122"/>
    </row>
    <row r="53" spans="1:6" ht="20.100000000000001" customHeight="1">
      <c r="A53" s="132" t="s">
        <v>475</v>
      </c>
      <c r="B53" s="129">
        <f>+B30</f>
        <v>516</v>
      </c>
      <c r="C53" s="121">
        <f>+C30</f>
        <v>47</v>
      </c>
      <c r="D53" s="121">
        <f>+D30</f>
        <v>275</v>
      </c>
      <c r="E53" s="121">
        <f>+E30</f>
        <v>0</v>
      </c>
      <c r="F53" s="122"/>
    </row>
    <row r="54" spans="1:6" ht="20.100000000000001" customHeight="1">
      <c r="A54" s="132" t="s">
        <v>731</v>
      </c>
      <c r="B54" s="129">
        <f>+B46</f>
        <v>15</v>
      </c>
      <c r="C54" s="121">
        <f>+C46</f>
        <v>4</v>
      </c>
      <c r="D54" s="121">
        <f>+D46</f>
        <v>11</v>
      </c>
      <c r="E54" s="121">
        <f>+E46</f>
        <v>0</v>
      </c>
      <c r="F54" s="122"/>
    </row>
    <row r="55" spans="1:6" ht="20.100000000000001" customHeight="1">
      <c r="A55" s="133" t="s">
        <v>56</v>
      </c>
      <c r="B55" s="130">
        <f>SUM(B51:B54)</f>
        <v>6288</v>
      </c>
      <c r="C55" s="123">
        <f>SUM(C51:C54)</f>
        <v>586</v>
      </c>
      <c r="D55" s="123">
        <f>SUM(D51:D54)</f>
        <v>3362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732</v>
      </c>
      <c r="B1" s="1"/>
      <c r="C1" s="1"/>
      <c r="D1" s="1"/>
    </row>
    <row r="2" spans="1:20" ht="20.100000000000001" customHeight="1">
      <c r="A2" s="2" t="s">
        <v>733</v>
      </c>
    </row>
    <row r="3" spans="1:20" ht="20.100000000000001" customHeight="1">
      <c r="A3" s="40" t="s">
        <v>1059</v>
      </c>
      <c r="B3" s="40"/>
      <c r="C3" s="40"/>
      <c r="D3" s="40"/>
      <c r="M3" s="776" t="s">
        <v>64</v>
      </c>
      <c r="N3" s="776" t="s">
        <v>734</v>
      </c>
      <c r="O3" s="776" t="s">
        <v>66</v>
      </c>
      <c r="P3" s="776"/>
      <c r="Q3" s="844" t="s">
        <v>64</v>
      </c>
      <c r="R3" s="776" t="s">
        <v>734</v>
      </c>
      <c r="S3" s="776" t="s">
        <v>66</v>
      </c>
      <c r="T3" s="776"/>
    </row>
    <row r="4" spans="1:20" ht="20.100000000000001" customHeight="1">
      <c r="A4" s="40" t="s">
        <v>735</v>
      </c>
      <c r="B4" s="40"/>
      <c r="C4" s="40"/>
      <c r="D4" s="40"/>
      <c r="M4" s="776"/>
      <c r="N4" s="776"/>
      <c r="O4" s="272" t="s">
        <v>67</v>
      </c>
      <c r="P4" s="272" t="s">
        <v>68</v>
      </c>
      <c r="Q4" s="844"/>
      <c r="R4" s="776"/>
      <c r="S4" s="272" t="s">
        <v>67</v>
      </c>
      <c r="T4" s="272" t="s">
        <v>68</v>
      </c>
    </row>
    <row r="5" spans="1:20" ht="20.100000000000001" customHeight="1">
      <c r="A5" s="2" t="s">
        <v>736</v>
      </c>
      <c r="M5" s="169" t="s">
        <v>69</v>
      </c>
      <c r="N5" s="272">
        <v>300</v>
      </c>
      <c r="O5" s="44">
        <v>512740</v>
      </c>
      <c r="P5" s="44">
        <v>782541</v>
      </c>
      <c r="Q5" s="845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737</v>
      </c>
      <c r="M6" s="169"/>
      <c r="N6" s="272">
        <v>400</v>
      </c>
      <c r="O6" s="44">
        <v>580188</v>
      </c>
      <c r="P6" s="44">
        <v>859007</v>
      </c>
      <c r="Q6" s="846"/>
      <c r="R6" s="272">
        <v>100</v>
      </c>
      <c r="S6" s="44">
        <v>102960</v>
      </c>
      <c r="T6" s="44">
        <v>323665</v>
      </c>
    </row>
    <row r="7" spans="1:20" ht="20.100000000000001" customHeight="1">
      <c r="A7" s="783" t="s">
        <v>738</v>
      </c>
      <c r="B7" s="785" t="s">
        <v>739</v>
      </c>
      <c r="C7" s="787" t="s">
        <v>740</v>
      </c>
      <c r="D7" s="789" t="s">
        <v>741</v>
      </c>
      <c r="E7" s="781"/>
      <c r="F7" s="781" t="s">
        <v>742</v>
      </c>
      <c r="G7" s="781"/>
      <c r="H7" s="781" t="s">
        <v>743</v>
      </c>
      <c r="I7" s="781"/>
      <c r="J7" s="781" t="s">
        <v>744</v>
      </c>
      <c r="K7" s="782"/>
      <c r="M7" s="169"/>
      <c r="N7" s="272">
        <v>500</v>
      </c>
      <c r="O7" s="44">
        <v>624861</v>
      </c>
      <c r="P7" s="44">
        <v>912820</v>
      </c>
      <c r="Q7" s="846"/>
      <c r="R7" s="272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745</v>
      </c>
      <c r="E8" s="273" t="s">
        <v>746</v>
      </c>
      <c r="F8" s="281" t="s">
        <v>745</v>
      </c>
      <c r="G8" s="273" t="s">
        <v>746</v>
      </c>
      <c r="H8" s="281" t="s">
        <v>745</v>
      </c>
      <c r="I8" s="273" t="s">
        <v>746</v>
      </c>
      <c r="J8" s="281" t="s">
        <v>745</v>
      </c>
      <c r="K8" s="274" t="s">
        <v>746</v>
      </c>
      <c r="M8" s="169"/>
      <c r="N8" s="272">
        <v>600</v>
      </c>
      <c r="O8" s="44">
        <v>705821</v>
      </c>
      <c r="P8" s="44">
        <v>1016585</v>
      </c>
      <c r="Q8" s="846"/>
      <c r="R8" s="272">
        <v>200</v>
      </c>
      <c r="S8" s="44">
        <v>172293</v>
      </c>
      <c r="T8" s="44">
        <v>405664</v>
      </c>
    </row>
    <row r="9" spans="1:20" ht="20.100000000000001" customHeight="1">
      <c r="A9" s="848" t="s">
        <v>715</v>
      </c>
      <c r="B9" s="152">
        <v>50</v>
      </c>
      <c r="C9" s="153">
        <f>T5</f>
        <v>309684</v>
      </c>
      <c r="D9" s="139">
        <v>353</v>
      </c>
      <c r="E9" s="94">
        <f>+ROUND($C9*D9/1000000,0)</f>
        <v>109</v>
      </c>
      <c r="F9" s="94">
        <v>0</v>
      </c>
      <c r="G9" s="94">
        <f>+ROUND($C9*F9/1000000,0)</f>
        <v>0</v>
      </c>
      <c r="H9" s="94">
        <v>694</v>
      </c>
      <c r="I9" s="94">
        <f>+ROUND($C9*H9/1000000,0)</f>
        <v>215</v>
      </c>
      <c r="J9" s="94">
        <v>0</v>
      </c>
      <c r="K9" s="153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6"/>
      <c r="R9" s="272">
        <v>300</v>
      </c>
      <c r="S9" s="44">
        <v>248738</v>
      </c>
      <c r="T9" s="44">
        <v>494561</v>
      </c>
    </row>
    <row r="10" spans="1:20" ht="20.100000000000001" customHeight="1">
      <c r="A10" s="780"/>
      <c r="B10" s="152">
        <v>80</v>
      </c>
      <c r="C10" s="153">
        <f>T5</f>
        <v>309684</v>
      </c>
      <c r="D10" s="139">
        <v>1097</v>
      </c>
      <c r="E10" s="94">
        <f>+ROUND($C10*D10/1000000,0)</f>
        <v>340</v>
      </c>
      <c r="F10" s="94">
        <v>0</v>
      </c>
      <c r="G10" s="94">
        <f>+ROUND($C10*F10/1000000,0)</f>
        <v>0</v>
      </c>
      <c r="H10" s="94">
        <v>0</v>
      </c>
      <c r="I10" s="94">
        <f>+ROUND($C10*H10/1000000,0)</f>
        <v>0</v>
      </c>
      <c r="J10" s="94">
        <v>0</v>
      </c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6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0"/>
      <c r="B11" s="152">
        <v>200</v>
      </c>
      <c r="C11" s="153">
        <f>P26</f>
        <v>737848</v>
      </c>
      <c r="D11" s="139">
        <v>5469</v>
      </c>
      <c r="E11" s="94">
        <f>+ROUND($C11*D11/1000000,0)</f>
        <v>4035</v>
      </c>
      <c r="F11" s="94">
        <v>543</v>
      </c>
      <c r="G11" s="94">
        <f>+ROUND($C11*F11/1000000,0)</f>
        <v>401</v>
      </c>
      <c r="H11" s="94">
        <v>2994</v>
      </c>
      <c r="I11" s="94">
        <f>+ROUND($C11*H11/1000000,0)</f>
        <v>2209</v>
      </c>
      <c r="J11" s="94">
        <v>0</v>
      </c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6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0"/>
      <c r="B12" s="152" t="s">
        <v>941</v>
      </c>
      <c r="C12" s="153"/>
      <c r="D12" s="139">
        <f t="shared" ref="D12:K12" si="0">SUM(D9:D11)</f>
        <v>6919</v>
      </c>
      <c r="E12" s="94">
        <f t="shared" si="0"/>
        <v>4484</v>
      </c>
      <c r="F12" s="94">
        <f t="shared" si="0"/>
        <v>543</v>
      </c>
      <c r="G12" s="94">
        <f t="shared" si="0"/>
        <v>401</v>
      </c>
      <c r="H12" s="94">
        <f t="shared" si="0"/>
        <v>3688</v>
      </c>
      <c r="I12" s="94">
        <f t="shared" si="0"/>
        <v>2424</v>
      </c>
      <c r="J12" s="94">
        <f t="shared" si="0"/>
        <v>0</v>
      </c>
      <c r="K12" s="153">
        <f t="shared" si="0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6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0" t="s">
        <v>942</v>
      </c>
      <c r="B13" s="152">
        <v>50</v>
      </c>
      <c r="C13" s="153">
        <f>C9</f>
        <v>309684</v>
      </c>
      <c r="D13" s="139">
        <f>D9</f>
        <v>353</v>
      </c>
      <c r="E13" s="139">
        <f t="shared" ref="E13:K13" si="1">E9</f>
        <v>109</v>
      </c>
      <c r="F13" s="139">
        <f t="shared" si="1"/>
        <v>0</v>
      </c>
      <c r="G13" s="139">
        <f t="shared" si="1"/>
        <v>0</v>
      </c>
      <c r="H13" s="139">
        <f t="shared" si="1"/>
        <v>694</v>
      </c>
      <c r="I13" s="139">
        <f t="shared" si="1"/>
        <v>215</v>
      </c>
      <c r="J13" s="139">
        <f t="shared" si="1"/>
        <v>0</v>
      </c>
      <c r="K13" s="139">
        <f t="shared" si="1"/>
        <v>0</v>
      </c>
      <c r="L13" s="9"/>
      <c r="M13" s="169"/>
      <c r="N13" s="272">
        <v>1100</v>
      </c>
      <c r="O13" s="44">
        <v>1188358</v>
      </c>
      <c r="P13" s="44">
        <v>1557399</v>
      </c>
      <c r="Q13" s="846"/>
      <c r="R13" s="272">
        <v>700</v>
      </c>
      <c r="S13" s="44">
        <v>708878</v>
      </c>
      <c r="T13" s="44">
        <v>1005274</v>
      </c>
    </row>
    <row r="14" spans="1:20" ht="20.100000000000001" customHeight="1">
      <c r="A14" s="849"/>
      <c r="B14" s="152">
        <v>80</v>
      </c>
      <c r="C14" s="153">
        <f>C10</f>
        <v>309684</v>
      </c>
      <c r="D14" s="139">
        <f t="shared" ref="D14:K15" si="2">D10</f>
        <v>1097</v>
      </c>
      <c r="E14" s="139">
        <f t="shared" si="2"/>
        <v>340</v>
      </c>
      <c r="F14" s="139">
        <f t="shared" si="2"/>
        <v>0</v>
      </c>
      <c r="G14" s="139">
        <f t="shared" si="2"/>
        <v>0</v>
      </c>
      <c r="H14" s="139">
        <f t="shared" si="2"/>
        <v>0</v>
      </c>
      <c r="I14" s="139">
        <f t="shared" si="2"/>
        <v>0</v>
      </c>
      <c r="J14" s="139">
        <f t="shared" si="2"/>
        <v>0</v>
      </c>
      <c r="K14" s="139">
        <f t="shared" si="2"/>
        <v>0</v>
      </c>
      <c r="L14" s="9"/>
      <c r="M14" s="169"/>
      <c r="N14" s="272">
        <v>1200</v>
      </c>
      <c r="O14" s="44">
        <v>1313909</v>
      </c>
      <c r="P14" s="44">
        <v>1691805</v>
      </c>
      <c r="Q14" s="847"/>
      <c r="R14" s="272">
        <v>800</v>
      </c>
      <c r="S14" s="44">
        <v>860005</v>
      </c>
      <c r="T14" s="44">
        <v>1169007</v>
      </c>
    </row>
    <row r="15" spans="1:20" ht="20.100000000000001" customHeight="1">
      <c r="A15" s="849"/>
      <c r="B15" s="152">
        <v>200</v>
      </c>
      <c r="C15" s="153">
        <f>C11</f>
        <v>737848</v>
      </c>
      <c r="D15" s="139">
        <f t="shared" si="2"/>
        <v>5469</v>
      </c>
      <c r="E15" s="139">
        <f t="shared" si="2"/>
        <v>4035</v>
      </c>
      <c r="F15" s="139">
        <f t="shared" si="2"/>
        <v>543</v>
      </c>
      <c r="G15" s="139">
        <f t="shared" si="2"/>
        <v>401</v>
      </c>
      <c r="H15" s="139">
        <f t="shared" si="2"/>
        <v>2994</v>
      </c>
      <c r="I15" s="139">
        <f t="shared" si="2"/>
        <v>2209</v>
      </c>
      <c r="J15" s="139">
        <f t="shared" si="2"/>
        <v>0</v>
      </c>
      <c r="K15" s="139">
        <f t="shared" si="2"/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850"/>
      <c r="B16" s="167" t="s">
        <v>941</v>
      </c>
      <c r="C16" s="165"/>
      <c r="D16" s="166">
        <f t="shared" ref="D16:K16" si="3">ROUND(SUM(D13:D15),0)</f>
        <v>6919</v>
      </c>
      <c r="E16" s="166">
        <f t="shared" si="3"/>
        <v>4484</v>
      </c>
      <c r="F16" s="166">
        <f t="shared" si="3"/>
        <v>543</v>
      </c>
      <c r="G16" s="166">
        <f t="shared" si="3"/>
        <v>401</v>
      </c>
      <c r="H16" s="166">
        <f t="shared" si="3"/>
        <v>3688</v>
      </c>
      <c r="I16" s="166">
        <f t="shared" si="3"/>
        <v>2424</v>
      </c>
      <c r="J16" s="166">
        <f t="shared" si="3"/>
        <v>0</v>
      </c>
      <c r="K16" s="468">
        <f t="shared" si="3"/>
        <v>0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4:16" ht="20.100000000000001" customHeight="1">
      <c r="L17" s="9"/>
      <c r="M17" s="776"/>
      <c r="N17" s="272">
        <v>400</v>
      </c>
      <c r="O17" s="44">
        <v>827275</v>
      </c>
      <c r="P17" s="44">
        <v>1106094</v>
      </c>
    </row>
    <row r="18" spans="4:16" ht="20.100000000000001" customHeight="1">
      <c r="D18" s="2">
        <v>56391</v>
      </c>
      <c r="L18" s="9"/>
      <c r="M18" s="776"/>
      <c r="N18" s="272">
        <v>500</v>
      </c>
      <c r="O18" s="44">
        <v>935411</v>
      </c>
      <c r="P18" s="44">
        <v>1223371</v>
      </c>
    </row>
    <row r="19" spans="4:16" ht="20.100000000000001" customHeight="1">
      <c r="L19" s="9"/>
      <c r="M19" s="776"/>
      <c r="N19" s="272">
        <v>600</v>
      </c>
      <c r="O19" s="44">
        <v>1068860</v>
      </c>
      <c r="P19" s="44">
        <v>1379624</v>
      </c>
    </row>
    <row r="20" spans="4:16" ht="20.100000000000001" customHeight="1">
      <c r="L20" s="9"/>
      <c r="M20" s="776"/>
      <c r="N20" s="272">
        <v>700</v>
      </c>
      <c r="O20" s="44">
        <v>1206659</v>
      </c>
      <c r="P20" s="44">
        <v>1526319</v>
      </c>
    </row>
    <row r="21" spans="4:16" ht="20.100000000000001" customHeight="1">
      <c r="L21" s="9"/>
      <c r="M21" s="776"/>
      <c r="N21" s="272">
        <v>800</v>
      </c>
      <c r="O21" s="44">
        <v>1373571</v>
      </c>
      <c r="P21" s="44">
        <v>1702260</v>
      </c>
    </row>
    <row r="22" spans="4:16" ht="20.100000000000001" customHeight="1">
      <c r="L22" s="9"/>
      <c r="M22" s="776"/>
      <c r="N22" s="272">
        <v>900</v>
      </c>
      <c r="O22" s="44">
        <v>1509424</v>
      </c>
      <c r="P22" s="44">
        <v>1847090</v>
      </c>
    </row>
    <row r="23" spans="4:16" ht="20.100000000000001" customHeight="1">
      <c r="L23" s="9"/>
      <c r="M23" s="776"/>
      <c r="N23" s="272">
        <v>1000</v>
      </c>
      <c r="O23" s="44">
        <v>1730822</v>
      </c>
      <c r="P23" s="44">
        <v>2077609</v>
      </c>
    </row>
    <row r="24" spans="4:16" ht="20.100000000000001" customHeight="1">
      <c r="L24" s="9"/>
      <c r="M24" s="776"/>
      <c r="N24" s="272">
        <v>1100</v>
      </c>
      <c r="O24" s="44">
        <v>1990647</v>
      </c>
      <c r="P24" s="44">
        <v>2359688</v>
      </c>
    </row>
    <row r="25" spans="4:16" ht="20.100000000000001" customHeight="1">
      <c r="L25" s="9"/>
      <c r="M25" s="776"/>
      <c r="N25" s="272">
        <v>1200</v>
      </c>
      <c r="O25" s="44">
        <v>2234280</v>
      </c>
      <c r="P25" s="44">
        <v>2612176</v>
      </c>
    </row>
    <row r="26" spans="4:16" ht="20.100000000000001" customHeight="1"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4:16" ht="20.100000000000001" customHeight="1">
      <c r="L27" s="9"/>
      <c r="M27" s="776"/>
      <c r="N27" s="272">
        <v>300</v>
      </c>
      <c r="O27" s="44">
        <v>525101</v>
      </c>
      <c r="P27" s="44">
        <v>794902</v>
      </c>
    </row>
    <row r="28" spans="4:16" ht="20.100000000000001" customHeight="1">
      <c r="M28" s="776"/>
      <c r="N28" s="272">
        <v>400</v>
      </c>
      <c r="O28" s="44">
        <v>625778</v>
      </c>
      <c r="P28" s="44">
        <v>904597</v>
      </c>
    </row>
    <row r="29" spans="4:16" ht="20.100000000000001" customHeight="1">
      <c r="M29" s="776"/>
      <c r="N29" s="272">
        <v>500</v>
      </c>
      <c r="O29" s="44">
        <v>711507</v>
      </c>
      <c r="P29" s="44">
        <v>999476</v>
      </c>
    </row>
    <row r="30" spans="4:16" ht="20.100000000000001" customHeight="1">
      <c r="M30" s="776"/>
      <c r="N30" s="272">
        <v>600</v>
      </c>
      <c r="O30" s="44">
        <v>810869</v>
      </c>
      <c r="P30" s="44">
        <v>1121644</v>
      </c>
    </row>
    <row r="31" spans="4:16" ht="20.100000000000001" customHeight="1">
      <c r="L31" s="9"/>
      <c r="M31" s="776"/>
      <c r="N31" s="272">
        <v>700</v>
      </c>
      <c r="O31" s="44">
        <v>919311</v>
      </c>
      <c r="P31" s="44">
        <v>1238972</v>
      </c>
    </row>
    <row r="32" spans="4:16" ht="20.100000000000001" customHeight="1">
      <c r="L32" s="29"/>
      <c r="M32" s="776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76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76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76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76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76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76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76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19">
    <mergeCell ref="S3:T3"/>
    <mergeCell ref="M3:M4"/>
    <mergeCell ref="N3:N4"/>
    <mergeCell ref="O3:P3"/>
    <mergeCell ref="Q3:Q4"/>
    <mergeCell ref="R3:R4"/>
    <mergeCell ref="A13:A16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435</v>
      </c>
      <c r="B7" s="781"/>
      <c r="C7" s="787" t="s">
        <v>534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848" t="s">
        <v>715</v>
      </c>
      <c r="B9" s="851"/>
      <c r="C9" s="156">
        <v>3600000</v>
      </c>
      <c r="D9" s="106">
        <v>233</v>
      </c>
      <c r="E9" s="101">
        <f t="shared" ref="E9:E22" si="2">+ROUND($C9*D9/1000000,0)</f>
        <v>839</v>
      </c>
      <c r="F9" s="101">
        <v>29</v>
      </c>
      <c r="G9" s="101">
        <f t="shared" ref="G9:G22" si="3">+ROUND($C9*F9/1000000,0)</f>
        <v>104</v>
      </c>
      <c r="H9" s="101">
        <v>118</v>
      </c>
      <c r="I9" s="101">
        <f t="shared" ref="I9:I22" si="4">+ROUND($C9*H9/1000000,0)</f>
        <v>425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/>
      <c r="B10" s="852"/>
      <c r="C10" s="153">
        <v>3600000</v>
      </c>
      <c r="D10" s="139"/>
      <c r="E10" s="94">
        <f t="shared" si="2"/>
        <v>0</v>
      </c>
      <c r="F10" s="94">
        <v>0</v>
      </c>
      <c r="G10" s="94">
        <f t="shared" si="3"/>
        <v>0</v>
      </c>
      <c r="H10" s="94">
        <v>0</v>
      </c>
      <c r="I10" s="94">
        <f t="shared" si="4"/>
        <v>0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/>
      <c r="B11" s="852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481</v>
      </c>
      <c r="B23" s="777"/>
      <c r="C23" s="165">
        <f>+C20</f>
        <v>3600000</v>
      </c>
      <c r="D23" s="166">
        <f>SUM(D9:D22)</f>
        <v>233</v>
      </c>
      <c r="E23" s="164">
        <f>SUM(E9:E22)</f>
        <v>839</v>
      </c>
      <c r="F23" s="164">
        <f t="shared" ref="F23:K23" si="6">SUM(F9:F20)</f>
        <v>29</v>
      </c>
      <c r="G23" s="164">
        <f t="shared" si="6"/>
        <v>104</v>
      </c>
      <c r="H23" s="164">
        <f t="shared" si="6"/>
        <v>118</v>
      </c>
      <c r="I23" s="164">
        <f t="shared" si="6"/>
        <v>425</v>
      </c>
      <c r="J23" s="164">
        <f t="shared" si="6"/>
        <v>0</v>
      </c>
      <c r="K23" s="165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J7:K7"/>
    <mergeCell ref="A7:B8"/>
    <mergeCell ref="C7:C8"/>
    <mergeCell ref="D7:E7"/>
    <mergeCell ref="F7:G7"/>
    <mergeCell ref="H7:I7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M20:M24"/>
    <mergeCell ref="N20:O20"/>
    <mergeCell ref="A21:B21"/>
    <mergeCell ref="N21:N22"/>
    <mergeCell ref="A22:B22"/>
    <mergeCell ref="A23:B23"/>
    <mergeCell ref="N23:N24"/>
    <mergeCell ref="Q23:T23"/>
    <mergeCell ref="M25:M29"/>
    <mergeCell ref="N25:O25"/>
    <mergeCell ref="N26:N27"/>
    <mergeCell ref="N28:N29"/>
    <mergeCell ref="Q28:T28"/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6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1063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3" t="s">
        <v>435</v>
      </c>
      <c r="B7" s="782"/>
      <c r="C7" s="789" t="s">
        <v>436</v>
      </c>
      <c r="D7" s="781"/>
      <c r="E7" s="781" t="s">
        <v>437</v>
      </c>
      <c r="F7" s="781"/>
      <c r="G7" s="781" t="s">
        <v>438</v>
      </c>
      <c r="H7" s="781"/>
      <c r="I7" s="781" t="s">
        <v>439</v>
      </c>
      <c r="J7" s="782"/>
      <c r="M7" s="2"/>
      <c r="N7" s="2"/>
    </row>
    <row r="8" spans="1:14" ht="30" customHeight="1">
      <c r="A8" s="840"/>
      <c r="B8" s="914"/>
      <c r="C8" s="160" t="s">
        <v>631</v>
      </c>
      <c r="D8" s="273" t="s">
        <v>452</v>
      </c>
      <c r="E8" s="281" t="s">
        <v>631</v>
      </c>
      <c r="F8" s="273" t="s">
        <v>452</v>
      </c>
      <c r="G8" s="281" t="s">
        <v>631</v>
      </c>
      <c r="H8" s="273" t="s">
        <v>452</v>
      </c>
      <c r="I8" s="281" t="s">
        <v>631</v>
      </c>
      <c r="J8" s="274" t="s">
        <v>452</v>
      </c>
      <c r="M8" s="2"/>
      <c r="N8" s="2"/>
    </row>
    <row r="9" spans="1:14" ht="20.100000000000001" customHeight="1">
      <c r="A9" s="912" t="s">
        <v>747</v>
      </c>
      <c r="B9" s="471" t="s">
        <v>943</v>
      </c>
      <c r="C9" s="469">
        <v>0.1</v>
      </c>
      <c r="D9" s="196">
        <f>+ROUND(0.0292*(C9*60*24)+83.662,0)</f>
        <v>88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56">
        <v>0</v>
      </c>
      <c r="K9" s="2">
        <v>5</v>
      </c>
      <c r="M9" s="2"/>
      <c r="N9" s="2"/>
    </row>
    <row r="10" spans="1:14" ht="20.100000000000001" customHeight="1">
      <c r="A10" s="913"/>
      <c r="B10" s="472" t="s">
        <v>944</v>
      </c>
      <c r="C10" s="170">
        <v>0.2</v>
      </c>
      <c r="D10" s="94">
        <f>+ROUND(0.0292*(C10*60*24)+83.662,0)</f>
        <v>92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153">
        <v>0</v>
      </c>
      <c r="M10" s="2"/>
      <c r="N10" s="2"/>
    </row>
    <row r="11" spans="1:14" ht="20.100000000000001" customHeight="1">
      <c r="A11" s="913"/>
      <c r="B11" s="472" t="s">
        <v>945</v>
      </c>
      <c r="C11" s="170">
        <v>0</v>
      </c>
      <c r="D11" s="94">
        <v>0</v>
      </c>
      <c r="E11" s="94">
        <v>0</v>
      </c>
      <c r="F11" s="94">
        <v>0</v>
      </c>
      <c r="G11" s="473">
        <v>0.1</v>
      </c>
      <c r="H11" s="94">
        <f>+ROUND(0.0292*(G11*60*24)+83.662,0)</f>
        <v>88</v>
      </c>
      <c r="I11" s="94">
        <v>0</v>
      </c>
      <c r="J11" s="153">
        <v>0</v>
      </c>
      <c r="M11" s="2"/>
      <c r="N11" s="2"/>
    </row>
    <row r="12" spans="1:14" ht="20.100000000000001" customHeight="1">
      <c r="A12" s="913"/>
      <c r="B12" s="358"/>
      <c r="C12" s="170"/>
      <c r="D12" s="94"/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153">
        <v>0</v>
      </c>
      <c r="M12" s="2"/>
      <c r="N12" s="2"/>
    </row>
    <row r="13" spans="1:14" ht="20.100000000000001" customHeight="1">
      <c r="A13" s="913"/>
      <c r="B13" s="358"/>
      <c r="C13" s="170"/>
      <c r="D13" s="94"/>
      <c r="E13" s="94">
        <v>0</v>
      </c>
      <c r="F13" s="94">
        <v>0</v>
      </c>
      <c r="G13" s="94">
        <v>0</v>
      </c>
      <c r="H13" s="94">
        <v>0</v>
      </c>
      <c r="I13" s="94">
        <v>0</v>
      </c>
      <c r="J13" s="153">
        <v>0</v>
      </c>
      <c r="M13" s="2"/>
      <c r="N13" s="2"/>
    </row>
    <row r="14" spans="1:14" ht="20.100000000000001" customHeight="1">
      <c r="A14" s="913"/>
      <c r="B14" s="358" t="s">
        <v>633</v>
      </c>
      <c r="C14" s="170"/>
      <c r="D14" s="94">
        <f>SUM(D9:D13)</f>
        <v>180</v>
      </c>
      <c r="E14" s="94">
        <v>0</v>
      </c>
      <c r="F14" s="94">
        <v>0</v>
      </c>
      <c r="G14" s="94">
        <v>0</v>
      </c>
      <c r="H14" s="94">
        <f>SUM(H9:H13)</f>
        <v>88</v>
      </c>
      <c r="I14" s="94">
        <v>0</v>
      </c>
      <c r="J14" s="153">
        <v>0</v>
      </c>
      <c r="M14" s="2"/>
      <c r="N14" s="2"/>
    </row>
    <row r="15" spans="1:14" ht="20.100000000000001" customHeight="1">
      <c r="A15" s="910" t="s">
        <v>748</v>
      </c>
      <c r="B15" s="911"/>
      <c r="C15" s="171"/>
      <c r="D15" s="164">
        <f>+D14</f>
        <v>180</v>
      </c>
      <c r="E15" s="164">
        <v>0</v>
      </c>
      <c r="F15" s="164">
        <v>0</v>
      </c>
      <c r="G15" s="164">
        <v>0</v>
      </c>
      <c r="H15" s="164">
        <f>+H14</f>
        <v>88</v>
      </c>
      <c r="I15" s="164">
        <v>0</v>
      </c>
      <c r="J15" s="165">
        <v>0</v>
      </c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/>
    <row r="20" spans="3:14" ht="20.100000000000001" customHeight="1"/>
    <row r="21" spans="3:14" ht="20.100000000000001" customHeight="1"/>
    <row r="22" spans="3:14" ht="20.100000000000001" customHeight="1"/>
    <row r="23" spans="3:14" ht="20.100000000000001" customHeight="1"/>
    <row r="24" spans="3:14" ht="20.100000000000001" customHeight="1"/>
    <row r="25" spans="3:14" ht="20.100000000000001" customHeight="1"/>
    <row r="26" spans="3:14" ht="20.100000000000001" customHeight="1"/>
    <row r="27" spans="3:14" ht="20.100000000000001" customHeight="1"/>
    <row r="28" spans="3:14" ht="20.100000000000001" customHeight="1"/>
    <row r="29" spans="3:14" ht="20.100000000000001" customHeight="1"/>
    <row r="30" spans="3:14" ht="20.100000000000001" customHeight="1"/>
    <row r="31" spans="3:14" ht="20.100000000000001" customHeight="1"/>
    <row r="32" spans="3:14" ht="20.100000000000001" customHeight="1"/>
    <row r="33" ht="20.100000000000001" customHeight="1"/>
    <row r="34" ht="20.100000000000001" customHeight="1"/>
    <row r="35" ht="20.100000000000001" customHeight="1"/>
    <row r="36" ht="20.100000000000001" customHeight="1"/>
    <row r="37" ht="20.100000000000001" customHeight="1"/>
    <row r="38" ht="20.100000000000001" customHeight="1"/>
    <row r="39" ht="20.100000000000001" customHeight="1"/>
    <row r="40" ht="20.100000000000001" customHeight="1"/>
    <row r="41" ht="20.100000000000001" customHeight="1"/>
    <row r="42" ht="20.100000000000001" customHeight="1"/>
    <row r="43" ht="20.100000000000001" customHeight="1"/>
    <row r="44" ht="20.100000000000001" customHeight="1"/>
    <row r="45" ht="20.100000000000001" customHeight="1"/>
    <row r="46" ht="20.100000000000001" customHeight="1"/>
    <row r="47" ht="20.100000000000001" customHeight="1"/>
    <row r="48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</sheetData>
  <mergeCells count="7">
    <mergeCell ref="I7:J7"/>
    <mergeCell ref="A15:B15"/>
    <mergeCell ref="A9:A14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topLeftCell="A40" zoomScaleNormal="100" zoomScaleSheetLayoutView="100" workbookViewId="0">
      <selection activeCell="C56" sqref="C56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961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+'가.굴착교체(생극-오수지선)'!I16</f>
        <v>0</v>
      </c>
      <c r="C5" s="101">
        <f>+'가.굴착교체(생극-오수지선)'!K16</f>
        <v>0</v>
      </c>
      <c r="D5" s="101">
        <f>+'가.굴착교체(생극-오수지선)'!M16</f>
        <v>0</v>
      </c>
      <c r="E5" s="101">
        <f>+'가.굴착교체(생극-오수지선)'!O16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+'나.전체보수(생극-오수지선)'!E13</f>
        <v>0</v>
      </c>
      <c r="C6" s="94">
        <f>+'나.전체보수(생극-오수지선)'!G13</f>
        <v>0</v>
      </c>
      <c r="D6" s="94">
        <f>+'나.전체보수(생극-오수지선)'!I13</f>
        <v>0</v>
      </c>
      <c r="E6" s="94">
        <f>+'나.전체보수(생극-오수지선)'!K13</f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+'다.부분보수(생극-오수지선)'!E13</f>
        <v>0</v>
      </c>
      <c r="C7" s="94">
        <f>+'다.부분보수(생극-오수지선)'!G13</f>
        <v>0</v>
      </c>
      <c r="D7" s="94">
        <f>+'다.부분보수(생극-오수지선)'!I13</f>
        <v>0</v>
      </c>
      <c r="E7" s="94">
        <f>+'다.부분보수(생극-오수지선)'!K13</f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/>
      <c r="C8" s="399">
        <f>ROUND('1.5.5 오수관로신설'!C7*0.03,0)</f>
        <v>0</v>
      </c>
      <c r="D8" s="399"/>
      <c r="E8" s="399">
        <f>ROUND('1.5.5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7">
        <f>+C9</f>
        <v>0</v>
      </c>
      <c r="D14" s="117">
        <f>+D9</f>
        <v>0</v>
      </c>
      <c r="E14" s="117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16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450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448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4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4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74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5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6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7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477</v>
      </c>
      <c r="D38" s="12"/>
      <c r="G38" s="9"/>
      <c r="H38" s="9" t="s">
        <v>476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461</v>
      </c>
      <c r="B41" s="117">
        <f>+B14</f>
        <v>0</v>
      </c>
      <c r="C41" s="115">
        <f>+C14</f>
        <v>0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450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462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749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47" t="s">
        <v>452</v>
      </c>
      <c r="B52" s="148">
        <f>+B9</f>
        <v>0</v>
      </c>
      <c r="C52" s="149">
        <f>+C9</f>
        <v>0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v>0</v>
      </c>
      <c r="C57" s="146" t="e">
        <f>+ROUND(C56*J6,0)</f>
        <v>#DIV/0!</v>
      </c>
      <c r="D57" s="146">
        <v>0</v>
      </c>
      <c r="E57" s="146"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 t="e">
        <f>+C56-C57</f>
        <v>#DIV/0!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"/>
  <sheetViews>
    <sheetView view="pageBreakPreview" topLeftCell="A7" zoomScaleNormal="100" zoomScaleSheetLayoutView="100" workbookViewId="0">
      <selection activeCell="C56" sqref="C56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76" t="s">
        <v>64</v>
      </c>
      <c r="R3" s="776" t="s">
        <v>511</v>
      </c>
      <c r="S3" s="776" t="s">
        <v>66</v>
      </c>
      <c r="T3" s="776"/>
      <c r="V3" s="844" t="s">
        <v>64</v>
      </c>
      <c r="W3" s="776" t="s">
        <v>511</v>
      </c>
      <c r="X3" s="776" t="s">
        <v>66</v>
      </c>
      <c r="Y3" s="776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76"/>
      <c r="R4" s="776"/>
      <c r="S4" s="272" t="s">
        <v>67</v>
      </c>
      <c r="T4" s="272" t="s">
        <v>68</v>
      </c>
      <c r="V4" s="844"/>
      <c r="W4" s="776"/>
      <c r="X4" s="579" t="s">
        <v>67</v>
      </c>
      <c r="Y4" s="579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76" t="s">
        <v>69</v>
      </c>
      <c r="R5" s="272">
        <v>300</v>
      </c>
      <c r="S5" s="44">
        <v>512740</v>
      </c>
      <c r="T5" s="44">
        <v>782541</v>
      </c>
      <c r="V5" s="845" t="s">
        <v>70</v>
      </c>
      <c r="W5" s="579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76"/>
      <c r="R6" s="272">
        <v>400</v>
      </c>
      <c r="S6" s="44">
        <v>580188</v>
      </c>
      <c r="T6" s="44">
        <v>859007</v>
      </c>
      <c r="V6" s="846"/>
      <c r="W6" s="579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76"/>
      <c r="R7" s="272">
        <v>500</v>
      </c>
      <c r="S7" s="44">
        <v>624861</v>
      </c>
      <c r="T7" s="44">
        <v>912820</v>
      </c>
      <c r="V7" s="846"/>
      <c r="W7" s="579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76"/>
      <c r="R8" s="272">
        <v>600</v>
      </c>
      <c r="S8" s="44">
        <v>705821</v>
      </c>
      <c r="T8" s="44">
        <v>1016585</v>
      </c>
      <c r="V8" s="846"/>
      <c r="W8" s="579">
        <v>200</v>
      </c>
      <c r="X8" s="44">
        <v>172293</v>
      </c>
      <c r="Y8" s="44">
        <v>405664</v>
      </c>
    </row>
    <row r="9" spans="1:25" ht="20.100000000000001" customHeight="1">
      <c r="A9" s="783" t="s">
        <v>655</v>
      </c>
      <c r="B9" s="781" t="s">
        <v>656</v>
      </c>
      <c r="C9" s="785" t="s">
        <v>657</v>
      </c>
      <c r="D9" s="785" t="s">
        <v>658</v>
      </c>
      <c r="E9" s="785" t="s">
        <v>659</v>
      </c>
      <c r="F9" s="785" t="s">
        <v>513</v>
      </c>
      <c r="G9" s="787" t="s">
        <v>514</v>
      </c>
      <c r="H9" s="783" t="s">
        <v>436</v>
      </c>
      <c r="I9" s="781"/>
      <c r="J9" s="781" t="s">
        <v>437</v>
      </c>
      <c r="K9" s="781"/>
      <c r="L9" s="781" t="s">
        <v>438</v>
      </c>
      <c r="M9" s="781"/>
      <c r="N9" s="781" t="s">
        <v>439</v>
      </c>
      <c r="O9" s="782"/>
      <c r="Q9" s="776"/>
      <c r="R9" s="272">
        <v>700</v>
      </c>
      <c r="S9" s="44">
        <v>782918</v>
      </c>
      <c r="T9" s="44">
        <v>1102578</v>
      </c>
      <c r="V9" s="846"/>
      <c r="W9" s="579">
        <v>300</v>
      </c>
      <c r="X9" s="44">
        <v>248738</v>
      </c>
      <c r="Y9" s="44">
        <v>494561</v>
      </c>
    </row>
    <row r="10" spans="1:25" ht="20.100000000000001" customHeight="1">
      <c r="A10" s="784"/>
      <c r="B10" s="777"/>
      <c r="C10" s="777"/>
      <c r="D10" s="786"/>
      <c r="E10" s="786"/>
      <c r="F10" s="786"/>
      <c r="G10" s="788"/>
      <c r="H10" s="620" t="s">
        <v>515</v>
      </c>
      <c r="I10" s="580" t="s">
        <v>452</v>
      </c>
      <c r="J10" s="586" t="s">
        <v>515</v>
      </c>
      <c r="K10" s="580" t="s">
        <v>452</v>
      </c>
      <c r="L10" s="586" t="s">
        <v>515</v>
      </c>
      <c r="M10" s="580" t="s">
        <v>452</v>
      </c>
      <c r="N10" s="586" t="s">
        <v>515</v>
      </c>
      <c r="O10" s="581" t="s">
        <v>452</v>
      </c>
      <c r="P10" s="67"/>
      <c r="Q10" s="776"/>
      <c r="R10" s="272">
        <v>800</v>
      </c>
      <c r="S10" s="44">
        <v>854676</v>
      </c>
      <c r="T10" s="44">
        <v>1183365</v>
      </c>
      <c r="V10" s="846"/>
      <c r="W10" s="579">
        <v>400</v>
      </c>
      <c r="X10" s="44">
        <v>348039</v>
      </c>
      <c r="Y10" s="44">
        <v>606519</v>
      </c>
    </row>
    <row r="11" spans="1:25" ht="20.100000000000001" customHeight="1">
      <c r="A11" s="915" t="s">
        <v>946</v>
      </c>
      <c r="B11" s="917" t="s">
        <v>946</v>
      </c>
      <c r="C11" s="781"/>
      <c r="D11" s="461">
        <v>11</v>
      </c>
      <c r="E11" s="461">
        <v>11</v>
      </c>
      <c r="F11" s="585">
        <v>150</v>
      </c>
      <c r="G11" s="112">
        <f>Y7*$P$1</f>
        <v>550062</v>
      </c>
      <c r="H11" s="461">
        <v>0</v>
      </c>
      <c r="I11" s="461">
        <f>+ROUND($G11*H11/1000000,0)</f>
        <v>0</v>
      </c>
      <c r="J11" s="461"/>
      <c r="K11" s="461">
        <f>+ROUND($G11*J11/1000000,0)</f>
        <v>0</v>
      </c>
      <c r="L11" s="461">
        <v>0</v>
      </c>
      <c r="M11" s="461">
        <f>+ROUND($G11*L11/1000000,0)</f>
        <v>0</v>
      </c>
      <c r="N11" s="461">
        <v>0</v>
      </c>
      <c r="O11" s="621">
        <f>+ROUND($G11*N11/1000000,0)</f>
        <v>0</v>
      </c>
      <c r="P11" s="67"/>
      <c r="Q11" s="776"/>
      <c r="R11" s="272">
        <v>900</v>
      </c>
      <c r="S11" s="44">
        <v>945775</v>
      </c>
      <c r="T11" s="44">
        <v>1283451</v>
      </c>
      <c r="V11" s="846"/>
      <c r="W11" s="579">
        <v>500</v>
      </c>
      <c r="X11" s="44">
        <v>453129</v>
      </c>
      <c r="Y11" s="44">
        <v>724142</v>
      </c>
    </row>
    <row r="12" spans="1:25" ht="20.100000000000001" customHeight="1">
      <c r="A12" s="916"/>
      <c r="B12" s="918"/>
      <c r="C12" s="852"/>
      <c r="D12" s="461">
        <v>39</v>
      </c>
      <c r="E12" s="461">
        <v>39</v>
      </c>
      <c r="F12" s="198">
        <v>200</v>
      </c>
      <c r="G12" s="112">
        <f>T25*$P$1</f>
        <v>1106772</v>
      </c>
      <c r="H12" s="461">
        <v>0</v>
      </c>
      <c r="I12" s="461">
        <f>+ROUND($G12*H12/1000000,0)</f>
        <v>0</v>
      </c>
      <c r="J12" s="461"/>
      <c r="K12" s="461">
        <f>+ROUND($G12*J12/1000000,0)</f>
        <v>0</v>
      </c>
      <c r="L12" s="461">
        <v>0</v>
      </c>
      <c r="M12" s="461">
        <f>+ROUND($G12*L12/1000000,0)</f>
        <v>0</v>
      </c>
      <c r="N12" s="461">
        <v>0</v>
      </c>
      <c r="O12" s="621">
        <f>+ROUND($G12*N12/1000000,0)</f>
        <v>0</v>
      </c>
      <c r="P12" s="67"/>
      <c r="Q12" s="776"/>
      <c r="R12" s="272">
        <v>1000</v>
      </c>
      <c r="S12" s="44">
        <v>1051853</v>
      </c>
      <c r="T12" s="44">
        <v>1398649</v>
      </c>
      <c r="V12" s="846"/>
      <c r="W12" s="579">
        <v>600</v>
      </c>
      <c r="X12" s="44">
        <v>563069</v>
      </c>
      <c r="Y12" s="44">
        <v>846789</v>
      </c>
    </row>
    <row r="13" spans="1:25" ht="20.100000000000001" customHeight="1">
      <c r="A13" s="916"/>
      <c r="B13" s="918"/>
      <c r="C13" s="852"/>
      <c r="D13" s="461">
        <v>8</v>
      </c>
      <c r="E13" s="461">
        <v>8</v>
      </c>
      <c r="F13" s="462">
        <v>250</v>
      </c>
      <c r="G13" s="112">
        <f>(T25+T26)/2*$P$1</f>
        <v>1149562.5</v>
      </c>
      <c r="H13" s="461">
        <v>0</v>
      </c>
      <c r="I13" s="461">
        <f>+ROUND($G13*H13/1000000,0)</f>
        <v>0</v>
      </c>
      <c r="J13" s="461"/>
      <c r="K13" s="461">
        <f>+ROUND($G13*J13/1000000,0)</f>
        <v>0</v>
      </c>
      <c r="L13" s="461">
        <v>0</v>
      </c>
      <c r="M13" s="461">
        <f>+ROUND($G13*L13/1000000,0)</f>
        <v>0</v>
      </c>
      <c r="N13" s="461">
        <v>0</v>
      </c>
      <c r="O13" s="621">
        <f>+ROUND($G13*N13/1000000,0)</f>
        <v>0</v>
      </c>
      <c r="P13" s="67"/>
      <c r="Q13" s="776"/>
      <c r="R13" s="272">
        <v>1200</v>
      </c>
      <c r="S13" s="44">
        <v>1313909</v>
      </c>
      <c r="T13" s="44">
        <v>1691805</v>
      </c>
      <c r="V13" s="846"/>
      <c r="W13" s="579">
        <v>700</v>
      </c>
      <c r="X13" s="44">
        <v>708878</v>
      </c>
      <c r="Y13" s="44">
        <v>1005274</v>
      </c>
    </row>
    <row r="14" spans="1:25" ht="20.100000000000001" customHeight="1">
      <c r="A14" s="916"/>
      <c r="B14" s="918"/>
      <c r="C14" s="852"/>
      <c r="D14" s="461">
        <v>23</v>
      </c>
      <c r="E14" s="461">
        <v>23</v>
      </c>
      <c r="F14" s="462">
        <v>300</v>
      </c>
      <c r="G14" s="112">
        <f>T26*$P$1</f>
        <v>1192353</v>
      </c>
      <c r="H14" s="461">
        <v>0</v>
      </c>
      <c r="I14" s="461">
        <f>+ROUND($G14*H14/1000000,0)</f>
        <v>0</v>
      </c>
      <c r="J14" s="461"/>
      <c r="K14" s="461">
        <f>+ROUND($G14*J14/1000000,0)</f>
        <v>0</v>
      </c>
      <c r="L14" s="461">
        <v>0</v>
      </c>
      <c r="M14" s="461">
        <f>+ROUND($G14*L14/1000000,0)</f>
        <v>0</v>
      </c>
      <c r="N14" s="461">
        <v>0</v>
      </c>
      <c r="O14" s="621">
        <f>+ROUND($G14*N14/1000000,0)</f>
        <v>0</v>
      </c>
      <c r="P14" s="67"/>
      <c r="Q14" s="776"/>
      <c r="R14" s="272">
        <v>1350</v>
      </c>
      <c r="S14" s="44">
        <v>1519849</v>
      </c>
      <c r="T14" s="44">
        <v>1910605</v>
      </c>
      <c r="V14" s="847"/>
      <c r="W14" s="579">
        <v>800</v>
      </c>
      <c r="X14" s="44">
        <v>860005</v>
      </c>
      <c r="Y14" s="44">
        <v>1169007</v>
      </c>
    </row>
    <row r="15" spans="1:25" ht="20.100000000000001" customHeight="1">
      <c r="A15" s="916"/>
      <c r="B15" s="918"/>
      <c r="C15" s="852"/>
      <c r="D15" s="461">
        <v>1</v>
      </c>
      <c r="E15" s="461">
        <v>1</v>
      </c>
      <c r="F15" s="462">
        <v>400</v>
      </c>
      <c r="G15" s="112">
        <f>T27*$P$1</f>
        <v>1356895.5</v>
      </c>
      <c r="H15" s="461">
        <v>0</v>
      </c>
      <c r="I15" s="461">
        <f>+ROUND($G15*H15/1000000,0)</f>
        <v>0</v>
      </c>
      <c r="J15" s="461"/>
      <c r="K15" s="461">
        <f>+ROUND($G15*J15/1000000,0)</f>
        <v>0</v>
      </c>
      <c r="L15" s="461">
        <v>0</v>
      </c>
      <c r="M15" s="461">
        <f>+ROUND($G15*L15/1000000,0)</f>
        <v>0</v>
      </c>
      <c r="N15" s="461">
        <v>0</v>
      </c>
      <c r="O15" s="621">
        <f>+ROUND($G15*N15/1000000,0)</f>
        <v>0</v>
      </c>
      <c r="P15" s="72" t="s">
        <v>660</v>
      </c>
      <c r="Q15" s="776" t="s">
        <v>76</v>
      </c>
      <c r="R15" s="272">
        <v>300</v>
      </c>
      <c r="S15" s="44">
        <v>707247</v>
      </c>
      <c r="T15" s="44">
        <v>977038</v>
      </c>
    </row>
    <row r="16" spans="1:25" ht="20.100000000000001" customHeight="1">
      <c r="A16" s="584" t="s">
        <v>750</v>
      </c>
      <c r="B16" s="580"/>
      <c r="C16" s="580"/>
      <c r="D16" s="474">
        <f>SUM(D11:D15)</f>
        <v>82</v>
      </c>
      <c r="E16" s="474">
        <f>SUM(E11:E15)</f>
        <v>82</v>
      </c>
      <c r="F16" s="167"/>
      <c r="G16" s="164"/>
      <c r="H16" s="622">
        <f>SUM(H13:H15)</f>
        <v>0</v>
      </c>
      <c r="I16" s="622">
        <f>SUM(I13:I15)</f>
        <v>0</v>
      </c>
      <c r="J16" s="622">
        <f>SUM(J11:J15)</f>
        <v>0</v>
      </c>
      <c r="K16" s="622">
        <f>SUM(K11:K15)</f>
        <v>0</v>
      </c>
      <c r="L16" s="622">
        <f>SUM(L13:L15)</f>
        <v>0</v>
      </c>
      <c r="M16" s="622">
        <f>SUM(M13:M15)</f>
        <v>0</v>
      </c>
      <c r="N16" s="622">
        <f>SUM(N13:N15)</f>
        <v>0</v>
      </c>
      <c r="O16" s="623">
        <f>SUM(O13:O15)</f>
        <v>0</v>
      </c>
      <c r="P16" s="67"/>
      <c r="Q16" s="776"/>
      <c r="R16" s="272">
        <v>400</v>
      </c>
      <c r="S16" s="44">
        <v>827275</v>
      </c>
      <c r="T16" s="44">
        <v>1106094</v>
      </c>
      <c r="V16" s="200">
        <v>2.29</v>
      </c>
      <c r="W16" s="202">
        <v>0.68700000000000006</v>
      </c>
    </row>
    <row r="17" spans="5:23" ht="20.100000000000001" customHeight="1">
      <c r="P17" s="67"/>
      <c r="Q17" s="776"/>
      <c r="R17" s="272">
        <v>500</v>
      </c>
      <c r="S17" s="44">
        <v>935411</v>
      </c>
      <c r="T17" s="44">
        <v>1223371</v>
      </c>
      <c r="V17" s="200">
        <v>5.61</v>
      </c>
      <c r="W17" s="202">
        <v>1.6830000000000001</v>
      </c>
    </row>
    <row r="18" spans="5:23" ht="20.100000000000001" customHeight="1">
      <c r="E18" s="2">
        <v>2187</v>
      </c>
      <c r="F18" s="2">
        <v>250</v>
      </c>
      <c r="G18" s="2">
        <v>0.24</v>
      </c>
      <c r="H18" s="2">
        <f>ROUND($E$18*G18,0)</f>
        <v>525</v>
      </c>
      <c r="I18" s="2">
        <f>ROUND(H18*1,0)</f>
        <v>525</v>
      </c>
      <c r="J18" s="2">
        <f>ROUND(H18*0,0)</f>
        <v>0</v>
      </c>
      <c r="K18" s="2">
        <f>H18-I18-J18</f>
        <v>0</v>
      </c>
      <c r="P18" s="67"/>
      <c r="Q18" s="776"/>
      <c r="R18" s="272">
        <v>600</v>
      </c>
      <c r="S18" s="44">
        <v>1068860</v>
      </c>
      <c r="T18" s="44">
        <v>1379624</v>
      </c>
      <c r="V18" s="200">
        <v>24.15</v>
      </c>
      <c r="W18" s="202">
        <v>7.2450000000000001</v>
      </c>
    </row>
    <row r="19" spans="5:23" ht="20.100000000000001" customHeight="1">
      <c r="F19" s="2">
        <v>300</v>
      </c>
      <c r="G19" s="2">
        <v>0.72</v>
      </c>
      <c r="H19" s="2">
        <f>ROUND($E$18*G19,0)</f>
        <v>1575</v>
      </c>
      <c r="I19" s="2">
        <f t="shared" ref="I19:I26" si="0">ROUND(H19*1,0)</f>
        <v>1575</v>
      </c>
      <c r="J19" s="2">
        <f t="shared" ref="J19:J26" si="1">ROUND(H19*0,0)</f>
        <v>0</v>
      </c>
      <c r="K19" s="2">
        <f t="shared" ref="K19:K26" si="2">H19-I19-J19</f>
        <v>0</v>
      </c>
      <c r="P19" s="67"/>
      <c r="Q19" s="776"/>
      <c r="R19" s="272">
        <v>700</v>
      </c>
      <c r="S19" s="44">
        <v>1206659</v>
      </c>
      <c r="T19" s="44">
        <v>1526319</v>
      </c>
      <c r="V19" s="200">
        <v>2.2999999999999998</v>
      </c>
      <c r="W19" s="202">
        <v>0.69</v>
      </c>
    </row>
    <row r="20" spans="5:23" ht="20.100000000000001" customHeight="1">
      <c r="F20" s="2">
        <v>400</v>
      </c>
      <c r="G20" s="2">
        <v>0</v>
      </c>
      <c r="H20" s="2">
        <f t="shared" ref="H20:H28" si="3">ROUND($E$18*G20,0)</f>
        <v>0</v>
      </c>
      <c r="I20" s="2">
        <f t="shared" si="0"/>
        <v>0</v>
      </c>
      <c r="J20" s="2">
        <f t="shared" si="1"/>
        <v>0</v>
      </c>
      <c r="K20" s="2">
        <f t="shared" si="2"/>
        <v>0</v>
      </c>
      <c r="P20" s="67"/>
      <c r="Q20" s="776"/>
      <c r="R20" s="272">
        <v>800</v>
      </c>
      <c r="S20" s="44">
        <v>1373571</v>
      </c>
      <c r="T20" s="44">
        <v>1702260</v>
      </c>
      <c r="V20" s="200">
        <v>2.41</v>
      </c>
      <c r="W20" s="202">
        <v>0.72299999999999998</v>
      </c>
    </row>
    <row r="21" spans="5:23" ht="20.100000000000001" customHeight="1">
      <c r="F21" s="2">
        <v>450</v>
      </c>
      <c r="G21" s="2">
        <v>0</v>
      </c>
      <c r="H21" s="2">
        <f t="shared" si="3"/>
        <v>0</v>
      </c>
      <c r="I21" s="2">
        <f t="shared" si="0"/>
        <v>0</v>
      </c>
      <c r="J21" s="2">
        <f t="shared" si="1"/>
        <v>0</v>
      </c>
      <c r="K21" s="2">
        <f t="shared" si="2"/>
        <v>0</v>
      </c>
      <c r="P21" s="67"/>
      <c r="Q21" s="776"/>
      <c r="R21" s="272">
        <v>900</v>
      </c>
      <c r="S21" s="44">
        <v>1509424</v>
      </c>
      <c r="T21" s="44">
        <v>1847090</v>
      </c>
      <c r="V21" s="200">
        <v>9.57</v>
      </c>
      <c r="W21" s="202">
        <v>2.871</v>
      </c>
    </row>
    <row r="22" spans="5:23" ht="20.100000000000001" customHeight="1">
      <c r="F22" s="2">
        <v>500</v>
      </c>
      <c r="G22" s="2">
        <v>0</v>
      </c>
      <c r="H22" s="2">
        <f t="shared" si="3"/>
        <v>0</v>
      </c>
      <c r="I22" s="2">
        <f t="shared" si="0"/>
        <v>0</v>
      </c>
      <c r="J22" s="2">
        <f t="shared" si="1"/>
        <v>0</v>
      </c>
      <c r="K22" s="2">
        <f t="shared" si="2"/>
        <v>0</v>
      </c>
      <c r="P22" s="67"/>
      <c r="Q22" s="776"/>
      <c r="R22" s="272">
        <v>1000</v>
      </c>
      <c r="S22" s="44">
        <v>1730822</v>
      </c>
      <c r="T22" s="44">
        <v>2077609</v>
      </c>
      <c r="V22" s="200">
        <v>6.41</v>
      </c>
      <c r="W22" s="202">
        <v>1.923</v>
      </c>
    </row>
    <row r="23" spans="5:23" ht="20.100000000000001" customHeight="1">
      <c r="F23" s="2">
        <v>600</v>
      </c>
      <c r="G23" s="2">
        <v>0</v>
      </c>
      <c r="H23" s="2">
        <f t="shared" si="3"/>
        <v>0</v>
      </c>
      <c r="I23" s="2">
        <f t="shared" si="0"/>
        <v>0</v>
      </c>
      <c r="J23" s="2">
        <f t="shared" si="1"/>
        <v>0</v>
      </c>
      <c r="K23" s="2">
        <f t="shared" si="2"/>
        <v>0</v>
      </c>
      <c r="P23" s="67"/>
      <c r="Q23" s="776"/>
      <c r="R23" s="272">
        <v>1100</v>
      </c>
      <c r="S23" s="44">
        <v>1990647</v>
      </c>
      <c r="T23" s="44">
        <v>2359688</v>
      </c>
      <c r="V23" s="200">
        <v>1.47</v>
      </c>
      <c r="W23" s="202">
        <v>0.441</v>
      </c>
    </row>
    <row r="24" spans="5:23" ht="20.100000000000001" customHeight="1">
      <c r="F24" s="2">
        <v>700</v>
      </c>
      <c r="G24" s="2">
        <v>0</v>
      </c>
      <c r="H24" s="2">
        <f t="shared" si="3"/>
        <v>0</v>
      </c>
      <c r="I24" s="2">
        <f t="shared" si="0"/>
        <v>0</v>
      </c>
      <c r="J24" s="2">
        <f t="shared" si="1"/>
        <v>0</v>
      </c>
      <c r="K24" s="2">
        <f t="shared" si="2"/>
        <v>0</v>
      </c>
      <c r="P24" s="67"/>
      <c r="Q24" s="776"/>
      <c r="R24" s="272">
        <v>1200</v>
      </c>
      <c r="S24" s="44">
        <v>2234280</v>
      </c>
      <c r="T24" s="44">
        <v>2612176</v>
      </c>
      <c r="V24" s="200">
        <v>2.46</v>
      </c>
      <c r="W24" s="202">
        <v>0.73799999999999999</v>
      </c>
    </row>
    <row r="25" spans="5:23" ht="20.100000000000001" customHeight="1">
      <c r="F25" s="2">
        <v>800</v>
      </c>
      <c r="G25" s="2">
        <v>0.04</v>
      </c>
      <c r="H25" s="2">
        <f t="shared" si="3"/>
        <v>87</v>
      </c>
      <c r="I25" s="2">
        <f t="shared" si="0"/>
        <v>87</v>
      </c>
      <c r="J25" s="2">
        <f t="shared" si="1"/>
        <v>0</v>
      </c>
      <c r="K25" s="2">
        <f t="shared" si="2"/>
        <v>0</v>
      </c>
      <c r="P25" s="67"/>
      <c r="Q25" s="776" t="s">
        <v>77</v>
      </c>
      <c r="R25" s="272">
        <v>200</v>
      </c>
      <c r="S25" s="44">
        <v>476678</v>
      </c>
      <c r="T25" s="44">
        <v>737848</v>
      </c>
      <c r="V25" s="200">
        <v>2.36</v>
      </c>
      <c r="W25" s="202">
        <v>0.70799999999999996</v>
      </c>
    </row>
    <row r="26" spans="5:23" ht="20.100000000000001" customHeight="1" thickBot="1">
      <c r="F26" s="2">
        <v>900</v>
      </c>
      <c r="G26" s="2">
        <v>0</v>
      </c>
      <c r="H26" s="2">
        <f t="shared" si="3"/>
        <v>0</v>
      </c>
      <c r="I26" s="2">
        <f t="shared" si="0"/>
        <v>0</v>
      </c>
      <c r="J26" s="2">
        <f t="shared" si="1"/>
        <v>0</v>
      </c>
      <c r="K26" s="2">
        <f t="shared" si="2"/>
        <v>0</v>
      </c>
      <c r="P26" s="67"/>
      <c r="Q26" s="776"/>
      <c r="R26" s="272">
        <v>300</v>
      </c>
      <c r="S26" s="44">
        <v>525101</v>
      </c>
      <c r="T26" s="44">
        <v>794902</v>
      </c>
      <c r="V26" s="201">
        <v>6.1</v>
      </c>
      <c r="W26" s="203">
        <v>1.83</v>
      </c>
    </row>
    <row r="27" spans="5:23" ht="20.100000000000001" customHeight="1" thickTop="1">
      <c r="F27" s="2">
        <v>1000</v>
      </c>
      <c r="G27" s="2">
        <v>0</v>
      </c>
      <c r="H27" s="2">
        <f t="shared" si="3"/>
        <v>0</v>
      </c>
      <c r="I27" s="2">
        <f>ROUND(H27*0.8,0)</f>
        <v>0</v>
      </c>
      <c r="J27" s="2">
        <f>ROUND(H27*0.15,0)</f>
        <v>0</v>
      </c>
      <c r="K27" s="2">
        <f>H27-I27-J27</f>
        <v>0</v>
      </c>
      <c r="Q27" s="776"/>
      <c r="R27" s="272">
        <v>400</v>
      </c>
      <c r="S27" s="44">
        <v>625778</v>
      </c>
      <c r="T27" s="44">
        <v>904597</v>
      </c>
    </row>
    <row r="28" spans="5:23" ht="20.100000000000001" customHeight="1">
      <c r="F28" s="2">
        <v>1200</v>
      </c>
      <c r="G28" s="2">
        <v>0</v>
      </c>
      <c r="H28" s="2">
        <f t="shared" si="3"/>
        <v>0</v>
      </c>
      <c r="I28" s="2">
        <f>ROUND(H28*0.8,0)</f>
        <v>0</v>
      </c>
      <c r="J28" s="2">
        <f>ROUND(H28*0.15,0)</f>
        <v>0</v>
      </c>
      <c r="K28" s="2">
        <f>H28-I28-J28</f>
        <v>0</v>
      </c>
      <c r="Q28" s="776"/>
      <c r="R28" s="272">
        <v>500</v>
      </c>
      <c r="S28" s="44">
        <v>711507</v>
      </c>
      <c r="T28" s="44">
        <v>999476</v>
      </c>
    </row>
    <row r="29" spans="5:23" ht="20.100000000000001" customHeight="1">
      <c r="Q29" s="776"/>
      <c r="R29" s="272">
        <v>600</v>
      </c>
      <c r="S29" s="44">
        <v>810869</v>
      </c>
      <c r="T29" s="44">
        <v>1121644</v>
      </c>
    </row>
    <row r="30" spans="5:23" ht="20.100000000000001" customHeight="1">
      <c r="P30" s="67"/>
      <c r="Q30" s="776"/>
      <c r="R30" s="272">
        <v>700</v>
      </c>
      <c r="S30" s="44">
        <v>919311</v>
      </c>
      <c r="T30" s="44">
        <v>1238972</v>
      </c>
    </row>
    <row r="31" spans="5:23" ht="20.100000000000001" customHeight="1">
      <c r="P31" s="29"/>
      <c r="Q31" s="776"/>
      <c r="R31" s="272">
        <v>800</v>
      </c>
      <c r="S31" s="44">
        <v>1030780</v>
      </c>
      <c r="T31" s="44">
        <v>1359468</v>
      </c>
    </row>
    <row r="32" spans="5:23" ht="20.100000000000001" customHeight="1">
      <c r="P32" s="45"/>
      <c r="Q32" s="776"/>
      <c r="R32" s="272">
        <v>900</v>
      </c>
      <c r="S32" s="44">
        <v>1120686</v>
      </c>
      <c r="T32" s="44">
        <v>1458352</v>
      </c>
    </row>
    <row r="33" spans="16:20" ht="20.100000000000001" customHeight="1">
      <c r="P33" s="45"/>
      <c r="Q33" s="776"/>
      <c r="R33" s="272">
        <v>1000</v>
      </c>
      <c r="S33" s="44">
        <v>1252157</v>
      </c>
      <c r="T33" s="44">
        <v>1598943</v>
      </c>
    </row>
    <row r="34" spans="16:20" ht="20.100000000000001" customHeight="1">
      <c r="P34" s="35"/>
      <c r="Q34" s="776"/>
      <c r="R34" s="272">
        <v>1200</v>
      </c>
      <c r="S34" s="44">
        <v>1519329</v>
      </c>
      <c r="T34" s="44">
        <v>1897235</v>
      </c>
    </row>
    <row r="35" spans="16:20" ht="20.100000000000001" customHeight="1">
      <c r="P35" s="35"/>
      <c r="Q35" s="776" t="s">
        <v>751</v>
      </c>
      <c r="R35" s="272" t="s">
        <v>79</v>
      </c>
      <c r="S35" s="44">
        <v>1813280</v>
      </c>
      <c r="T35" s="44">
        <v>2098936</v>
      </c>
    </row>
    <row r="36" spans="16:20" ht="20.100000000000001" customHeight="1">
      <c r="P36" s="36"/>
      <c r="Q36" s="776"/>
      <c r="R36" s="272" t="s">
        <v>80</v>
      </c>
      <c r="S36" s="44">
        <v>1980997</v>
      </c>
      <c r="T36" s="44">
        <v>2266643</v>
      </c>
    </row>
    <row r="37" spans="16:20" ht="20.100000000000001" customHeight="1">
      <c r="P37" s="35"/>
      <c r="Q37" s="776"/>
      <c r="R37" s="272" t="s">
        <v>81</v>
      </c>
      <c r="S37" s="44">
        <v>2008266</v>
      </c>
      <c r="T37" s="44">
        <v>2293922</v>
      </c>
    </row>
    <row r="38" spans="16:20" ht="20.100000000000001" customHeight="1">
      <c r="P38" s="35"/>
      <c r="Q38" s="776"/>
      <c r="R38" s="272" t="s">
        <v>82</v>
      </c>
      <c r="S38" s="44">
        <v>2087044</v>
      </c>
      <c r="T38" s="44">
        <v>2432231</v>
      </c>
    </row>
    <row r="39" spans="16:20" ht="20.100000000000001" customHeight="1">
      <c r="P39" s="35"/>
      <c r="Q39" s="776"/>
      <c r="R39" s="272" t="s">
        <v>83</v>
      </c>
      <c r="S39" s="44">
        <v>2235747</v>
      </c>
      <c r="T39" s="44">
        <v>2580933</v>
      </c>
    </row>
    <row r="40" spans="16:20" ht="20.100000000000001" customHeight="1">
      <c r="P40" s="35"/>
      <c r="Q40" s="776"/>
      <c r="R40" s="272" t="s">
        <v>84</v>
      </c>
      <c r="S40" s="44">
        <v>2493065</v>
      </c>
      <c r="T40" s="44">
        <v>2838251</v>
      </c>
    </row>
    <row r="41" spans="16:20" ht="20.100000000000001" customHeight="1">
      <c r="P41" s="35"/>
      <c r="Q41" s="776"/>
      <c r="R41" s="272" t="s">
        <v>85</v>
      </c>
      <c r="S41" s="44">
        <v>2688377</v>
      </c>
      <c r="T41" s="44">
        <v>3033563</v>
      </c>
    </row>
    <row r="42" spans="16:20" ht="20.100000000000001" customHeight="1">
      <c r="P42" s="35"/>
      <c r="Q42" s="776"/>
      <c r="R42" s="272" t="s">
        <v>86</v>
      </c>
      <c r="S42" s="44">
        <v>2712639</v>
      </c>
      <c r="T42" s="44">
        <v>3057825</v>
      </c>
    </row>
    <row r="43" spans="16:20" ht="20.100000000000001" customHeight="1">
      <c r="P43" s="35"/>
      <c r="Q43" s="776"/>
      <c r="R43" s="272" t="s">
        <v>87</v>
      </c>
      <c r="S43" s="44">
        <v>3180065</v>
      </c>
      <c r="T43" s="44">
        <v>3525251</v>
      </c>
    </row>
    <row r="44" spans="16:20" ht="20.100000000000001" customHeight="1">
      <c r="P44" s="35"/>
      <c r="Q44" s="776"/>
      <c r="R44" s="272" t="s">
        <v>88</v>
      </c>
      <c r="S44" s="44">
        <v>3443537</v>
      </c>
      <c r="T44" s="44">
        <v>3966580</v>
      </c>
    </row>
    <row r="45" spans="16:20" ht="20.100000000000001" customHeight="1">
      <c r="P45" s="36"/>
      <c r="Q45" s="776"/>
      <c r="R45" s="272" t="s">
        <v>89</v>
      </c>
      <c r="S45" s="44">
        <v>3790171</v>
      </c>
      <c r="T45" s="44">
        <v>4313203</v>
      </c>
    </row>
    <row r="46" spans="16:20" ht="20.100000000000001" customHeight="1">
      <c r="P46" s="67"/>
      <c r="Q46" s="776"/>
      <c r="R46" s="272" t="s">
        <v>90</v>
      </c>
      <c r="S46" s="44">
        <v>4445958</v>
      </c>
      <c r="T46" s="44">
        <v>4968990</v>
      </c>
    </row>
    <row r="47" spans="16:20" ht="20.100000000000001" customHeight="1">
      <c r="P47" s="73"/>
      <c r="Q47" s="776"/>
      <c r="R47" s="272" t="s">
        <v>91</v>
      </c>
      <c r="S47" s="44">
        <v>4058779</v>
      </c>
      <c r="T47" s="44">
        <v>4581821</v>
      </c>
    </row>
    <row r="48" spans="16:20" ht="20.100000000000001" customHeight="1">
      <c r="P48" s="67"/>
      <c r="Q48" s="776"/>
      <c r="R48" s="272" t="s">
        <v>92</v>
      </c>
      <c r="S48" s="44">
        <v>4541703</v>
      </c>
      <c r="T48" s="44">
        <v>5064746</v>
      </c>
    </row>
    <row r="49" spans="17:20" ht="20.100000000000001" customHeight="1">
      <c r="Q49" s="776"/>
      <c r="R49" s="272" t="s">
        <v>93</v>
      </c>
      <c r="S49" s="44">
        <v>5297975</v>
      </c>
      <c r="T49" s="44">
        <v>5821007</v>
      </c>
    </row>
    <row r="50" spans="17:20" ht="20.100000000000001" customHeight="1">
      <c r="Q50" s="776"/>
      <c r="R50" s="272" t="s">
        <v>94</v>
      </c>
      <c r="S50" s="44">
        <v>5625868</v>
      </c>
      <c r="T50" s="44">
        <v>6148911</v>
      </c>
    </row>
    <row r="51" spans="17:20" ht="20.100000000000001" customHeight="1"/>
    <row r="52" spans="17:20" ht="20.100000000000001" customHeight="1"/>
    <row r="53" spans="17:20" ht="20.100000000000001" customHeight="1"/>
    <row r="54" spans="17:20" ht="20.100000000000001" customHeight="1"/>
    <row r="55" spans="17:20" ht="20.100000000000001" customHeight="1"/>
    <row r="56" spans="17:20" ht="20.100000000000001" customHeight="1"/>
    <row r="57" spans="17:20" ht="20.100000000000001" customHeight="1"/>
    <row r="58" spans="17:20" ht="20.100000000000001" customHeight="1"/>
    <row r="59" spans="17:20" ht="20.100000000000001" customHeight="1"/>
    <row r="60" spans="17:20" ht="20.100000000000001" customHeight="1"/>
    <row r="61" spans="17:20" ht="20.100000000000001" customHeight="1"/>
    <row r="62" spans="17:20" ht="20.100000000000001" customHeight="1"/>
    <row r="63" spans="17:20" ht="20.100000000000001" customHeight="1"/>
    <row r="64" spans="17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</sheetData>
  <mergeCells count="25">
    <mergeCell ref="Q35:Q50"/>
    <mergeCell ref="Q15:Q24"/>
    <mergeCell ref="Q3:Q4"/>
    <mergeCell ref="A11:A15"/>
    <mergeCell ref="A9:A10"/>
    <mergeCell ref="B9:B10"/>
    <mergeCell ref="C9:C10"/>
    <mergeCell ref="D9:D10"/>
    <mergeCell ref="B11:B15"/>
    <mergeCell ref="C11:C15"/>
    <mergeCell ref="V3:V4"/>
    <mergeCell ref="E9:E10"/>
    <mergeCell ref="Q25:Q34"/>
    <mergeCell ref="W3:W4"/>
    <mergeCell ref="X3:Y3"/>
    <mergeCell ref="V5:V14"/>
    <mergeCell ref="S3:T3"/>
    <mergeCell ref="F9:F10"/>
    <mergeCell ref="G9:G10"/>
    <mergeCell ref="H9:I9"/>
    <mergeCell ref="J9:K9"/>
    <mergeCell ref="L9:M9"/>
    <mergeCell ref="N9:O9"/>
    <mergeCell ref="R3:R4"/>
    <mergeCell ref="Q5:Q14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view="pageBreakPreview" zoomScale="115" zoomScaleNormal="100" zoomScaleSheetLayoutView="115" workbookViewId="0">
      <selection activeCell="F12" sqref="F8:F12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0" t="s">
        <v>661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R3" s="844" t="s">
        <v>64</v>
      </c>
      <c r="S3" s="776" t="s">
        <v>511</v>
      </c>
      <c r="T3" s="776" t="s">
        <v>66</v>
      </c>
      <c r="U3" s="776"/>
    </row>
    <row r="4" spans="1:21" ht="20.100000000000001" customHeight="1">
      <c r="A4" s="2" t="s">
        <v>431</v>
      </c>
      <c r="M4" s="776"/>
      <c r="N4" s="776"/>
      <c r="O4" s="272" t="s">
        <v>67</v>
      </c>
      <c r="P4" s="272" t="s">
        <v>68</v>
      </c>
      <c r="R4" s="844"/>
      <c r="S4" s="776"/>
      <c r="T4" s="579" t="s">
        <v>67</v>
      </c>
      <c r="U4" s="579" t="s">
        <v>68</v>
      </c>
    </row>
    <row r="5" spans="1:21" ht="20.100000000000001" customHeight="1">
      <c r="I5" s="8"/>
      <c r="K5" s="8" t="s">
        <v>512</v>
      </c>
      <c r="M5" s="776" t="s">
        <v>69</v>
      </c>
      <c r="N5" s="272">
        <v>300</v>
      </c>
      <c r="O5" s="44">
        <v>503180</v>
      </c>
      <c r="P5" s="44">
        <v>767950</v>
      </c>
      <c r="R5" s="845" t="s">
        <v>70</v>
      </c>
      <c r="S5" s="579">
        <v>80</v>
      </c>
      <c r="T5" s="44">
        <v>91404</v>
      </c>
      <c r="U5" s="44">
        <v>309684</v>
      </c>
    </row>
    <row r="6" spans="1:21" ht="20.100000000000001" customHeight="1">
      <c r="A6" s="783" t="s">
        <v>655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776"/>
      <c r="N6" s="272">
        <v>400</v>
      </c>
      <c r="O6" s="44">
        <v>569370</v>
      </c>
      <c r="P6" s="44">
        <v>842990</v>
      </c>
      <c r="R6" s="846"/>
      <c r="S6" s="579">
        <v>100</v>
      </c>
      <c r="T6" s="44">
        <v>102960</v>
      </c>
      <c r="U6" s="44">
        <v>323665</v>
      </c>
    </row>
    <row r="7" spans="1:21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776"/>
      <c r="N7" s="272">
        <v>500</v>
      </c>
      <c r="O7" s="44">
        <v>613210</v>
      </c>
      <c r="P7" s="44">
        <v>895800</v>
      </c>
      <c r="R7" s="846"/>
      <c r="S7" s="579">
        <v>150</v>
      </c>
      <c r="T7" s="44">
        <v>139786</v>
      </c>
      <c r="U7" s="44">
        <v>366708</v>
      </c>
    </row>
    <row r="8" spans="1:21" ht="20.100000000000001" customHeight="1">
      <c r="A8" s="893" t="s">
        <v>1045</v>
      </c>
      <c r="B8" s="178">
        <v>150</v>
      </c>
      <c r="C8" s="176">
        <f>+ROUND(U7*$L$1*$L$2,0)</f>
        <v>381376</v>
      </c>
      <c r="D8" s="176">
        <v>0</v>
      </c>
      <c r="E8" s="176">
        <f>+ROUND($C8*D8/1000000,0)</f>
        <v>0</v>
      </c>
      <c r="F8" s="176"/>
      <c r="G8" s="176">
        <f>+ROUND($C8*F8/1000000,0)</f>
        <v>0</v>
      </c>
      <c r="H8" s="176">
        <v>0</v>
      </c>
      <c r="I8" s="176">
        <f>+ROUND($C8*H8/1000000,0)</f>
        <v>0</v>
      </c>
      <c r="J8" s="176">
        <v>0</v>
      </c>
      <c r="K8" s="179">
        <f>+ROUND($C8*J8/1000000,0)</f>
        <v>0</v>
      </c>
      <c r="M8" s="776"/>
      <c r="N8" s="272">
        <v>600</v>
      </c>
      <c r="O8" s="44">
        <v>692660</v>
      </c>
      <c r="P8" s="44">
        <v>997630</v>
      </c>
      <c r="R8" s="846"/>
      <c r="S8" s="579">
        <v>200</v>
      </c>
      <c r="T8" s="44">
        <v>172293</v>
      </c>
      <c r="U8" s="44">
        <v>405664</v>
      </c>
    </row>
    <row r="9" spans="1:21" ht="20.100000000000001" customHeight="1">
      <c r="A9" s="894"/>
      <c r="B9" s="178">
        <v>200</v>
      </c>
      <c r="C9" s="176">
        <f>+ROUND(P25*$L$1*$L$2,0)</f>
        <v>753054</v>
      </c>
      <c r="D9" s="176">
        <v>0</v>
      </c>
      <c r="E9" s="176">
        <f>+ROUND($C9*D9/1000000,0)</f>
        <v>0</v>
      </c>
      <c r="F9" s="176"/>
      <c r="G9" s="176">
        <f>+ROUND($C9*F9/1000000,0)</f>
        <v>0</v>
      </c>
      <c r="H9" s="176">
        <v>0</v>
      </c>
      <c r="I9" s="176">
        <f>+ROUND($C9*H9/1000000,0)</f>
        <v>0</v>
      </c>
      <c r="J9" s="176">
        <v>0</v>
      </c>
      <c r="K9" s="179">
        <f>+ROUND($C9*J9/1000000,0)</f>
        <v>0</v>
      </c>
      <c r="L9" s="9"/>
      <c r="M9" s="776"/>
      <c r="N9" s="272">
        <v>800</v>
      </c>
      <c r="O9" s="44">
        <v>838740</v>
      </c>
      <c r="P9" s="44">
        <v>1161300</v>
      </c>
      <c r="R9" s="846"/>
      <c r="S9" s="579">
        <v>300</v>
      </c>
      <c r="T9" s="44">
        <v>248738</v>
      </c>
      <c r="U9" s="44">
        <v>494561</v>
      </c>
    </row>
    <row r="10" spans="1:21" ht="20.100000000000001" customHeight="1">
      <c r="A10" s="894"/>
      <c r="B10" s="178">
        <v>250</v>
      </c>
      <c r="C10" s="176">
        <f>+ROUND((P25+P26)/2*$L$1*$L$2,0)</f>
        <v>782168</v>
      </c>
      <c r="D10" s="176">
        <v>0</v>
      </c>
      <c r="E10" s="176">
        <f>+ROUND($C10*D10/1000000,0)</f>
        <v>0</v>
      </c>
      <c r="F10" s="176"/>
      <c r="G10" s="176">
        <f>+ROUND($C10*F10/1000000,0)</f>
        <v>0</v>
      </c>
      <c r="H10" s="176">
        <v>0</v>
      </c>
      <c r="I10" s="176">
        <f>+ROUND($C10*H10/1000000,0)</f>
        <v>0</v>
      </c>
      <c r="J10" s="176">
        <v>0</v>
      </c>
      <c r="K10" s="179">
        <f>+ROUND($C10*J10/1000000,0)</f>
        <v>0</v>
      </c>
      <c r="L10" s="9"/>
      <c r="M10" s="776"/>
      <c r="N10" s="272">
        <v>900</v>
      </c>
      <c r="O10" s="44">
        <v>928140</v>
      </c>
      <c r="P10" s="44">
        <v>1259520</v>
      </c>
      <c r="R10" s="846"/>
      <c r="S10" s="579">
        <v>400</v>
      </c>
      <c r="T10" s="44">
        <v>348039</v>
      </c>
      <c r="U10" s="44">
        <v>606519</v>
      </c>
    </row>
    <row r="11" spans="1:21" ht="20.100000000000001" customHeight="1">
      <c r="A11" s="894"/>
      <c r="B11" s="178">
        <v>300</v>
      </c>
      <c r="C11" s="176">
        <f>+ROUND(P26*$L$1*$L$2,0)</f>
        <v>811283</v>
      </c>
      <c r="D11" s="176">
        <v>0</v>
      </c>
      <c r="E11" s="176">
        <f t="shared" ref="E11:G12" si="0">+ROUND($C11*D11/1000000,0)</f>
        <v>0</v>
      </c>
      <c r="F11" s="176"/>
      <c r="G11" s="176">
        <f t="shared" si="0"/>
        <v>0</v>
      </c>
      <c r="H11" s="176">
        <v>0</v>
      </c>
      <c r="I11" s="176">
        <f>+ROUND($C11*H11/1000000,0)</f>
        <v>0</v>
      </c>
      <c r="J11" s="176">
        <v>0</v>
      </c>
      <c r="K11" s="179">
        <f>+ROUND($C11*J11/1000000,0)</f>
        <v>0</v>
      </c>
      <c r="L11" s="9"/>
      <c r="M11" s="776"/>
      <c r="N11" s="272">
        <v>1000</v>
      </c>
      <c r="O11" s="44">
        <v>1032240</v>
      </c>
      <c r="P11" s="44">
        <v>1372570</v>
      </c>
      <c r="R11" s="846"/>
      <c r="S11" s="579">
        <v>500</v>
      </c>
      <c r="T11" s="44">
        <v>453129</v>
      </c>
      <c r="U11" s="44">
        <v>724142</v>
      </c>
    </row>
    <row r="12" spans="1:21" ht="20.100000000000001" customHeight="1">
      <c r="A12" s="894"/>
      <c r="B12" s="178">
        <v>400</v>
      </c>
      <c r="C12" s="176">
        <f>+ROUND(P27*$L$1*$L$2,0)</f>
        <v>923239</v>
      </c>
      <c r="D12" s="176">
        <v>0</v>
      </c>
      <c r="E12" s="176">
        <f t="shared" si="0"/>
        <v>0</v>
      </c>
      <c r="F12" s="176"/>
      <c r="G12" s="176">
        <f t="shared" si="0"/>
        <v>0</v>
      </c>
      <c r="H12" s="176">
        <v>0</v>
      </c>
      <c r="I12" s="176">
        <f>+ROUND($C12*H12/1000000,0)</f>
        <v>0</v>
      </c>
      <c r="J12" s="176">
        <v>0</v>
      </c>
      <c r="K12" s="179">
        <f>+ROUND($C12*J12/1000000,0)</f>
        <v>0</v>
      </c>
      <c r="L12" s="9"/>
      <c r="M12" s="776"/>
      <c r="N12" s="272">
        <v>1100</v>
      </c>
      <c r="O12" s="44">
        <v>1166200</v>
      </c>
      <c r="P12" s="44">
        <v>1528360</v>
      </c>
      <c r="R12" s="846"/>
      <c r="S12" s="579">
        <v>600</v>
      </c>
      <c r="T12" s="44">
        <v>563069</v>
      </c>
      <c r="U12" s="44">
        <v>846789</v>
      </c>
    </row>
    <row r="13" spans="1:21" ht="20.100000000000001" customHeight="1">
      <c r="A13" s="895"/>
      <c r="B13" s="896" t="s">
        <v>406</v>
      </c>
      <c r="C13" s="896"/>
      <c r="D13" s="180">
        <f t="shared" ref="D13:K13" si="1">SUM(D10:D12)</f>
        <v>0</v>
      </c>
      <c r="E13" s="180">
        <f t="shared" si="1"/>
        <v>0</v>
      </c>
      <c r="F13" s="180">
        <f>SUM(F8:F12)</f>
        <v>0</v>
      </c>
      <c r="G13" s="180">
        <f>SUM(G8:G12)</f>
        <v>0</v>
      </c>
      <c r="H13" s="180">
        <f t="shared" si="1"/>
        <v>0</v>
      </c>
      <c r="I13" s="180">
        <f t="shared" si="1"/>
        <v>0</v>
      </c>
      <c r="J13" s="180">
        <f t="shared" si="1"/>
        <v>0</v>
      </c>
      <c r="K13" s="181">
        <f t="shared" si="1"/>
        <v>0</v>
      </c>
      <c r="L13" s="9"/>
      <c r="M13" s="776"/>
      <c r="N13" s="272">
        <v>1200</v>
      </c>
      <c r="O13" s="44">
        <v>1289410</v>
      </c>
      <c r="P13" s="44">
        <v>1660260</v>
      </c>
      <c r="R13" s="846"/>
      <c r="S13" s="579">
        <v>700</v>
      </c>
      <c r="T13" s="44">
        <v>708878</v>
      </c>
      <c r="U13" s="44">
        <v>1005274</v>
      </c>
    </row>
    <row r="14" spans="1:21" ht="20.100000000000001" customHeight="1">
      <c r="L14" s="9"/>
      <c r="M14" s="776"/>
      <c r="N14" s="272">
        <v>1350</v>
      </c>
      <c r="O14" s="44">
        <v>1491510</v>
      </c>
      <c r="P14" s="44">
        <v>1874980</v>
      </c>
      <c r="R14" s="847"/>
      <c r="S14" s="579">
        <v>800</v>
      </c>
      <c r="T14" s="44">
        <v>860005</v>
      </c>
      <c r="U14" s="44">
        <v>1169007</v>
      </c>
    </row>
    <row r="15" spans="1:21" ht="20.100000000000001" customHeight="1">
      <c r="L15" s="9"/>
      <c r="M15" s="776" t="s">
        <v>76</v>
      </c>
      <c r="N15" s="272">
        <v>300</v>
      </c>
      <c r="O15" s="44">
        <v>694060</v>
      </c>
      <c r="P15" s="44">
        <v>958820</v>
      </c>
    </row>
    <row r="16" spans="1:21" ht="20.100000000000001" customHeight="1">
      <c r="L16" s="9"/>
      <c r="M16" s="776"/>
      <c r="N16" s="272">
        <v>400</v>
      </c>
      <c r="O16" s="44">
        <v>811850</v>
      </c>
      <c r="P16" s="44">
        <v>1085470</v>
      </c>
    </row>
    <row r="17" spans="12:16" ht="20.100000000000001" customHeight="1">
      <c r="L17" s="9"/>
      <c r="M17" s="776"/>
      <c r="N17" s="272">
        <v>500</v>
      </c>
      <c r="O17" s="44">
        <v>917970</v>
      </c>
      <c r="P17" s="44">
        <v>1200560</v>
      </c>
    </row>
    <row r="18" spans="12:16" ht="20.100000000000001" customHeight="1">
      <c r="L18" s="9"/>
      <c r="M18" s="776"/>
      <c r="N18" s="272">
        <v>600</v>
      </c>
      <c r="O18" s="44">
        <v>1048930</v>
      </c>
      <c r="P18" s="44">
        <v>1353900</v>
      </c>
    </row>
    <row r="19" spans="12:16" ht="20.100000000000001" customHeight="1">
      <c r="L19" s="9"/>
      <c r="M19" s="776"/>
      <c r="N19" s="272">
        <v>700</v>
      </c>
      <c r="O19" s="44">
        <v>1184160</v>
      </c>
      <c r="P19" s="44">
        <v>1497860</v>
      </c>
    </row>
    <row r="20" spans="12:16" ht="20.100000000000001" customHeight="1">
      <c r="L20" s="9"/>
      <c r="M20" s="776"/>
      <c r="N20" s="272">
        <v>800</v>
      </c>
      <c r="O20" s="44">
        <v>1347960</v>
      </c>
      <c r="P20" s="44">
        <v>1670520</v>
      </c>
    </row>
    <row r="21" spans="12:16" ht="20.100000000000001" customHeight="1">
      <c r="L21" s="9"/>
      <c r="M21" s="776"/>
      <c r="N21" s="272">
        <v>900</v>
      </c>
      <c r="O21" s="44">
        <v>1481280</v>
      </c>
      <c r="P21" s="44">
        <v>1812650</v>
      </c>
    </row>
    <row r="22" spans="12:16" ht="20.100000000000001" customHeight="1">
      <c r="L22" s="9"/>
      <c r="M22" s="776"/>
      <c r="N22" s="272">
        <v>1000</v>
      </c>
      <c r="O22" s="44">
        <v>1698550</v>
      </c>
      <c r="P22" s="44">
        <v>2038870</v>
      </c>
    </row>
    <row r="23" spans="12:16" ht="20.100000000000001" customHeight="1">
      <c r="L23" s="9"/>
      <c r="M23" s="776"/>
      <c r="N23" s="272">
        <v>1100</v>
      </c>
      <c r="O23" s="44">
        <v>1953530</v>
      </c>
      <c r="P23" s="44">
        <v>2315690</v>
      </c>
    </row>
    <row r="24" spans="12:16" ht="20.100000000000001" customHeight="1">
      <c r="L24" s="9"/>
      <c r="M24" s="776"/>
      <c r="N24" s="272">
        <v>1200</v>
      </c>
      <c r="O24" s="44">
        <v>2192620</v>
      </c>
      <c r="P24" s="44">
        <v>2563470</v>
      </c>
    </row>
    <row r="25" spans="12:16" ht="20.100000000000001" customHeight="1">
      <c r="L25" s="9"/>
      <c r="M25" s="776" t="s">
        <v>77</v>
      </c>
      <c r="N25" s="272">
        <v>200</v>
      </c>
      <c r="O25" s="44">
        <v>467790</v>
      </c>
      <c r="P25" s="44">
        <v>724090</v>
      </c>
    </row>
    <row r="26" spans="12:16" ht="20.100000000000001" customHeight="1">
      <c r="L26" s="9"/>
      <c r="M26" s="776"/>
      <c r="N26" s="272">
        <v>300</v>
      </c>
      <c r="O26" s="44">
        <v>515310</v>
      </c>
      <c r="P26" s="44">
        <v>780080</v>
      </c>
    </row>
    <row r="27" spans="12:16" ht="20.100000000000001" customHeight="1">
      <c r="M27" s="776"/>
      <c r="N27" s="272">
        <v>400</v>
      </c>
      <c r="O27" s="44">
        <v>614110</v>
      </c>
      <c r="P27" s="44">
        <v>887730</v>
      </c>
    </row>
    <row r="28" spans="12:16" ht="20.100000000000001" customHeight="1">
      <c r="M28" s="776"/>
      <c r="N28" s="272">
        <v>500</v>
      </c>
      <c r="O28" s="44">
        <v>698240</v>
      </c>
      <c r="P28" s="44">
        <v>980840</v>
      </c>
    </row>
    <row r="29" spans="12:16" ht="20.100000000000001" customHeight="1">
      <c r="M29" s="776"/>
      <c r="N29" s="272">
        <v>600</v>
      </c>
      <c r="O29" s="44">
        <v>795750</v>
      </c>
      <c r="P29" s="44">
        <v>1100730</v>
      </c>
    </row>
    <row r="30" spans="12:16" ht="20.100000000000001" customHeight="1">
      <c r="L30" s="9"/>
      <c r="M30" s="776"/>
      <c r="N30" s="272">
        <v>700</v>
      </c>
      <c r="O30" s="44">
        <v>902170</v>
      </c>
      <c r="P30" s="44">
        <v>1215870</v>
      </c>
    </row>
    <row r="31" spans="12:16" ht="20.100000000000001" customHeight="1">
      <c r="L31" s="29"/>
      <c r="M31" s="776"/>
      <c r="N31" s="272">
        <v>800</v>
      </c>
      <c r="O31" s="44">
        <v>1011560</v>
      </c>
      <c r="P31" s="44">
        <v>1334120</v>
      </c>
    </row>
    <row r="32" spans="12:16" ht="20.100000000000001" customHeight="1">
      <c r="L32" s="45"/>
      <c r="M32" s="776"/>
      <c r="N32" s="272">
        <v>900</v>
      </c>
      <c r="O32" s="44">
        <v>1099790</v>
      </c>
      <c r="P32" s="44">
        <v>1431160</v>
      </c>
    </row>
    <row r="33" spans="12:16" ht="20.100000000000001" customHeight="1">
      <c r="L33" s="45"/>
      <c r="M33" s="776"/>
      <c r="N33" s="272">
        <v>1000</v>
      </c>
      <c r="O33" s="44">
        <v>1228810</v>
      </c>
      <c r="P33" s="44">
        <v>1569130</v>
      </c>
    </row>
    <row r="34" spans="12:16" ht="20.100000000000001" customHeight="1">
      <c r="L34" s="35"/>
      <c r="M34" s="776"/>
      <c r="N34" s="272">
        <v>1200</v>
      </c>
      <c r="O34" s="44">
        <v>1491000</v>
      </c>
      <c r="P34" s="44">
        <v>1861860</v>
      </c>
    </row>
    <row r="35" spans="12:16" ht="20.100000000000001" customHeight="1">
      <c r="L35" s="35"/>
      <c r="M35" s="776" t="s">
        <v>519</v>
      </c>
      <c r="N35" s="272" t="s">
        <v>79</v>
      </c>
      <c r="O35" s="44">
        <v>1779470</v>
      </c>
      <c r="P35" s="44">
        <v>2059800</v>
      </c>
    </row>
    <row r="36" spans="12:16" ht="20.100000000000001" customHeight="1">
      <c r="L36" s="36"/>
      <c r="M36" s="776"/>
      <c r="N36" s="272" t="s">
        <v>80</v>
      </c>
      <c r="O36" s="44">
        <v>1944060</v>
      </c>
      <c r="P36" s="44">
        <v>2224380</v>
      </c>
    </row>
    <row r="37" spans="12:16" ht="20.100000000000001" customHeight="1">
      <c r="L37" s="35"/>
      <c r="M37" s="776"/>
      <c r="N37" s="272" t="s">
        <v>81</v>
      </c>
      <c r="O37" s="44">
        <v>1970820</v>
      </c>
      <c r="P37" s="44">
        <v>2251150</v>
      </c>
    </row>
    <row r="38" spans="12:16" ht="20.100000000000001" customHeight="1">
      <c r="L38" s="35"/>
      <c r="M38" s="776"/>
      <c r="N38" s="272" t="s">
        <v>82</v>
      </c>
      <c r="O38" s="44">
        <v>2048130</v>
      </c>
      <c r="P38" s="44">
        <v>2386880</v>
      </c>
    </row>
    <row r="39" spans="12:16" ht="20.100000000000001" customHeight="1">
      <c r="L39" s="35"/>
      <c r="M39" s="776"/>
      <c r="N39" s="272" t="s">
        <v>83</v>
      </c>
      <c r="O39" s="44">
        <v>2194060</v>
      </c>
      <c r="P39" s="44">
        <v>2532810</v>
      </c>
    </row>
    <row r="40" spans="12:16" ht="20.100000000000001" customHeight="1">
      <c r="L40" s="35"/>
      <c r="M40" s="776"/>
      <c r="N40" s="272" t="s">
        <v>84</v>
      </c>
      <c r="O40" s="44">
        <v>2446580</v>
      </c>
      <c r="P40" s="44">
        <v>2785330</v>
      </c>
    </row>
    <row r="41" spans="12:16" ht="20.100000000000001" customHeight="1">
      <c r="L41" s="35"/>
      <c r="M41" s="776"/>
      <c r="N41" s="272" t="s">
        <v>85</v>
      </c>
      <c r="O41" s="44">
        <v>2638250</v>
      </c>
      <c r="P41" s="44">
        <v>2977000</v>
      </c>
    </row>
    <row r="42" spans="12:16" ht="20.100000000000001" customHeight="1">
      <c r="L42" s="35"/>
      <c r="M42" s="776"/>
      <c r="N42" s="272" t="s">
        <v>86</v>
      </c>
      <c r="O42" s="44">
        <v>2662060</v>
      </c>
      <c r="P42" s="44">
        <v>3000810</v>
      </c>
    </row>
    <row r="43" spans="12:16" ht="20.100000000000001" customHeight="1">
      <c r="L43" s="35"/>
      <c r="M43" s="776"/>
      <c r="N43" s="272" t="s">
        <v>87</v>
      </c>
      <c r="O43" s="44">
        <v>3120770</v>
      </c>
      <c r="P43" s="44">
        <v>3459520</v>
      </c>
    </row>
    <row r="44" spans="12:16" ht="20.100000000000001" customHeight="1">
      <c r="L44" s="35"/>
      <c r="M44" s="776"/>
      <c r="N44" s="272" t="s">
        <v>88</v>
      </c>
      <c r="O44" s="44">
        <v>3379330</v>
      </c>
      <c r="P44" s="44">
        <v>3892620</v>
      </c>
    </row>
    <row r="45" spans="12:16" ht="20.100000000000001" customHeight="1">
      <c r="L45" s="36"/>
      <c r="M45" s="776"/>
      <c r="N45" s="272" t="s">
        <v>89</v>
      </c>
      <c r="O45" s="44">
        <v>3719500</v>
      </c>
      <c r="P45" s="44">
        <v>4232780</v>
      </c>
    </row>
    <row r="46" spans="12:16" ht="20.100000000000001" customHeight="1">
      <c r="L46" s="9"/>
      <c r="M46" s="776"/>
      <c r="N46" s="272" t="s">
        <v>90</v>
      </c>
      <c r="O46" s="44">
        <v>4363060</v>
      </c>
      <c r="P46" s="44">
        <v>4876340</v>
      </c>
    </row>
    <row r="47" spans="12:16" ht="20.100000000000001" customHeight="1">
      <c r="L47" s="37"/>
      <c r="M47" s="776"/>
      <c r="N47" s="272" t="s">
        <v>91</v>
      </c>
      <c r="O47" s="44">
        <v>3983100</v>
      </c>
      <c r="P47" s="44">
        <v>4496390</v>
      </c>
    </row>
    <row r="48" spans="12:16" ht="20.100000000000001" customHeight="1">
      <c r="L48" s="9"/>
      <c r="M48" s="776"/>
      <c r="N48" s="272" t="s">
        <v>92</v>
      </c>
      <c r="O48" s="44">
        <v>4457020</v>
      </c>
      <c r="P48" s="44">
        <v>4970310</v>
      </c>
    </row>
    <row r="49" spans="13:16" ht="20.100000000000001" customHeight="1">
      <c r="M49" s="776"/>
      <c r="N49" s="272" t="s">
        <v>93</v>
      </c>
      <c r="O49" s="44">
        <v>5199190</v>
      </c>
      <c r="P49" s="44">
        <v>5712470</v>
      </c>
    </row>
    <row r="50" spans="13:16" ht="20.100000000000001" customHeight="1">
      <c r="M50" s="776"/>
      <c r="N50" s="272" t="s">
        <v>94</v>
      </c>
      <c r="O50" s="44">
        <v>5520970</v>
      </c>
      <c r="P50" s="44">
        <v>6034260</v>
      </c>
    </row>
    <row r="51" spans="13:16" ht="20.100000000000001" customHeight="1"/>
    <row r="52" spans="13:16" ht="20.100000000000001" customHeight="1"/>
    <row r="53" spans="13:16" ht="20.100000000000001" customHeight="1"/>
    <row r="54" spans="13:16" ht="20.100000000000001" customHeight="1"/>
    <row r="55" spans="13:16" ht="20.100000000000001" customHeight="1"/>
    <row r="56" spans="13:16" ht="20.100000000000001" customHeight="1"/>
    <row r="57" spans="13:16" ht="20.100000000000001" customHeight="1"/>
    <row r="58" spans="13:16" ht="20.100000000000001" customHeight="1"/>
    <row r="59" spans="13:16" ht="20.100000000000001" customHeight="1"/>
    <row r="60" spans="13:16" ht="20.100000000000001" customHeight="1"/>
    <row r="61" spans="13:16" ht="20.100000000000001" customHeight="1"/>
    <row r="62" spans="13:16" ht="20.100000000000001" customHeight="1"/>
    <row r="63" spans="13:16" ht="20.100000000000001" customHeight="1"/>
    <row r="64" spans="13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</sheetData>
  <mergeCells count="20">
    <mergeCell ref="M35:M50"/>
    <mergeCell ref="M3:M4"/>
    <mergeCell ref="N3:N4"/>
    <mergeCell ref="O3:P3"/>
    <mergeCell ref="M5:M14"/>
    <mergeCell ref="B13:C13"/>
    <mergeCell ref="M15:M24"/>
    <mergeCell ref="M25:M34"/>
    <mergeCell ref="A6:A7"/>
    <mergeCell ref="B6:B7"/>
    <mergeCell ref="C6:C7"/>
    <mergeCell ref="D6:E6"/>
    <mergeCell ref="F6:G6"/>
    <mergeCell ref="H6:I6"/>
    <mergeCell ref="A8:A13"/>
    <mergeCell ref="R3:R4"/>
    <mergeCell ref="S3:S4"/>
    <mergeCell ref="T3:U3"/>
    <mergeCell ref="R5:R14"/>
    <mergeCell ref="J6:K6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247</v>
      </c>
      <c r="B1" s="1"/>
      <c r="C1" s="1"/>
      <c r="D1" s="1"/>
      <c r="L1" s="2">
        <v>1.2825</v>
      </c>
      <c r="M1" s="2" t="s">
        <v>196</v>
      </c>
      <c r="S1" s="2" t="s">
        <v>344</v>
      </c>
    </row>
    <row r="2" spans="1:38" ht="20.100000000000001" customHeight="1" thickBot="1">
      <c r="A2" s="2" t="s">
        <v>63</v>
      </c>
      <c r="S2" s="236" t="s">
        <v>341</v>
      </c>
    </row>
    <row r="3" spans="1:38" ht="20.100000000000001" customHeight="1" thickTop="1">
      <c r="A3" s="4" t="s">
        <v>345</v>
      </c>
      <c r="B3" s="40"/>
      <c r="C3" s="40"/>
      <c r="D3" s="40"/>
      <c r="M3" s="776" t="s">
        <v>64</v>
      </c>
      <c r="N3" s="776" t="s">
        <v>65</v>
      </c>
      <c r="O3" s="813" t="s">
        <v>101</v>
      </c>
      <c r="P3" s="813" t="s">
        <v>241</v>
      </c>
      <c r="Q3" s="813" t="s">
        <v>100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10" t="s">
        <v>259</v>
      </c>
      <c r="AF3" s="210" t="s">
        <v>261</v>
      </c>
      <c r="AG3" s="210" t="s">
        <v>262</v>
      </c>
      <c r="AH3" s="210" t="s">
        <v>263</v>
      </c>
      <c r="AI3" s="210" t="s">
        <v>264</v>
      </c>
      <c r="AJ3" s="210" t="s">
        <v>265</v>
      </c>
      <c r="AK3" s="210" t="s">
        <v>266</v>
      </c>
      <c r="AL3" s="212" t="s">
        <v>267</v>
      </c>
    </row>
    <row r="4" spans="1:38" ht="20.100000000000001" customHeight="1" thickBot="1">
      <c r="A4" s="2" t="s">
        <v>4</v>
      </c>
      <c r="M4" s="776"/>
      <c r="N4" s="776"/>
      <c r="O4" s="815"/>
      <c r="P4" s="815"/>
      <c r="Q4" s="815"/>
      <c r="S4" s="812"/>
      <c r="T4" s="237" t="s">
        <v>279</v>
      </c>
      <c r="U4" s="238" t="s">
        <v>280</v>
      </c>
      <c r="V4" s="238" t="s">
        <v>281</v>
      </c>
      <c r="W4" s="237" t="s">
        <v>282</v>
      </c>
      <c r="X4" s="238" t="s">
        <v>283</v>
      </c>
      <c r="Y4" s="238" t="s">
        <v>284</v>
      </c>
      <c r="Z4" s="237" t="s">
        <v>285</v>
      </c>
      <c r="AC4" s="208" t="s">
        <v>257</v>
      </c>
      <c r="AD4" s="799"/>
      <c r="AE4" s="211" t="s">
        <v>260</v>
      </c>
      <c r="AF4" s="211" t="s">
        <v>260</v>
      </c>
      <c r="AG4" s="211" t="s">
        <v>260</v>
      </c>
      <c r="AH4" s="211" t="s">
        <v>260</v>
      </c>
      <c r="AI4" s="211" t="s">
        <v>260</v>
      </c>
      <c r="AJ4" s="211" t="s">
        <v>260</v>
      </c>
      <c r="AK4" s="211" t="s">
        <v>260</v>
      </c>
      <c r="AL4" s="213" t="s">
        <v>260</v>
      </c>
    </row>
    <row r="5" spans="1:38" ht="20.100000000000001" customHeight="1" thickTop="1">
      <c r="I5" s="8"/>
      <c r="K5" s="8" t="s">
        <v>71</v>
      </c>
      <c r="M5" s="813" t="s">
        <v>97</v>
      </c>
      <c r="N5" s="43" t="s">
        <v>223</v>
      </c>
      <c r="O5" s="44">
        <v>142417</v>
      </c>
      <c r="P5" s="81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8</v>
      </c>
      <c r="B6" s="785" t="s">
        <v>72</v>
      </c>
      <c r="C6" s="787" t="s">
        <v>73</v>
      </c>
      <c r="D6" s="789" t="s">
        <v>9</v>
      </c>
      <c r="E6" s="781"/>
      <c r="F6" s="781" t="s">
        <v>10</v>
      </c>
      <c r="G6" s="781"/>
      <c r="H6" s="781" t="s">
        <v>11</v>
      </c>
      <c r="I6" s="781"/>
      <c r="J6" s="781" t="s">
        <v>12</v>
      </c>
      <c r="K6" s="782"/>
      <c r="M6" s="814"/>
      <c r="N6" s="43" t="s">
        <v>224</v>
      </c>
      <c r="O6" s="44">
        <v>182035</v>
      </c>
      <c r="P6" s="81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74</v>
      </c>
      <c r="E7" s="158" t="s">
        <v>75</v>
      </c>
      <c r="F7" s="157" t="s">
        <v>74</v>
      </c>
      <c r="G7" s="158" t="s">
        <v>75</v>
      </c>
      <c r="H7" s="157" t="s">
        <v>74</v>
      </c>
      <c r="I7" s="158" t="s">
        <v>75</v>
      </c>
      <c r="J7" s="157" t="s">
        <v>74</v>
      </c>
      <c r="K7" s="159" t="s">
        <v>75</v>
      </c>
      <c r="M7" s="814"/>
      <c r="N7" s="43" t="s">
        <v>225</v>
      </c>
      <c r="O7" s="44">
        <v>220784</v>
      </c>
      <c r="P7" s="81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393</v>
      </c>
      <c r="B8" s="152" t="s">
        <v>971</v>
      </c>
      <c r="C8" s="153">
        <f>X36</f>
        <v>396946</v>
      </c>
      <c r="D8" s="316"/>
      <c r="E8" s="94">
        <f t="shared" ref="E8:G21" si="1">+ROUND($C8*D8/1000000,0)</f>
        <v>0</v>
      </c>
      <c r="F8" s="94"/>
      <c r="G8" s="94">
        <f t="shared" si="1"/>
        <v>0</v>
      </c>
      <c r="H8" s="565"/>
      <c r="I8" s="94">
        <f t="shared" ref="I8:I21" si="2">+ROUND($C8*H8/1000000,0)</f>
        <v>0</v>
      </c>
      <c r="J8" s="565"/>
      <c r="K8" s="153">
        <f t="shared" ref="K8:K21" si="3">+ROUND($C8*J8/1000000,0)</f>
        <v>0</v>
      </c>
      <c r="M8" s="814"/>
      <c r="N8" s="43" t="s">
        <v>226</v>
      </c>
      <c r="O8" s="44">
        <v>257397</v>
      </c>
      <c r="P8" s="81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972</v>
      </c>
      <c r="C9" s="153">
        <f>X36</f>
        <v>396946</v>
      </c>
      <c r="D9" s="316"/>
      <c r="E9" s="94">
        <f t="shared" si="1"/>
        <v>0</v>
      </c>
      <c r="F9" s="94"/>
      <c r="G9" s="94">
        <f t="shared" si="1"/>
        <v>0</v>
      </c>
      <c r="H9" s="565"/>
      <c r="I9" s="94">
        <f t="shared" si="2"/>
        <v>0</v>
      </c>
      <c r="J9" s="565"/>
      <c r="K9" s="153">
        <f t="shared" si="3"/>
        <v>0</v>
      </c>
      <c r="M9" s="814"/>
      <c r="N9" s="43" t="s">
        <v>227</v>
      </c>
      <c r="O9" s="44">
        <v>316310</v>
      </c>
      <c r="P9" s="81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973</v>
      </c>
      <c r="C10" s="153">
        <f>X37</f>
        <v>408838</v>
      </c>
      <c r="D10" s="316"/>
      <c r="E10" s="94">
        <f t="shared" si="1"/>
        <v>0</v>
      </c>
      <c r="F10" s="94"/>
      <c r="G10" s="94">
        <f t="shared" si="1"/>
        <v>0</v>
      </c>
      <c r="H10" s="565"/>
      <c r="I10" s="94">
        <f t="shared" si="2"/>
        <v>0</v>
      </c>
      <c r="J10" s="565"/>
      <c r="K10" s="153">
        <f t="shared" si="3"/>
        <v>0</v>
      </c>
      <c r="L10" s="9"/>
      <c r="M10" s="814"/>
      <c r="N10" s="43" t="s">
        <v>228</v>
      </c>
      <c r="O10" s="44">
        <v>382855</v>
      </c>
      <c r="P10" s="81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234</v>
      </c>
      <c r="C11" s="153">
        <f>X38</f>
        <v>458970</v>
      </c>
      <c r="D11" s="139">
        <v>0</v>
      </c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14"/>
      <c r="N11" s="43" t="s">
        <v>229</v>
      </c>
      <c r="O11" s="44">
        <v>459144</v>
      </c>
      <c r="P11" s="81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224</v>
      </c>
      <c r="C12" s="153">
        <f t="shared" ref="C12:C20" si="4">X40</f>
        <v>553056</v>
      </c>
      <c r="D12" s="139">
        <v>0</v>
      </c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14"/>
      <c r="N12" s="43" t="s">
        <v>230</v>
      </c>
      <c r="O12" s="44">
        <v>543955</v>
      </c>
      <c r="P12" s="81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225</v>
      </c>
      <c r="C13" s="153">
        <f t="shared" si="4"/>
        <v>625418</v>
      </c>
      <c r="D13" s="139">
        <v>0</v>
      </c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14"/>
      <c r="N13" s="43" t="s">
        <v>231</v>
      </c>
      <c r="O13" s="44">
        <v>637524</v>
      </c>
      <c r="P13" s="81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226</v>
      </c>
      <c r="C14" s="153">
        <f t="shared" si="4"/>
        <v>709106</v>
      </c>
      <c r="D14" s="139">
        <v>0</v>
      </c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14"/>
      <c r="N14" s="43" t="s">
        <v>232</v>
      </c>
      <c r="O14" s="44">
        <v>740257</v>
      </c>
      <c r="P14" s="81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227</v>
      </c>
      <c r="C15" s="153">
        <f t="shared" si="4"/>
        <v>801512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14"/>
      <c r="N15" s="43" t="s">
        <v>233</v>
      </c>
      <c r="O15" s="44">
        <v>815662</v>
      </c>
      <c r="P15" s="81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228</v>
      </c>
      <c r="C16" s="153">
        <f t="shared" si="4"/>
        <v>930783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14"/>
      <c r="N16" s="43"/>
      <c r="O16" s="44"/>
      <c r="P16" s="81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229</v>
      </c>
      <c r="C17" s="566">
        <f t="shared" si="4"/>
        <v>1147661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14"/>
      <c r="N17" s="43"/>
      <c r="O17" s="44"/>
      <c r="P17" s="81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230</v>
      </c>
      <c r="C18" s="566">
        <f t="shared" si="4"/>
        <v>1265449</v>
      </c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15"/>
      <c r="N18" s="43"/>
      <c r="O18" s="44"/>
      <c r="P18" s="818"/>
      <c r="Q18" s="44">
        <f t="shared" si="0"/>
        <v>0</v>
      </c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0"/>
      <c r="B19" s="152" t="s">
        <v>231</v>
      </c>
      <c r="C19" s="566">
        <f t="shared" si="4"/>
        <v>1485626</v>
      </c>
      <c r="D19" s="139">
        <v>0</v>
      </c>
      <c r="E19" s="94">
        <f t="shared" si="1"/>
        <v>0</v>
      </c>
      <c r="F19" s="94"/>
      <c r="G19" s="94">
        <f t="shared" si="1"/>
        <v>0</v>
      </c>
      <c r="H19" s="94"/>
      <c r="I19" s="94">
        <f t="shared" si="2"/>
        <v>0</v>
      </c>
      <c r="J19" s="94"/>
      <c r="K19" s="153">
        <f t="shared" si="3"/>
        <v>0</v>
      </c>
      <c r="L19" s="9"/>
      <c r="S19" s="810"/>
      <c r="T19" s="243" t="s">
        <v>302</v>
      </c>
      <c r="U19" s="243" t="s">
        <v>303</v>
      </c>
      <c r="V19" s="243" t="s">
        <v>304</v>
      </c>
      <c r="W19" s="243" t="s">
        <v>305</v>
      </c>
      <c r="X19" s="243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09" t="s">
        <v>274</v>
      </c>
      <c r="AJ19" s="800" t="s">
        <v>276</v>
      </c>
    </row>
    <row r="20" spans="1:38" ht="20.100000000000001" customHeight="1" thickBot="1">
      <c r="A20" s="820"/>
      <c r="B20" s="152" t="s">
        <v>232</v>
      </c>
      <c r="C20" s="566">
        <f t="shared" si="4"/>
        <v>1727293</v>
      </c>
      <c r="D20" s="139">
        <v>0</v>
      </c>
      <c r="E20" s="94">
        <f t="shared" si="1"/>
        <v>0</v>
      </c>
      <c r="F20" s="94"/>
      <c r="G20" s="94">
        <f t="shared" si="1"/>
        <v>0</v>
      </c>
      <c r="H20" s="94"/>
      <c r="I20" s="94">
        <f t="shared" si="2"/>
        <v>0</v>
      </c>
      <c r="J20" s="94"/>
      <c r="K20" s="153">
        <f t="shared" si="3"/>
        <v>0</v>
      </c>
      <c r="L20" s="9"/>
      <c r="S20" s="244" t="s">
        <v>307</v>
      </c>
      <c r="T20" s="245" t="s">
        <v>308</v>
      </c>
      <c r="U20" s="246">
        <v>364337</v>
      </c>
      <c r="V20" s="246">
        <v>389567</v>
      </c>
      <c r="W20" s="246">
        <v>263709</v>
      </c>
      <c r="X20" s="246">
        <v>339210</v>
      </c>
      <c r="AC20" s="208" t="s">
        <v>257</v>
      </c>
      <c r="AD20" s="799"/>
      <c r="AE20" s="799"/>
      <c r="AF20" s="803"/>
      <c r="AG20" s="799"/>
      <c r="AH20" s="799"/>
      <c r="AI20" s="211" t="s">
        <v>275</v>
      </c>
      <c r="AJ20" s="801"/>
    </row>
    <row r="21" spans="1:38" ht="20.100000000000001" customHeight="1" thickTop="1">
      <c r="A21" s="820"/>
      <c r="B21" s="152" t="s">
        <v>233</v>
      </c>
      <c r="C21" s="153"/>
      <c r="D21" s="139">
        <v>0</v>
      </c>
      <c r="E21" s="94">
        <f t="shared" si="1"/>
        <v>0</v>
      </c>
      <c r="F21" s="94"/>
      <c r="G21" s="94">
        <f t="shared" si="1"/>
        <v>0</v>
      </c>
      <c r="H21" s="94"/>
      <c r="I21" s="94">
        <f t="shared" si="2"/>
        <v>0</v>
      </c>
      <c r="J21" s="94"/>
      <c r="K21" s="153">
        <f t="shared" si="3"/>
        <v>0</v>
      </c>
      <c r="L21" s="9"/>
      <c r="S21" s="244" t="s">
        <v>309</v>
      </c>
      <c r="T21" s="245" t="s">
        <v>308</v>
      </c>
      <c r="U21" s="246">
        <v>386064</v>
      </c>
      <c r="V21" s="246">
        <v>389567</v>
      </c>
      <c r="W21" s="246">
        <v>290522</v>
      </c>
      <c r="X21" s="246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A22" s="821"/>
      <c r="B22" s="777" t="s">
        <v>95</v>
      </c>
      <c r="C22" s="778"/>
      <c r="D22" s="161">
        <f t="shared" ref="D22:K22" si="5">SUM(D8:D21)</f>
        <v>0</v>
      </c>
      <c r="E22" s="161">
        <f t="shared" si="5"/>
        <v>0</v>
      </c>
      <c r="F22" s="161">
        <f t="shared" si="5"/>
        <v>0</v>
      </c>
      <c r="G22" s="161">
        <f t="shared" si="5"/>
        <v>0</v>
      </c>
      <c r="H22" s="161">
        <f t="shared" si="5"/>
        <v>0</v>
      </c>
      <c r="I22" s="161">
        <f t="shared" si="5"/>
        <v>0</v>
      </c>
      <c r="J22" s="161">
        <f t="shared" si="5"/>
        <v>0</v>
      </c>
      <c r="K22" s="161">
        <f t="shared" si="5"/>
        <v>0</v>
      </c>
      <c r="L22" s="9"/>
      <c r="S22" s="244" t="s">
        <v>310</v>
      </c>
      <c r="T22" s="245" t="s">
        <v>308</v>
      </c>
      <c r="U22" s="246">
        <v>424007</v>
      </c>
      <c r="V22" s="246">
        <v>423395</v>
      </c>
      <c r="W22" s="246">
        <v>330416</v>
      </c>
      <c r="X22" s="246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45" t="s">
        <v>308</v>
      </c>
      <c r="U23" s="246">
        <v>502696</v>
      </c>
      <c r="V23" s="246">
        <v>454530</v>
      </c>
      <c r="W23" s="246">
        <v>433722</v>
      </c>
      <c r="X23" s="246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45" t="s">
        <v>308</v>
      </c>
      <c r="U24" s="246">
        <v>564967</v>
      </c>
      <c r="V24" s="246">
        <v>571632</v>
      </c>
      <c r="W24" s="246">
        <v>485599</v>
      </c>
      <c r="X24" s="246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45" t="s">
        <v>308</v>
      </c>
      <c r="U25" s="246">
        <v>587345</v>
      </c>
      <c r="V25" s="246">
        <v>642103</v>
      </c>
      <c r="W25" s="246">
        <v>506995</v>
      </c>
      <c r="X25" s="246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45" t="s">
        <v>308</v>
      </c>
      <c r="U26" s="246">
        <v>674986</v>
      </c>
      <c r="V26" s="246">
        <v>751145</v>
      </c>
      <c r="W26" s="246">
        <v>519271</v>
      </c>
      <c r="X26" s="246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45" t="s">
        <v>308</v>
      </c>
      <c r="U27" s="246">
        <v>724113</v>
      </c>
      <c r="V27" s="246">
        <v>833572</v>
      </c>
      <c r="W27" s="246">
        <v>628408</v>
      </c>
      <c r="X27" s="246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45" t="s">
        <v>308</v>
      </c>
      <c r="U28" s="246">
        <v>758583</v>
      </c>
      <c r="V28" s="246">
        <v>939370</v>
      </c>
      <c r="W28" s="246">
        <v>675408</v>
      </c>
      <c r="X28" s="246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45" t="s">
        <v>308</v>
      </c>
      <c r="U29" s="246">
        <v>1018240</v>
      </c>
      <c r="V29" s="246">
        <v>969474</v>
      </c>
      <c r="W29" s="246">
        <v>744247</v>
      </c>
      <c r="X29" s="246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45" t="s">
        <v>308</v>
      </c>
      <c r="U30" s="246">
        <v>1065901</v>
      </c>
      <c r="V30" s="246">
        <v>1118948</v>
      </c>
      <c r="W30" s="246">
        <v>857657</v>
      </c>
      <c r="X30" s="246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45" t="s">
        <v>308</v>
      </c>
      <c r="U31" s="246">
        <v>1118654</v>
      </c>
      <c r="V31" s="246">
        <v>1196354</v>
      </c>
      <c r="W31" s="246">
        <v>890807</v>
      </c>
      <c r="X31" s="246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45" t="s">
        <v>308</v>
      </c>
      <c r="U32" s="246">
        <v>1170172</v>
      </c>
      <c r="V32" s="246">
        <v>1346097</v>
      </c>
      <c r="W32" s="246">
        <v>1137883</v>
      </c>
      <c r="X32" s="246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30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30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V63:W63"/>
    <mergeCell ref="T56:U56"/>
    <mergeCell ref="T57:U57"/>
    <mergeCell ref="T58:U58"/>
    <mergeCell ref="T59:U59"/>
    <mergeCell ref="T61:U61"/>
    <mergeCell ref="T3:Z3"/>
    <mergeCell ref="T18:X18"/>
    <mergeCell ref="T34:Y34"/>
    <mergeCell ref="T35:U35"/>
    <mergeCell ref="V35:W35"/>
    <mergeCell ref="X35:Y35"/>
    <mergeCell ref="T36:U36"/>
    <mergeCell ref="V36:W36"/>
    <mergeCell ref="X36:Y36"/>
    <mergeCell ref="T51:U51"/>
    <mergeCell ref="T52:U52"/>
    <mergeCell ref="T53:U53"/>
    <mergeCell ref="T54:U54"/>
    <mergeCell ref="T55:U55"/>
    <mergeCell ref="X51:Y51"/>
    <mergeCell ref="X63:Y63"/>
    <mergeCell ref="X62:Y62"/>
    <mergeCell ref="X61:Y61"/>
    <mergeCell ref="X60:Y60"/>
    <mergeCell ref="X59:Y59"/>
    <mergeCell ref="T63:U63"/>
    <mergeCell ref="V51:W51"/>
    <mergeCell ref="V53:W53"/>
    <mergeCell ref="V52:W52"/>
    <mergeCell ref="V54:W54"/>
    <mergeCell ref="V55:W55"/>
    <mergeCell ref="V56:W56"/>
    <mergeCell ref="V57:W57"/>
    <mergeCell ref="V58:W58"/>
    <mergeCell ref="V59:W59"/>
    <mergeCell ref="V60:W60"/>
    <mergeCell ref="V61:W61"/>
    <mergeCell ref="V62:W62"/>
    <mergeCell ref="T62:U62"/>
    <mergeCell ref="T60:U60"/>
    <mergeCell ref="X58:Y58"/>
    <mergeCell ref="X57:Y57"/>
    <mergeCell ref="X56:Y56"/>
    <mergeCell ref="X55:Y55"/>
    <mergeCell ref="X54:Y54"/>
    <mergeCell ref="X53:Y53"/>
    <mergeCell ref="X52:Y52"/>
    <mergeCell ref="S49:S50"/>
    <mergeCell ref="T48:U48"/>
    <mergeCell ref="V48:W48"/>
    <mergeCell ref="X48:Y48"/>
    <mergeCell ref="T46:U46"/>
    <mergeCell ref="T47:U47"/>
    <mergeCell ref="V46:W46"/>
    <mergeCell ref="V47:W47"/>
    <mergeCell ref="X47:Y47"/>
    <mergeCell ref="X46:Y46"/>
    <mergeCell ref="T49:Y49"/>
    <mergeCell ref="T50:U50"/>
    <mergeCell ref="V50:W50"/>
    <mergeCell ref="X50:Y50"/>
    <mergeCell ref="T44:U44"/>
    <mergeCell ref="T45:U45"/>
    <mergeCell ref="V44:W44"/>
    <mergeCell ref="V45:W45"/>
    <mergeCell ref="X45:Y45"/>
    <mergeCell ref="X44:Y44"/>
    <mergeCell ref="T42:U42"/>
    <mergeCell ref="T43:U43"/>
    <mergeCell ref="V43:W43"/>
    <mergeCell ref="V42:W42"/>
    <mergeCell ref="X43:Y43"/>
    <mergeCell ref="X42:Y42"/>
    <mergeCell ref="T40:U40"/>
    <mergeCell ref="T41:U41"/>
    <mergeCell ref="V40:W40"/>
    <mergeCell ref="V41:W41"/>
    <mergeCell ref="X41:Y41"/>
    <mergeCell ref="X40:Y40"/>
    <mergeCell ref="T38:U38"/>
    <mergeCell ref="T39:U39"/>
    <mergeCell ref="V38:W38"/>
    <mergeCell ref="V39:W39"/>
    <mergeCell ref="X39:Y39"/>
    <mergeCell ref="X38:Y38"/>
    <mergeCell ref="S34:S35"/>
    <mergeCell ref="S18:S19"/>
    <mergeCell ref="S3:S4"/>
    <mergeCell ref="M5:M18"/>
    <mergeCell ref="P3:P4"/>
    <mergeCell ref="Q3:Q4"/>
    <mergeCell ref="P5:P18"/>
    <mergeCell ref="B22:C22"/>
    <mergeCell ref="A6:A7"/>
    <mergeCell ref="B6:B7"/>
    <mergeCell ref="C6:C7"/>
    <mergeCell ref="D6:E6"/>
    <mergeCell ref="F6:G6"/>
    <mergeCell ref="H6:I6"/>
    <mergeCell ref="J6:K6"/>
    <mergeCell ref="M3:M4"/>
    <mergeCell ref="N3:N4"/>
    <mergeCell ref="O3:O4"/>
    <mergeCell ref="A8:A22"/>
    <mergeCell ref="AH19:AH20"/>
    <mergeCell ref="AJ19:AJ20"/>
    <mergeCell ref="AD3:AD4"/>
    <mergeCell ref="AD19:AD20"/>
    <mergeCell ref="AE19:AE20"/>
    <mergeCell ref="AF19:AF20"/>
    <mergeCell ref="AG19:AG20"/>
    <mergeCell ref="T37:U37"/>
    <mergeCell ref="V37:W37"/>
    <mergeCell ref="X37:Y37"/>
  </mergeCells>
  <phoneticPr fontId="4" type="noConversion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view="pageBreakPreview" zoomScale="115" zoomScaleNormal="100" zoomScaleSheetLayoutView="115" workbookViewId="0">
      <selection activeCell="F12" sqref="F8:F12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24" width="9" style="2"/>
    <col min="225" max="226" width="3.75" style="2" customWidth="1"/>
    <col min="227" max="227" width="15" style="2" customWidth="1"/>
    <col min="228" max="231" width="12.875" style="2" customWidth="1"/>
    <col min="232" max="232" width="12.125" style="2" customWidth="1"/>
    <col min="233" max="233" width="9" style="2"/>
    <col min="234" max="234" width="12.25" style="2" customWidth="1"/>
    <col min="235" max="235" width="9.625" style="2" customWidth="1"/>
    <col min="236" max="237" width="9.75" style="2" customWidth="1"/>
    <col min="238" max="238" width="9.375" style="2" customWidth="1"/>
    <col min="239" max="480" width="9" style="2"/>
    <col min="481" max="482" width="3.75" style="2" customWidth="1"/>
    <col min="483" max="483" width="15" style="2" customWidth="1"/>
    <col min="484" max="487" width="12.875" style="2" customWidth="1"/>
    <col min="488" max="488" width="12.125" style="2" customWidth="1"/>
    <col min="489" max="489" width="9" style="2"/>
    <col min="490" max="490" width="12.25" style="2" customWidth="1"/>
    <col min="491" max="491" width="9.625" style="2" customWidth="1"/>
    <col min="492" max="493" width="9.75" style="2" customWidth="1"/>
    <col min="494" max="494" width="9.375" style="2" customWidth="1"/>
    <col min="495" max="736" width="9" style="2"/>
    <col min="737" max="738" width="3.75" style="2" customWidth="1"/>
    <col min="739" max="739" width="15" style="2" customWidth="1"/>
    <col min="740" max="743" width="12.875" style="2" customWidth="1"/>
    <col min="744" max="744" width="12.125" style="2" customWidth="1"/>
    <col min="745" max="745" width="9" style="2"/>
    <col min="746" max="746" width="12.25" style="2" customWidth="1"/>
    <col min="747" max="747" width="9.625" style="2" customWidth="1"/>
    <col min="748" max="749" width="9.75" style="2" customWidth="1"/>
    <col min="750" max="750" width="9.375" style="2" customWidth="1"/>
    <col min="751" max="992" width="9" style="2"/>
    <col min="993" max="994" width="3.75" style="2" customWidth="1"/>
    <col min="995" max="995" width="15" style="2" customWidth="1"/>
    <col min="996" max="999" width="12.875" style="2" customWidth="1"/>
    <col min="1000" max="1000" width="12.125" style="2" customWidth="1"/>
    <col min="1001" max="1001" width="9" style="2"/>
    <col min="1002" max="1002" width="12.25" style="2" customWidth="1"/>
    <col min="1003" max="1003" width="9.625" style="2" customWidth="1"/>
    <col min="1004" max="1005" width="9.75" style="2" customWidth="1"/>
    <col min="1006" max="1006" width="9.375" style="2" customWidth="1"/>
    <col min="1007" max="1248" width="9" style="2"/>
    <col min="1249" max="1250" width="3.75" style="2" customWidth="1"/>
    <col min="1251" max="1251" width="15" style="2" customWidth="1"/>
    <col min="1252" max="1255" width="12.875" style="2" customWidth="1"/>
    <col min="1256" max="1256" width="12.125" style="2" customWidth="1"/>
    <col min="1257" max="1257" width="9" style="2"/>
    <col min="1258" max="1258" width="12.25" style="2" customWidth="1"/>
    <col min="1259" max="1259" width="9.625" style="2" customWidth="1"/>
    <col min="1260" max="1261" width="9.75" style="2" customWidth="1"/>
    <col min="1262" max="1262" width="9.375" style="2" customWidth="1"/>
    <col min="1263" max="1504" width="9" style="2"/>
    <col min="1505" max="1506" width="3.75" style="2" customWidth="1"/>
    <col min="1507" max="1507" width="15" style="2" customWidth="1"/>
    <col min="1508" max="1511" width="12.875" style="2" customWidth="1"/>
    <col min="1512" max="1512" width="12.125" style="2" customWidth="1"/>
    <col min="1513" max="1513" width="9" style="2"/>
    <col min="1514" max="1514" width="12.25" style="2" customWidth="1"/>
    <col min="1515" max="1515" width="9.625" style="2" customWidth="1"/>
    <col min="1516" max="1517" width="9.75" style="2" customWidth="1"/>
    <col min="1518" max="1518" width="9.375" style="2" customWidth="1"/>
    <col min="1519" max="1760" width="9" style="2"/>
    <col min="1761" max="1762" width="3.75" style="2" customWidth="1"/>
    <col min="1763" max="1763" width="15" style="2" customWidth="1"/>
    <col min="1764" max="1767" width="12.875" style="2" customWidth="1"/>
    <col min="1768" max="1768" width="12.125" style="2" customWidth="1"/>
    <col min="1769" max="1769" width="9" style="2"/>
    <col min="1770" max="1770" width="12.25" style="2" customWidth="1"/>
    <col min="1771" max="1771" width="9.625" style="2" customWidth="1"/>
    <col min="1772" max="1773" width="9.75" style="2" customWidth="1"/>
    <col min="1774" max="1774" width="9.375" style="2" customWidth="1"/>
    <col min="1775" max="2016" width="9" style="2"/>
    <col min="2017" max="2018" width="3.75" style="2" customWidth="1"/>
    <col min="2019" max="2019" width="15" style="2" customWidth="1"/>
    <col min="2020" max="2023" width="12.875" style="2" customWidth="1"/>
    <col min="2024" max="2024" width="12.125" style="2" customWidth="1"/>
    <col min="2025" max="2025" width="9" style="2"/>
    <col min="2026" max="2026" width="12.25" style="2" customWidth="1"/>
    <col min="2027" max="2027" width="9.625" style="2" customWidth="1"/>
    <col min="2028" max="2029" width="9.75" style="2" customWidth="1"/>
    <col min="2030" max="2030" width="9.375" style="2" customWidth="1"/>
    <col min="2031" max="2272" width="9" style="2"/>
    <col min="2273" max="2274" width="3.75" style="2" customWidth="1"/>
    <col min="2275" max="2275" width="15" style="2" customWidth="1"/>
    <col min="2276" max="2279" width="12.875" style="2" customWidth="1"/>
    <col min="2280" max="2280" width="12.125" style="2" customWidth="1"/>
    <col min="2281" max="2281" width="9" style="2"/>
    <col min="2282" max="2282" width="12.25" style="2" customWidth="1"/>
    <col min="2283" max="2283" width="9.625" style="2" customWidth="1"/>
    <col min="2284" max="2285" width="9.75" style="2" customWidth="1"/>
    <col min="2286" max="2286" width="9.375" style="2" customWidth="1"/>
    <col min="2287" max="2528" width="9" style="2"/>
    <col min="2529" max="2530" width="3.75" style="2" customWidth="1"/>
    <col min="2531" max="2531" width="15" style="2" customWidth="1"/>
    <col min="2532" max="2535" width="12.875" style="2" customWidth="1"/>
    <col min="2536" max="2536" width="12.125" style="2" customWidth="1"/>
    <col min="2537" max="2537" width="9" style="2"/>
    <col min="2538" max="2538" width="12.25" style="2" customWidth="1"/>
    <col min="2539" max="2539" width="9.625" style="2" customWidth="1"/>
    <col min="2540" max="2541" width="9.75" style="2" customWidth="1"/>
    <col min="2542" max="2542" width="9.375" style="2" customWidth="1"/>
    <col min="2543" max="2784" width="9" style="2"/>
    <col min="2785" max="2786" width="3.75" style="2" customWidth="1"/>
    <col min="2787" max="2787" width="15" style="2" customWidth="1"/>
    <col min="2788" max="2791" width="12.875" style="2" customWidth="1"/>
    <col min="2792" max="2792" width="12.125" style="2" customWidth="1"/>
    <col min="2793" max="2793" width="9" style="2"/>
    <col min="2794" max="2794" width="12.25" style="2" customWidth="1"/>
    <col min="2795" max="2795" width="9.625" style="2" customWidth="1"/>
    <col min="2796" max="2797" width="9.75" style="2" customWidth="1"/>
    <col min="2798" max="2798" width="9.375" style="2" customWidth="1"/>
    <col min="2799" max="3040" width="9" style="2"/>
    <col min="3041" max="3042" width="3.75" style="2" customWidth="1"/>
    <col min="3043" max="3043" width="15" style="2" customWidth="1"/>
    <col min="3044" max="3047" width="12.875" style="2" customWidth="1"/>
    <col min="3048" max="3048" width="12.125" style="2" customWidth="1"/>
    <col min="3049" max="3049" width="9" style="2"/>
    <col min="3050" max="3050" width="12.25" style="2" customWidth="1"/>
    <col min="3051" max="3051" width="9.625" style="2" customWidth="1"/>
    <col min="3052" max="3053" width="9.75" style="2" customWidth="1"/>
    <col min="3054" max="3054" width="9.375" style="2" customWidth="1"/>
    <col min="3055" max="3296" width="9" style="2"/>
    <col min="3297" max="3298" width="3.75" style="2" customWidth="1"/>
    <col min="3299" max="3299" width="15" style="2" customWidth="1"/>
    <col min="3300" max="3303" width="12.875" style="2" customWidth="1"/>
    <col min="3304" max="3304" width="12.125" style="2" customWidth="1"/>
    <col min="3305" max="3305" width="9" style="2"/>
    <col min="3306" max="3306" width="12.25" style="2" customWidth="1"/>
    <col min="3307" max="3307" width="9.625" style="2" customWidth="1"/>
    <col min="3308" max="3309" width="9.75" style="2" customWidth="1"/>
    <col min="3310" max="3310" width="9.375" style="2" customWidth="1"/>
    <col min="3311" max="3552" width="9" style="2"/>
    <col min="3553" max="3554" width="3.75" style="2" customWidth="1"/>
    <col min="3555" max="3555" width="15" style="2" customWidth="1"/>
    <col min="3556" max="3559" width="12.875" style="2" customWidth="1"/>
    <col min="3560" max="3560" width="12.125" style="2" customWidth="1"/>
    <col min="3561" max="3561" width="9" style="2"/>
    <col min="3562" max="3562" width="12.25" style="2" customWidth="1"/>
    <col min="3563" max="3563" width="9.625" style="2" customWidth="1"/>
    <col min="3564" max="3565" width="9.75" style="2" customWidth="1"/>
    <col min="3566" max="3566" width="9.375" style="2" customWidth="1"/>
    <col min="3567" max="3808" width="9" style="2"/>
    <col min="3809" max="3810" width="3.75" style="2" customWidth="1"/>
    <col min="3811" max="3811" width="15" style="2" customWidth="1"/>
    <col min="3812" max="3815" width="12.875" style="2" customWidth="1"/>
    <col min="3816" max="3816" width="12.125" style="2" customWidth="1"/>
    <col min="3817" max="3817" width="9" style="2"/>
    <col min="3818" max="3818" width="12.25" style="2" customWidth="1"/>
    <col min="3819" max="3819" width="9.625" style="2" customWidth="1"/>
    <col min="3820" max="3821" width="9.75" style="2" customWidth="1"/>
    <col min="3822" max="3822" width="9.375" style="2" customWidth="1"/>
    <col min="3823" max="4064" width="9" style="2"/>
    <col min="4065" max="4066" width="3.75" style="2" customWidth="1"/>
    <col min="4067" max="4067" width="15" style="2" customWidth="1"/>
    <col min="4068" max="4071" width="12.875" style="2" customWidth="1"/>
    <col min="4072" max="4072" width="12.125" style="2" customWidth="1"/>
    <col min="4073" max="4073" width="9" style="2"/>
    <col min="4074" max="4074" width="12.25" style="2" customWidth="1"/>
    <col min="4075" max="4075" width="9.625" style="2" customWidth="1"/>
    <col min="4076" max="4077" width="9.75" style="2" customWidth="1"/>
    <col min="4078" max="4078" width="9.375" style="2" customWidth="1"/>
    <col min="4079" max="4320" width="9" style="2"/>
    <col min="4321" max="4322" width="3.75" style="2" customWidth="1"/>
    <col min="4323" max="4323" width="15" style="2" customWidth="1"/>
    <col min="4324" max="4327" width="12.875" style="2" customWidth="1"/>
    <col min="4328" max="4328" width="12.125" style="2" customWidth="1"/>
    <col min="4329" max="4329" width="9" style="2"/>
    <col min="4330" max="4330" width="12.25" style="2" customWidth="1"/>
    <col min="4331" max="4331" width="9.625" style="2" customWidth="1"/>
    <col min="4332" max="4333" width="9.75" style="2" customWidth="1"/>
    <col min="4334" max="4334" width="9.375" style="2" customWidth="1"/>
    <col min="4335" max="4576" width="9" style="2"/>
    <col min="4577" max="4578" width="3.75" style="2" customWidth="1"/>
    <col min="4579" max="4579" width="15" style="2" customWidth="1"/>
    <col min="4580" max="4583" width="12.875" style="2" customWidth="1"/>
    <col min="4584" max="4584" width="12.125" style="2" customWidth="1"/>
    <col min="4585" max="4585" width="9" style="2"/>
    <col min="4586" max="4586" width="12.25" style="2" customWidth="1"/>
    <col min="4587" max="4587" width="9.625" style="2" customWidth="1"/>
    <col min="4588" max="4589" width="9.75" style="2" customWidth="1"/>
    <col min="4590" max="4590" width="9.375" style="2" customWidth="1"/>
    <col min="4591" max="4832" width="9" style="2"/>
    <col min="4833" max="4834" width="3.75" style="2" customWidth="1"/>
    <col min="4835" max="4835" width="15" style="2" customWidth="1"/>
    <col min="4836" max="4839" width="12.875" style="2" customWidth="1"/>
    <col min="4840" max="4840" width="12.125" style="2" customWidth="1"/>
    <col min="4841" max="4841" width="9" style="2"/>
    <col min="4842" max="4842" width="12.25" style="2" customWidth="1"/>
    <col min="4843" max="4843" width="9.625" style="2" customWidth="1"/>
    <col min="4844" max="4845" width="9.75" style="2" customWidth="1"/>
    <col min="4846" max="4846" width="9.375" style="2" customWidth="1"/>
    <col min="4847" max="5088" width="9" style="2"/>
    <col min="5089" max="5090" width="3.75" style="2" customWidth="1"/>
    <col min="5091" max="5091" width="15" style="2" customWidth="1"/>
    <col min="5092" max="5095" width="12.875" style="2" customWidth="1"/>
    <col min="5096" max="5096" width="12.125" style="2" customWidth="1"/>
    <col min="5097" max="5097" width="9" style="2"/>
    <col min="5098" max="5098" width="12.25" style="2" customWidth="1"/>
    <col min="5099" max="5099" width="9.625" style="2" customWidth="1"/>
    <col min="5100" max="5101" width="9.75" style="2" customWidth="1"/>
    <col min="5102" max="5102" width="9.375" style="2" customWidth="1"/>
    <col min="5103" max="5344" width="9" style="2"/>
    <col min="5345" max="5346" width="3.75" style="2" customWidth="1"/>
    <col min="5347" max="5347" width="15" style="2" customWidth="1"/>
    <col min="5348" max="5351" width="12.875" style="2" customWidth="1"/>
    <col min="5352" max="5352" width="12.125" style="2" customWidth="1"/>
    <col min="5353" max="5353" width="9" style="2"/>
    <col min="5354" max="5354" width="12.25" style="2" customWidth="1"/>
    <col min="5355" max="5355" width="9.625" style="2" customWidth="1"/>
    <col min="5356" max="5357" width="9.75" style="2" customWidth="1"/>
    <col min="5358" max="5358" width="9.375" style="2" customWidth="1"/>
    <col min="5359" max="5600" width="9" style="2"/>
    <col min="5601" max="5602" width="3.75" style="2" customWidth="1"/>
    <col min="5603" max="5603" width="15" style="2" customWidth="1"/>
    <col min="5604" max="5607" width="12.875" style="2" customWidth="1"/>
    <col min="5608" max="5608" width="12.125" style="2" customWidth="1"/>
    <col min="5609" max="5609" width="9" style="2"/>
    <col min="5610" max="5610" width="12.25" style="2" customWidth="1"/>
    <col min="5611" max="5611" width="9.625" style="2" customWidth="1"/>
    <col min="5612" max="5613" width="9.75" style="2" customWidth="1"/>
    <col min="5614" max="5614" width="9.375" style="2" customWidth="1"/>
    <col min="5615" max="5856" width="9" style="2"/>
    <col min="5857" max="5858" width="3.75" style="2" customWidth="1"/>
    <col min="5859" max="5859" width="15" style="2" customWidth="1"/>
    <col min="5860" max="5863" width="12.875" style="2" customWidth="1"/>
    <col min="5864" max="5864" width="12.125" style="2" customWidth="1"/>
    <col min="5865" max="5865" width="9" style="2"/>
    <col min="5866" max="5866" width="12.25" style="2" customWidth="1"/>
    <col min="5867" max="5867" width="9.625" style="2" customWidth="1"/>
    <col min="5868" max="5869" width="9.75" style="2" customWidth="1"/>
    <col min="5870" max="5870" width="9.375" style="2" customWidth="1"/>
    <col min="5871" max="6112" width="9" style="2"/>
    <col min="6113" max="6114" width="3.75" style="2" customWidth="1"/>
    <col min="6115" max="6115" width="15" style="2" customWidth="1"/>
    <col min="6116" max="6119" width="12.875" style="2" customWidth="1"/>
    <col min="6120" max="6120" width="12.125" style="2" customWidth="1"/>
    <col min="6121" max="6121" width="9" style="2"/>
    <col min="6122" max="6122" width="12.25" style="2" customWidth="1"/>
    <col min="6123" max="6123" width="9.625" style="2" customWidth="1"/>
    <col min="6124" max="6125" width="9.75" style="2" customWidth="1"/>
    <col min="6126" max="6126" width="9.375" style="2" customWidth="1"/>
    <col min="6127" max="6368" width="9" style="2"/>
    <col min="6369" max="6370" width="3.75" style="2" customWidth="1"/>
    <col min="6371" max="6371" width="15" style="2" customWidth="1"/>
    <col min="6372" max="6375" width="12.875" style="2" customWidth="1"/>
    <col min="6376" max="6376" width="12.125" style="2" customWidth="1"/>
    <col min="6377" max="6377" width="9" style="2"/>
    <col min="6378" max="6378" width="12.25" style="2" customWidth="1"/>
    <col min="6379" max="6379" width="9.625" style="2" customWidth="1"/>
    <col min="6380" max="6381" width="9.75" style="2" customWidth="1"/>
    <col min="6382" max="6382" width="9.375" style="2" customWidth="1"/>
    <col min="6383" max="6624" width="9" style="2"/>
    <col min="6625" max="6626" width="3.75" style="2" customWidth="1"/>
    <col min="6627" max="6627" width="15" style="2" customWidth="1"/>
    <col min="6628" max="6631" width="12.875" style="2" customWidth="1"/>
    <col min="6632" max="6632" width="12.125" style="2" customWidth="1"/>
    <col min="6633" max="6633" width="9" style="2"/>
    <col min="6634" max="6634" width="12.25" style="2" customWidth="1"/>
    <col min="6635" max="6635" width="9.625" style="2" customWidth="1"/>
    <col min="6636" max="6637" width="9.75" style="2" customWidth="1"/>
    <col min="6638" max="6638" width="9.375" style="2" customWidth="1"/>
    <col min="6639" max="6880" width="9" style="2"/>
    <col min="6881" max="6882" width="3.75" style="2" customWidth="1"/>
    <col min="6883" max="6883" width="15" style="2" customWidth="1"/>
    <col min="6884" max="6887" width="12.875" style="2" customWidth="1"/>
    <col min="6888" max="6888" width="12.125" style="2" customWidth="1"/>
    <col min="6889" max="6889" width="9" style="2"/>
    <col min="6890" max="6890" width="12.25" style="2" customWidth="1"/>
    <col min="6891" max="6891" width="9.625" style="2" customWidth="1"/>
    <col min="6892" max="6893" width="9.75" style="2" customWidth="1"/>
    <col min="6894" max="6894" width="9.375" style="2" customWidth="1"/>
    <col min="6895" max="7136" width="9" style="2"/>
    <col min="7137" max="7138" width="3.75" style="2" customWidth="1"/>
    <col min="7139" max="7139" width="15" style="2" customWidth="1"/>
    <col min="7140" max="7143" width="12.875" style="2" customWidth="1"/>
    <col min="7144" max="7144" width="12.125" style="2" customWidth="1"/>
    <col min="7145" max="7145" width="9" style="2"/>
    <col min="7146" max="7146" width="12.25" style="2" customWidth="1"/>
    <col min="7147" max="7147" width="9.625" style="2" customWidth="1"/>
    <col min="7148" max="7149" width="9.75" style="2" customWidth="1"/>
    <col min="7150" max="7150" width="9.375" style="2" customWidth="1"/>
    <col min="7151" max="7392" width="9" style="2"/>
    <col min="7393" max="7394" width="3.75" style="2" customWidth="1"/>
    <col min="7395" max="7395" width="15" style="2" customWidth="1"/>
    <col min="7396" max="7399" width="12.875" style="2" customWidth="1"/>
    <col min="7400" max="7400" width="12.125" style="2" customWidth="1"/>
    <col min="7401" max="7401" width="9" style="2"/>
    <col min="7402" max="7402" width="12.25" style="2" customWidth="1"/>
    <col min="7403" max="7403" width="9.625" style="2" customWidth="1"/>
    <col min="7404" max="7405" width="9.75" style="2" customWidth="1"/>
    <col min="7406" max="7406" width="9.375" style="2" customWidth="1"/>
    <col min="7407" max="7648" width="9" style="2"/>
    <col min="7649" max="7650" width="3.75" style="2" customWidth="1"/>
    <col min="7651" max="7651" width="15" style="2" customWidth="1"/>
    <col min="7652" max="7655" width="12.875" style="2" customWidth="1"/>
    <col min="7656" max="7656" width="12.125" style="2" customWidth="1"/>
    <col min="7657" max="7657" width="9" style="2"/>
    <col min="7658" max="7658" width="12.25" style="2" customWidth="1"/>
    <col min="7659" max="7659" width="9.625" style="2" customWidth="1"/>
    <col min="7660" max="7661" width="9.75" style="2" customWidth="1"/>
    <col min="7662" max="7662" width="9.375" style="2" customWidth="1"/>
    <col min="7663" max="7904" width="9" style="2"/>
    <col min="7905" max="7906" width="3.75" style="2" customWidth="1"/>
    <col min="7907" max="7907" width="15" style="2" customWidth="1"/>
    <col min="7908" max="7911" width="12.875" style="2" customWidth="1"/>
    <col min="7912" max="7912" width="12.125" style="2" customWidth="1"/>
    <col min="7913" max="7913" width="9" style="2"/>
    <col min="7914" max="7914" width="12.25" style="2" customWidth="1"/>
    <col min="7915" max="7915" width="9.625" style="2" customWidth="1"/>
    <col min="7916" max="7917" width="9.75" style="2" customWidth="1"/>
    <col min="7918" max="7918" width="9.375" style="2" customWidth="1"/>
    <col min="7919" max="8160" width="9" style="2"/>
    <col min="8161" max="8162" width="3.75" style="2" customWidth="1"/>
    <col min="8163" max="8163" width="15" style="2" customWidth="1"/>
    <col min="8164" max="8167" width="12.875" style="2" customWidth="1"/>
    <col min="8168" max="8168" width="12.125" style="2" customWidth="1"/>
    <col min="8169" max="8169" width="9" style="2"/>
    <col min="8170" max="8170" width="12.25" style="2" customWidth="1"/>
    <col min="8171" max="8171" width="9.625" style="2" customWidth="1"/>
    <col min="8172" max="8173" width="9.75" style="2" customWidth="1"/>
    <col min="8174" max="8174" width="9.375" style="2" customWidth="1"/>
    <col min="8175" max="8416" width="9" style="2"/>
    <col min="8417" max="8418" width="3.75" style="2" customWidth="1"/>
    <col min="8419" max="8419" width="15" style="2" customWidth="1"/>
    <col min="8420" max="8423" width="12.875" style="2" customWidth="1"/>
    <col min="8424" max="8424" width="12.125" style="2" customWidth="1"/>
    <col min="8425" max="8425" width="9" style="2"/>
    <col min="8426" max="8426" width="12.25" style="2" customWidth="1"/>
    <col min="8427" max="8427" width="9.625" style="2" customWidth="1"/>
    <col min="8428" max="8429" width="9.75" style="2" customWidth="1"/>
    <col min="8430" max="8430" width="9.375" style="2" customWidth="1"/>
    <col min="8431" max="8672" width="9" style="2"/>
    <col min="8673" max="8674" width="3.75" style="2" customWidth="1"/>
    <col min="8675" max="8675" width="15" style="2" customWidth="1"/>
    <col min="8676" max="8679" width="12.875" style="2" customWidth="1"/>
    <col min="8680" max="8680" width="12.125" style="2" customWidth="1"/>
    <col min="8681" max="8681" width="9" style="2"/>
    <col min="8682" max="8682" width="12.25" style="2" customWidth="1"/>
    <col min="8683" max="8683" width="9.625" style="2" customWidth="1"/>
    <col min="8684" max="8685" width="9.75" style="2" customWidth="1"/>
    <col min="8686" max="8686" width="9.375" style="2" customWidth="1"/>
    <col min="8687" max="8928" width="9" style="2"/>
    <col min="8929" max="8930" width="3.75" style="2" customWidth="1"/>
    <col min="8931" max="8931" width="15" style="2" customWidth="1"/>
    <col min="8932" max="8935" width="12.875" style="2" customWidth="1"/>
    <col min="8936" max="8936" width="12.125" style="2" customWidth="1"/>
    <col min="8937" max="8937" width="9" style="2"/>
    <col min="8938" max="8938" width="12.25" style="2" customWidth="1"/>
    <col min="8939" max="8939" width="9.625" style="2" customWidth="1"/>
    <col min="8940" max="8941" width="9.75" style="2" customWidth="1"/>
    <col min="8942" max="8942" width="9.375" style="2" customWidth="1"/>
    <col min="8943" max="9184" width="9" style="2"/>
    <col min="9185" max="9186" width="3.75" style="2" customWidth="1"/>
    <col min="9187" max="9187" width="15" style="2" customWidth="1"/>
    <col min="9188" max="9191" width="12.875" style="2" customWidth="1"/>
    <col min="9192" max="9192" width="12.125" style="2" customWidth="1"/>
    <col min="9193" max="9193" width="9" style="2"/>
    <col min="9194" max="9194" width="12.25" style="2" customWidth="1"/>
    <col min="9195" max="9195" width="9.625" style="2" customWidth="1"/>
    <col min="9196" max="9197" width="9.75" style="2" customWidth="1"/>
    <col min="9198" max="9198" width="9.375" style="2" customWidth="1"/>
    <col min="9199" max="9440" width="9" style="2"/>
    <col min="9441" max="9442" width="3.75" style="2" customWidth="1"/>
    <col min="9443" max="9443" width="15" style="2" customWidth="1"/>
    <col min="9444" max="9447" width="12.875" style="2" customWidth="1"/>
    <col min="9448" max="9448" width="12.125" style="2" customWidth="1"/>
    <col min="9449" max="9449" width="9" style="2"/>
    <col min="9450" max="9450" width="12.25" style="2" customWidth="1"/>
    <col min="9451" max="9451" width="9.625" style="2" customWidth="1"/>
    <col min="9452" max="9453" width="9.75" style="2" customWidth="1"/>
    <col min="9454" max="9454" width="9.375" style="2" customWidth="1"/>
    <col min="9455" max="9696" width="9" style="2"/>
    <col min="9697" max="9698" width="3.75" style="2" customWidth="1"/>
    <col min="9699" max="9699" width="15" style="2" customWidth="1"/>
    <col min="9700" max="9703" width="12.875" style="2" customWidth="1"/>
    <col min="9704" max="9704" width="12.125" style="2" customWidth="1"/>
    <col min="9705" max="9705" width="9" style="2"/>
    <col min="9706" max="9706" width="12.25" style="2" customWidth="1"/>
    <col min="9707" max="9707" width="9.625" style="2" customWidth="1"/>
    <col min="9708" max="9709" width="9.75" style="2" customWidth="1"/>
    <col min="9710" max="9710" width="9.375" style="2" customWidth="1"/>
    <col min="9711" max="9952" width="9" style="2"/>
    <col min="9953" max="9954" width="3.75" style="2" customWidth="1"/>
    <col min="9955" max="9955" width="15" style="2" customWidth="1"/>
    <col min="9956" max="9959" width="12.875" style="2" customWidth="1"/>
    <col min="9960" max="9960" width="12.125" style="2" customWidth="1"/>
    <col min="9961" max="9961" width="9" style="2"/>
    <col min="9962" max="9962" width="12.25" style="2" customWidth="1"/>
    <col min="9963" max="9963" width="9.625" style="2" customWidth="1"/>
    <col min="9964" max="9965" width="9.75" style="2" customWidth="1"/>
    <col min="9966" max="9966" width="9.375" style="2" customWidth="1"/>
    <col min="9967" max="10208" width="9" style="2"/>
    <col min="10209" max="10210" width="3.75" style="2" customWidth="1"/>
    <col min="10211" max="10211" width="15" style="2" customWidth="1"/>
    <col min="10212" max="10215" width="12.875" style="2" customWidth="1"/>
    <col min="10216" max="10216" width="12.125" style="2" customWidth="1"/>
    <col min="10217" max="10217" width="9" style="2"/>
    <col min="10218" max="10218" width="12.25" style="2" customWidth="1"/>
    <col min="10219" max="10219" width="9.625" style="2" customWidth="1"/>
    <col min="10220" max="10221" width="9.75" style="2" customWidth="1"/>
    <col min="10222" max="10222" width="9.375" style="2" customWidth="1"/>
    <col min="10223" max="10464" width="9" style="2"/>
    <col min="10465" max="10466" width="3.75" style="2" customWidth="1"/>
    <col min="10467" max="10467" width="15" style="2" customWidth="1"/>
    <col min="10468" max="10471" width="12.875" style="2" customWidth="1"/>
    <col min="10472" max="10472" width="12.125" style="2" customWidth="1"/>
    <col min="10473" max="10473" width="9" style="2"/>
    <col min="10474" max="10474" width="12.25" style="2" customWidth="1"/>
    <col min="10475" max="10475" width="9.625" style="2" customWidth="1"/>
    <col min="10476" max="10477" width="9.75" style="2" customWidth="1"/>
    <col min="10478" max="10478" width="9.375" style="2" customWidth="1"/>
    <col min="10479" max="10720" width="9" style="2"/>
    <col min="10721" max="10722" width="3.75" style="2" customWidth="1"/>
    <col min="10723" max="10723" width="15" style="2" customWidth="1"/>
    <col min="10724" max="10727" width="12.875" style="2" customWidth="1"/>
    <col min="10728" max="10728" width="12.125" style="2" customWidth="1"/>
    <col min="10729" max="10729" width="9" style="2"/>
    <col min="10730" max="10730" width="12.25" style="2" customWidth="1"/>
    <col min="10731" max="10731" width="9.625" style="2" customWidth="1"/>
    <col min="10732" max="10733" width="9.75" style="2" customWidth="1"/>
    <col min="10734" max="10734" width="9.375" style="2" customWidth="1"/>
    <col min="10735" max="10976" width="9" style="2"/>
    <col min="10977" max="10978" width="3.75" style="2" customWidth="1"/>
    <col min="10979" max="10979" width="15" style="2" customWidth="1"/>
    <col min="10980" max="10983" width="12.875" style="2" customWidth="1"/>
    <col min="10984" max="10984" width="12.125" style="2" customWidth="1"/>
    <col min="10985" max="10985" width="9" style="2"/>
    <col min="10986" max="10986" width="12.25" style="2" customWidth="1"/>
    <col min="10987" max="10987" width="9.625" style="2" customWidth="1"/>
    <col min="10988" max="10989" width="9.75" style="2" customWidth="1"/>
    <col min="10990" max="10990" width="9.375" style="2" customWidth="1"/>
    <col min="10991" max="11232" width="9" style="2"/>
    <col min="11233" max="11234" width="3.75" style="2" customWidth="1"/>
    <col min="11235" max="11235" width="15" style="2" customWidth="1"/>
    <col min="11236" max="11239" width="12.875" style="2" customWidth="1"/>
    <col min="11240" max="11240" width="12.125" style="2" customWidth="1"/>
    <col min="11241" max="11241" width="9" style="2"/>
    <col min="11242" max="11242" width="12.25" style="2" customWidth="1"/>
    <col min="11243" max="11243" width="9.625" style="2" customWidth="1"/>
    <col min="11244" max="11245" width="9.75" style="2" customWidth="1"/>
    <col min="11246" max="11246" width="9.375" style="2" customWidth="1"/>
    <col min="11247" max="11488" width="9" style="2"/>
    <col min="11489" max="11490" width="3.75" style="2" customWidth="1"/>
    <col min="11491" max="11491" width="15" style="2" customWidth="1"/>
    <col min="11492" max="11495" width="12.875" style="2" customWidth="1"/>
    <col min="11496" max="11496" width="12.125" style="2" customWidth="1"/>
    <col min="11497" max="11497" width="9" style="2"/>
    <col min="11498" max="11498" width="12.25" style="2" customWidth="1"/>
    <col min="11499" max="11499" width="9.625" style="2" customWidth="1"/>
    <col min="11500" max="11501" width="9.75" style="2" customWidth="1"/>
    <col min="11502" max="11502" width="9.375" style="2" customWidth="1"/>
    <col min="11503" max="11744" width="9" style="2"/>
    <col min="11745" max="11746" width="3.75" style="2" customWidth="1"/>
    <col min="11747" max="11747" width="15" style="2" customWidth="1"/>
    <col min="11748" max="11751" width="12.875" style="2" customWidth="1"/>
    <col min="11752" max="11752" width="12.125" style="2" customWidth="1"/>
    <col min="11753" max="11753" width="9" style="2"/>
    <col min="11754" max="11754" width="12.25" style="2" customWidth="1"/>
    <col min="11755" max="11755" width="9.625" style="2" customWidth="1"/>
    <col min="11756" max="11757" width="9.75" style="2" customWidth="1"/>
    <col min="11758" max="11758" width="9.375" style="2" customWidth="1"/>
    <col min="11759" max="12000" width="9" style="2"/>
    <col min="12001" max="12002" width="3.75" style="2" customWidth="1"/>
    <col min="12003" max="12003" width="15" style="2" customWidth="1"/>
    <col min="12004" max="12007" width="12.875" style="2" customWidth="1"/>
    <col min="12008" max="12008" width="12.125" style="2" customWidth="1"/>
    <col min="12009" max="12009" width="9" style="2"/>
    <col min="12010" max="12010" width="12.25" style="2" customWidth="1"/>
    <col min="12011" max="12011" width="9.625" style="2" customWidth="1"/>
    <col min="12012" max="12013" width="9.75" style="2" customWidth="1"/>
    <col min="12014" max="12014" width="9.375" style="2" customWidth="1"/>
    <col min="12015" max="12256" width="9" style="2"/>
    <col min="12257" max="12258" width="3.75" style="2" customWidth="1"/>
    <col min="12259" max="12259" width="15" style="2" customWidth="1"/>
    <col min="12260" max="12263" width="12.875" style="2" customWidth="1"/>
    <col min="12264" max="12264" width="12.125" style="2" customWidth="1"/>
    <col min="12265" max="12265" width="9" style="2"/>
    <col min="12266" max="12266" width="12.25" style="2" customWidth="1"/>
    <col min="12267" max="12267" width="9.625" style="2" customWidth="1"/>
    <col min="12268" max="12269" width="9.75" style="2" customWidth="1"/>
    <col min="12270" max="12270" width="9.375" style="2" customWidth="1"/>
    <col min="12271" max="12512" width="9" style="2"/>
    <col min="12513" max="12514" width="3.75" style="2" customWidth="1"/>
    <col min="12515" max="12515" width="15" style="2" customWidth="1"/>
    <col min="12516" max="12519" width="12.875" style="2" customWidth="1"/>
    <col min="12520" max="12520" width="12.125" style="2" customWidth="1"/>
    <col min="12521" max="12521" width="9" style="2"/>
    <col min="12522" max="12522" width="12.25" style="2" customWidth="1"/>
    <col min="12523" max="12523" width="9.625" style="2" customWidth="1"/>
    <col min="12524" max="12525" width="9.75" style="2" customWidth="1"/>
    <col min="12526" max="12526" width="9.375" style="2" customWidth="1"/>
    <col min="12527" max="12768" width="9" style="2"/>
    <col min="12769" max="12770" width="3.75" style="2" customWidth="1"/>
    <col min="12771" max="12771" width="15" style="2" customWidth="1"/>
    <col min="12772" max="12775" width="12.875" style="2" customWidth="1"/>
    <col min="12776" max="12776" width="12.125" style="2" customWidth="1"/>
    <col min="12777" max="12777" width="9" style="2"/>
    <col min="12778" max="12778" width="12.25" style="2" customWidth="1"/>
    <col min="12779" max="12779" width="9.625" style="2" customWidth="1"/>
    <col min="12780" max="12781" width="9.75" style="2" customWidth="1"/>
    <col min="12782" max="12782" width="9.375" style="2" customWidth="1"/>
    <col min="12783" max="13024" width="9" style="2"/>
    <col min="13025" max="13026" width="3.75" style="2" customWidth="1"/>
    <col min="13027" max="13027" width="15" style="2" customWidth="1"/>
    <col min="13028" max="13031" width="12.875" style="2" customWidth="1"/>
    <col min="13032" max="13032" width="12.125" style="2" customWidth="1"/>
    <col min="13033" max="13033" width="9" style="2"/>
    <col min="13034" max="13034" width="12.25" style="2" customWidth="1"/>
    <col min="13035" max="13035" width="9.625" style="2" customWidth="1"/>
    <col min="13036" max="13037" width="9.75" style="2" customWidth="1"/>
    <col min="13038" max="13038" width="9.375" style="2" customWidth="1"/>
    <col min="13039" max="13280" width="9" style="2"/>
    <col min="13281" max="13282" width="3.75" style="2" customWidth="1"/>
    <col min="13283" max="13283" width="15" style="2" customWidth="1"/>
    <col min="13284" max="13287" width="12.875" style="2" customWidth="1"/>
    <col min="13288" max="13288" width="12.125" style="2" customWidth="1"/>
    <col min="13289" max="13289" width="9" style="2"/>
    <col min="13290" max="13290" width="12.25" style="2" customWidth="1"/>
    <col min="13291" max="13291" width="9.625" style="2" customWidth="1"/>
    <col min="13292" max="13293" width="9.75" style="2" customWidth="1"/>
    <col min="13294" max="13294" width="9.375" style="2" customWidth="1"/>
    <col min="13295" max="13536" width="9" style="2"/>
    <col min="13537" max="13538" width="3.75" style="2" customWidth="1"/>
    <col min="13539" max="13539" width="15" style="2" customWidth="1"/>
    <col min="13540" max="13543" width="12.875" style="2" customWidth="1"/>
    <col min="13544" max="13544" width="12.125" style="2" customWidth="1"/>
    <col min="13545" max="13545" width="9" style="2"/>
    <col min="13546" max="13546" width="12.25" style="2" customWidth="1"/>
    <col min="13547" max="13547" width="9.625" style="2" customWidth="1"/>
    <col min="13548" max="13549" width="9.75" style="2" customWidth="1"/>
    <col min="13550" max="13550" width="9.375" style="2" customWidth="1"/>
    <col min="13551" max="13792" width="9" style="2"/>
    <col min="13793" max="13794" width="3.75" style="2" customWidth="1"/>
    <col min="13795" max="13795" width="15" style="2" customWidth="1"/>
    <col min="13796" max="13799" width="12.875" style="2" customWidth="1"/>
    <col min="13800" max="13800" width="12.125" style="2" customWidth="1"/>
    <col min="13801" max="13801" width="9" style="2"/>
    <col min="13802" max="13802" width="12.25" style="2" customWidth="1"/>
    <col min="13803" max="13803" width="9.625" style="2" customWidth="1"/>
    <col min="13804" max="13805" width="9.75" style="2" customWidth="1"/>
    <col min="13806" max="13806" width="9.375" style="2" customWidth="1"/>
    <col min="13807" max="14048" width="9" style="2"/>
    <col min="14049" max="14050" width="3.75" style="2" customWidth="1"/>
    <col min="14051" max="14051" width="15" style="2" customWidth="1"/>
    <col min="14052" max="14055" width="12.875" style="2" customWidth="1"/>
    <col min="14056" max="14056" width="12.125" style="2" customWidth="1"/>
    <col min="14057" max="14057" width="9" style="2"/>
    <col min="14058" max="14058" width="12.25" style="2" customWidth="1"/>
    <col min="14059" max="14059" width="9.625" style="2" customWidth="1"/>
    <col min="14060" max="14061" width="9.75" style="2" customWidth="1"/>
    <col min="14062" max="14062" width="9.375" style="2" customWidth="1"/>
    <col min="14063" max="14304" width="9" style="2"/>
    <col min="14305" max="14306" width="3.75" style="2" customWidth="1"/>
    <col min="14307" max="14307" width="15" style="2" customWidth="1"/>
    <col min="14308" max="14311" width="12.875" style="2" customWidth="1"/>
    <col min="14312" max="14312" width="12.125" style="2" customWidth="1"/>
    <col min="14313" max="14313" width="9" style="2"/>
    <col min="14314" max="14314" width="12.25" style="2" customWidth="1"/>
    <col min="14315" max="14315" width="9.625" style="2" customWidth="1"/>
    <col min="14316" max="14317" width="9.75" style="2" customWidth="1"/>
    <col min="14318" max="14318" width="9.375" style="2" customWidth="1"/>
    <col min="14319" max="14560" width="9" style="2"/>
    <col min="14561" max="14562" width="3.75" style="2" customWidth="1"/>
    <col min="14563" max="14563" width="15" style="2" customWidth="1"/>
    <col min="14564" max="14567" width="12.875" style="2" customWidth="1"/>
    <col min="14568" max="14568" width="12.125" style="2" customWidth="1"/>
    <col min="14569" max="14569" width="9" style="2"/>
    <col min="14570" max="14570" width="12.25" style="2" customWidth="1"/>
    <col min="14571" max="14571" width="9.625" style="2" customWidth="1"/>
    <col min="14572" max="14573" width="9.75" style="2" customWidth="1"/>
    <col min="14574" max="14574" width="9.375" style="2" customWidth="1"/>
    <col min="14575" max="14816" width="9" style="2"/>
    <col min="14817" max="14818" width="3.75" style="2" customWidth="1"/>
    <col min="14819" max="14819" width="15" style="2" customWidth="1"/>
    <col min="14820" max="14823" width="12.875" style="2" customWidth="1"/>
    <col min="14824" max="14824" width="12.125" style="2" customWidth="1"/>
    <col min="14825" max="14825" width="9" style="2"/>
    <col min="14826" max="14826" width="12.25" style="2" customWidth="1"/>
    <col min="14827" max="14827" width="9.625" style="2" customWidth="1"/>
    <col min="14828" max="14829" width="9.75" style="2" customWidth="1"/>
    <col min="14830" max="14830" width="9.375" style="2" customWidth="1"/>
    <col min="14831" max="15072" width="9" style="2"/>
    <col min="15073" max="15074" width="3.75" style="2" customWidth="1"/>
    <col min="15075" max="15075" width="15" style="2" customWidth="1"/>
    <col min="15076" max="15079" width="12.875" style="2" customWidth="1"/>
    <col min="15080" max="15080" width="12.125" style="2" customWidth="1"/>
    <col min="15081" max="15081" width="9" style="2"/>
    <col min="15082" max="15082" width="12.25" style="2" customWidth="1"/>
    <col min="15083" max="15083" width="9.625" style="2" customWidth="1"/>
    <col min="15084" max="15085" width="9.75" style="2" customWidth="1"/>
    <col min="15086" max="15086" width="9.375" style="2" customWidth="1"/>
    <col min="15087" max="15328" width="9" style="2"/>
    <col min="15329" max="15330" width="3.75" style="2" customWidth="1"/>
    <col min="15331" max="15331" width="15" style="2" customWidth="1"/>
    <col min="15332" max="15335" width="12.875" style="2" customWidth="1"/>
    <col min="15336" max="15336" width="12.125" style="2" customWidth="1"/>
    <col min="15337" max="15337" width="9" style="2"/>
    <col min="15338" max="15338" width="12.25" style="2" customWidth="1"/>
    <col min="15339" max="15339" width="9.625" style="2" customWidth="1"/>
    <col min="15340" max="15341" width="9.75" style="2" customWidth="1"/>
    <col min="15342" max="15342" width="9.375" style="2" customWidth="1"/>
    <col min="15343" max="15584" width="9" style="2"/>
    <col min="15585" max="15586" width="3.75" style="2" customWidth="1"/>
    <col min="15587" max="15587" width="15" style="2" customWidth="1"/>
    <col min="15588" max="15591" width="12.875" style="2" customWidth="1"/>
    <col min="15592" max="15592" width="12.125" style="2" customWidth="1"/>
    <col min="15593" max="15593" width="9" style="2"/>
    <col min="15594" max="15594" width="12.25" style="2" customWidth="1"/>
    <col min="15595" max="15595" width="9.625" style="2" customWidth="1"/>
    <col min="15596" max="15597" width="9.75" style="2" customWidth="1"/>
    <col min="15598" max="15598" width="9.375" style="2" customWidth="1"/>
    <col min="15599" max="15840" width="9" style="2"/>
    <col min="15841" max="15842" width="3.75" style="2" customWidth="1"/>
    <col min="15843" max="15843" width="15" style="2" customWidth="1"/>
    <col min="15844" max="15847" width="12.875" style="2" customWidth="1"/>
    <col min="15848" max="15848" width="12.125" style="2" customWidth="1"/>
    <col min="15849" max="15849" width="9" style="2"/>
    <col min="15850" max="15850" width="12.25" style="2" customWidth="1"/>
    <col min="15851" max="15851" width="9.625" style="2" customWidth="1"/>
    <col min="15852" max="15853" width="9.75" style="2" customWidth="1"/>
    <col min="15854" max="15854" width="9.375" style="2" customWidth="1"/>
    <col min="15855" max="16096" width="9" style="2"/>
    <col min="16097" max="16098" width="3.75" style="2" customWidth="1"/>
    <col min="16099" max="16099" width="15" style="2" customWidth="1"/>
    <col min="16100" max="16103" width="12.875" style="2" customWidth="1"/>
    <col min="16104" max="16104" width="12.125" style="2" customWidth="1"/>
    <col min="16105" max="16105" width="9" style="2"/>
    <col min="16106" max="16106" width="12.25" style="2" customWidth="1"/>
    <col min="16107" max="16107" width="9.625" style="2" customWidth="1"/>
    <col min="16108" max="16109" width="9.75" style="2" customWidth="1"/>
    <col min="16110" max="16110" width="9.375" style="2" customWidth="1"/>
    <col min="16111" max="16384" width="9" style="2"/>
  </cols>
  <sheetData>
    <row r="1" spans="1:22" ht="20.100000000000001" customHeight="1">
      <c r="A1" s="1" t="s">
        <v>532</v>
      </c>
      <c r="B1" s="1"/>
      <c r="C1" s="1"/>
      <c r="D1" s="1"/>
      <c r="L1" s="3">
        <v>1.3</v>
      </c>
      <c r="M1" s="2" t="s">
        <v>508</v>
      </c>
    </row>
    <row r="2" spans="1:22" ht="20.100000000000001" customHeight="1">
      <c r="A2" s="2" t="s">
        <v>509</v>
      </c>
      <c r="L2" s="3">
        <v>0.5</v>
      </c>
      <c r="M2" s="2" t="s">
        <v>508</v>
      </c>
    </row>
    <row r="3" spans="1:22" ht="20.100000000000001" customHeight="1">
      <c r="A3" s="40" t="s">
        <v>662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R3" s="776" t="s">
        <v>64</v>
      </c>
      <c r="S3" s="776" t="s">
        <v>511</v>
      </c>
      <c r="T3" s="813" t="s">
        <v>524</v>
      </c>
      <c r="U3" s="813" t="s">
        <v>663</v>
      </c>
      <c r="V3" s="813" t="s">
        <v>526</v>
      </c>
    </row>
    <row r="4" spans="1:22" ht="20.100000000000001" customHeight="1">
      <c r="A4" s="2" t="s">
        <v>431</v>
      </c>
      <c r="M4" s="776"/>
      <c r="N4" s="776"/>
      <c r="O4" s="272" t="s">
        <v>67</v>
      </c>
      <c r="P4" s="272" t="s">
        <v>68</v>
      </c>
      <c r="R4" s="776"/>
      <c r="S4" s="776"/>
      <c r="T4" s="815"/>
      <c r="U4" s="815"/>
      <c r="V4" s="815"/>
    </row>
    <row r="5" spans="1:22" ht="20.100000000000001" customHeight="1">
      <c r="I5" s="8"/>
      <c r="K5" s="8" t="s">
        <v>512</v>
      </c>
      <c r="M5" s="776" t="s">
        <v>69</v>
      </c>
      <c r="N5" s="272">
        <v>300</v>
      </c>
      <c r="O5" s="44">
        <v>503180</v>
      </c>
      <c r="P5" s="44">
        <v>767950</v>
      </c>
      <c r="R5" s="813" t="s">
        <v>533</v>
      </c>
      <c r="S5" s="272">
        <v>250</v>
      </c>
      <c r="T5" s="44">
        <v>436222.93999999994</v>
      </c>
      <c r="U5" s="816">
        <v>0.35</v>
      </c>
      <c r="V5" s="44">
        <f>+ROUND(T5+T5*$U$5,0)</f>
        <v>588901</v>
      </c>
    </row>
    <row r="6" spans="1:22" ht="20.100000000000001" customHeight="1">
      <c r="A6" s="783" t="s">
        <v>655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776"/>
      <c r="N6" s="272">
        <v>400</v>
      </c>
      <c r="O6" s="44">
        <v>569370</v>
      </c>
      <c r="P6" s="44">
        <v>842990</v>
      </c>
      <c r="R6" s="814"/>
      <c r="S6" s="272">
        <v>300</v>
      </c>
      <c r="T6" s="44">
        <v>482485.98749999993</v>
      </c>
      <c r="U6" s="817"/>
      <c r="V6" s="44">
        <f t="shared" ref="V6:V16" si="0">+ROUND(T6+T6*$U$5,0)</f>
        <v>651356</v>
      </c>
    </row>
    <row r="7" spans="1:22" ht="20.100000000000001" customHeight="1">
      <c r="A7" s="784"/>
      <c r="B7" s="786"/>
      <c r="C7" s="788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776"/>
      <c r="N7" s="272">
        <v>500</v>
      </c>
      <c r="O7" s="44">
        <v>613210</v>
      </c>
      <c r="P7" s="44">
        <v>895800</v>
      </c>
      <c r="R7" s="814"/>
      <c r="S7" s="272">
        <v>400</v>
      </c>
      <c r="T7" s="44">
        <v>645109.09</v>
      </c>
      <c r="U7" s="817"/>
      <c r="V7" s="44">
        <f t="shared" si="0"/>
        <v>870897</v>
      </c>
    </row>
    <row r="8" spans="1:22" ht="20.100000000000001" customHeight="1">
      <c r="A8" s="938" t="s">
        <v>715</v>
      </c>
      <c r="B8" s="625">
        <v>150</v>
      </c>
      <c r="C8" s="626">
        <f>+ROUND(V5*$L$1,0)</f>
        <v>765571</v>
      </c>
      <c r="D8" s="626">
        <v>0</v>
      </c>
      <c r="E8" s="626">
        <f>+ROUND($C8*D8/1000000,0)</f>
        <v>0</v>
      </c>
      <c r="F8" s="626"/>
      <c r="G8" s="626">
        <f>+ROUND($C8*F8/1000000,0)</f>
        <v>0</v>
      </c>
      <c r="H8" s="626">
        <v>0</v>
      </c>
      <c r="I8" s="626">
        <f>+ROUND($C8*H8/1000000,0)</f>
        <v>0</v>
      </c>
      <c r="J8" s="626">
        <v>0</v>
      </c>
      <c r="K8" s="627">
        <f>+ROUND($C8*J8/1000000,0)</f>
        <v>0</v>
      </c>
      <c r="M8" s="776"/>
      <c r="N8" s="272">
        <v>600</v>
      </c>
      <c r="O8" s="44">
        <v>692660</v>
      </c>
      <c r="P8" s="44">
        <v>997630</v>
      </c>
      <c r="R8" s="814"/>
      <c r="S8" s="272">
        <v>450</v>
      </c>
      <c r="T8" s="44">
        <v>695339.56749999989</v>
      </c>
      <c r="U8" s="817"/>
      <c r="V8" s="44">
        <f t="shared" si="0"/>
        <v>938708</v>
      </c>
    </row>
    <row r="9" spans="1:22" ht="20.100000000000001" customHeight="1">
      <c r="A9" s="939"/>
      <c r="B9" s="178">
        <v>200</v>
      </c>
      <c r="C9" s="176">
        <f>+ROUND(V5*$L$1,0)</f>
        <v>765571</v>
      </c>
      <c r="D9" s="176">
        <v>0</v>
      </c>
      <c r="E9" s="176">
        <f t="shared" ref="E9:G12" si="1">+ROUND($C9*D9/1000000,0)</f>
        <v>0</v>
      </c>
      <c r="F9" s="176"/>
      <c r="G9" s="176">
        <f t="shared" si="1"/>
        <v>0</v>
      </c>
      <c r="H9" s="176">
        <v>0</v>
      </c>
      <c r="I9" s="176">
        <f>+ROUND($C9*H9/1000000,0)</f>
        <v>0</v>
      </c>
      <c r="J9" s="176">
        <v>0</v>
      </c>
      <c r="K9" s="179">
        <f>+ROUND($C9*J9/1000000,0)</f>
        <v>0</v>
      </c>
      <c r="M9" s="776"/>
      <c r="N9" s="272">
        <v>700</v>
      </c>
      <c r="O9" s="44">
        <v>768320</v>
      </c>
      <c r="P9" s="44">
        <v>1082020</v>
      </c>
      <c r="R9" s="814"/>
      <c r="S9" s="272">
        <v>500</v>
      </c>
      <c r="T9" s="44">
        <v>853537.02499999991</v>
      </c>
      <c r="U9" s="817"/>
      <c r="V9" s="44">
        <f t="shared" si="0"/>
        <v>1152275</v>
      </c>
    </row>
    <row r="10" spans="1:22" ht="20.100000000000001" customHeight="1">
      <c r="A10" s="939"/>
      <c r="B10" s="178">
        <v>250</v>
      </c>
      <c r="C10" s="176">
        <f>+ROUND(V5*$L$1,0)</f>
        <v>765571</v>
      </c>
      <c r="D10" s="176">
        <v>0</v>
      </c>
      <c r="E10" s="176">
        <f t="shared" si="1"/>
        <v>0</v>
      </c>
      <c r="F10" s="176"/>
      <c r="G10" s="176">
        <f t="shared" si="1"/>
        <v>0</v>
      </c>
      <c r="H10" s="176">
        <v>0</v>
      </c>
      <c r="I10" s="176">
        <f>+ROUND($C10*H10/1000000,0)</f>
        <v>0</v>
      </c>
      <c r="J10" s="176">
        <v>0</v>
      </c>
      <c r="K10" s="179">
        <f>+ROUND($C10*J10/1000000,0)</f>
        <v>0</v>
      </c>
      <c r="L10" s="9"/>
      <c r="M10" s="776"/>
      <c r="N10" s="272">
        <v>800</v>
      </c>
      <c r="O10" s="44">
        <v>838740</v>
      </c>
      <c r="P10" s="44">
        <v>1161300</v>
      </c>
      <c r="R10" s="814"/>
      <c r="S10" s="272">
        <v>600</v>
      </c>
      <c r="T10" s="44">
        <v>938366.40749999986</v>
      </c>
      <c r="U10" s="817"/>
      <c r="V10" s="44">
        <f t="shared" si="0"/>
        <v>1266795</v>
      </c>
    </row>
    <row r="11" spans="1:22" ht="20.100000000000001" customHeight="1">
      <c r="A11" s="939"/>
      <c r="B11" s="178">
        <v>300</v>
      </c>
      <c r="C11" s="176">
        <f>+ROUND(V6*$L$1,0)</f>
        <v>846763</v>
      </c>
      <c r="D11" s="176">
        <v>0</v>
      </c>
      <c r="E11" s="176">
        <f t="shared" si="1"/>
        <v>0</v>
      </c>
      <c r="F11" s="176"/>
      <c r="G11" s="176">
        <f t="shared" si="1"/>
        <v>0</v>
      </c>
      <c r="H11" s="176">
        <v>0</v>
      </c>
      <c r="I11" s="176">
        <f>+ROUND($C11*H11/1000000,0)</f>
        <v>0</v>
      </c>
      <c r="J11" s="176">
        <v>0</v>
      </c>
      <c r="K11" s="179">
        <f>+ROUND($C11*J11/1000000,0)</f>
        <v>0</v>
      </c>
      <c r="L11" s="9"/>
      <c r="M11" s="776"/>
      <c r="N11" s="272">
        <v>900</v>
      </c>
      <c r="O11" s="44">
        <v>928140</v>
      </c>
      <c r="P11" s="44">
        <v>1259520</v>
      </c>
      <c r="R11" s="814"/>
      <c r="S11" s="272">
        <v>700</v>
      </c>
      <c r="T11" s="44">
        <v>1076378.9574999998</v>
      </c>
      <c r="U11" s="817"/>
      <c r="V11" s="44">
        <f t="shared" si="0"/>
        <v>1453112</v>
      </c>
    </row>
    <row r="12" spans="1:22" ht="20.100000000000001" customHeight="1">
      <c r="A12" s="939"/>
      <c r="B12" s="178">
        <v>400</v>
      </c>
      <c r="C12" s="176">
        <f>+ROUND(V7*$L$1,0)</f>
        <v>1132166</v>
      </c>
      <c r="D12" s="176">
        <v>0</v>
      </c>
      <c r="E12" s="176">
        <f t="shared" si="1"/>
        <v>0</v>
      </c>
      <c r="F12" s="176"/>
      <c r="G12" s="176">
        <f t="shared" si="1"/>
        <v>0</v>
      </c>
      <c r="H12" s="176">
        <v>0</v>
      </c>
      <c r="I12" s="176">
        <f>+ROUND($C12*H12/1000000,0)</f>
        <v>0</v>
      </c>
      <c r="J12" s="176">
        <v>0</v>
      </c>
      <c r="K12" s="179">
        <f>+ROUND($C12*J12/1000000,0)</f>
        <v>0</v>
      </c>
      <c r="L12" s="9"/>
      <c r="M12" s="776"/>
      <c r="N12" s="272">
        <v>1000</v>
      </c>
      <c r="O12" s="44">
        <v>1032240</v>
      </c>
      <c r="P12" s="44">
        <v>1372570</v>
      </c>
      <c r="R12" s="814"/>
      <c r="S12" s="272">
        <v>800</v>
      </c>
      <c r="T12" s="44">
        <v>1273983.7524999999</v>
      </c>
      <c r="U12" s="817"/>
      <c r="V12" s="44">
        <f t="shared" si="0"/>
        <v>1719878</v>
      </c>
    </row>
    <row r="13" spans="1:22" ht="20.100000000000001" customHeight="1">
      <c r="A13" s="940"/>
      <c r="B13" s="896" t="s">
        <v>406</v>
      </c>
      <c r="C13" s="896"/>
      <c r="D13" s="180">
        <f t="shared" ref="D13:K13" si="2">SUM(D8:D12)</f>
        <v>0</v>
      </c>
      <c r="E13" s="180">
        <f t="shared" si="2"/>
        <v>0</v>
      </c>
      <c r="F13" s="180">
        <f t="shared" si="2"/>
        <v>0</v>
      </c>
      <c r="G13" s="180">
        <f t="shared" si="2"/>
        <v>0</v>
      </c>
      <c r="H13" s="180">
        <f t="shared" si="2"/>
        <v>0</v>
      </c>
      <c r="I13" s="180">
        <f t="shared" si="2"/>
        <v>0</v>
      </c>
      <c r="J13" s="180">
        <f t="shared" si="2"/>
        <v>0</v>
      </c>
      <c r="K13" s="181">
        <f t="shared" si="2"/>
        <v>0</v>
      </c>
      <c r="L13" s="9"/>
      <c r="M13" s="776"/>
      <c r="N13" s="272">
        <v>1100</v>
      </c>
      <c r="O13" s="44">
        <v>1166200</v>
      </c>
      <c r="P13" s="44">
        <v>1528360</v>
      </c>
      <c r="R13" s="814"/>
      <c r="S13" s="272">
        <v>900</v>
      </c>
      <c r="T13" s="44">
        <v>1434939.5399999998</v>
      </c>
      <c r="U13" s="817"/>
      <c r="V13" s="44">
        <f t="shared" si="0"/>
        <v>1937168</v>
      </c>
    </row>
    <row r="14" spans="1:22" ht="20.100000000000001" customHeight="1">
      <c r="A14" s="617"/>
      <c r="L14" s="72" t="s">
        <v>660</v>
      </c>
      <c r="M14" s="776"/>
      <c r="N14" s="272">
        <v>1200</v>
      </c>
      <c r="O14" s="44">
        <v>1289410</v>
      </c>
      <c r="P14" s="44">
        <v>1660260</v>
      </c>
      <c r="R14" s="814"/>
      <c r="S14" s="272">
        <v>1000</v>
      </c>
      <c r="T14" s="44">
        <v>1552984.7074999998</v>
      </c>
      <c r="U14" s="817"/>
      <c r="V14" s="44">
        <f t="shared" si="0"/>
        <v>2096529</v>
      </c>
    </row>
    <row r="15" spans="1:22" ht="20.100000000000001" customHeight="1">
      <c r="A15" s="624"/>
      <c r="L15" s="9"/>
      <c r="M15" s="776"/>
      <c r="N15" s="272">
        <v>1350</v>
      </c>
      <c r="O15" s="44">
        <v>1491510</v>
      </c>
      <c r="P15" s="44">
        <v>1874980</v>
      </c>
      <c r="R15" s="814"/>
      <c r="S15" s="272">
        <v>1100</v>
      </c>
      <c r="T15" s="44">
        <v>1686561.7249999999</v>
      </c>
      <c r="U15" s="817"/>
      <c r="V15" s="44">
        <f t="shared" si="0"/>
        <v>2276858</v>
      </c>
    </row>
    <row r="16" spans="1:22" ht="20.100000000000001" customHeight="1">
      <c r="L16" s="9"/>
      <c r="M16" s="776" t="s">
        <v>76</v>
      </c>
      <c r="N16" s="272">
        <v>300</v>
      </c>
      <c r="O16" s="44">
        <v>694060</v>
      </c>
      <c r="P16" s="44">
        <v>958820</v>
      </c>
      <c r="R16" s="815"/>
      <c r="S16" s="272">
        <v>1200</v>
      </c>
      <c r="T16" s="44">
        <v>1780239.5724999998</v>
      </c>
      <c r="U16" s="818"/>
      <c r="V16" s="44">
        <f t="shared" si="0"/>
        <v>2403323</v>
      </c>
    </row>
    <row r="17" spans="12:16" ht="20.100000000000001" customHeight="1">
      <c r="L17" s="9"/>
      <c r="M17" s="776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76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76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76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76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76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76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76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76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76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76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76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76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76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76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76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76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76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76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76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76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76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76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76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76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76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76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76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76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76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76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76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76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76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76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3">
    <mergeCell ref="A8:A13"/>
    <mergeCell ref="U3:U4"/>
    <mergeCell ref="V3:V4"/>
    <mergeCell ref="M5:M15"/>
    <mergeCell ref="R5:R16"/>
    <mergeCell ref="U5:U16"/>
    <mergeCell ref="M3:M4"/>
    <mergeCell ref="N3:N4"/>
    <mergeCell ref="O3:P3"/>
    <mergeCell ref="R3:R4"/>
    <mergeCell ref="S3:S4"/>
    <mergeCell ref="T3:T4"/>
    <mergeCell ref="A6:A7"/>
    <mergeCell ref="B6:B7"/>
    <mergeCell ref="C6:C7"/>
    <mergeCell ref="D6:E6"/>
    <mergeCell ref="F6:G6"/>
    <mergeCell ref="M36:M51"/>
    <mergeCell ref="H6:I6"/>
    <mergeCell ref="J6:K6"/>
    <mergeCell ref="B13:C13"/>
    <mergeCell ref="M16:M25"/>
    <mergeCell ref="M26:M35"/>
  </mergeCells>
  <phoneticPr fontId="4" type="noConversion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61"/>
  <sheetViews>
    <sheetView view="pageBreakPreview" topLeftCell="A25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18.600000000000001" customHeight="1">
      <c r="A1" s="1" t="s">
        <v>958</v>
      </c>
      <c r="G1" s="3"/>
      <c r="H1" s="3"/>
    </row>
    <row r="2" spans="1:20" ht="18.600000000000001" customHeight="1">
      <c r="A2" s="2" t="s">
        <v>487</v>
      </c>
      <c r="G2" s="3"/>
      <c r="H2" s="3"/>
    </row>
    <row r="3" spans="1:20" ht="18.6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18.6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</row>
    <row r="5" spans="1:20" ht="18.600000000000001" customHeight="1">
      <c r="A5" s="109" t="s">
        <v>490</v>
      </c>
      <c r="B5" s="106">
        <f>+'가.굴착교체(생극-우수)'!E28</f>
        <v>1194</v>
      </c>
      <c r="C5" s="101">
        <f>+'가.굴착교체(생극-우수)'!G28</f>
        <v>0</v>
      </c>
      <c r="D5" s="101">
        <f>+'가.굴착교체(생극-우수)'!I28</f>
        <v>0</v>
      </c>
      <c r="E5" s="101">
        <f>+'가.굴착교체(생극-우수)'!K28</f>
        <v>1330</v>
      </c>
      <c r="F5" s="102"/>
      <c r="G5" s="5"/>
      <c r="H5" s="21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18.600000000000001" customHeight="1">
      <c r="A6" s="111" t="s">
        <v>452</v>
      </c>
      <c r="B6" s="108">
        <f>SUM(B5:B5)</f>
        <v>1194</v>
      </c>
      <c r="C6" s="97">
        <f>SUM(C5:C5)</f>
        <v>0</v>
      </c>
      <c r="D6" s="97">
        <f>SUM(D5:D5)</f>
        <v>0</v>
      </c>
      <c r="E6" s="97">
        <f>SUM(E5:E5)</f>
        <v>1330</v>
      </c>
      <c r="F6" s="99"/>
      <c r="G6" s="5"/>
      <c r="H6" s="21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18.600000000000001" customHeight="1">
      <c r="A7" s="38"/>
      <c r="G7" s="5"/>
      <c r="H7" s="21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18.600000000000001" customHeight="1">
      <c r="A8" s="2" t="s">
        <v>456</v>
      </c>
      <c r="D8" s="12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18.600000000000001" customHeight="1">
      <c r="A9" s="14"/>
      <c r="B9" s="15"/>
      <c r="C9" s="15"/>
      <c r="D9" s="15"/>
      <c r="E9" s="15"/>
      <c r="F9" s="8" t="s">
        <v>457</v>
      </c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18.600000000000001" customHeight="1">
      <c r="A10" s="282" t="s">
        <v>435</v>
      </c>
      <c r="B10" s="297" t="s">
        <v>436</v>
      </c>
      <c r="C10" s="298" t="s">
        <v>437</v>
      </c>
      <c r="D10" s="298" t="s">
        <v>438</v>
      </c>
      <c r="E10" s="298" t="s">
        <v>439</v>
      </c>
      <c r="F10" s="299" t="s">
        <v>440</v>
      </c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18.600000000000001" customHeight="1">
      <c r="A11" s="120" t="s">
        <v>461</v>
      </c>
      <c r="B11" s="117">
        <f>+B6</f>
        <v>1194</v>
      </c>
      <c r="C11" s="117">
        <f>+C6</f>
        <v>0</v>
      </c>
      <c r="D11" s="117">
        <f>+D6</f>
        <v>0</v>
      </c>
      <c r="E11" s="117">
        <f>+E6</f>
        <v>1330</v>
      </c>
      <c r="F11" s="116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18.600000000000001" customHeight="1">
      <c r="A12" s="110" t="s">
        <v>450</v>
      </c>
      <c r="B12" s="118">
        <f>IFERROR(INDEX($H$15:$L$31,MATCH(B11,$H$15:$H$31,1),1),0)</f>
        <v>1000</v>
      </c>
      <c r="C12" s="118">
        <f>IFERROR(INDEX($H$15:$L$31,MATCH(C11,$H$15:$H$31,1),1),0)</f>
        <v>0</v>
      </c>
      <c r="D12" s="118">
        <f>IFERROR(INDEX($H$15:$L$31,MATCH(D11,$H$15:$H$31,1),1),0)</f>
        <v>0</v>
      </c>
      <c r="E12" s="118">
        <f>IFERROR(INDEX($H$15:$L$31,MATCH(E11,$H$15:$H$31,1),1),0)</f>
        <v>1000</v>
      </c>
      <c r="F12" s="113"/>
      <c r="G12" s="5"/>
      <c r="H12" s="16"/>
      <c r="I12" s="9"/>
      <c r="J12" s="9"/>
      <c r="K12" s="9"/>
      <c r="L12" s="9"/>
      <c r="M12" s="39"/>
      <c r="N12" s="9"/>
      <c r="O12" s="9"/>
      <c r="P12" s="39"/>
      <c r="Q12" s="39"/>
      <c r="R12" s="9"/>
      <c r="S12" s="9"/>
      <c r="T12" s="9"/>
    </row>
    <row r="13" spans="1:20" ht="18.600000000000001" customHeight="1">
      <c r="A13" s="110" t="s">
        <v>448</v>
      </c>
      <c r="B13" s="118">
        <f>IFERROR(INDEX($H$15:$L$31,MATCH(B11,$H$15:$H$31,1)+1,1),0)</f>
        <v>2000</v>
      </c>
      <c r="C13" s="118">
        <f>IFERROR(INDEX($H$15:$L$31,MATCH(C11,$H$15:$H$31,1)+1,1),0)</f>
        <v>0</v>
      </c>
      <c r="D13" s="118">
        <f>IFERROR(INDEX($H$15:$L$31,MATCH(D11,$H$15:$H$31,1)+1,1),0)</f>
        <v>0</v>
      </c>
      <c r="E13" s="118">
        <f>IFERROR(INDEX($H$15:$L$31,MATCH(E11,$H$15:$H$31,1)+1,1),0)</f>
        <v>2000</v>
      </c>
      <c r="F13" s="113"/>
      <c r="G13" s="16"/>
      <c r="H13" s="16" t="s">
        <v>458</v>
      </c>
    </row>
    <row r="14" spans="1:20" ht="18.600000000000001" customHeight="1">
      <c r="A14" s="110" t="s">
        <v>462</v>
      </c>
      <c r="B14" s="141">
        <f>IFERROR(INDEX($H$15:$L$31,MATCH(B11,$H$15:$H$31,1),2)+INDEX($H$15:$L$31,MATCH(B11,$H$15:$H$31,1),3),0)</f>
        <v>5.3199999999999997E-2</v>
      </c>
      <c r="C14" s="141">
        <f>IFERROR(INDEX($H$15:$L$31,MATCH(C11,$H$15:$H$31,1),2)+INDEX($H$15:$L$31,MATCH(C11,$H$15:$H$31,1),3),0)</f>
        <v>0</v>
      </c>
      <c r="D14" s="141">
        <f>IFERROR(INDEX($H$15:$L$31,MATCH(D11,$H$15:$H$31,1),2)+INDEX($H$15:$L$31,MATCH(D11,$H$15:$H$31,1),3),0)</f>
        <v>0</v>
      </c>
      <c r="E14" s="141">
        <f>IFERROR(INDEX($H$15:$L$31,MATCH(E11,$H$15:$H$31,1),2)+INDEX($H$15:$L$31,MATCH(E11,$H$15:$H$31,1),3),0)</f>
        <v>5.3199999999999997E-2</v>
      </c>
      <c r="F14" s="113"/>
      <c r="G14" s="16"/>
      <c r="H14" s="17" t="s">
        <v>459</v>
      </c>
      <c r="I14" s="17" t="s">
        <v>38</v>
      </c>
      <c r="J14" s="17" t="s">
        <v>39</v>
      </c>
      <c r="K14" s="17" t="s">
        <v>460</v>
      </c>
      <c r="L14" s="17" t="s">
        <v>41</v>
      </c>
    </row>
    <row r="15" spans="1:20" ht="18.600000000000001" customHeight="1">
      <c r="A15" s="110" t="s">
        <v>463</v>
      </c>
      <c r="B15" s="141">
        <f>IFERROR(INDEX($H$15:$L$31,MATCH(B11,$H$15:$H$31,1)+1,2)+INDEX($H$15:$L$31,MATCH(B11,$H$15:$H$31,1)+1,3),0)</f>
        <v>4.9000000000000002E-2</v>
      </c>
      <c r="C15" s="141">
        <f>IFERROR(INDEX($H$15:$L$31,MATCH(C11,$H$15:$H$31,1)+1,2)+INDEX($H$15:$L$31,MATCH(C11,$H$15:$H$31,1)+1,3),0)</f>
        <v>0</v>
      </c>
      <c r="D15" s="141">
        <f>IFERROR(INDEX($H$15:$L$31,MATCH(D11,$H$15:$H$31,1)+1,2)+INDEX($H$15:$L$31,MATCH(D11,$H$15:$H$31,1)+1,3),0)</f>
        <v>0</v>
      </c>
      <c r="E15" s="141">
        <f>IFERROR(INDEX($H$15:$L$31,MATCH(E11,$H$15:$H$31,1)+1,2)+INDEX($H$15:$L$31,MATCH(E11,$H$15:$H$31,1)+1,3),0)</f>
        <v>4.9000000000000002E-2</v>
      </c>
      <c r="F15" s="113"/>
      <c r="G15" s="16"/>
      <c r="H15" s="18">
        <v>50</v>
      </c>
      <c r="I15" s="19">
        <v>3.2400000000000005E-2</v>
      </c>
      <c r="J15" s="19">
        <v>6.4899999999999999E-2</v>
      </c>
      <c r="K15" s="19">
        <v>3.0200000000000001E-2</v>
      </c>
      <c r="L15" s="19">
        <v>1.0800000000000001E-2</v>
      </c>
      <c r="M15" s="20"/>
      <c r="N15" s="20"/>
      <c r="O15" s="20"/>
      <c r="P15" s="20"/>
    </row>
    <row r="16" spans="1:20" ht="18.600000000000001" customHeight="1">
      <c r="A16" s="110" t="s">
        <v>464</v>
      </c>
      <c r="B16" s="141">
        <f>IFERROR(B14+((B15-B14)/(B13-B12))*(B11-B12),0)</f>
        <v>5.23852E-2</v>
      </c>
      <c r="C16" s="141">
        <f>IFERROR(C14+((C15-C14)/(C13-C12))*(C11-C12),0)</f>
        <v>0</v>
      </c>
      <c r="D16" s="141">
        <f>IFERROR(D14+((D15-D14)/(D13-D12))*(D11-D12),0)</f>
        <v>0</v>
      </c>
      <c r="E16" s="141">
        <f>IFERROR(E14+((E15-E14)/(E13-E12))*(E11-E12),0)</f>
        <v>5.1813999999999999E-2</v>
      </c>
      <c r="F16" s="113"/>
      <c r="G16" s="16"/>
      <c r="H16" s="18">
        <v>100</v>
      </c>
      <c r="I16" s="19">
        <v>3.04E-2</v>
      </c>
      <c r="J16" s="19">
        <v>6.0700000000000004E-2</v>
      </c>
      <c r="K16" s="19">
        <v>2.8500000000000001E-2</v>
      </c>
      <c r="L16" s="19">
        <v>9.0000000000000011E-3</v>
      </c>
      <c r="M16" s="20"/>
      <c r="N16" s="20"/>
      <c r="O16" s="20"/>
      <c r="P16" s="20"/>
    </row>
    <row r="17" spans="1:16" ht="18.600000000000001" customHeight="1">
      <c r="A17" s="111" t="s">
        <v>480</v>
      </c>
      <c r="B17" s="97">
        <f>+ROUND(B11*B16,0)</f>
        <v>63</v>
      </c>
      <c r="C17" s="97">
        <f>+ROUND(C11*C16,0)</f>
        <v>0</v>
      </c>
      <c r="D17" s="97">
        <f>+ROUND(D11*D16,0)</f>
        <v>0</v>
      </c>
      <c r="E17" s="108">
        <f>+ROUND(E11*E16,0)</f>
        <v>69</v>
      </c>
      <c r="F17" s="114"/>
      <c r="G17" s="16"/>
      <c r="H17" s="18">
        <v>200</v>
      </c>
      <c r="I17" s="19">
        <v>2.4199999999999999E-2</v>
      </c>
      <c r="J17" s="19">
        <v>4.8499999999999995E-2</v>
      </c>
      <c r="K17" s="19">
        <v>2.2599999999999999E-2</v>
      </c>
      <c r="L17" s="19">
        <v>7.1999999999999998E-3</v>
      </c>
      <c r="M17" s="20"/>
      <c r="N17" s="20"/>
      <c r="O17" s="20"/>
      <c r="P17" s="20"/>
    </row>
    <row r="18" spans="1:16" ht="18.600000000000001" customHeight="1">
      <c r="A18" s="21"/>
      <c r="B18" s="22"/>
      <c r="C18" s="22"/>
      <c r="D18" s="23"/>
      <c r="E18" s="23"/>
      <c r="F18" s="24"/>
      <c r="G18" s="16"/>
      <c r="H18" s="18">
        <v>300</v>
      </c>
      <c r="I18" s="19">
        <v>2.2200000000000001E-2</v>
      </c>
      <c r="J18" s="19">
        <v>4.4299999999999999E-2</v>
      </c>
      <c r="K18" s="19">
        <v>2.06E-2</v>
      </c>
      <c r="L18" s="19">
        <v>7.1999999999999998E-3</v>
      </c>
      <c r="M18" s="20"/>
      <c r="N18" s="20"/>
      <c r="O18" s="20"/>
      <c r="P18" s="20"/>
    </row>
    <row r="19" spans="1:16" ht="18.600000000000001" customHeight="1">
      <c r="A19" s="2" t="s">
        <v>485</v>
      </c>
      <c r="G19" s="16"/>
      <c r="H19" s="18">
        <v>500</v>
      </c>
      <c r="I19" s="19">
        <v>2.0099999999999996E-2</v>
      </c>
      <c r="J19" s="19">
        <v>4.0300000000000002E-2</v>
      </c>
      <c r="K19" s="19">
        <v>1.89E-2</v>
      </c>
      <c r="L19" s="19">
        <v>7.1999999999999998E-3</v>
      </c>
      <c r="M19" s="20"/>
      <c r="N19" s="20"/>
      <c r="O19" s="20"/>
      <c r="P19" s="20"/>
    </row>
    <row r="20" spans="1:16" ht="18.600000000000001" customHeight="1">
      <c r="A20" s="14"/>
      <c r="B20" s="15"/>
      <c r="C20" s="15"/>
      <c r="D20" s="15"/>
      <c r="E20" s="15"/>
      <c r="F20" s="8" t="s">
        <v>457</v>
      </c>
      <c r="G20" s="16"/>
      <c r="H20" s="18">
        <v>1000</v>
      </c>
      <c r="I20" s="19">
        <v>1.77E-2</v>
      </c>
      <c r="J20" s="19">
        <v>3.5499999999999997E-2</v>
      </c>
      <c r="K20" s="19">
        <v>1.66E-2</v>
      </c>
      <c r="L20" s="19">
        <v>6.3E-3</v>
      </c>
      <c r="M20" s="20"/>
      <c r="N20" s="20"/>
      <c r="O20" s="20"/>
      <c r="P20" s="20"/>
    </row>
    <row r="21" spans="1:16" ht="18.600000000000001" customHeight="1">
      <c r="A21" s="282" t="s">
        <v>435</v>
      </c>
      <c r="B21" s="297" t="s">
        <v>436</v>
      </c>
      <c r="C21" s="298" t="s">
        <v>437</v>
      </c>
      <c r="D21" s="298" t="s">
        <v>438</v>
      </c>
      <c r="E21" s="298" t="s">
        <v>439</v>
      </c>
      <c r="F21" s="299" t="s">
        <v>440</v>
      </c>
      <c r="G21" s="16"/>
      <c r="H21" s="18">
        <v>2000</v>
      </c>
      <c r="I21" s="19">
        <v>1.6299999999999999E-2</v>
      </c>
      <c r="J21" s="19">
        <v>3.27E-2</v>
      </c>
      <c r="K21" s="19">
        <v>1.5300000000000001E-2</v>
      </c>
      <c r="L21" s="19">
        <v>3.5999999999999999E-3</v>
      </c>
      <c r="M21" s="20"/>
      <c r="N21" s="20"/>
      <c r="O21" s="20"/>
      <c r="P21" s="20"/>
    </row>
    <row r="22" spans="1:16" ht="18.600000000000001" customHeight="1">
      <c r="A22" s="120" t="s">
        <v>461</v>
      </c>
      <c r="B22" s="117">
        <f>+B11</f>
        <v>1194</v>
      </c>
      <c r="C22" s="117">
        <f>+C11</f>
        <v>0</v>
      </c>
      <c r="D22" s="117">
        <f>+D11</f>
        <v>0</v>
      </c>
      <c r="E22" s="117">
        <f>+E11</f>
        <v>1330</v>
      </c>
      <c r="F22" s="116"/>
      <c r="G22" s="16"/>
      <c r="H22" s="18">
        <v>3000</v>
      </c>
      <c r="I22" s="19">
        <v>1.5700000000000002E-2</v>
      </c>
      <c r="J22" s="19">
        <v>3.15E-2</v>
      </c>
      <c r="K22" s="19">
        <v>1.4800000000000001E-2</v>
      </c>
      <c r="L22" s="19">
        <v>3.5999999999999999E-3</v>
      </c>
      <c r="M22" s="20"/>
      <c r="N22" s="20"/>
      <c r="O22" s="20"/>
      <c r="P22" s="20"/>
    </row>
    <row r="23" spans="1:16" ht="18.600000000000001" customHeight="1">
      <c r="A23" s="110" t="s">
        <v>450</v>
      </c>
      <c r="B23" s="96">
        <f>I33</f>
        <v>10000</v>
      </c>
      <c r="C23" s="96">
        <f>I33</f>
        <v>10000</v>
      </c>
      <c r="D23" s="96">
        <f>I33</f>
        <v>10000</v>
      </c>
      <c r="E23" s="96">
        <f>I33</f>
        <v>10000</v>
      </c>
      <c r="F23" s="113"/>
      <c r="G23" s="16"/>
      <c r="H23" s="18">
        <v>5000</v>
      </c>
      <c r="I23" s="19">
        <v>1.54E-2</v>
      </c>
      <c r="J23" s="19">
        <v>3.0899999999999997E-2</v>
      </c>
      <c r="K23" s="19">
        <v>1.4499999999999999E-2</v>
      </c>
      <c r="L23" s="19">
        <v>2.7000000000000001E-3</v>
      </c>
      <c r="M23" s="20"/>
      <c r="N23" s="20"/>
      <c r="O23" s="20"/>
      <c r="P23" s="20"/>
    </row>
    <row r="24" spans="1:16" ht="18.600000000000001" customHeight="1">
      <c r="A24" s="110" t="s">
        <v>448</v>
      </c>
      <c r="B24" s="96">
        <f>I33</f>
        <v>10000</v>
      </c>
      <c r="C24" s="96">
        <f>I33</f>
        <v>10000</v>
      </c>
      <c r="D24" s="96">
        <f>I33</f>
        <v>10000</v>
      </c>
      <c r="E24" s="96">
        <f>I33</f>
        <v>10000</v>
      </c>
      <c r="F24" s="113"/>
      <c r="G24" s="16"/>
      <c r="H24" s="18">
        <v>10000</v>
      </c>
      <c r="I24" s="19">
        <v>1.5100000000000001E-2</v>
      </c>
      <c r="J24" s="19">
        <v>3.0099999999999998E-2</v>
      </c>
      <c r="K24" s="19">
        <v>1.41E-2</v>
      </c>
      <c r="L24" s="19">
        <v>2.5000000000000001E-3</v>
      </c>
      <c r="M24" s="20"/>
      <c r="N24" s="20"/>
      <c r="O24" s="20"/>
      <c r="P24" s="20"/>
    </row>
    <row r="25" spans="1:16" ht="18.600000000000001" customHeight="1">
      <c r="A25" s="110" t="s">
        <v>462</v>
      </c>
      <c r="B25" s="175">
        <f>I34</f>
        <v>9.3699999999999992E-2</v>
      </c>
      <c r="C25" s="175">
        <f>I34</f>
        <v>9.3699999999999992E-2</v>
      </c>
      <c r="D25" s="175">
        <f>I34</f>
        <v>9.3699999999999992E-2</v>
      </c>
      <c r="E25" s="175">
        <f>I34</f>
        <v>9.3699999999999992E-2</v>
      </c>
      <c r="F25" s="113"/>
      <c r="G25" s="16"/>
      <c r="H25" s="18">
        <v>20000</v>
      </c>
      <c r="I25" s="19">
        <v>1.46E-2</v>
      </c>
      <c r="J25" s="19">
        <v>2.9100000000000001E-2</v>
      </c>
      <c r="K25" s="19">
        <v>1.37E-2</v>
      </c>
      <c r="L25" s="19">
        <v>2.3E-3</v>
      </c>
      <c r="M25" s="20"/>
      <c r="N25" s="20"/>
      <c r="O25" s="20"/>
      <c r="P25" s="20"/>
    </row>
    <row r="26" spans="1:16" ht="18.600000000000001" customHeight="1">
      <c r="A26" s="110" t="s">
        <v>463</v>
      </c>
      <c r="B26" s="175">
        <f>I34</f>
        <v>9.3699999999999992E-2</v>
      </c>
      <c r="C26" s="175">
        <f>I34</f>
        <v>9.3699999999999992E-2</v>
      </c>
      <c r="D26" s="175">
        <f>I34</f>
        <v>9.3699999999999992E-2</v>
      </c>
      <c r="E26" s="175">
        <f>I34</f>
        <v>9.3699999999999992E-2</v>
      </c>
      <c r="F26" s="113"/>
      <c r="G26" s="16"/>
      <c r="H26" s="18">
        <v>30000</v>
      </c>
      <c r="I26" s="19">
        <v>1.4499999999999999E-2</v>
      </c>
      <c r="J26" s="19">
        <v>2.8999999999999998E-2</v>
      </c>
      <c r="K26" s="19">
        <v>1.3500000000000002E-2</v>
      </c>
      <c r="L26" s="19">
        <v>2.3E-3</v>
      </c>
      <c r="M26" s="20"/>
      <c r="N26" s="20"/>
      <c r="O26" s="20"/>
      <c r="P26" s="20"/>
    </row>
    <row r="27" spans="1:16" ht="18.600000000000001" customHeight="1">
      <c r="A27" s="110" t="s">
        <v>464</v>
      </c>
      <c r="B27" s="141">
        <f>I34</f>
        <v>9.3699999999999992E-2</v>
      </c>
      <c r="C27" s="141">
        <f>I34</f>
        <v>9.3699999999999992E-2</v>
      </c>
      <c r="D27" s="141">
        <f>I34</f>
        <v>9.3699999999999992E-2</v>
      </c>
      <c r="E27" s="141">
        <f>I34</f>
        <v>9.3699999999999992E-2</v>
      </c>
      <c r="F27" s="113"/>
      <c r="G27" s="16"/>
      <c r="H27" s="18">
        <v>50000</v>
      </c>
      <c r="I27" s="19">
        <v>1.41E-2</v>
      </c>
      <c r="J27" s="19">
        <v>2.8399999999999998E-2</v>
      </c>
      <c r="K27" s="19">
        <v>1.3300000000000001E-2</v>
      </c>
      <c r="L27" s="19">
        <v>2.3E-3</v>
      </c>
      <c r="M27" s="20"/>
      <c r="N27" s="20"/>
      <c r="O27" s="20"/>
      <c r="P27" s="20"/>
    </row>
    <row r="28" spans="1:16" ht="18.600000000000001" customHeight="1">
      <c r="A28" s="111" t="s">
        <v>475</v>
      </c>
      <c r="B28" s="97">
        <f>+ROUND(B22*B27,0)</f>
        <v>112</v>
      </c>
      <c r="C28" s="97">
        <f>+ROUND(C22*C27,0)</f>
        <v>0</v>
      </c>
      <c r="D28" s="97">
        <f>+ROUND(D22*D27,0)</f>
        <v>0</v>
      </c>
      <c r="E28" s="108">
        <f>+ROUND(E22*E27,0)</f>
        <v>125</v>
      </c>
      <c r="F28" s="114"/>
      <c r="G28" s="25"/>
      <c r="H28" s="18">
        <v>100000</v>
      </c>
      <c r="I28" s="19">
        <v>1.3999999999999999E-2</v>
      </c>
      <c r="J28" s="19">
        <v>2.7900000000000001E-2</v>
      </c>
      <c r="K28" s="19">
        <v>1.3000000000000001E-2</v>
      </c>
      <c r="L28" s="19">
        <v>2.3E-3</v>
      </c>
      <c r="M28" s="20"/>
      <c r="N28" s="20"/>
      <c r="O28" s="20"/>
      <c r="P28" s="20"/>
    </row>
    <row r="29" spans="1:16" ht="18.600000000000001" customHeight="1">
      <c r="A29" s="30"/>
      <c r="B29" s="31"/>
      <c r="C29" s="31"/>
      <c r="D29" s="32"/>
      <c r="E29" s="28"/>
      <c r="F29" s="33"/>
      <c r="G29" s="26"/>
      <c r="H29" s="18">
        <v>200000</v>
      </c>
      <c r="I29" s="19">
        <v>1.38E-2</v>
      </c>
      <c r="J29" s="19">
        <v>2.76E-2</v>
      </c>
      <c r="K29" s="19">
        <v>1.2800000000000001E-2</v>
      </c>
      <c r="L29" s="19">
        <v>2.0999999999999999E-3</v>
      </c>
      <c r="M29" s="20"/>
      <c r="N29" s="20"/>
      <c r="O29" s="20"/>
      <c r="P29" s="20"/>
    </row>
    <row r="30" spans="1:16" ht="18.600000000000001" customHeight="1">
      <c r="A30" s="2" t="s">
        <v>477</v>
      </c>
      <c r="D30" s="12"/>
      <c r="G30" s="27"/>
      <c r="H30" s="18">
        <v>300000</v>
      </c>
      <c r="I30" s="19">
        <v>1.37E-2</v>
      </c>
      <c r="J30" s="19">
        <v>2.7200000000000002E-2</v>
      </c>
      <c r="K30" s="19">
        <v>1.2500000000000001E-2</v>
      </c>
      <c r="L30" s="19">
        <v>1.9E-3</v>
      </c>
      <c r="M30" s="20"/>
      <c r="N30" s="20"/>
      <c r="O30" s="20"/>
      <c r="P30" s="20"/>
    </row>
    <row r="31" spans="1:16" ht="18.600000000000001" customHeight="1">
      <c r="A31" s="14"/>
      <c r="B31" s="15"/>
      <c r="C31" s="15"/>
      <c r="D31" s="15"/>
      <c r="E31" s="15"/>
      <c r="F31" s="8" t="s">
        <v>457</v>
      </c>
      <c r="G31" s="9"/>
      <c r="H31" s="18">
        <v>500000</v>
      </c>
      <c r="I31" s="19">
        <v>1.34E-2</v>
      </c>
      <c r="J31" s="19">
        <v>2.7000000000000003E-2</v>
      </c>
      <c r="K31" s="19">
        <v>1.23E-2</v>
      </c>
      <c r="L31" s="19">
        <v>1.7000000000000001E-3</v>
      </c>
      <c r="M31" s="20"/>
      <c r="N31" s="20"/>
      <c r="O31" s="20"/>
      <c r="P31" s="20"/>
    </row>
    <row r="32" spans="1:16" ht="18.600000000000001" customHeight="1">
      <c r="A32" s="282" t="s">
        <v>435</v>
      </c>
      <c r="B32" s="297" t="s">
        <v>436</v>
      </c>
      <c r="C32" s="298" t="s">
        <v>437</v>
      </c>
      <c r="D32" s="298" t="s">
        <v>438</v>
      </c>
      <c r="E32" s="298" t="s">
        <v>439</v>
      </c>
      <c r="F32" s="299" t="s">
        <v>440</v>
      </c>
      <c r="G32" s="9"/>
      <c r="H32" s="9" t="s">
        <v>476</v>
      </c>
    </row>
    <row r="33" spans="1:17" ht="18.600000000000001" customHeight="1">
      <c r="A33" s="120" t="s">
        <v>461</v>
      </c>
      <c r="B33" s="117">
        <f>+B11</f>
        <v>1194</v>
      </c>
      <c r="C33" s="117">
        <f>+C11</f>
        <v>0</v>
      </c>
      <c r="D33" s="117">
        <f>+D11</f>
        <v>0</v>
      </c>
      <c r="E33" s="117">
        <f>+E11</f>
        <v>1330</v>
      </c>
      <c r="F33" s="116"/>
      <c r="G33" s="9"/>
      <c r="H33" s="17" t="s">
        <v>459</v>
      </c>
      <c r="I33" s="34">
        <v>10000</v>
      </c>
      <c r="J33" s="34">
        <v>20000</v>
      </c>
      <c r="K33" s="34">
        <v>30000</v>
      </c>
      <c r="L33" s="34">
        <v>40000</v>
      </c>
      <c r="M33" s="34">
        <v>50000</v>
      </c>
      <c r="N33" s="34">
        <v>70000</v>
      </c>
      <c r="O33" s="34">
        <v>100000</v>
      </c>
      <c r="P33" s="34">
        <v>150000</v>
      </c>
      <c r="Q33" s="34">
        <v>200000</v>
      </c>
    </row>
    <row r="34" spans="1:17" ht="18.600000000000001" customHeight="1">
      <c r="A34" s="110" t="s">
        <v>450</v>
      </c>
      <c r="B34" s="118">
        <f>IFERROR(INDEX($H$15:$L$31,MATCH(B6,$H$15:$H$31,1),1),0)</f>
        <v>1000</v>
      </c>
      <c r="C34" s="118">
        <f>IFERROR(INDEX($H$15:$L$31,MATCH(C6,$H$15:$H$31,1),1),0)</f>
        <v>0</v>
      </c>
      <c r="D34" s="118">
        <f>IFERROR(INDEX($H$15:$L$31,MATCH(D6,$H$15:$H$31,1),1),0)</f>
        <v>0</v>
      </c>
      <c r="E34" s="118">
        <f>IFERROR(INDEX($H$15:$L$31,MATCH(E6,$H$15:$H$31,1),1),0)</f>
        <v>1000</v>
      </c>
      <c r="F34" s="113"/>
      <c r="G34" s="9"/>
      <c r="H34" s="17" t="s">
        <v>53</v>
      </c>
      <c r="I34" s="19">
        <v>9.3699999999999992E-2</v>
      </c>
      <c r="J34" s="19">
        <v>7.4999999999999997E-2</v>
      </c>
      <c r="K34" s="19">
        <v>6.5199999999999994E-2</v>
      </c>
      <c r="L34" s="19">
        <v>5.8799999999999998E-2</v>
      </c>
      <c r="M34" s="19">
        <v>5.4299999999999994E-2</v>
      </c>
      <c r="N34" s="19">
        <v>4.9100000000000005E-2</v>
      </c>
      <c r="O34" s="19">
        <v>4.4600000000000001E-2</v>
      </c>
      <c r="P34" s="19">
        <v>3.9199999999999999E-2</v>
      </c>
      <c r="Q34" s="19">
        <v>3.5299999999999998E-2</v>
      </c>
    </row>
    <row r="35" spans="1:17" ht="18.600000000000001" customHeight="1">
      <c r="A35" s="110" t="s">
        <v>448</v>
      </c>
      <c r="B35" s="118">
        <f>IFERROR(INDEX($H$15:$L$31,MATCH(B6,$H$15:$H$31,1)+1,1),0)</f>
        <v>2000</v>
      </c>
      <c r="C35" s="118">
        <f>IFERROR(INDEX($H$15:$L$31,MATCH(C6,$H$15:$H$31,1)+1,1),0)</f>
        <v>0</v>
      </c>
      <c r="D35" s="118">
        <f>IFERROR(INDEX($H$15:$L$31,MATCH(D6,$H$15:$H$31,1)+1,1),0)</f>
        <v>0</v>
      </c>
      <c r="E35" s="118">
        <f>IFERROR(INDEX($H$15:$L$31,MATCH(E6,$H$15:$H$31,1)+1,1),0)</f>
        <v>2000</v>
      </c>
      <c r="F35" s="113"/>
      <c r="G35" s="9"/>
      <c r="H35" s="9"/>
      <c r="I35" s="20"/>
      <c r="J35" s="20"/>
      <c r="K35" s="20"/>
      <c r="L35" s="20"/>
      <c r="M35" s="20"/>
      <c r="N35" s="20"/>
      <c r="O35" s="20"/>
      <c r="P35" s="20"/>
      <c r="Q35" s="20"/>
    </row>
    <row r="36" spans="1:17" ht="18.600000000000001" customHeight="1">
      <c r="A36" s="110" t="s">
        <v>462</v>
      </c>
      <c r="B36" s="141">
        <f>IFERROR(INDEX($H$15:$L$31,MATCH(B6,$H$15:$H$31,1),5),0)</f>
        <v>6.3E-3</v>
      </c>
      <c r="C36" s="141">
        <f>IFERROR(INDEX($H$15:$L$31,MATCH(C6,$H$15:$H$31,1),5),0)</f>
        <v>0</v>
      </c>
      <c r="D36" s="141">
        <f>IFERROR(INDEX($H$15:$L$31,MATCH(D6,$H$15:$H$31,1),5),0)</f>
        <v>0</v>
      </c>
      <c r="E36" s="141">
        <f>IFERROR(INDEX($H$15:$L$31,MATCH(E6,$H$15:$H$31,1),5),0)</f>
        <v>6.3E-3</v>
      </c>
      <c r="F36" s="113"/>
      <c r="G36" s="9"/>
      <c r="H36" s="9"/>
    </row>
    <row r="37" spans="1:17" ht="18.600000000000001" customHeight="1">
      <c r="A37" s="110" t="s">
        <v>463</v>
      </c>
      <c r="B37" s="141">
        <f>IFERROR(INDEX($H$15:$L$31,MATCH(B6,$H$15:$H$31,1)+1,5),0)</f>
        <v>3.5999999999999999E-3</v>
      </c>
      <c r="C37" s="141">
        <f>IFERROR(INDEX($H$15:$L$31,MATCH(C6,$H$15:$H$31,1)+1,5),0)</f>
        <v>0</v>
      </c>
      <c r="D37" s="141">
        <f>IFERROR(INDEX($H$15:$L$31,MATCH(D6,$H$15:$H$31,1)+1,5),0)</f>
        <v>0</v>
      </c>
      <c r="E37" s="141">
        <f>IFERROR(INDEX($H$15:$L$31,MATCH(E6,$H$15:$H$31,1)+1,5),0)</f>
        <v>3.5999999999999999E-3</v>
      </c>
      <c r="F37" s="113"/>
      <c r="G37" s="9"/>
      <c r="H37" s="9"/>
    </row>
    <row r="38" spans="1:17" ht="18.600000000000001" customHeight="1">
      <c r="A38" s="110" t="s">
        <v>464</v>
      </c>
      <c r="B38" s="141">
        <f>IFERROR(B36+((B37-B36)/(B35-B34))*(B33-B34),0)</f>
        <v>5.7762000000000004E-3</v>
      </c>
      <c r="C38" s="141">
        <f>IFERROR(C36+((C37-C36)/(C35-C34))*(C33-C34),0)</f>
        <v>0</v>
      </c>
      <c r="D38" s="141">
        <f>IFERROR(D36+((D37-D36)/(D35-D34))*(D33-D34),0)</f>
        <v>0</v>
      </c>
      <c r="E38" s="141">
        <f>IFERROR(E36+((E37-E36)/(E35-E34))*(E33-E34),0)</f>
        <v>5.4089999999999997E-3</v>
      </c>
      <c r="F38" s="113"/>
      <c r="G38" s="9"/>
    </row>
    <row r="39" spans="1:17" ht="18.600000000000001" customHeight="1">
      <c r="A39" s="111" t="s">
        <v>478</v>
      </c>
      <c r="B39" s="97">
        <f>+ROUND(B33*B38,0)</f>
        <v>7</v>
      </c>
      <c r="C39" s="97">
        <f>+ROUND(C33*C38,0)</f>
        <v>0</v>
      </c>
      <c r="D39" s="97">
        <f>+ROUND(D33*D38,0)</f>
        <v>0</v>
      </c>
      <c r="E39" s="108">
        <f>+ROUND(E33*E38,0)</f>
        <v>7</v>
      </c>
      <c r="F39" s="114"/>
    </row>
    <row r="40" spans="1:17" ht="18.600000000000001" customHeight="1"/>
    <row r="41" spans="1:17" ht="18.600000000000001" customHeight="1">
      <c r="A41" s="2" t="s">
        <v>479</v>
      </c>
      <c r="D41" s="12"/>
    </row>
    <row r="42" spans="1:17" ht="18.600000000000001" customHeight="1">
      <c r="A42" s="14"/>
      <c r="B42" s="15"/>
      <c r="C42" s="15"/>
      <c r="D42" s="15"/>
      <c r="E42" s="15"/>
      <c r="F42" s="8" t="s">
        <v>457</v>
      </c>
    </row>
    <row r="43" spans="1:17" ht="18.600000000000001" customHeight="1">
      <c r="A43" s="282" t="s">
        <v>435</v>
      </c>
      <c r="B43" s="297" t="s">
        <v>436</v>
      </c>
      <c r="C43" s="298" t="s">
        <v>437</v>
      </c>
      <c r="D43" s="298" t="s">
        <v>438</v>
      </c>
      <c r="E43" s="298" t="s">
        <v>439</v>
      </c>
      <c r="F43" s="299" t="s">
        <v>440</v>
      </c>
    </row>
    <row r="44" spans="1:17" ht="18.600000000000001" customHeight="1">
      <c r="A44" s="131" t="s">
        <v>452</v>
      </c>
      <c r="B44" s="128">
        <f>+B6</f>
        <v>1194</v>
      </c>
      <c r="C44" s="126">
        <f>+C6</f>
        <v>0</v>
      </c>
      <c r="D44" s="126">
        <f>+D6</f>
        <v>0</v>
      </c>
      <c r="E44" s="126">
        <f>+E6</f>
        <v>1330</v>
      </c>
      <c r="F44" s="127"/>
    </row>
    <row r="45" spans="1:17" ht="18.600000000000001" customHeight="1">
      <c r="A45" s="132" t="s">
        <v>480</v>
      </c>
      <c r="B45" s="129">
        <f>+B17</f>
        <v>63</v>
      </c>
      <c r="C45" s="121">
        <f>+C17</f>
        <v>0</v>
      </c>
      <c r="D45" s="121">
        <f>+D17</f>
        <v>0</v>
      </c>
      <c r="E45" s="121">
        <f>+E17</f>
        <v>69</v>
      </c>
      <c r="F45" s="122"/>
    </row>
    <row r="46" spans="1:17" ht="18.600000000000001" customHeight="1">
      <c r="A46" s="132" t="s">
        <v>475</v>
      </c>
      <c r="B46" s="129">
        <f>+B28</f>
        <v>112</v>
      </c>
      <c r="C46" s="121">
        <f>+C28</f>
        <v>0</v>
      </c>
      <c r="D46" s="121">
        <f>+D28</f>
        <v>0</v>
      </c>
      <c r="E46" s="121">
        <f>+E28</f>
        <v>125</v>
      </c>
      <c r="F46" s="122"/>
    </row>
    <row r="47" spans="1:17" ht="18.600000000000001" customHeight="1">
      <c r="A47" s="132" t="s">
        <v>478</v>
      </c>
      <c r="B47" s="129">
        <f>+B39</f>
        <v>7</v>
      </c>
      <c r="C47" s="121">
        <f>+C39</f>
        <v>0</v>
      </c>
      <c r="D47" s="121">
        <f>+D39</f>
        <v>0</v>
      </c>
      <c r="E47" s="121">
        <f>+E39</f>
        <v>7</v>
      </c>
      <c r="F47" s="122"/>
    </row>
    <row r="48" spans="1:17" ht="18.600000000000001" customHeight="1">
      <c r="A48" s="133" t="s">
        <v>481</v>
      </c>
      <c r="B48" s="130">
        <f>SUM(B44:B47)</f>
        <v>1376</v>
      </c>
      <c r="C48" s="123">
        <f>SUM(C44:C47)</f>
        <v>0</v>
      </c>
      <c r="D48" s="123">
        <f>SUM(D44:D47)</f>
        <v>0</v>
      </c>
      <c r="E48" s="123">
        <f>SUM(E44:E47)</f>
        <v>1531</v>
      </c>
      <c r="F48" s="125"/>
    </row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view="pageBreakPreview" zoomScaleNormal="100" zoomScaleSheetLayoutView="100" workbookViewId="0"/>
    <sheetView topLeftCell="A4" workbookViewId="1">
      <selection activeCell="D27" sqref="D27"/>
    </sheetView>
  </sheetViews>
  <sheetFormatPr defaultRowHeight="12"/>
  <cols>
    <col min="1" max="2" width="6.625" style="2" customWidth="1"/>
    <col min="3" max="3" width="9.625" style="2" bestFit="1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16" ht="20.100000000000001" customHeight="1">
      <c r="A1" s="1" t="s">
        <v>507</v>
      </c>
      <c r="B1" s="1"/>
      <c r="C1" s="1"/>
      <c r="D1" s="1"/>
      <c r="L1" s="2">
        <v>1.3</v>
      </c>
      <c r="M1" s="2" t="s">
        <v>508</v>
      </c>
    </row>
    <row r="2" spans="1:16" ht="20.100000000000001" customHeight="1">
      <c r="A2" s="2" t="s">
        <v>509</v>
      </c>
    </row>
    <row r="3" spans="1:16" ht="20.100000000000001" customHeight="1">
      <c r="A3" s="40" t="s">
        <v>1059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16" ht="20.100000000000001" customHeight="1">
      <c r="A4" s="40" t="s">
        <v>683</v>
      </c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16" ht="20.100000000000001" customHeight="1">
      <c r="A5" s="40" t="s">
        <v>684</v>
      </c>
      <c r="B5" s="40"/>
      <c r="C5" s="40"/>
      <c r="D5" s="40"/>
      <c r="M5" s="776" t="s">
        <v>69</v>
      </c>
      <c r="N5" s="272">
        <v>300</v>
      </c>
      <c r="O5" s="44">
        <v>512740</v>
      </c>
      <c r="P5" s="44">
        <v>782541</v>
      </c>
    </row>
    <row r="6" spans="1:16" ht="20.100000000000001" customHeight="1">
      <c r="A6" s="40"/>
      <c r="B6" s="40"/>
      <c r="C6" s="40"/>
      <c r="D6" s="40"/>
      <c r="M6" s="776"/>
      <c r="N6" s="272">
        <v>400</v>
      </c>
      <c r="O6" s="44">
        <v>580188</v>
      </c>
      <c r="P6" s="44">
        <v>859007</v>
      </c>
    </row>
    <row r="7" spans="1:16" ht="20.100000000000001" customHeight="1">
      <c r="A7" s="2" t="s">
        <v>431</v>
      </c>
      <c r="M7" s="776"/>
      <c r="N7" s="272">
        <v>500</v>
      </c>
      <c r="O7" s="44">
        <v>624861</v>
      </c>
      <c r="P7" s="44">
        <v>912820</v>
      </c>
    </row>
    <row r="8" spans="1:16" ht="20.100000000000001" customHeight="1">
      <c r="I8" s="8"/>
      <c r="K8" s="8" t="s">
        <v>512</v>
      </c>
      <c r="M8" s="776"/>
      <c r="N8" s="272">
        <v>600</v>
      </c>
      <c r="O8" s="44">
        <v>705821</v>
      </c>
      <c r="P8" s="44">
        <v>1016585</v>
      </c>
    </row>
    <row r="9" spans="1:16" ht="20.100000000000001" customHeight="1">
      <c r="A9" s="783" t="s">
        <v>435</v>
      </c>
      <c r="B9" s="785" t="s">
        <v>513</v>
      </c>
      <c r="C9" s="787" t="s">
        <v>514</v>
      </c>
      <c r="D9" s="789" t="s">
        <v>436</v>
      </c>
      <c r="E9" s="781"/>
      <c r="F9" s="781" t="s">
        <v>437</v>
      </c>
      <c r="G9" s="781"/>
      <c r="H9" s="781" t="s">
        <v>438</v>
      </c>
      <c r="I9" s="781"/>
      <c r="J9" s="781" t="s">
        <v>439</v>
      </c>
      <c r="K9" s="782"/>
      <c r="M9" s="776"/>
      <c r="N9" s="272">
        <v>700</v>
      </c>
      <c r="O9" s="44">
        <v>782918</v>
      </c>
      <c r="P9" s="44">
        <v>1102578</v>
      </c>
    </row>
    <row r="10" spans="1:16" ht="20.100000000000001" customHeight="1">
      <c r="A10" s="840"/>
      <c r="B10" s="888"/>
      <c r="C10" s="841"/>
      <c r="D10" s="160" t="s">
        <v>515</v>
      </c>
      <c r="E10" s="273" t="s">
        <v>452</v>
      </c>
      <c r="F10" s="281" t="s">
        <v>515</v>
      </c>
      <c r="G10" s="273" t="s">
        <v>452</v>
      </c>
      <c r="H10" s="281" t="s">
        <v>515</v>
      </c>
      <c r="I10" s="273" t="s">
        <v>452</v>
      </c>
      <c r="J10" s="281" t="s">
        <v>515</v>
      </c>
      <c r="K10" s="274" t="s">
        <v>452</v>
      </c>
      <c r="L10" s="9"/>
      <c r="M10" s="776"/>
      <c r="N10" s="272">
        <v>800</v>
      </c>
      <c r="O10" s="44">
        <v>854676</v>
      </c>
      <c r="P10" s="44">
        <v>1183365</v>
      </c>
    </row>
    <row r="11" spans="1:16" ht="20.100000000000001" customHeight="1">
      <c r="A11" s="941" t="s">
        <v>714</v>
      </c>
      <c r="B11" s="529">
        <v>250</v>
      </c>
      <c r="C11" s="530">
        <f>'가.굴착교체(금왕-우수)'!C12</f>
        <v>988252.5</v>
      </c>
      <c r="D11" s="538"/>
      <c r="E11" s="465">
        <f t="shared" ref="E11:E26" si="0">+ROUND($C11*D11/1000000,0)</f>
        <v>0</v>
      </c>
      <c r="F11" s="465"/>
      <c r="G11" s="465">
        <f t="shared" ref="G11:G25" si="1">+ROUND($C11*F11/1000000,0)</f>
        <v>0</v>
      </c>
      <c r="H11" s="465"/>
      <c r="I11" s="465">
        <f t="shared" ref="I11:K26" si="2">+ROUND($C11*H11/1000000,0)</f>
        <v>0</v>
      </c>
      <c r="J11" s="465">
        <v>2.6</v>
      </c>
      <c r="K11" s="465">
        <f t="shared" si="2"/>
        <v>3</v>
      </c>
      <c r="L11" s="9"/>
      <c r="M11" s="776"/>
      <c r="N11" s="272">
        <v>900</v>
      </c>
      <c r="O11" s="44">
        <v>945775</v>
      </c>
      <c r="P11" s="44">
        <v>1283451</v>
      </c>
    </row>
    <row r="12" spans="1:16" ht="20.100000000000001" customHeight="1">
      <c r="A12" s="936"/>
      <c r="B12" s="533">
        <v>400</v>
      </c>
      <c r="C12" s="532">
        <f>+ROUND(P6*L1,0)</f>
        <v>1116709</v>
      </c>
      <c r="D12" s="539"/>
      <c r="E12" s="467">
        <f t="shared" si="0"/>
        <v>0</v>
      </c>
      <c r="F12" s="467"/>
      <c r="G12" s="467">
        <f t="shared" si="1"/>
        <v>0</v>
      </c>
      <c r="H12" s="467"/>
      <c r="I12" s="467">
        <f t="shared" si="2"/>
        <v>0</v>
      </c>
      <c r="J12" s="467">
        <v>5.2</v>
      </c>
      <c r="K12" s="467">
        <f t="shared" si="2"/>
        <v>6</v>
      </c>
      <c r="L12" s="9"/>
      <c r="M12" s="776"/>
      <c r="N12" s="272">
        <v>1000</v>
      </c>
      <c r="O12" s="44">
        <v>1051853</v>
      </c>
      <c r="P12" s="44">
        <v>1398649</v>
      </c>
    </row>
    <row r="13" spans="1:16" ht="20.100000000000001" customHeight="1">
      <c r="A13" s="936"/>
      <c r="B13" s="533">
        <v>500</v>
      </c>
      <c r="C13" s="532">
        <f>+ROUND(P7*L1,0)</f>
        <v>1186666</v>
      </c>
      <c r="D13" s="539"/>
      <c r="E13" s="467">
        <f t="shared" si="0"/>
        <v>0</v>
      </c>
      <c r="F13" s="467"/>
      <c r="G13" s="467">
        <f t="shared" si="1"/>
        <v>0</v>
      </c>
      <c r="H13" s="467"/>
      <c r="I13" s="467">
        <f t="shared" si="2"/>
        <v>0</v>
      </c>
      <c r="J13" s="467">
        <v>128.80000000000001</v>
      </c>
      <c r="K13" s="467">
        <f t="shared" si="2"/>
        <v>153</v>
      </c>
      <c r="L13" s="9"/>
      <c r="M13" s="776"/>
      <c r="N13" s="272">
        <v>1100</v>
      </c>
      <c r="O13" s="44">
        <v>1188358</v>
      </c>
      <c r="P13" s="44">
        <v>1557399</v>
      </c>
    </row>
    <row r="14" spans="1:16" ht="20.100000000000001" customHeight="1">
      <c r="A14" s="936"/>
      <c r="B14" s="533">
        <v>600</v>
      </c>
      <c r="C14" s="532">
        <f>+ROUND(P8*L1,0)</f>
        <v>1321561</v>
      </c>
      <c r="D14" s="539"/>
      <c r="E14" s="467">
        <f t="shared" si="0"/>
        <v>0</v>
      </c>
      <c r="F14" s="467"/>
      <c r="G14" s="467">
        <f t="shared" si="1"/>
        <v>0</v>
      </c>
      <c r="H14" s="467"/>
      <c r="I14" s="467">
        <f t="shared" si="2"/>
        <v>0</v>
      </c>
      <c r="J14" s="467">
        <v>187.4</v>
      </c>
      <c r="K14" s="467">
        <f t="shared" si="2"/>
        <v>248</v>
      </c>
      <c r="L14" s="9"/>
      <c r="M14" s="776"/>
      <c r="N14" s="272">
        <v>1200</v>
      </c>
      <c r="O14" s="44">
        <v>1313909</v>
      </c>
      <c r="P14" s="44">
        <v>1691805</v>
      </c>
    </row>
    <row r="15" spans="1:16" ht="20.100000000000001" customHeight="1">
      <c r="A15" s="936"/>
      <c r="B15" s="533">
        <v>700</v>
      </c>
      <c r="C15" s="532">
        <f t="shared" ref="C15:C20" si="3">+ROUND(P9*$L$1,0)</f>
        <v>1433351</v>
      </c>
      <c r="D15" s="539"/>
      <c r="E15" s="467">
        <f t="shared" si="0"/>
        <v>0</v>
      </c>
      <c r="F15" s="467"/>
      <c r="G15" s="467">
        <f t="shared" si="1"/>
        <v>0</v>
      </c>
      <c r="H15" s="467"/>
      <c r="I15" s="467">
        <f t="shared" si="2"/>
        <v>0</v>
      </c>
      <c r="J15" s="467">
        <v>246.8</v>
      </c>
      <c r="K15" s="467">
        <f t="shared" si="2"/>
        <v>354</v>
      </c>
      <c r="L15" s="9"/>
      <c r="M15" s="776"/>
      <c r="N15" s="272">
        <v>1350</v>
      </c>
      <c r="O15" s="44">
        <v>1519849</v>
      </c>
      <c r="P15" s="44">
        <v>1910605</v>
      </c>
    </row>
    <row r="16" spans="1:16" ht="20.100000000000001" customHeight="1">
      <c r="A16" s="936"/>
      <c r="B16" s="533">
        <v>800</v>
      </c>
      <c r="C16" s="532">
        <f t="shared" si="3"/>
        <v>1538375</v>
      </c>
      <c r="D16" s="539"/>
      <c r="E16" s="467">
        <f t="shared" si="0"/>
        <v>0</v>
      </c>
      <c r="F16" s="467"/>
      <c r="G16" s="467">
        <f t="shared" si="1"/>
        <v>0</v>
      </c>
      <c r="H16" s="467"/>
      <c r="I16" s="467">
        <f t="shared" si="2"/>
        <v>0</v>
      </c>
      <c r="J16" s="467">
        <v>25.2</v>
      </c>
      <c r="K16" s="467">
        <f t="shared" si="2"/>
        <v>39</v>
      </c>
      <c r="L16" s="9"/>
      <c r="M16" s="776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936"/>
      <c r="B17" s="533">
        <v>900</v>
      </c>
      <c r="C17" s="532">
        <f t="shared" si="3"/>
        <v>1668486</v>
      </c>
      <c r="D17" s="539"/>
      <c r="E17" s="467">
        <f t="shared" si="0"/>
        <v>0</v>
      </c>
      <c r="F17" s="467"/>
      <c r="G17" s="467">
        <f t="shared" si="1"/>
        <v>0</v>
      </c>
      <c r="H17" s="467"/>
      <c r="I17" s="467">
        <f t="shared" si="2"/>
        <v>0</v>
      </c>
      <c r="J17" s="467">
        <v>0</v>
      </c>
      <c r="K17" s="467">
        <f t="shared" si="2"/>
        <v>0</v>
      </c>
      <c r="L17" s="9"/>
      <c r="M17" s="776"/>
      <c r="N17" s="272">
        <v>400</v>
      </c>
      <c r="O17" s="44">
        <v>827275</v>
      </c>
      <c r="P17" s="44">
        <v>1106094</v>
      </c>
    </row>
    <row r="18" spans="1:16" ht="20.100000000000001" customHeight="1">
      <c r="A18" s="936"/>
      <c r="B18" s="533">
        <v>1000</v>
      </c>
      <c r="C18" s="532">
        <f t="shared" si="3"/>
        <v>1818244</v>
      </c>
      <c r="D18" s="539"/>
      <c r="E18" s="467">
        <f t="shared" si="0"/>
        <v>0</v>
      </c>
      <c r="F18" s="467"/>
      <c r="G18" s="467">
        <f t="shared" si="1"/>
        <v>0</v>
      </c>
      <c r="H18" s="467"/>
      <c r="I18" s="467">
        <f t="shared" si="2"/>
        <v>0</v>
      </c>
      <c r="J18" s="467">
        <v>21</v>
      </c>
      <c r="K18" s="467">
        <f t="shared" si="2"/>
        <v>38</v>
      </c>
      <c r="L18" s="9"/>
      <c r="M18" s="776"/>
      <c r="N18" s="272">
        <v>500</v>
      </c>
      <c r="O18" s="44">
        <v>935411</v>
      </c>
      <c r="P18" s="44">
        <v>1223371</v>
      </c>
    </row>
    <row r="19" spans="1:16" ht="20.100000000000001" customHeight="1">
      <c r="A19" s="936"/>
      <c r="B19" s="533">
        <v>1100</v>
      </c>
      <c r="C19" s="532">
        <f t="shared" si="3"/>
        <v>2024619</v>
      </c>
      <c r="D19" s="539"/>
      <c r="E19" s="467">
        <f t="shared" si="0"/>
        <v>0</v>
      </c>
      <c r="F19" s="467"/>
      <c r="G19" s="467">
        <f t="shared" si="1"/>
        <v>0</v>
      </c>
      <c r="H19" s="467"/>
      <c r="I19" s="467">
        <f t="shared" si="2"/>
        <v>0</v>
      </c>
      <c r="J19" s="467">
        <v>0</v>
      </c>
      <c r="K19" s="467">
        <f t="shared" si="2"/>
        <v>0</v>
      </c>
      <c r="L19" s="9"/>
      <c r="M19" s="776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936"/>
      <c r="B20" s="533">
        <v>1200</v>
      </c>
      <c r="C20" s="532">
        <f t="shared" si="3"/>
        <v>2199347</v>
      </c>
      <c r="D20" s="539"/>
      <c r="E20" s="467">
        <f t="shared" si="0"/>
        <v>0</v>
      </c>
      <c r="F20" s="467"/>
      <c r="G20" s="467">
        <f t="shared" si="1"/>
        <v>0</v>
      </c>
      <c r="H20" s="467"/>
      <c r="I20" s="467">
        <f t="shared" si="2"/>
        <v>0</v>
      </c>
      <c r="J20" s="467">
        <v>0</v>
      </c>
      <c r="K20" s="467">
        <f t="shared" si="2"/>
        <v>0</v>
      </c>
      <c r="L20" s="9"/>
      <c r="M20" s="776"/>
      <c r="N20" s="272">
        <v>700</v>
      </c>
      <c r="O20" s="44">
        <v>1206659</v>
      </c>
      <c r="P20" s="44">
        <v>1526319</v>
      </c>
    </row>
    <row r="21" spans="1:16" ht="20.100000000000001" customHeight="1">
      <c r="A21" s="936"/>
      <c r="B21" s="533" t="s">
        <v>1046</v>
      </c>
      <c r="C21" s="532">
        <f>+ROUND(P36*0.64*$L$1,0)</f>
        <v>1746315</v>
      </c>
      <c r="D21" s="539"/>
      <c r="E21" s="467">
        <f t="shared" si="0"/>
        <v>0</v>
      </c>
      <c r="F21" s="467"/>
      <c r="G21" s="467">
        <f t="shared" si="1"/>
        <v>0</v>
      </c>
      <c r="H21" s="467"/>
      <c r="I21" s="467">
        <f t="shared" si="2"/>
        <v>0</v>
      </c>
      <c r="J21" s="467">
        <v>280.10000000000002</v>
      </c>
      <c r="K21" s="467">
        <f t="shared" si="2"/>
        <v>489</v>
      </c>
      <c r="L21" s="9"/>
      <c r="M21" s="776"/>
      <c r="N21" s="272">
        <v>800</v>
      </c>
      <c r="O21" s="44">
        <v>1373571</v>
      </c>
      <c r="P21" s="44">
        <v>1702260</v>
      </c>
    </row>
    <row r="22" spans="1:16" ht="20.100000000000001" customHeight="1">
      <c r="A22" s="936"/>
      <c r="B22" s="533" t="s">
        <v>933</v>
      </c>
      <c r="C22" s="532">
        <f>+ROUND(P36*L1,0)</f>
        <v>2728617</v>
      </c>
      <c r="D22" s="539"/>
      <c r="E22" s="467">
        <f t="shared" si="0"/>
        <v>0</v>
      </c>
      <c r="F22" s="467"/>
      <c r="G22" s="467">
        <f t="shared" si="1"/>
        <v>0</v>
      </c>
      <c r="H22" s="467"/>
      <c r="I22" s="467">
        <f t="shared" si="2"/>
        <v>0</v>
      </c>
      <c r="J22" s="467">
        <v>0</v>
      </c>
      <c r="K22" s="467">
        <f t="shared" si="2"/>
        <v>0</v>
      </c>
      <c r="L22" s="9"/>
      <c r="M22" s="776"/>
      <c r="N22" s="272">
        <v>900</v>
      </c>
      <c r="O22" s="44">
        <v>1509424</v>
      </c>
      <c r="P22" s="44">
        <v>1847090</v>
      </c>
    </row>
    <row r="23" spans="1:16" ht="20.100000000000001" customHeight="1">
      <c r="A23" s="936"/>
      <c r="B23" s="533" t="s">
        <v>934</v>
      </c>
      <c r="C23" s="532">
        <f>+ROUND(P38*L1,0)</f>
        <v>2982099</v>
      </c>
      <c r="D23" s="539"/>
      <c r="E23" s="467">
        <f t="shared" si="0"/>
        <v>0</v>
      </c>
      <c r="F23" s="467"/>
      <c r="G23" s="467">
        <f t="shared" si="1"/>
        <v>0</v>
      </c>
      <c r="H23" s="467"/>
      <c r="I23" s="467">
        <f t="shared" si="2"/>
        <v>0</v>
      </c>
      <c r="J23" s="467"/>
      <c r="K23" s="467">
        <f t="shared" si="2"/>
        <v>0</v>
      </c>
      <c r="L23" s="9"/>
      <c r="M23" s="776"/>
      <c r="N23" s="272">
        <v>1000</v>
      </c>
      <c r="O23" s="44">
        <v>1730822</v>
      </c>
      <c r="P23" s="44">
        <v>2077609</v>
      </c>
    </row>
    <row r="24" spans="1:16" ht="20.100000000000001" customHeight="1">
      <c r="A24" s="936"/>
      <c r="B24" s="533" t="s">
        <v>935</v>
      </c>
      <c r="C24" s="532">
        <f>+ROUND(P40*L1,0)</f>
        <v>3355213</v>
      </c>
      <c r="D24" s="539"/>
      <c r="E24" s="467">
        <f t="shared" si="0"/>
        <v>0</v>
      </c>
      <c r="F24" s="467"/>
      <c r="G24" s="467">
        <f t="shared" si="1"/>
        <v>0</v>
      </c>
      <c r="H24" s="467"/>
      <c r="I24" s="467">
        <f t="shared" si="2"/>
        <v>0</v>
      </c>
      <c r="J24" s="467"/>
      <c r="K24" s="467">
        <f t="shared" si="2"/>
        <v>0</v>
      </c>
      <c r="L24" s="9"/>
      <c r="M24" s="776"/>
      <c r="N24" s="272">
        <v>1100</v>
      </c>
      <c r="O24" s="44">
        <v>1990647</v>
      </c>
      <c r="P24" s="44">
        <v>2359688</v>
      </c>
    </row>
    <row r="25" spans="1:16" ht="20.100000000000001" customHeight="1">
      <c r="A25" s="936"/>
      <c r="B25" s="533" t="s">
        <v>936</v>
      </c>
      <c r="C25" s="532">
        <f>+ROUND(P44*L1,0)</f>
        <v>4582826</v>
      </c>
      <c r="D25" s="539"/>
      <c r="E25" s="467">
        <f t="shared" si="0"/>
        <v>0</v>
      </c>
      <c r="F25" s="467"/>
      <c r="G25" s="467">
        <f t="shared" si="1"/>
        <v>0</v>
      </c>
      <c r="H25" s="467"/>
      <c r="I25" s="467">
        <f t="shared" si="2"/>
        <v>0</v>
      </c>
      <c r="J25" s="467"/>
      <c r="K25" s="467">
        <f t="shared" si="2"/>
        <v>0</v>
      </c>
      <c r="L25" s="9"/>
      <c r="M25" s="776"/>
      <c r="N25" s="272">
        <v>1200</v>
      </c>
      <c r="O25" s="44">
        <v>2234280</v>
      </c>
      <c r="P25" s="44">
        <v>2612176</v>
      </c>
    </row>
    <row r="26" spans="1:16" ht="20.100000000000001" customHeight="1">
      <c r="A26" s="936"/>
      <c r="B26" s="533" t="s">
        <v>937</v>
      </c>
      <c r="C26" s="532">
        <f>+ROUND(P47*L1,0)</f>
        <v>6459687</v>
      </c>
      <c r="D26" s="539"/>
      <c r="E26" s="467">
        <f t="shared" si="0"/>
        <v>0</v>
      </c>
      <c r="F26" s="467"/>
      <c r="G26" s="467">
        <f>+ROUND($C26*F26/1000000,0)</f>
        <v>0</v>
      </c>
      <c r="H26" s="467"/>
      <c r="I26" s="467">
        <f t="shared" si="2"/>
        <v>0</v>
      </c>
      <c r="J26" s="467"/>
      <c r="K26" s="467">
        <f t="shared" si="2"/>
        <v>0</v>
      </c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A27" s="936"/>
      <c r="B27" s="903" t="s">
        <v>938</v>
      </c>
      <c r="C27" s="921"/>
      <c r="D27" s="539">
        <v>1556.8</v>
      </c>
      <c r="E27" s="467">
        <v>1194</v>
      </c>
      <c r="F27" s="467"/>
      <c r="G27" s="467">
        <v>0</v>
      </c>
      <c r="H27" s="467"/>
      <c r="I27" s="467">
        <v>0</v>
      </c>
      <c r="J27" s="467"/>
      <c r="K27" s="467">
        <v>0</v>
      </c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A28" s="937"/>
      <c r="B28" s="919" t="s">
        <v>406</v>
      </c>
      <c r="C28" s="920"/>
      <c r="D28" s="547">
        <f>SUM(D11:D27)</f>
        <v>1556.8</v>
      </c>
      <c r="E28" s="476">
        <f t="shared" ref="E28:J28" si="4">SUM(E11:E27)</f>
        <v>1194</v>
      </c>
      <c r="F28" s="476">
        <f t="shared" si="4"/>
        <v>0</v>
      </c>
      <c r="G28" s="476">
        <f t="shared" si="4"/>
        <v>0</v>
      </c>
      <c r="H28" s="476">
        <f t="shared" si="4"/>
        <v>0</v>
      </c>
      <c r="I28" s="476">
        <f t="shared" si="4"/>
        <v>0</v>
      </c>
      <c r="J28" s="476">
        <f t="shared" si="4"/>
        <v>897.1</v>
      </c>
      <c r="K28" s="477">
        <f>SUM(K11:K27)</f>
        <v>1330</v>
      </c>
      <c r="L28" s="9"/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D29" s="13" t="e">
        <f>+D28+#REF!+#REF!</f>
        <v>#REF!</v>
      </c>
      <c r="E29" s="13" t="e">
        <f>+E28+#REF!+#REF!</f>
        <v>#REF!</v>
      </c>
      <c r="F29" s="13" t="e">
        <f>+F28+#REF!+#REF!</f>
        <v>#REF!</v>
      </c>
      <c r="G29" s="13" t="e">
        <f>+G28+#REF!+#REF!</f>
        <v>#REF!</v>
      </c>
      <c r="H29" s="13" t="e">
        <f>+H28+#REF!+#REF!</f>
        <v>#REF!</v>
      </c>
      <c r="I29" s="13" t="e">
        <f>+I28+#REF!+#REF!</f>
        <v>#REF!</v>
      </c>
      <c r="J29" s="13" t="e">
        <f>+J28+#REF!+#REF!</f>
        <v>#REF!</v>
      </c>
      <c r="K29" s="13" t="e">
        <f>+K28+#REF!+#REF!</f>
        <v>#REF!</v>
      </c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G30" s="2" t="s">
        <v>809</v>
      </c>
      <c r="H30" s="2" t="s">
        <v>810</v>
      </c>
      <c r="I30" s="2" t="s">
        <v>811</v>
      </c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C31" s="2">
        <v>1028</v>
      </c>
      <c r="D31" s="2">
        <v>250</v>
      </c>
      <c r="E31" s="2">
        <v>0</v>
      </c>
      <c r="F31" s="2">
        <f t="shared" ref="F31:F41" si="5">ROUND($C$31*E31,0)</f>
        <v>0</v>
      </c>
      <c r="G31" s="2">
        <f>ROUND(F31*1,0)</f>
        <v>0</v>
      </c>
      <c r="H31" s="2">
        <f>ROUND(F31*0,0)</f>
        <v>0</v>
      </c>
      <c r="I31" s="2">
        <f>F31-G31-H31</f>
        <v>0</v>
      </c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D32" s="2">
        <v>300</v>
      </c>
      <c r="E32" s="2">
        <v>0.02</v>
      </c>
      <c r="F32" s="2">
        <f t="shared" si="5"/>
        <v>21</v>
      </c>
      <c r="G32" s="2">
        <f t="shared" ref="G32:G39" si="6">ROUND(F32*1,0)</f>
        <v>21</v>
      </c>
      <c r="H32" s="2">
        <f t="shared" ref="H32:H39" si="7">ROUND(F32*0,0)</f>
        <v>0</v>
      </c>
      <c r="I32" s="2">
        <f t="shared" ref="I32:I39" si="8">F32-G32-H32</f>
        <v>0</v>
      </c>
      <c r="L32" s="9"/>
      <c r="M32" s="776"/>
      <c r="N32" s="272">
        <v>800</v>
      </c>
      <c r="O32" s="44">
        <v>1030780</v>
      </c>
      <c r="P32" s="44">
        <v>1359468</v>
      </c>
    </row>
    <row r="33" spans="4:16" ht="20.100000000000001" customHeight="1">
      <c r="D33" s="2">
        <v>400</v>
      </c>
      <c r="E33" s="2">
        <v>0.16</v>
      </c>
      <c r="F33" s="2">
        <f t="shared" si="5"/>
        <v>164</v>
      </c>
      <c r="G33" s="2">
        <f t="shared" si="6"/>
        <v>164</v>
      </c>
      <c r="H33" s="2">
        <f t="shared" si="7"/>
        <v>0</v>
      </c>
      <c r="I33" s="2">
        <f t="shared" si="8"/>
        <v>0</v>
      </c>
      <c r="L33" s="29"/>
      <c r="M33" s="776"/>
      <c r="N33" s="272">
        <v>900</v>
      </c>
      <c r="O33" s="44">
        <v>1120686</v>
      </c>
      <c r="P33" s="44">
        <v>1458352</v>
      </c>
    </row>
    <row r="34" spans="4:16" ht="20.100000000000001" customHeight="1">
      <c r="D34" s="2">
        <v>450</v>
      </c>
      <c r="E34" s="2">
        <v>0.06</v>
      </c>
      <c r="F34" s="2">
        <f t="shared" si="5"/>
        <v>62</v>
      </c>
      <c r="G34" s="2">
        <f t="shared" si="6"/>
        <v>62</v>
      </c>
      <c r="H34" s="2">
        <f t="shared" si="7"/>
        <v>0</v>
      </c>
      <c r="I34" s="2">
        <f t="shared" si="8"/>
        <v>0</v>
      </c>
      <c r="L34" s="45"/>
      <c r="M34" s="776"/>
      <c r="N34" s="272">
        <v>1000</v>
      </c>
      <c r="O34" s="44">
        <v>1252157</v>
      </c>
      <c r="P34" s="44">
        <v>1598943</v>
      </c>
    </row>
    <row r="35" spans="4:16" ht="20.100000000000001" customHeight="1">
      <c r="D35" s="2">
        <v>500</v>
      </c>
      <c r="E35" s="2">
        <v>0.16</v>
      </c>
      <c r="F35" s="2">
        <f t="shared" si="5"/>
        <v>164</v>
      </c>
      <c r="G35" s="2">
        <f t="shared" si="6"/>
        <v>164</v>
      </c>
      <c r="H35" s="2">
        <f t="shared" si="7"/>
        <v>0</v>
      </c>
      <c r="I35" s="2">
        <f t="shared" si="8"/>
        <v>0</v>
      </c>
      <c r="L35" s="45"/>
      <c r="M35" s="776"/>
      <c r="N35" s="272">
        <v>1200</v>
      </c>
      <c r="O35" s="44">
        <v>1519329</v>
      </c>
      <c r="P35" s="44">
        <v>1897235</v>
      </c>
    </row>
    <row r="36" spans="4:16" ht="20.100000000000001" customHeight="1">
      <c r="D36" s="2">
        <v>600</v>
      </c>
      <c r="E36" s="2">
        <v>0.25</v>
      </c>
      <c r="F36" s="2">
        <f t="shared" si="5"/>
        <v>257</v>
      </c>
      <c r="G36" s="2">
        <f t="shared" si="6"/>
        <v>257</v>
      </c>
      <c r="H36" s="2">
        <f t="shared" si="7"/>
        <v>0</v>
      </c>
      <c r="I36" s="2">
        <f t="shared" si="8"/>
        <v>0</v>
      </c>
      <c r="L36" s="35"/>
      <c r="M36" s="776" t="s">
        <v>519</v>
      </c>
      <c r="N36" s="272" t="s">
        <v>79</v>
      </c>
      <c r="O36" s="44">
        <v>1813280</v>
      </c>
      <c r="P36" s="44">
        <v>2098936</v>
      </c>
    </row>
    <row r="37" spans="4:16" ht="20.100000000000001" customHeight="1">
      <c r="D37" s="2">
        <v>700</v>
      </c>
      <c r="E37" s="2">
        <v>0.11</v>
      </c>
      <c r="F37" s="2">
        <f t="shared" si="5"/>
        <v>113</v>
      </c>
      <c r="G37" s="2">
        <f t="shared" si="6"/>
        <v>113</v>
      </c>
      <c r="H37" s="2">
        <f t="shared" si="7"/>
        <v>0</v>
      </c>
      <c r="I37" s="2">
        <f t="shared" si="8"/>
        <v>0</v>
      </c>
      <c r="L37" s="35"/>
      <c r="M37" s="776"/>
      <c r="N37" s="272" t="s">
        <v>80</v>
      </c>
      <c r="O37" s="44">
        <v>1980997</v>
      </c>
      <c r="P37" s="44">
        <v>2266643</v>
      </c>
    </row>
    <row r="38" spans="4:16" ht="20.100000000000001" customHeight="1">
      <c r="D38" s="2">
        <v>800</v>
      </c>
      <c r="E38" s="2">
        <v>0.14000000000000001</v>
      </c>
      <c r="F38" s="2">
        <f t="shared" si="5"/>
        <v>144</v>
      </c>
      <c r="G38" s="2">
        <f t="shared" si="6"/>
        <v>144</v>
      </c>
      <c r="H38" s="2">
        <f t="shared" si="7"/>
        <v>0</v>
      </c>
      <c r="I38" s="2">
        <f t="shared" si="8"/>
        <v>0</v>
      </c>
      <c r="L38" s="36"/>
      <c r="M38" s="776"/>
      <c r="N38" s="272" t="s">
        <v>81</v>
      </c>
      <c r="O38" s="44">
        <v>2008266</v>
      </c>
      <c r="P38" s="44">
        <v>2293922</v>
      </c>
    </row>
    <row r="39" spans="4:16" ht="20.100000000000001" customHeight="1">
      <c r="D39" s="2">
        <v>900</v>
      </c>
      <c r="E39" s="2">
        <v>0.01</v>
      </c>
      <c r="F39" s="2">
        <f t="shared" si="5"/>
        <v>10</v>
      </c>
      <c r="G39" s="2">
        <f t="shared" si="6"/>
        <v>10</v>
      </c>
      <c r="H39" s="2">
        <f t="shared" si="7"/>
        <v>0</v>
      </c>
      <c r="I39" s="2">
        <f t="shared" si="8"/>
        <v>0</v>
      </c>
      <c r="L39" s="35"/>
      <c r="M39" s="776"/>
      <c r="N39" s="272" t="s">
        <v>82</v>
      </c>
      <c r="O39" s="44">
        <v>2087044</v>
      </c>
      <c r="P39" s="44">
        <v>2432231</v>
      </c>
    </row>
    <row r="40" spans="4:16" ht="20.100000000000001" customHeight="1">
      <c r="D40" s="2">
        <v>1000</v>
      </c>
      <c r="E40" s="2">
        <v>0.09</v>
      </c>
      <c r="F40" s="2">
        <f t="shared" si="5"/>
        <v>93</v>
      </c>
      <c r="G40" s="2">
        <f>ROUND(F40*0.8,0)</f>
        <v>74</v>
      </c>
      <c r="H40" s="2">
        <f>ROUND(F40*0.15,0)</f>
        <v>14</v>
      </c>
      <c r="I40" s="2">
        <f>F40-G40-H40</f>
        <v>5</v>
      </c>
      <c r="L40" s="35"/>
      <c r="M40" s="776"/>
      <c r="N40" s="272" t="s">
        <v>83</v>
      </c>
      <c r="O40" s="44">
        <v>2235747</v>
      </c>
      <c r="P40" s="44">
        <v>2580933</v>
      </c>
    </row>
    <row r="41" spans="4:16" ht="20.100000000000001" customHeight="1">
      <c r="D41" s="2">
        <v>1200</v>
      </c>
      <c r="E41" s="2">
        <v>0</v>
      </c>
      <c r="F41" s="2">
        <f t="shared" si="5"/>
        <v>0</v>
      </c>
      <c r="G41" s="2">
        <f>ROUND(F41*0.8,0)</f>
        <v>0</v>
      </c>
      <c r="H41" s="2">
        <f>ROUND(F41*0.15,0)</f>
        <v>0</v>
      </c>
      <c r="I41" s="2">
        <f>F41-G41-H41</f>
        <v>0</v>
      </c>
      <c r="L41" s="35"/>
      <c r="M41" s="776"/>
      <c r="N41" s="272" t="s">
        <v>84</v>
      </c>
      <c r="O41" s="44">
        <v>2493065</v>
      </c>
      <c r="P41" s="44">
        <v>2838251</v>
      </c>
    </row>
    <row r="42" spans="4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4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4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4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4:16" ht="20.100000000000001" customHeight="1">
      <c r="L46" s="35"/>
      <c r="M46" s="776"/>
      <c r="N46" s="272" t="s">
        <v>89</v>
      </c>
      <c r="O46" s="44">
        <v>3790171</v>
      </c>
      <c r="P46" s="44">
        <v>4313203</v>
      </c>
    </row>
    <row r="47" spans="4:16" ht="20.100000000000001" customHeight="1">
      <c r="L47" s="36"/>
      <c r="M47" s="776"/>
      <c r="N47" s="272" t="s">
        <v>90</v>
      </c>
      <c r="O47" s="44">
        <v>4445958</v>
      </c>
      <c r="P47" s="44">
        <v>4968990</v>
      </c>
    </row>
    <row r="48" spans="4:16" ht="20.100000000000001" customHeight="1">
      <c r="L48" s="9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37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L50" s="9"/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7">
    <mergeCell ref="M36:M51"/>
    <mergeCell ref="M3:M4"/>
    <mergeCell ref="N3:N4"/>
    <mergeCell ref="O3:P3"/>
    <mergeCell ref="M5:M15"/>
    <mergeCell ref="J9:K9"/>
    <mergeCell ref="M16:M25"/>
    <mergeCell ref="M26:M35"/>
    <mergeCell ref="B28:C28"/>
    <mergeCell ref="A9:A10"/>
    <mergeCell ref="B9:B10"/>
    <mergeCell ref="C9:C10"/>
    <mergeCell ref="D9:E9"/>
    <mergeCell ref="F9:G9"/>
    <mergeCell ref="H9:I9"/>
    <mergeCell ref="A11:A28"/>
    <mergeCell ref="B27:C27"/>
  </mergeCells>
  <phoneticPr fontId="4" type="noConversion"/>
  <pageMargins left="0.7" right="0.7" top="0.75" bottom="0.75" header="0.3" footer="0.3"/>
  <pageSetup paperSize="9" scale="9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56"/>
  <sheetViews>
    <sheetView view="pageBreakPreview" zoomScaleNormal="100" zoomScaleSheetLayoutView="100" workbookViewId="0">
      <selection activeCell="C12" sqref="C12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13" width="9" style="2"/>
    <col min="14" max="14" width="7.375" style="3" bestFit="1" customWidth="1"/>
    <col min="15" max="17" width="7.875" style="3" bestFit="1" customWidth="1"/>
    <col min="18" max="18" width="12.875" style="3" bestFit="1" customWidth="1"/>
    <col min="19" max="19" width="18.375" style="3" bestFit="1" customWidth="1"/>
    <col min="2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19" ht="20.100000000000001" customHeight="1">
      <c r="A1" s="1" t="s">
        <v>959</v>
      </c>
      <c r="G1" s="3"/>
    </row>
    <row r="2" spans="1:19" ht="20.100000000000001" customHeight="1">
      <c r="A2" s="2" t="s">
        <v>427</v>
      </c>
      <c r="G2" s="3"/>
    </row>
    <row r="3" spans="1:19" ht="20.100000000000001" customHeight="1">
      <c r="A3" s="4" t="s">
        <v>813</v>
      </c>
      <c r="G3" s="5"/>
    </row>
    <row r="4" spans="1:19" ht="20.100000000000001" customHeight="1">
      <c r="A4" s="4"/>
      <c r="G4" s="5"/>
    </row>
    <row r="5" spans="1:19" ht="20.100000000000001" customHeight="1">
      <c r="A5" s="4"/>
      <c r="G5" s="5"/>
      <c r="I5" s="2" t="s">
        <v>820</v>
      </c>
      <c r="J5" s="2" t="s">
        <v>821</v>
      </c>
      <c r="K5" s="2" t="s">
        <v>822</v>
      </c>
      <c r="S5" s="3" t="s">
        <v>687</v>
      </c>
    </row>
    <row r="6" spans="1:19" ht="20.100000000000001" customHeight="1">
      <c r="A6" s="4"/>
      <c r="G6" s="5"/>
      <c r="H6" s="2" t="s">
        <v>814</v>
      </c>
      <c r="I6" s="2">
        <v>180</v>
      </c>
      <c r="J6" s="2">
        <v>220</v>
      </c>
      <c r="K6" s="2">
        <v>209</v>
      </c>
      <c r="L6" s="368">
        <f t="shared" ref="L6:L11" si="0">AVERAGE(I6:K6)</f>
        <v>203</v>
      </c>
      <c r="N6" s="3" t="s">
        <v>688</v>
      </c>
      <c r="O6" s="3" t="s">
        <v>689</v>
      </c>
      <c r="P6" s="3" t="s">
        <v>690</v>
      </c>
      <c r="Q6" s="3" t="s">
        <v>691</v>
      </c>
      <c r="R6" s="3" t="s">
        <v>692</v>
      </c>
      <c r="S6" s="3" t="s">
        <v>693</v>
      </c>
    </row>
    <row r="7" spans="1:19" ht="20.100000000000001" customHeight="1">
      <c r="A7" s="2" t="s">
        <v>431</v>
      </c>
      <c r="G7" s="5"/>
      <c r="H7" s="2" t="s">
        <v>815</v>
      </c>
      <c r="I7" s="2">
        <v>449</v>
      </c>
      <c r="J7" s="2">
        <v>548</v>
      </c>
      <c r="K7" s="2">
        <v>621</v>
      </c>
      <c r="L7" s="368">
        <f t="shared" si="0"/>
        <v>539.33333333333337</v>
      </c>
      <c r="N7" s="267">
        <v>1000</v>
      </c>
      <c r="O7" s="3">
        <v>693</v>
      </c>
      <c r="P7" s="3">
        <v>85</v>
      </c>
      <c r="Q7" s="3">
        <v>42</v>
      </c>
      <c r="R7" s="3">
        <v>820</v>
      </c>
      <c r="S7" s="267">
        <v>1107</v>
      </c>
    </row>
    <row r="8" spans="1:19" ht="20.100000000000001" customHeight="1">
      <c r="F8" s="8" t="s">
        <v>694</v>
      </c>
      <c r="G8" s="5"/>
      <c r="H8" s="2" t="s">
        <v>816</v>
      </c>
      <c r="I8" s="2">
        <v>149</v>
      </c>
      <c r="J8" s="2">
        <v>182</v>
      </c>
      <c r="K8" s="2">
        <v>173</v>
      </c>
      <c r="L8" s="368">
        <f t="shared" si="0"/>
        <v>168</v>
      </c>
      <c r="N8" s="267">
        <v>2000</v>
      </c>
      <c r="O8" s="3">
        <v>863</v>
      </c>
      <c r="P8" s="3">
        <v>106</v>
      </c>
      <c r="Q8" s="3">
        <v>53</v>
      </c>
      <c r="R8" s="267">
        <v>1021</v>
      </c>
      <c r="S8" s="267">
        <v>1379</v>
      </c>
    </row>
    <row r="9" spans="1:19" ht="20.100000000000001" customHeight="1">
      <c r="A9" s="282" t="s">
        <v>435</v>
      </c>
      <c r="B9" s="297" t="s">
        <v>436</v>
      </c>
      <c r="C9" s="298" t="s">
        <v>437</v>
      </c>
      <c r="D9" s="298" t="s">
        <v>438</v>
      </c>
      <c r="E9" s="298" t="s">
        <v>439</v>
      </c>
      <c r="F9" s="299" t="s">
        <v>440</v>
      </c>
      <c r="G9" s="5"/>
      <c r="H9" s="2" t="s">
        <v>817</v>
      </c>
      <c r="I9" s="2">
        <v>208</v>
      </c>
      <c r="J9" s="2">
        <v>234</v>
      </c>
      <c r="K9" s="2">
        <v>241</v>
      </c>
      <c r="L9" s="368">
        <f t="shared" si="0"/>
        <v>227.66666666666666</v>
      </c>
      <c r="N9" s="267">
        <v>2500</v>
      </c>
      <c r="O9" s="267">
        <v>1033</v>
      </c>
      <c r="P9" s="3">
        <v>126</v>
      </c>
      <c r="Q9" s="3">
        <v>63</v>
      </c>
      <c r="R9" s="267">
        <v>1223</v>
      </c>
      <c r="S9" s="267">
        <v>1651</v>
      </c>
    </row>
    <row r="10" spans="1:19" ht="20.100000000000001" customHeight="1">
      <c r="A10" s="109" t="s">
        <v>695</v>
      </c>
      <c r="B10" s="106">
        <v>0</v>
      </c>
      <c r="C10" s="101">
        <v>0</v>
      </c>
      <c r="D10" s="101">
        <v>0</v>
      </c>
      <c r="E10" s="101">
        <v>0</v>
      </c>
      <c r="F10" s="102"/>
      <c r="G10" s="5"/>
      <c r="H10" s="2" t="s">
        <v>818</v>
      </c>
      <c r="I10" s="2">
        <v>208</v>
      </c>
      <c r="J10" s="2">
        <v>234</v>
      </c>
      <c r="K10" s="2">
        <v>241</v>
      </c>
      <c r="L10" s="368">
        <f t="shared" si="0"/>
        <v>227.66666666666666</v>
      </c>
      <c r="N10" s="267">
        <v>3000</v>
      </c>
      <c r="O10" s="267">
        <v>1374</v>
      </c>
      <c r="P10" s="3">
        <v>168</v>
      </c>
      <c r="Q10" s="3">
        <v>84</v>
      </c>
      <c r="R10" s="267">
        <v>1626</v>
      </c>
      <c r="S10" s="267">
        <v>2195</v>
      </c>
    </row>
    <row r="11" spans="1:19" ht="20.100000000000001" customHeight="1">
      <c r="A11" s="111" t="s">
        <v>452</v>
      </c>
      <c r="B11" s="108">
        <v>0</v>
      </c>
      <c r="C11" s="108">
        <v>0</v>
      </c>
      <c r="D11" s="97">
        <v>0</v>
      </c>
      <c r="E11" s="97">
        <v>0</v>
      </c>
      <c r="F11" s="99"/>
      <c r="G11" s="5"/>
      <c r="H11" s="2" t="s">
        <v>819</v>
      </c>
      <c r="I11" s="2">
        <v>245</v>
      </c>
      <c r="J11" s="2">
        <v>299</v>
      </c>
      <c r="K11" s="2">
        <v>284</v>
      </c>
      <c r="L11" s="368">
        <f t="shared" si="0"/>
        <v>276</v>
      </c>
      <c r="N11" s="267">
        <v>4000</v>
      </c>
      <c r="O11" s="267">
        <v>2056</v>
      </c>
      <c r="P11" s="3">
        <v>251</v>
      </c>
      <c r="Q11" s="3">
        <v>126</v>
      </c>
      <c r="R11" s="267">
        <v>2433</v>
      </c>
      <c r="S11" s="267">
        <v>3284</v>
      </c>
    </row>
    <row r="12" spans="1:19" ht="20.100000000000001" customHeight="1">
      <c r="A12" s="38"/>
      <c r="G12" s="5"/>
      <c r="N12" s="267">
        <v>5000</v>
      </c>
      <c r="O12" s="267">
        <v>2737</v>
      </c>
      <c r="P12" s="3">
        <v>335</v>
      </c>
      <c r="Q12" s="3">
        <v>167</v>
      </c>
      <c r="R12" s="267">
        <v>3239</v>
      </c>
      <c r="S12" s="267">
        <v>4373</v>
      </c>
    </row>
    <row r="13" spans="1:19" ht="20.100000000000001" customHeight="1">
      <c r="A13" s="2" t="s">
        <v>456</v>
      </c>
      <c r="D13" s="12"/>
      <c r="G13" s="5"/>
      <c r="N13" s="267">
        <v>5500</v>
      </c>
      <c r="O13" s="267">
        <v>3078</v>
      </c>
      <c r="P13" s="3">
        <v>376</v>
      </c>
      <c r="Q13" s="3">
        <v>188</v>
      </c>
      <c r="R13" s="267">
        <v>3642</v>
      </c>
      <c r="S13" s="267">
        <v>4917</v>
      </c>
    </row>
    <row r="14" spans="1:19" ht="20.100000000000001" customHeight="1">
      <c r="A14" s="14"/>
      <c r="B14" s="15"/>
      <c r="C14" s="15"/>
      <c r="D14" s="15"/>
      <c r="E14" s="15"/>
      <c r="F14" s="8" t="s">
        <v>457</v>
      </c>
      <c r="G14" s="5"/>
      <c r="N14" s="267">
        <v>6000</v>
      </c>
      <c r="O14" s="267">
        <v>3207</v>
      </c>
      <c r="P14" s="3">
        <v>392</v>
      </c>
      <c r="Q14" s="3">
        <v>196</v>
      </c>
      <c r="R14" s="267">
        <v>3795</v>
      </c>
      <c r="S14" s="267">
        <v>5123</v>
      </c>
    </row>
    <row r="15" spans="1:19" ht="20.100000000000001" customHeight="1">
      <c r="A15" s="282" t="s">
        <v>435</v>
      </c>
      <c r="B15" s="297" t="s">
        <v>436</v>
      </c>
      <c r="C15" s="298" t="s">
        <v>437</v>
      </c>
      <c r="D15" s="298" t="s">
        <v>438</v>
      </c>
      <c r="E15" s="298" t="s">
        <v>439</v>
      </c>
      <c r="F15" s="299" t="s">
        <v>440</v>
      </c>
      <c r="G15" s="5"/>
      <c r="N15" s="267">
        <v>7000</v>
      </c>
      <c r="O15" s="267">
        <v>3465</v>
      </c>
      <c r="P15" s="3">
        <v>424</v>
      </c>
      <c r="Q15" s="3">
        <v>212</v>
      </c>
      <c r="R15" s="267">
        <v>4100</v>
      </c>
      <c r="S15" s="267">
        <v>5535</v>
      </c>
    </row>
    <row r="16" spans="1:19" ht="20.100000000000001" customHeight="1">
      <c r="A16" s="120" t="s">
        <v>461</v>
      </c>
      <c r="B16" s="117"/>
      <c r="C16" s="115">
        <f>+C11</f>
        <v>0</v>
      </c>
      <c r="D16" s="101">
        <v>0</v>
      </c>
      <c r="E16" s="101">
        <v>0</v>
      </c>
      <c r="F16" s="116"/>
      <c r="G16" s="5"/>
      <c r="N16" s="267">
        <v>8000</v>
      </c>
      <c r="O16" s="267">
        <v>3723</v>
      </c>
      <c r="P16" s="3">
        <v>455</v>
      </c>
      <c r="Q16" s="3">
        <v>228</v>
      </c>
      <c r="R16" s="267">
        <v>4405</v>
      </c>
      <c r="S16" s="267">
        <v>5947</v>
      </c>
    </row>
    <row r="17" spans="1:19" ht="20.100000000000001" customHeight="1">
      <c r="A17" s="110" t="s">
        <v>450</v>
      </c>
      <c r="B17" s="118"/>
      <c r="C17" s="96">
        <f>H21</f>
        <v>200</v>
      </c>
      <c r="D17" s="96">
        <v>0</v>
      </c>
      <c r="E17" s="96">
        <v>0</v>
      </c>
      <c r="F17" s="113"/>
      <c r="G17" s="16"/>
      <c r="H17" s="16" t="s">
        <v>458</v>
      </c>
      <c r="N17" s="267">
        <v>9000</v>
      </c>
      <c r="O17" s="267">
        <v>3980</v>
      </c>
      <c r="P17" s="3">
        <v>487</v>
      </c>
      <c r="Q17" s="3">
        <v>243</v>
      </c>
      <c r="R17" s="267">
        <v>4711</v>
      </c>
      <c r="S17" s="267">
        <v>6359</v>
      </c>
    </row>
    <row r="18" spans="1:19" ht="20.100000000000001" customHeight="1">
      <c r="A18" s="110" t="s">
        <v>448</v>
      </c>
      <c r="B18" s="118"/>
      <c r="C18" s="96">
        <f>H22</f>
        <v>300</v>
      </c>
      <c r="D18" s="96">
        <v>0</v>
      </c>
      <c r="E18" s="96"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  <c r="N18" s="267">
        <v>10000</v>
      </c>
      <c r="O18" s="267">
        <v>4238</v>
      </c>
      <c r="P18" s="267">
        <v>518</v>
      </c>
      <c r="Q18" s="267">
        <v>259</v>
      </c>
      <c r="R18" s="267">
        <v>5016</v>
      </c>
      <c r="S18" s="267">
        <v>6771</v>
      </c>
    </row>
    <row r="19" spans="1:19" ht="20.100000000000001" customHeight="1">
      <c r="A19" s="110" t="s">
        <v>462</v>
      </c>
      <c r="B19" s="141"/>
      <c r="C19" s="175">
        <f>I21+J21</f>
        <v>7.2699999999999987E-2</v>
      </c>
      <c r="D19" s="96">
        <v>0</v>
      </c>
      <c r="E19" s="96"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67">
        <v>16000</v>
      </c>
      <c r="O19" s="267">
        <v>5786</v>
      </c>
      <c r="P19" s="267">
        <v>708</v>
      </c>
      <c r="Q19" s="267">
        <v>354</v>
      </c>
      <c r="R19" s="267">
        <v>6847</v>
      </c>
      <c r="S19" s="267">
        <v>9244</v>
      </c>
    </row>
    <row r="20" spans="1:19" ht="20.100000000000001" customHeight="1">
      <c r="A20" s="110" t="s">
        <v>463</v>
      </c>
      <c r="B20" s="141"/>
      <c r="C20" s="175">
        <f>I22+J22</f>
        <v>6.6500000000000004E-2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67">
        <v>20000</v>
      </c>
      <c r="O20" s="267">
        <v>7499</v>
      </c>
      <c r="P20" s="267">
        <v>917</v>
      </c>
      <c r="Q20" s="267">
        <v>459</v>
      </c>
      <c r="R20" s="267">
        <v>8874</v>
      </c>
      <c r="S20" s="267">
        <v>11980</v>
      </c>
    </row>
    <row r="21" spans="1:19" ht="20.100000000000001" customHeight="1">
      <c r="A21" s="110" t="s">
        <v>464</v>
      </c>
      <c r="B21" s="141"/>
      <c r="C21" s="141">
        <f>C19+((C20-C19)/(C18-C17))*(C16-C17)</f>
        <v>8.5099999999999953E-2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67">
        <v>30000</v>
      </c>
      <c r="O21" s="267">
        <v>11781</v>
      </c>
      <c r="P21" s="267">
        <v>1441</v>
      </c>
      <c r="Q21" s="267">
        <v>720</v>
      </c>
      <c r="R21" s="267">
        <v>13942</v>
      </c>
      <c r="S21" s="267">
        <v>18822</v>
      </c>
    </row>
    <row r="22" spans="1:19" ht="20.100000000000001" customHeight="1">
      <c r="A22" s="111" t="s">
        <v>480</v>
      </c>
      <c r="B22" s="108"/>
      <c r="C22" s="97">
        <f>+ROUND(C16*C21,0)</f>
        <v>0</v>
      </c>
      <c r="D22" s="98">
        <v>0</v>
      </c>
      <c r="E22" s="98">
        <v>0</v>
      </c>
      <c r="F22" s="11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67">
        <v>40000</v>
      </c>
      <c r="O22" s="267">
        <v>13762</v>
      </c>
      <c r="P22" s="267">
        <v>1683</v>
      </c>
      <c r="Q22" s="267">
        <v>842</v>
      </c>
      <c r="R22" s="267">
        <v>16287</v>
      </c>
      <c r="S22" s="267">
        <v>21988</v>
      </c>
    </row>
    <row r="23" spans="1:19" ht="20.100000000000001" customHeight="1">
      <c r="A23" s="21"/>
      <c r="B23" s="22"/>
      <c r="C23" s="22"/>
      <c r="D23" s="23"/>
      <c r="E23" s="23"/>
      <c r="F23" s="24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67">
        <v>50000</v>
      </c>
      <c r="O23" s="267">
        <v>15744</v>
      </c>
      <c r="P23" s="267">
        <v>1925</v>
      </c>
      <c r="Q23" s="267">
        <v>963</v>
      </c>
      <c r="R23" s="267">
        <v>18632</v>
      </c>
      <c r="S23" s="267">
        <v>25153</v>
      </c>
    </row>
    <row r="24" spans="1:19" ht="20.100000000000001" customHeight="1">
      <c r="A24" s="2" t="s">
        <v>485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67">
        <v>60000</v>
      </c>
      <c r="O24" s="267">
        <v>17725</v>
      </c>
      <c r="P24" s="267">
        <v>2168</v>
      </c>
      <c r="Q24" s="267">
        <v>1084</v>
      </c>
      <c r="R24" s="267">
        <v>20977</v>
      </c>
      <c r="S24" s="267">
        <v>28319</v>
      </c>
    </row>
    <row r="25" spans="1:19" ht="20.100000000000001" customHeight="1">
      <c r="A25" s="14"/>
      <c r="B25" s="15"/>
      <c r="C25" s="15"/>
      <c r="D25" s="15"/>
      <c r="E25" s="15"/>
      <c r="F25" s="8" t="s">
        <v>457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67">
        <v>70000</v>
      </c>
      <c r="O25" s="267">
        <v>19706</v>
      </c>
      <c r="P25" s="267">
        <v>2410</v>
      </c>
      <c r="Q25" s="267">
        <v>1205</v>
      </c>
      <c r="R25" s="267">
        <v>23322</v>
      </c>
      <c r="S25" s="267">
        <v>31484</v>
      </c>
    </row>
    <row r="26" spans="1:19" ht="20.100000000000001" customHeight="1">
      <c r="A26" s="282" t="s">
        <v>435</v>
      </c>
      <c r="B26" s="297" t="s">
        <v>436</v>
      </c>
      <c r="C26" s="298" t="s">
        <v>437</v>
      </c>
      <c r="D26" s="298" t="s">
        <v>438</v>
      </c>
      <c r="E26" s="298" t="s">
        <v>439</v>
      </c>
      <c r="F26" s="299" t="s">
        <v>440</v>
      </c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67">
        <v>80000</v>
      </c>
      <c r="O26" s="267">
        <v>21688</v>
      </c>
      <c r="P26" s="267">
        <v>2652</v>
      </c>
      <c r="Q26" s="267">
        <v>1326</v>
      </c>
      <c r="R26" s="267">
        <v>25666</v>
      </c>
      <c r="S26" s="267">
        <v>34650</v>
      </c>
    </row>
    <row r="27" spans="1:19" ht="20.100000000000001" customHeight="1">
      <c r="A27" s="120" t="s">
        <v>461</v>
      </c>
      <c r="B27" s="117"/>
      <c r="C27" s="101">
        <f>C11</f>
        <v>0</v>
      </c>
      <c r="D27" s="101">
        <v>0</v>
      </c>
      <c r="E27" s="101">
        <v>0</v>
      </c>
      <c r="F27" s="116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67">
        <v>90000</v>
      </c>
      <c r="O27" s="267">
        <v>23669</v>
      </c>
      <c r="P27" s="267">
        <v>2895</v>
      </c>
      <c r="Q27" s="267">
        <v>1447</v>
      </c>
      <c r="R27" s="267">
        <v>28011</v>
      </c>
      <c r="S27" s="267">
        <v>37815</v>
      </c>
    </row>
    <row r="28" spans="1:19" ht="20.100000000000001" customHeight="1">
      <c r="A28" s="110" t="s">
        <v>450</v>
      </c>
      <c r="B28" s="118"/>
      <c r="C28" s="96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67">
        <v>100000</v>
      </c>
      <c r="O28" s="267">
        <v>25650</v>
      </c>
      <c r="P28" s="267">
        <v>3137</v>
      </c>
      <c r="Q28" s="267">
        <v>1569</v>
      </c>
      <c r="R28" s="267">
        <v>30356</v>
      </c>
      <c r="S28" s="267">
        <v>40981</v>
      </c>
    </row>
    <row r="29" spans="1:19" ht="20.100000000000001" customHeight="1">
      <c r="A29" s="110" t="s">
        <v>448</v>
      </c>
      <c r="B29" s="118"/>
      <c r="C29" s="96">
        <f>I37</f>
        <v>10000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68"/>
      <c r="O29" s="268"/>
      <c r="P29" s="268"/>
    </row>
    <row r="30" spans="1:19" ht="20.100000000000001" customHeight="1">
      <c r="A30" s="110" t="s">
        <v>462</v>
      </c>
      <c r="B30" s="141"/>
      <c r="C30" s="175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68"/>
      <c r="O30" s="268"/>
      <c r="P30" s="268"/>
    </row>
    <row r="31" spans="1:19" ht="20.100000000000001" customHeight="1">
      <c r="A31" s="110" t="s">
        <v>463</v>
      </c>
      <c r="B31" s="141"/>
      <c r="C31" s="175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68"/>
      <c r="O31" s="268"/>
      <c r="P31" s="268"/>
    </row>
    <row r="32" spans="1:19" ht="20.100000000000001" customHeight="1">
      <c r="A32" s="110" t="s">
        <v>464</v>
      </c>
      <c r="B32" s="141"/>
      <c r="C32" s="141">
        <f>C30</f>
        <v>9.3699999999999992E-2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68"/>
      <c r="O32" s="268"/>
      <c r="P32" s="268"/>
    </row>
    <row r="33" spans="1:17" ht="20.100000000000001" customHeight="1">
      <c r="A33" s="111" t="s">
        <v>475</v>
      </c>
      <c r="B33" s="108"/>
      <c r="C33" s="97">
        <f>+ROUND(C27*C32,0)</f>
        <v>0</v>
      </c>
      <c r="D33" s="98">
        <v>0</v>
      </c>
      <c r="E33" s="98">
        <v>0</v>
      </c>
      <c r="F33" s="114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68"/>
      <c r="O33" s="268"/>
      <c r="P33" s="268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68"/>
      <c r="O34" s="268"/>
      <c r="P34" s="268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68"/>
      <c r="O35" s="268"/>
      <c r="P35" s="268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269">
        <v>4.9100000000000005E-2</v>
      </c>
      <c r="O38" s="269">
        <v>4.4600000000000001E-2</v>
      </c>
      <c r="P38" s="269">
        <v>3.9199999999999999E-2</v>
      </c>
      <c r="Q38" s="26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68"/>
      <c r="O39" s="268"/>
      <c r="P39" s="268"/>
      <c r="Q39" s="268"/>
    </row>
    <row r="40" spans="1:17" ht="20.100000000000001" customHeight="1">
      <c r="A40" s="120" t="s">
        <v>461</v>
      </c>
      <c r="B40" s="117"/>
      <c r="C40" s="101">
        <f>C27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/>
      <c r="C41" s="96">
        <f>C17</f>
        <v>200</v>
      </c>
      <c r="D41" s="96">
        <v>0</v>
      </c>
      <c r="E41" s="96">
        <v>0</v>
      </c>
      <c r="F41" s="113"/>
      <c r="G41" s="9"/>
      <c r="H41" s="9"/>
    </row>
    <row r="42" spans="1:17" ht="20.100000000000001" customHeight="1">
      <c r="A42" s="110" t="s">
        <v>448</v>
      </c>
      <c r="B42" s="118"/>
      <c r="C42" s="96">
        <f>C18</f>
        <v>300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462</v>
      </c>
      <c r="B43" s="141"/>
      <c r="C43" s="175">
        <f>L21</f>
        <v>7.1999999999999998E-3</v>
      </c>
      <c r="D43" s="96">
        <v>0</v>
      </c>
      <c r="E43" s="96">
        <v>0</v>
      </c>
      <c r="F43" s="113"/>
    </row>
    <row r="44" spans="1:17" ht="20.100000000000001" customHeight="1">
      <c r="A44" s="110" t="s">
        <v>463</v>
      </c>
      <c r="B44" s="141"/>
      <c r="C44" s="175">
        <f>L22</f>
        <v>7.1999999999999998E-3</v>
      </c>
      <c r="D44" s="96">
        <v>0</v>
      </c>
      <c r="E44" s="96">
        <v>0</v>
      </c>
      <c r="F44" s="113"/>
    </row>
    <row r="45" spans="1:17" ht="20.100000000000001" customHeight="1">
      <c r="A45" s="110" t="s">
        <v>464</v>
      </c>
      <c r="B45" s="141"/>
      <c r="C45" s="141">
        <f>C43+((C44-C43)/(C42-C41))*(C40-C41)</f>
        <v>7.1999999999999998E-3</v>
      </c>
      <c r="D45" s="96">
        <v>0</v>
      </c>
      <c r="E45" s="96">
        <v>0</v>
      </c>
      <c r="F45" s="113"/>
    </row>
    <row r="46" spans="1:17" ht="20.100000000000001" customHeight="1">
      <c r="A46" s="111" t="s">
        <v>478</v>
      </c>
      <c r="B46" s="108"/>
      <c r="C46" s="97">
        <f>+ROUND(C40*C45,0)</f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+B11</f>
        <v>0</v>
      </c>
      <c r="C51" s="126">
        <f>+C11</f>
        <v>0</v>
      </c>
      <c r="D51" s="126">
        <f>+D11</f>
        <v>0</v>
      </c>
      <c r="E51" s="126">
        <f>+E11</f>
        <v>0</v>
      </c>
      <c r="F51" s="127"/>
    </row>
    <row r="52" spans="1:6" ht="20.100000000000001" customHeight="1">
      <c r="A52" s="132" t="s">
        <v>480</v>
      </c>
      <c r="B52" s="129">
        <f>+B22</f>
        <v>0</v>
      </c>
      <c r="C52" s="121">
        <f>+C22</f>
        <v>0</v>
      </c>
      <c r="D52" s="121">
        <f>+D22</f>
        <v>0</v>
      </c>
      <c r="E52" s="121">
        <f>+E22</f>
        <v>0</v>
      </c>
      <c r="F52" s="122"/>
    </row>
    <row r="53" spans="1:6" ht="20.100000000000001" customHeight="1">
      <c r="A53" s="132" t="s">
        <v>475</v>
      </c>
      <c r="B53" s="129">
        <f>+B33</f>
        <v>0</v>
      </c>
      <c r="C53" s="121">
        <f>+C33</f>
        <v>0</v>
      </c>
      <c r="D53" s="121">
        <f>+D33</f>
        <v>0</v>
      </c>
      <c r="E53" s="121">
        <f>+E33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4"/>
      <c r="E55" s="124"/>
      <c r="F55" s="125"/>
    </row>
    <row r="56" spans="1:6" ht="20.100000000000001" customHeight="1"/>
  </sheetData>
  <phoneticPr fontId="4" type="noConversion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55"/>
  <sheetViews>
    <sheetView view="pageBreakPreview" zoomScaleNormal="100" zoomScaleSheetLayoutView="100" workbookViewId="0"/>
    <sheetView workbookViewId="1"/>
  </sheetViews>
  <sheetFormatPr defaultRowHeight="12"/>
  <cols>
    <col min="1" max="1" width="10.625" style="2" customWidth="1"/>
    <col min="2" max="3" width="10.625" style="3" customWidth="1"/>
    <col min="4" max="8" width="9.625" style="3" customWidth="1"/>
    <col min="9" max="10" width="6.625" style="2" customWidth="1"/>
    <col min="11" max="219" width="9" style="2"/>
    <col min="220" max="221" width="3.75" style="2" customWidth="1"/>
    <col min="222" max="222" width="15" style="2" customWidth="1"/>
    <col min="223" max="226" width="12.875" style="2" customWidth="1"/>
    <col min="227" max="227" width="12.125" style="2" customWidth="1"/>
    <col min="228" max="228" width="9" style="2"/>
    <col min="229" max="229" width="12.25" style="2" customWidth="1"/>
    <col min="230" max="230" width="9.625" style="2" customWidth="1"/>
    <col min="231" max="232" width="9.75" style="2" customWidth="1"/>
    <col min="233" max="233" width="9.375" style="2" customWidth="1"/>
    <col min="234" max="475" width="9" style="2"/>
    <col min="476" max="477" width="3.75" style="2" customWidth="1"/>
    <col min="478" max="478" width="15" style="2" customWidth="1"/>
    <col min="479" max="482" width="12.875" style="2" customWidth="1"/>
    <col min="483" max="483" width="12.125" style="2" customWidth="1"/>
    <col min="484" max="484" width="9" style="2"/>
    <col min="485" max="485" width="12.25" style="2" customWidth="1"/>
    <col min="486" max="486" width="9.625" style="2" customWidth="1"/>
    <col min="487" max="488" width="9.75" style="2" customWidth="1"/>
    <col min="489" max="489" width="9.375" style="2" customWidth="1"/>
    <col min="490" max="731" width="9" style="2"/>
    <col min="732" max="733" width="3.75" style="2" customWidth="1"/>
    <col min="734" max="734" width="15" style="2" customWidth="1"/>
    <col min="735" max="738" width="12.875" style="2" customWidth="1"/>
    <col min="739" max="739" width="12.125" style="2" customWidth="1"/>
    <col min="740" max="740" width="9" style="2"/>
    <col min="741" max="741" width="12.25" style="2" customWidth="1"/>
    <col min="742" max="742" width="9.625" style="2" customWidth="1"/>
    <col min="743" max="744" width="9.75" style="2" customWidth="1"/>
    <col min="745" max="745" width="9.375" style="2" customWidth="1"/>
    <col min="746" max="987" width="9" style="2"/>
    <col min="988" max="989" width="3.75" style="2" customWidth="1"/>
    <col min="990" max="990" width="15" style="2" customWidth="1"/>
    <col min="991" max="994" width="12.875" style="2" customWidth="1"/>
    <col min="995" max="995" width="12.125" style="2" customWidth="1"/>
    <col min="996" max="996" width="9" style="2"/>
    <col min="997" max="997" width="12.25" style="2" customWidth="1"/>
    <col min="998" max="998" width="9.625" style="2" customWidth="1"/>
    <col min="999" max="1000" width="9.75" style="2" customWidth="1"/>
    <col min="1001" max="1001" width="9.375" style="2" customWidth="1"/>
    <col min="1002" max="1243" width="9" style="2"/>
    <col min="1244" max="1245" width="3.75" style="2" customWidth="1"/>
    <col min="1246" max="1246" width="15" style="2" customWidth="1"/>
    <col min="1247" max="1250" width="12.875" style="2" customWidth="1"/>
    <col min="1251" max="1251" width="12.125" style="2" customWidth="1"/>
    <col min="1252" max="1252" width="9" style="2"/>
    <col min="1253" max="1253" width="12.25" style="2" customWidth="1"/>
    <col min="1254" max="1254" width="9.625" style="2" customWidth="1"/>
    <col min="1255" max="1256" width="9.75" style="2" customWidth="1"/>
    <col min="1257" max="1257" width="9.375" style="2" customWidth="1"/>
    <col min="1258" max="1499" width="9" style="2"/>
    <col min="1500" max="1501" width="3.75" style="2" customWidth="1"/>
    <col min="1502" max="1502" width="15" style="2" customWidth="1"/>
    <col min="1503" max="1506" width="12.875" style="2" customWidth="1"/>
    <col min="1507" max="1507" width="12.125" style="2" customWidth="1"/>
    <col min="1508" max="1508" width="9" style="2"/>
    <col min="1509" max="1509" width="12.25" style="2" customWidth="1"/>
    <col min="1510" max="1510" width="9.625" style="2" customWidth="1"/>
    <col min="1511" max="1512" width="9.75" style="2" customWidth="1"/>
    <col min="1513" max="1513" width="9.375" style="2" customWidth="1"/>
    <col min="1514" max="1755" width="9" style="2"/>
    <col min="1756" max="1757" width="3.75" style="2" customWidth="1"/>
    <col min="1758" max="1758" width="15" style="2" customWidth="1"/>
    <col min="1759" max="1762" width="12.875" style="2" customWidth="1"/>
    <col min="1763" max="1763" width="12.125" style="2" customWidth="1"/>
    <col min="1764" max="1764" width="9" style="2"/>
    <col min="1765" max="1765" width="12.25" style="2" customWidth="1"/>
    <col min="1766" max="1766" width="9.625" style="2" customWidth="1"/>
    <col min="1767" max="1768" width="9.75" style="2" customWidth="1"/>
    <col min="1769" max="1769" width="9.375" style="2" customWidth="1"/>
    <col min="1770" max="2011" width="9" style="2"/>
    <col min="2012" max="2013" width="3.75" style="2" customWidth="1"/>
    <col min="2014" max="2014" width="15" style="2" customWidth="1"/>
    <col min="2015" max="2018" width="12.875" style="2" customWidth="1"/>
    <col min="2019" max="2019" width="12.125" style="2" customWidth="1"/>
    <col min="2020" max="2020" width="9" style="2"/>
    <col min="2021" max="2021" width="12.25" style="2" customWidth="1"/>
    <col min="2022" max="2022" width="9.625" style="2" customWidth="1"/>
    <col min="2023" max="2024" width="9.75" style="2" customWidth="1"/>
    <col min="2025" max="2025" width="9.375" style="2" customWidth="1"/>
    <col min="2026" max="2267" width="9" style="2"/>
    <col min="2268" max="2269" width="3.75" style="2" customWidth="1"/>
    <col min="2270" max="2270" width="15" style="2" customWidth="1"/>
    <col min="2271" max="2274" width="12.875" style="2" customWidth="1"/>
    <col min="2275" max="2275" width="12.125" style="2" customWidth="1"/>
    <col min="2276" max="2276" width="9" style="2"/>
    <col min="2277" max="2277" width="12.25" style="2" customWidth="1"/>
    <col min="2278" max="2278" width="9.625" style="2" customWidth="1"/>
    <col min="2279" max="2280" width="9.75" style="2" customWidth="1"/>
    <col min="2281" max="2281" width="9.375" style="2" customWidth="1"/>
    <col min="2282" max="2523" width="9" style="2"/>
    <col min="2524" max="2525" width="3.75" style="2" customWidth="1"/>
    <col min="2526" max="2526" width="15" style="2" customWidth="1"/>
    <col min="2527" max="2530" width="12.875" style="2" customWidth="1"/>
    <col min="2531" max="2531" width="12.125" style="2" customWidth="1"/>
    <col min="2532" max="2532" width="9" style="2"/>
    <col min="2533" max="2533" width="12.25" style="2" customWidth="1"/>
    <col min="2534" max="2534" width="9.625" style="2" customWidth="1"/>
    <col min="2535" max="2536" width="9.75" style="2" customWidth="1"/>
    <col min="2537" max="2537" width="9.375" style="2" customWidth="1"/>
    <col min="2538" max="2779" width="9" style="2"/>
    <col min="2780" max="2781" width="3.75" style="2" customWidth="1"/>
    <col min="2782" max="2782" width="15" style="2" customWidth="1"/>
    <col min="2783" max="2786" width="12.875" style="2" customWidth="1"/>
    <col min="2787" max="2787" width="12.125" style="2" customWidth="1"/>
    <col min="2788" max="2788" width="9" style="2"/>
    <col min="2789" max="2789" width="12.25" style="2" customWidth="1"/>
    <col min="2790" max="2790" width="9.625" style="2" customWidth="1"/>
    <col min="2791" max="2792" width="9.75" style="2" customWidth="1"/>
    <col min="2793" max="2793" width="9.375" style="2" customWidth="1"/>
    <col min="2794" max="3035" width="9" style="2"/>
    <col min="3036" max="3037" width="3.75" style="2" customWidth="1"/>
    <col min="3038" max="3038" width="15" style="2" customWidth="1"/>
    <col min="3039" max="3042" width="12.875" style="2" customWidth="1"/>
    <col min="3043" max="3043" width="12.125" style="2" customWidth="1"/>
    <col min="3044" max="3044" width="9" style="2"/>
    <col min="3045" max="3045" width="12.25" style="2" customWidth="1"/>
    <col min="3046" max="3046" width="9.625" style="2" customWidth="1"/>
    <col min="3047" max="3048" width="9.75" style="2" customWidth="1"/>
    <col min="3049" max="3049" width="9.375" style="2" customWidth="1"/>
    <col min="3050" max="3291" width="9" style="2"/>
    <col min="3292" max="3293" width="3.75" style="2" customWidth="1"/>
    <col min="3294" max="3294" width="15" style="2" customWidth="1"/>
    <col min="3295" max="3298" width="12.875" style="2" customWidth="1"/>
    <col min="3299" max="3299" width="12.125" style="2" customWidth="1"/>
    <col min="3300" max="3300" width="9" style="2"/>
    <col min="3301" max="3301" width="12.25" style="2" customWidth="1"/>
    <col min="3302" max="3302" width="9.625" style="2" customWidth="1"/>
    <col min="3303" max="3304" width="9.75" style="2" customWidth="1"/>
    <col min="3305" max="3305" width="9.375" style="2" customWidth="1"/>
    <col min="3306" max="3547" width="9" style="2"/>
    <col min="3548" max="3549" width="3.75" style="2" customWidth="1"/>
    <col min="3550" max="3550" width="15" style="2" customWidth="1"/>
    <col min="3551" max="3554" width="12.875" style="2" customWidth="1"/>
    <col min="3555" max="3555" width="12.125" style="2" customWidth="1"/>
    <col min="3556" max="3556" width="9" style="2"/>
    <col min="3557" max="3557" width="12.25" style="2" customWidth="1"/>
    <col min="3558" max="3558" width="9.625" style="2" customWidth="1"/>
    <col min="3559" max="3560" width="9.75" style="2" customWidth="1"/>
    <col min="3561" max="3561" width="9.375" style="2" customWidth="1"/>
    <col min="3562" max="3803" width="9" style="2"/>
    <col min="3804" max="3805" width="3.75" style="2" customWidth="1"/>
    <col min="3806" max="3806" width="15" style="2" customWidth="1"/>
    <col min="3807" max="3810" width="12.875" style="2" customWidth="1"/>
    <col min="3811" max="3811" width="12.125" style="2" customWidth="1"/>
    <col min="3812" max="3812" width="9" style="2"/>
    <col min="3813" max="3813" width="12.25" style="2" customWidth="1"/>
    <col min="3814" max="3814" width="9.625" style="2" customWidth="1"/>
    <col min="3815" max="3816" width="9.75" style="2" customWidth="1"/>
    <col min="3817" max="3817" width="9.375" style="2" customWidth="1"/>
    <col min="3818" max="4059" width="9" style="2"/>
    <col min="4060" max="4061" width="3.75" style="2" customWidth="1"/>
    <col min="4062" max="4062" width="15" style="2" customWidth="1"/>
    <col min="4063" max="4066" width="12.875" style="2" customWidth="1"/>
    <col min="4067" max="4067" width="12.125" style="2" customWidth="1"/>
    <col min="4068" max="4068" width="9" style="2"/>
    <col min="4069" max="4069" width="12.25" style="2" customWidth="1"/>
    <col min="4070" max="4070" width="9.625" style="2" customWidth="1"/>
    <col min="4071" max="4072" width="9.75" style="2" customWidth="1"/>
    <col min="4073" max="4073" width="9.375" style="2" customWidth="1"/>
    <col min="4074" max="4315" width="9" style="2"/>
    <col min="4316" max="4317" width="3.75" style="2" customWidth="1"/>
    <col min="4318" max="4318" width="15" style="2" customWidth="1"/>
    <col min="4319" max="4322" width="12.875" style="2" customWidth="1"/>
    <col min="4323" max="4323" width="12.125" style="2" customWidth="1"/>
    <col min="4324" max="4324" width="9" style="2"/>
    <col min="4325" max="4325" width="12.25" style="2" customWidth="1"/>
    <col min="4326" max="4326" width="9.625" style="2" customWidth="1"/>
    <col min="4327" max="4328" width="9.75" style="2" customWidth="1"/>
    <col min="4329" max="4329" width="9.375" style="2" customWidth="1"/>
    <col min="4330" max="4571" width="9" style="2"/>
    <col min="4572" max="4573" width="3.75" style="2" customWidth="1"/>
    <col min="4574" max="4574" width="15" style="2" customWidth="1"/>
    <col min="4575" max="4578" width="12.875" style="2" customWidth="1"/>
    <col min="4579" max="4579" width="12.125" style="2" customWidth="1"/>
    <col min="4580" max="4580" width="9" style="2"/>
    <col min="4581" max="4581" width="12.25" style="2" customWidth="1"/>
    <col min="4582" max="4582" width="9.625" style="2" customWidth="1"/>
    <col min="4583" max="4584" width="9.75" style="2" customWidth="1"/>
    <col min="4585" max="4585" width="9.375" style="2" customWidth="1"/>
    <col min="4586" max="4827" width="9" style="2"/>
    <col min="4828" max="4829" width="3.75" style="2" customWidth="1"/>
    <col min="4830" max="4830" width="15" style="2" customWidth="1"/>
    <col min="4831" max="4834" width="12.875" style="2" customWidth="1"/>
    <col min="4835" max="4835" width="12.125" style="2" customWidth="1"/>
    <col min="4836" max="4836" width="9" style="2"/>
    <col min="4837" max="4837" width="12.25" style="2" customWidth="1"/>
    <col min="4838" max="4838" width="9.625" style="2" customWidth="1"/>
    <col min="4839" max="4840" width="9.75" style="2" customWidth="1"/>
    <col min="4841" max="4841" width="9.375" style="2" customWidth="1"/>
    <col min="4842" max="5083" width="9" style="2"/>
    <col min="5084" max="5085" width="3.75" style="2" customWidth="1"/>
    <col min="5086" max="5086" width="15" style="2" customWidth="1"/>
    <col min="5087" max="5090" width="12.875" style="2" customWidth="1"/>
    <col min="5091" max="5091" width="12.125" style="2" customWidth="1"/>
    <col min="5092" max="5092" width="9" style="2"/>
    <col min="5093" max="5093" width="12.25" style="2" customWidth="1"/>
    <col min="5094" max="5094" width="9.625" style="2" customWidth="1"/>
    <col min="5095" max="5096" width="9.75" style="2" customWidth="1"/>
    <col min="5097" max="5097" width="9.375" style="2" customWidth="1"/>
    <col min="5098" max="5339" width="9" style="2"/>
    <col min="5340" max="5341" width="3.75" style="2" customWidth="1"/>
    <col min="5342" max="5342" width="15" style="2" customWidth="1"/>
    <col min="5343" max="5346" width="12.875" style="2" customWidth="1"/>
    <col min="5347" max="5347" width="12.125" style="2" customWidth="1"/>
    <col min="5348" max="5348" width="9" style="2"/>
    <col min="5349" max="5349" width="12.25" style="2" customWidth="1"/>
    <col min="5350" max="5350" width="9.625" style="2" customWidth="1"/>
    <col min="5351" max="5352" width="9.75" style="2" customWidth="1"/>
    <col min="5353" max="5353" width="9.375" style="2" customWidth="1"/>
    <col min="5354" max="5595" width="9" style="2"/>
    <col min="5596" max="5597" width="3.75" style="2" customWidth="1"/>
    <col min="5598" max="5598" width="15" style="2" customWidth="1"/>
    <col min="5599" max="5602" width="12.875" style="2" customWidth="1"/>
    <col min="5603" max="5603" width="12.125" style="2" customWidth="1"/>
    <col min="5604" max="5604" width="9" style="2"/>
    <col min="5605" max="5605" width="12.25" style="2" customWidth="1"/>
    <col min="5606" max="5606" width="9.625" style="2" customWidth="1"/>
    <col min="5607" max="5608" width="9.75" style="2" customWidth="1"/>
    <col min="5609" max="5609" width="9.375" style="2" customWidth="1"/>
    <col min="5610" max="5851" width="9" style="2"/>
    <col min="5852" max="5853" width="3.75" style="2" customWidth="1"/>
    <col min="5854" max="5854" width="15" style="2" customWidth="1"/>
    <col min="5855" max="5858" width="12.875" style="2" customWidth="1"/>
    <col min="5859" max="5859" width="12.125" style="2" customWidth="1"/>
    <col min="5860" max="5860" width="9" style="2"/>
    <col min="5861" max="5861" width="12.25" style="2" customWidth="1"/>
    <col min="5862" max="5862" width="9.625" style="2" customWidth="1"/>
    <col min="5863" max="5864" width="9.75" style="2" customWidth="1"/>
    <col min="5865" max="5865" width="9.375" style="2" customWidth="1"/>
    <col min="5866" max="6107" width="9" style="2"/>
    <col min="6108" max="6109" width="3.75" style="2" customWidth="1"/>
    <col min="6110" max="6110" width="15" style="2" customWidth="1"/>
    <col min="6111" max="6114" width="12.875" style="2" customWidth="1"/>
    <col min="6115" max="6115" width="12.125" style="2" customWidth="1"/>
    <col min="6116" max="6116" width="9" style="2"/>
    <col min="6117" max="6117" width="12.25" style="2" customWidth="1"/>
    <col min="6118" max="6118" width="9.625" style="2" customWidth="1"/>
    <col min="6119" max="6120" width="9.75" style="2" customWidth="1"/>
    <col min="6121" max="6121" width="9.375" style="2" customWidth="1"/>
    <col min="6122" max="6363" width="9" style="2"/>
    <col min="6364" max="6365" width="3.75" style="2" customWidth="1"/>
    <col min="6366" max="6366" width="15" style="2" customWidth="1"/>
    <col min="6367" max="6370" width="12.875" style="2" customWidth="1"/>
    <col min="6371" max="6371" width="12.125" style="2" customWidth="1"/>
    <col min="6372" max="6372" width="9" style="2"/>
    <col min="6373" max="6373" width="12.25" style="2" customWidth="1"/>
    <col min="6374" max="6374" width="9.625" style="2" customWidth="1"/>
    <col min="6375" max="6376" width="9.75" style="2" customWidth="1"/>
    <col min="6377" max="6377" width="9.375" style="2" customWidth="1"/>
    <col min="6378" max="6619" width="9" style="2"/>
    <col min="6620" max="6621" width="3.75" style="2" customWidth="1"/>
    <col min="6622" max="6622" width="15" style="2" customWidth="1"/>
    <col min="6623" max="6626" width="12.875" style="2" customWidth="1"/>
    <col min="6627" max="6627" width="12.125" style="2" customWidth="1"/>
    <col min="6628" max="6628" width="9" style="2"/>
    <col min="6629" max="6629" width="12.25" style="2" customWidth="1"/>
    <col min="6630" max="6630" width="9.625" style="2" customWidth="1"/>
    <col min="6631" max="6632" width="9.75" style="2" customWidth="1"/>
    <col min="6633" max="6633" width="9.375" style="2" customWidth="1"/>
    <col min="6634" max="6875" width="9" style="2"/>
    <col min="6876" max="6877" width="3.75" style="2" customWidth="1"/>
    <col min="6878" max="6878" width="15" style="2" customWidth="1"/>
    <col min="6879" max="6882" width="12.875" style="2" customWidth="1"/>
    <col min="6883" max="6883" width="12.125" style="2" customWidth="1"/>
    <col min="6884" max="6884" width="9" style="2"/>
    <col min="6885" max="6885" width="12.25" style="2" customWidth="1"/>
    <col min="6886" max="6886" width="9.625" style="2" customWidth="1"/>
    <col min="6887" max="6888" width="9.75" style="2" customWidth="1"/>
    <col min="6889" max="6889" width="9.375" style="2" customWidth="1"/>
    <col min="6890" max="7131" width="9" style="2"/>
    <col min="7132" max="7133" width="3.75" style="2" customWidth="1"/>
    <col min="7134" max="7134" width="15" style="2" customWidth="1"/>
    <col min="7135" max="7138" width="12.875" style="2" customWidth="1"/>
    <col min="7139" max="7139" width="12.125" style="2" customWidth="1"/>
    <col min="7140" max="7140" width="9" style="2"/>
    <col min="7141" max="7141" width="12.25" style="2" customWidth="1"/>
    <col min="7142" max="7142" width="9.625" style="2" customWidth="1"/>
    <col min="7143" max="7144" width="9.75" style="2" customWidth="1"/>
    <col min="7145" max="7145" width="9.375" style="2" customWidth="1"/>
    <col min="7146" max="7387" width="9" style="2"/>
    <col min="7388" max="7389" width="3.75" style="2" customWidth="1"/>
    <col min="7390" max="7390" width="15" style="2" customWidth="1"/>
    <col min="7391" max="7394" width="12.875" style="2" customWidth="1"/>
    <col min="7395" max="7395" width="12.125" style="2" customWidth="1"/>
    <col min="7396" max="7396" width="9" style="2"/>
    <col min="7397" max="7397" width="12.25" style="2" customWidth="1"/>
    <col min="7398" max="7398" width="9.625" style="2" customWidth="1"/>
    <col min="7399" max="7400" width="9.75" style="2" customWidth="1"/>
    <col min="7401" max="7401" width="9.375" style="2" customWidth="1"/>
    <col min="7402" max="7643" width="9" style="2"/>
    <col min="7644" max="7645" width="3.75" style="2" customWidth="1"/>
    <col min="7646" max="7646" width="15" style="2" customWidth="1"/>
    <col min="7647" max="7650" width="12.875" style="2" customWidth="1"/>
    <col min="7651" max="7651" width="12.125" style="2" customWidth="1"/>
    <col min="7652" max="7652" width="9" style="2"/>
    <col min="7653" max="7653" width="12.25" style="2" customWidth="1"/>
    <col min="7654" max="7654" width="9.625" style="2" customWidth="1"/>
    <col min="7655" max="7656" width="9.75" style="2" customWidth="1"/>
    <col min="7657" max="7657" width="9.375" style="2" customWidth="1"/>
    <col min="7658" max="7899" width="9" style="2"/>
    <col min="7900" max="7901" width="3.75" style="2" customWidth="1"/>
    <col min="7902" max="7902" width="15" style="2" customWidth="1"/>
    <col min="7903" max="7906" width="12.875" style="2" customWidth="1"/>
    <col min="7907" max="7907" width="12.125" style="2" customWidth="1"/>
    <col min="7908" max="7908" width="9" style="2"/>
    <col min="7909" max="7909" width="12.25" style="2" customWidth="1"/>
    <col min="7910" max="7910" width="9.625" style="2" customWidth="1"/>
    <col min="7911" max="7912" width="9.75" style="2" customWidth="1"/>
    <col min="7913" max="7913" width="9.375" style="2" customWidth="1"/>
    <col min="7914" max="8155" width="9" style="2"/>
    <col min="8156" max="8157" width="3.75" style="2" customWidth="1"/>
    <col min="8158" max="8158" width="15" style="2" customWidth="1"/>
    <col min="8159" max="8162" width="12.875" style="2" customWidth="1"/>
    <col min="8163" max="8163" width="12.125" style="2" customWidth="1"/>
    <col min="8164" max="8164" width="9" style="2"/>
    <col min="8165" max="8165" width="12.25" style="2" customWidth="1"/>
    <col min="8166" max="8166" width="9.625" style="2" customWidth="1"/>
    <col min="8167" max="8168" width="9.75" style="2" customWidth="1"/>
    <col min="8169" max="8169" width="9.375" style="2" customWidth="1"/>
    <col min="8170" max="8411" width="9" style="2"/>
    <col min="8412" max="8413" width="3.75" style="2" customWidth="1"/>
    <col min="8414" max="8414" width="15" style="2" customWidth="1"/>
    <col min="8415" max="8418" width="12.875" style="2" customWidth="1"/>
    <col min="8419" max="8419" width="12.125" style="2" customWidth="1"/>
    <col min="8420" max="8420" width="9" style="2"/>
    <col min="8421" max="8421" width="12.25" style="2" customWidth="1"/>
    <col min="8422" max="8422" width="9.625" style="2" customWidth="1"/>
    <col min="8423" max="8424" width="9.75" style="2" customWidth="1"/>
    <col min="8425" max="8425" width="9.375" style="2" customWidth="1"/>
    <col min="8426" max="8667" width="9" style="2"/>
    <col min="8668" max="8669" width="3.75" style="2" customWidth="1"/>
    <col min="8670" max="8670" width="15" style="2" customWidth="1"/>
    <col min="8671" max="8674" width="12.875" style="2" customWidth="1"/>
    <col min="8675" max="8675" width="12.125" style="2" customWidth="1"/>
    <col min="8676" max="8676" width="9" style="2"/>
    <col min="8677" max="8677" width="12.25" style="2" customWidth="1"/>
    <col min="8678" max="8678" width="9.625" style="2" customWidth="1"/>
    <col min="8679" max="8680" width="9.75" style="2" customWidth="1"/>
    <col min="8681" max="8681" width="9.375" style="2" customWidth="1"/>
    <col min="8682" max="8923" width="9" style="2"/>
    <col min="8924" max="8925" width="3.75" style="2" customWidth="1"/>
    <col min="8926" max="8926" width="15" style="2" customWidth="1"/>
    <col min="8927" max="8930" width="12.875" style="2" customWidth="1"/>
    <col min="8931" max="8931" width="12.125" style="2" customWidth="1"/>
    <col min="8932" max="8932" width="9" style="2"/>
    <col min="8933" max="8933" width="12.25" style="2" customWidth="1"/>
    <col min="8934" max="8934" width="9.625" style="2" customWidth="1"/>
    <col min="8935" max="8936" width="9.75" style="2" customWidth="1"/>
    <col min="8937" max="8937" width="9.375" style="2" customWidth="1"/>
    <col min="8938" max="9179" width="9" style="2"/>
    <col min="9180" max="9181" width="3.75" style="2" customWidth="1"/>
    <col min="9182" max="9182" width="15" style="2" customWidth="1"/>
    <col min="9183" max="9186" width="12.875" style="2" customWidth="1"/>
    <col min="9187" max="9187" width="12.125" style="2" customWidth="1"/>
    <col min="9188" max="9188" width="9" style="2"/>
    <col min="9189" max="9189" width="12.25" style="2" customWidth="1"/>
    <col min="9190" max="9190" width="9.625" style="2" customWidth="1"/>
    <col min="9191" max="9192" width="9.75" style="2" customWidth="1"/>
    <col min="9193" max="9193" width="9.375" style="2" customWidth="1"/>
    <col min="9194" max="9435" width="9" style="2"/>
    <col min="9436" max="9437" width="3.75" style="2" customWidth="1"/>
    <col min="9438" max="9438" width="15" style="2" customWidth="1"/>
    <col min="9439" max="9442" width="12.875" style="2" customWidth="1"/>
    <col min="9443" max="9443" width="12.125" style="2" customWidth="1"/>
    <col min="9444" max="9444" width="9" style="2"/>
    <col min="9445" max="9445" width="12.25" style="2" customWidth="1"/>
    <col min="9446" max="9446" width="9.625" style="2" customWidth="1"/>
    <col min="9447" max="9448" width="9.75" style="2" customWidth="1"/>
    <col min="9449" max="9449" width="9.375" style="2" customWidth="1"/>
    <col min="9450" max="9691" width="9" style="2"/>
    <col min="9692" max="9693" width="3.75" style="2" customWidth="1"/>
    <col min="9694" max="9694" width="15" style="2" customWidth="1"/>
    <col min="9695" max="9698" width="12.875" style="2" customWidth="1"/>
    <col min="9699" max="9699" width="12.125" style="2" customWidth="1"/>
    <col min="9700" max="9700" width="9" style="2"/>
    <col min="9701" max="9701" width="12.25" style="2" customWidth="1"/>
    <col min="9702" max="9702" width="9.625" style="2" customWidth="1"/>
    <col min="9703" max="9704" width="9.75" style="2" customWidth="1"/>
    <col min="9705" max="9705" width="9.375" style="2" customWidth="1"/>
    <col min="9706" max="9947" width="9" style="2"/>
    <col min="9948" max="9949" width="3.75" style="2" customWidth="1"/>
    <col min="9950" max="9950" width="15" style="2" customWidth="1"/>
    <col min="9951" max="9954" width="12.875" style="2" customWidth="1"/>
    <col min="9955" max="9955" width="12.125" style="2" customWidth="1"/>
    <col min="9956" max="9956" width="9" style="2"/>
    <col min="9957" max="9957" width="12.25" style="2" customWidth="1"/>
    <col min="9958" max="9958" width="9.625" style="2" customWidth="1"/>
    <col min="9959" max="9960" width="9.75" style="2" customWidth="1"/>
    <col min="9961" max="9961" width="9.375" style="2" customWidth="1"/>
    <col min="9962" max="10203" width="9" style="2"/>
    <col min="10204" max="10205" width="3.75" style="2" customWidth="1"/>
    <col min="10206" max="10206" width="15" style="2" customWidth="1"/>
    <col min="10207" max="10210" width="12.875" style="2" customWidth="1"/>
    <col min="10211" max="10211" width="12.125" style="2" customWidth="1"/>
    <col min="10212" max="10212" width="9" style="2"/>
    <col min="10213" max="10213" width="12.25" style="2" customWidth="1"/>
    <col min="10214" max="10214" width="9.625" style="2" customWidth="1"/>
    <col min="10215" max="10216" width="9.75" style="2" customWidth="1"/>
    <col min="10217" max="10217" width="9.375" style="2" customWidth="1"/>
    <col min="10218" max="10459" width="9" style="2"/>
    <col min="10460" max="10461" width="3.75" style="2" customWidth="1"/>
    <col min="10462" max="10462" width="15" style="2" customWidth="1"/>
    <col min="10463" max="10466" width="12.875" style="2" customWidth="1"/>
    <col min="10467" max="10467" width="12.125" style="2" customWidth="1"/>
    <col min="10468" max="10468" width="9" style="2"/>
    <col min="10469" max="10469" width="12.25" style="2" customWidth="1"/>
    <col min="10470" max="10470" width="9.625" style="2" customWidth="1"/>
    <col min="10471" max="10472" width="9.75" style="2" customWidth="1"/>
    <col min="10473" max="10473" width="9.375" style="2" customWidth="1"/>
    <col min="10474" max="10715" width="9" style="2"/>
    <col min="10716" max="10717" width="3.75" style="2" customWidth="1"/>
    <col min="10718" max="10718" width="15" style="2" customWidth="1"/>
    <col min="10719" max="10722" width="12.875" style="2" customWidth="1"/>
    <col min="10723" max="10723" width="12.125" style="2" customWidth="1"/>
    <col min="10724" max="10724" width="9" style="2"/>
    <col min="10725" max="10725" width="12.25" style="2" customWidth="1"/>
    <col min="10726" max="10726" width="9.625" style="2" customWidth="1"/>
    <col min="10727" max="10728" width="9.75" style="2" customWidth="1"/>
    <col min="10729" max="10729" width="9.375" style="2" customWidth="1"/>
    <col min="10730" max="10971" width="9" style="2"/>
    <col min="10972" max="10973" width="3.75" style="2" customWidth="1"/>
    <col min="10974" max="10974" width="15" style="2" customWidth="1"/>
    <col min="10975" max="10978" width="12.875" style="2" customWidth="1"/>
    <col min="10979" max="10979" width="12.125" style="2" customWidth="1"/>
    <col min="10980" max="10980" width="9" style="2"/>
    <col min="10981" max="10981" width="12.25" style="2" customWidth="1"/>
    <col min="10982" max="10982" width="9.625" style="2" customWidth="1"/>
    <col min="10983" max="10984" width="9.75" style="2" customWidth="1"/>
    <col min="10985" max="10985" width="9.375" style="2" customWidth="1"/>
    <col min="10986" max="11227" width="9" style="2"/>
    <col min="11228" max="11229" width="3.75" style="2" customWidth="1"/>
    <col min="11230" max="11230" width="15" style="2" customWidth="1"/>
    <col min="11231" max="11234" width="12.875" style="2" customWidth="1"/>
    <col min="11235" max="11235" width="12.125" style="2" customWidth="1"/>
    <col min="11236" max="11236" width="9" style="2"/>
    <col min="11237" max="11237" width="12.25" style="2" customWidth="1"/>
    <col min="11238" max="11238" width="9.625" style="2" customWidth="1"/>
    <col min="11239" max="11240" width="9.75" style="2" customWidth="1"/>
    <col min="11241" max="11241" width="9.375" style="2" customWidth="1"/>
    <col min="11242" max="11483" width="9" style="2"/>
    <col min="11484" max="11485" width="3.75" style="2" customWidth="1"/>
    <col min="11486" max="11486" width="15" style="2" customWidth="1"/>
    <col min="11487" max="11490" width="12.875" style="2" customWidth="1"/>
    <col min="11491" max="11491" width="12.125" style="2" customWidth="1"/>
    <col min="11492" max="11492" width="9" style="2"/>
    <col min="11493" max="11493" width="12.25" style="2" customWidth="1"/>
    <col min="11494" max="11494" width="9.625" style="2" customWidth="1"/>
    <col min="11495" max="11496" width="9.75" style="2" customWidth="1"/>
    <col min="11497" max="11497" width="9.375" style="2" customWidth="1"/>
    <col min="11498" max="11739" width="9" style="2"/>
    <col min="11740" max="11741" width="3.75" style="2" customWidth="1"/>
    <col min="11742" max="11742" width="15" style="2" customWidth="1"/>
    <col min="11743" max="11746" width="12.875" style="2" customWidth="1"/>
    <col min="11747" max="11747" width="12.125" style="2" customWidth="1"/>
    <col min="11748" max="11748" width="9" style="2"/>
    <col min="11749" max="11749" width="12.25" style="2" customWidth="1"/>
    <col min="11750" max="11750" width="9.625" style="2" customWidth="1"/>
    <col min="11751" max="11752" width="9.75" style="2" customWidth="1"/>
    <col min="11753" max="11753" width="9.375" style="2" customWidth="1"/>
    <col min="11754" max="11995" width="9" style="2"/>
    <col min="11996" max="11997" width="3.75" style="2" customWidth="1"/>
    <col min="11998" max="11998" width="15" style="2" customWidth="1"/>
    <col min="11999" max="12002" width="12.875" style="2" customWidth="1"/>
    <col min="12003" max="12003" width="12.125" style="2" customWidth="1"/>
    <col min="12004" max="12004" width="9" style="2"/>
    <col min="12005" max="12005" width="12.25" style="2" customWidth="1"/>
    <col min="12006" max="12006" width="9.625" style="2" customWidth="1"/>
    <col min="12007" max="12008" width="9.75" style="2" customWidth="1"/>
    <col min="12009" max="12009" width="9.375" style="2" customWidth="1"/>
    <col min="12010" max="12251" width="9" style="2"/>
    <col min="12252" max="12253" width="3.75" style="2" customWidth="1"/>
    <col min="12254" max="12254" width="15" style="2" customWidth="1"/>
    <col min="12255" max="12258" width="12.875" style="2" customWidth="1"/>
    <col min="12259" max="12259" width="12.125" style="2" customWidth="1"/>
    <col min="12260" max="12260" width="9" style="2"/>
    <col min="12261" max="12261" width="12.25" style="2" customWidth="1"/>
    <col min="12262" max="12262" width="9.625" style="2" customWidth="1"/>
    <col min="12263" max="12264" width="9.75" style="2" customWidth="1"/>
    <col min="12265" max="12265" width="9.375" style="2" customWidth="1"/>
    <col min="12266" max="12507" width="9" style="2"/>
    <col min="12508" max="12509" width="3.75" style="2" customWidth="1"/>
    <col min="12510" max="12510" width="15" style="2" customWidth="1"/>
    <col min="12511" max="12514" width="12.875" style="2" customWidth="1"/>
    <col min="12515" max="12515" width="12.125" style="2" customWidth="1"/>
    <col min="12516" max="12516" width="9" style="2"/>
    <col min="12517" max="12517" width="12.25" style="2" customWidth="1"/>
    <col min="12518" max="12518" width="9.625" style="2" customWidth="1"/>
    <col min="12519" max="12520" width="9.75" style="2" customWidth="1"/>
    <col min="12521" max="12521" width="9.375" style="2" customWidth="1"/>
    <col min="12522" max="12763" width="9" style="2"/>
    <col min="12764" max="12765" width="3.75" style="2" customWidth="1"/>
    <col min="12766" max="12766" width="15" style="2" customWidth="1"/>
    <col min="12767" max="12770" width="12.875" style="2" customWidth="1"/>
    <col min="12771" max="12771" width="12.125" style="2" customWidth="1"/>
    <col min="12772" max="12772" width="9" style="2"/>
    <col min="12773" max="12773" width="12.25" style="2" customWidth="1"/>
    <col min="12774" max="12774" width="9.625" style="2" customWidth="1"/>
    <col min="12775" max="12776" width="9.75" style="2" customWidth="1"/>
    <col min="12777" max="12777" width="9.375" style="2" customWidth="1"/>
    <col min="12778" max="13019" width="9" style="2"/>
    <col min="13020" max="13021" width="3.75" style="2" customWidth="1"/>
    <col min="13022" max="13022" width="15" style="2" customWidth="1"/>
    <col min="13023" max="13026" width="12.875" style="2" customWidth="1"/>
    <col min="13027" max="13027" width="12.125" style="2" customWidth="1"/>
    <col min="13028" max="13028" width="9" style="2"/>
    <col min="13029" max="13029" width="12.25" style="2" customWidth="1"/>
    <col min="13030" max="13030" width="9.625" style="2" customWidth="1"/>
    <col min="13031" max="13032" width="9.75" style="2" customWidth="1"/>
    <col min="13033" max="13033" width="9.375" style="2" customWidth="1"/>
    <col min="13034" max="13275" width="9" style="2"/>
    <col min="13276" max="13277" width="3.75" style="2" customWidth="1"/>
    <col min="13278" max="13278" width="15" style="2" customWidth="1"/>
    <col min="13279" max="13282" width="12.875" style="2" customWidth="1"/>
    <col min="13283" max="13283" width="12.125" style="2" customWidth="1"/>
    <col min="13284" max="13284" width="9" style="2"/>
    <col min="13285" max="13285" width="12.25" style="2" customWidth="1"/>
    <col min="13286" max="13286" width="9.625" style="2" customWidth="1"/>
    <col min="13287" max="13288" width="9.75" style="2" customWidth="1"/>
    <col min="13289" max="13289" width="9.375" style="2" customWidth="1"/>
    <col min="13290" max="13531" width="9" style="2"/>
    <col min="13532" max="13533" width="3.75" style="2" customWidth="1"/>
    <col min="13534" max="13534" width="15" style="2" customWidth="1"/>
    <col min="13535" max="13538" width="12.875" style="2" customWidth="1"/>
    <col min="13539" max="13539" width="12.125" style="2" customWidth="1"/>
    <col min="13540" max="13540" width="9" style="2"/>
    <col min="13541" max="13541" width="12.25" style="2" customWidth="1"/>
    <col min="13542" max="13542" width="9.625" style="2" customWidth="1"/>
    <col min="13543" max="13544" width="9.75" style="2" customWidth="1"/>
    <col min="13545" max="13545" width="9.375" style="2" customWidth="1"/>
    <col min="13546" max="13787" width="9" style="2"/>
    <col min="13788" max="13789" width="3.75" style="2" customWidth="1"/>
    <col min="13790" max="13790" width="15" style="2" customWidth="1"/>
    <col min="13791" max="13794" width="12.875" style="2" customWidth="1"/>
    <col min="13795" max="13795" width="12.125" style="2" customWidth="1"/>
    <col min="13796" max="13796" width="9" style="2"/>
    <col min="13797" max="13797" width="12.25" style="2" customWidth="1"/>
    <col min="13798" max="13798" width="9.625" style="2" customWidth="1"/>
    <col min="13799" max="13800" width="9.75" style="2" customWidth="1"/>
    <col min="13801" max="13801" width="9.375" style="2" customWidth="1"/>
    <col min="13802" max="14043" width="9" style="2"/>
    <col min="14044" max="14045" width="3.75" style="2" customWidth="1"/>
    <col min="14046" max="14046" width="15" style="2" customWidth="1"/>
    <col min="14047" max="14050" width="12.875" style="2" customWidth="1"/>
    <col min="14051" max="14051" width="12.125" style="2" customWidth="1"/>
    <col min="14052" max="14052" width="9" style="2"/>
    <col min="14053" max="14053" width="12.25" style="2" customWidth="1"/>
    <col min="14054" max="14054" width="9.625" style="2" customWidth="1"/>
    <col min="14055" max="14056" width="9.75" style="2" customWidth="1"/>
    <col min="14057" max="14057" width="9.375" style="2" customWidth="1"/>
    <col min="14058" max="14299" width="9" style="2"/>
    <col min="14300" max="14301" width="3.75" style="2" customWidth="1"/>
    <col min="14302" max="14302" width="15" style="2" customWidth="1"/>
    <col min="14303" max="14306" width="12.875" style="2" customWidth="1"/>
    <col min="14307" max="14307" width="12.125" style="2" customWidth="1"/>
    <col min="14308" max="14308" width="9" style="2"/>
    <col min="14309" max="14309" width="12.25" style="2" customWidth="1"/>
    <col min="14310" max="14310" width="9.625" style="2" customWidth="1"/>
    <col min="14311" max="14312" width="9.75" style="2" customWidth="1"/>
    <col min="14313" max="14313" width="9.375" style="2" customWidth="1"/>
    <col min="14314" max="14555" width="9" style="2"/>
    <col min="14556" max="14557" width="3.75" style="2" customWidth="1"/>
    <col min="14558" max="14558" width="15" style="2" customWidth="1"/>
    <col min="14559" max="14562" width="12.875" style="2" customWidth="1"/>
    <col min="14563" max="14563" width="12.125" style="2" customWidth="1"/>
    <col min="14564" max="14564" width="9" style="2"/>
    <col min="14565" max="14565" width="12.25" style="2" customWidth="1"/>
    <col min="14566" max="14566" width="9.625" style="2" customWidth="1"/>
    <col min="14567" max="14568" width="9.75" style="2" customWidth="1"/>
    <col min="14569" max="14569" width="9.375" style="2" customWidth="1"/>
    <col min="14570" max="14811" width="9" style="2"/>
    <col min="14812" max="14813" width="3.75" style="2" customWidth="1"/>
    <col min="14814" max="14814" width="15" style="2" customWidth="1"/>
    <col min="14815" max="14818" width="12.875" style="2" customWidth="1"/>
    <col min="14819" max="14819" width="12.125" style="2" customWidth="1"/>
    <col min="14820" max="14820" width="9" style="2"/>
    <col min="14821" max="14821" width="12.25" style="2" customWidth="1"/>
    <col min="14822" max="14822" width="9.625" style="2" customWidth="1"/>
    <col min="14823" max="14824" width="9.75" style="2" customWidth="1"/>
    <col min="14825" max="14825" width="9.375" style="2" customWidth="1"/>
    <col min="14826" max="15067" width="9" style="2"/>
    <col min="15068" max="15069" width="3.75" style="2" customWidth="1"/>
    <col min="15070" max="15070" width="15" style="2" customWidth="1"/>
    <col min="15071" max="15074" width="12.875" style="2" customWidth="1"/>
    <col min="15075" max="15075" width="12.125" style="2" customWidth="1"/>
    <col min="15076" max="15076" width="9" style="2"/>
    <col min="15077" max="15077" width="12.25" style="2" customWidth="1"/>
    <col min="15078" max="15078" width="9.625" style="2" customWidth="1"/>
    <col min="15079" max="15080" width="9.75" style="2" customWidth="1"/>
    <col min="15081" max="15081" width="9.375" style="2" customWidth="1"/>
    <col min="15082" max="15323" width="9" style="2"/>
    <col min="15324" max="15325" width="3.75" style="2" customWidth="1"/>
    <col min="15326" max="15326" width="15" style="2" customWidth="1"/>
    <col min="15327" max="15330" width="12.875" style="2" customWidth="1"/>
    <col min="15331" max="15331" width="12.125" style="2" customWidth="1"/>
    <col min="15332" max="15332" width="9" style="2"/>
    <col min="15333" max="15333" width="12.25" style="2" customWidth="1"/>
    <col min="15334" max="15334" width="9.625" style="2" customWidth="1"/>
    <col min="15335" max="15336" width="9.75" style="2" customWidth="1"/>
    <col min="15337" max="15337" width="9.375" style="2" customWidth="1"/>
    <col min="15338" max="15579" width="9" style="2"/>
    <col min="15580" max="15581" width="3.75" style="2" customWidth="1"/>
    <col min="15582" max="15582" width="15" style="2" customWidth="1"/>
    <col min="15583" max="15586" width="12.875" style="2" customWidth="1"/>
    <col min="15587" max="15587" width="12.125" style="2" customWidth="1"/>
    <col min="15588" max="15588" width="9" style="2"/>
    <col min="15589" max="15589" width="12.25" style="2" customWidth="1"/>
    <col min="15590" max="15590" width="9.625" style="2" customWidth="1"/>
    <col min="15591" max="15592" width="9.75" style="2" customWidth="1"/>
    <col min="15593" max="15593" width="9.375" style="2" customWidth="1"/>
    <col min="15594" max="15835" width="9" style="2"/>
    <col min="15836" max="15837" width="3.75" style="2" customWidth="1"/>
    <col min="15838" max="15838" width="15" style="2" customWidth="1"/>
    <col min="15839" max="15842" width="12.875" style="2" customWidth="1"/>
    <col min="15843" max="15843" width="12.125" style="2" customWidth="1"/>
    <col min="15844" max="15844" width="9" style="2"/>
    <col min="15845" max="15845" width="12.25" style="2" customWidth="1"/>
    <col min="15846" max="15846" width="9.625" style="2" customWidth="1"/>
    <col min="15847" max="15848" width="9.75" style="2" customWidth="1"/>
    <col min="15849" max="15849" width="9.375" style="2" customWidth="1"/>
    <col min="15850" max="16091" width="9" style="2"/>
    <col min="16092" max="16093" width="3.75" style="2" customWidth="1"/>
    <col min="16094" max="16094" width="15" style="2" customWidth="1"/>
    <col min="16095" max="16098" width="12.875" style="2" customWidth="1"/>
    <col min="16099" max="16099" width="12.125" style="2" customWidth="1"/>
    <col min="16100" max="16100" width="9" style="2"/>
    <col min="16101" max="16101" width="12.25" style="2" customWidth="1"/>
    <col min="16102" max="16102" width="9.625" style="2" customWidth="1"/>
    <col min="16103" max="16104" width="9.75" style="2" customWidth="1"/>
    <col min="16105" max="16105" width="9.375" style="2" customWidth="1"/>
    <col min="16106" max="16384" width="9" style="2"/>
  </cols>
  <sheetData>
    <row r="1" spans="1:8" ht="20.100000000000001" customHeight="1">
      <c r="A1" s="1" t="s">
        <v>1072</v>
      </c>
    </row>
    <row r="2" spans="1:8" ht="20.100000000000001" customHeight="1">
      <c r="A2" s="1" t="s">
        <v>907</v>
      </c>
    </row>
    <row r="3" spans="1:8" ht="20.100000000000001" customHeight="1">
      <c r="A3" s="1"/>
      <c r="H3" s="3" t="s">
        <v>404</v>
      </c>
    </row>
    <row r="4" spans="1:8" ht="20.100000000000001" customHeight="1">
      <c r="A4" s="744" t="s">
        <v>405</v>
      </c>
      <c r="B4" s="745"/>
      <c r="C4" s="746"/>
      <c r="D4" s="79" t="s">
        <v>406</v>
      </c>
      <c r="E4" s="80" t="s">
        <v>696</v>
      </c>
      <c r="F4" s="80" t="s">
        <v>697</v>
      </c>
      <c r="G4" s="80" t="s">
        <v>698</v>
      </c>
      <c r="H4" s="81" t="s">
        <v>699</v>
      </c>
    </row>
    <row r="5" spans="1:8" ht="20.100000000000001" customHeight="1">
      <c r="A5" s="771" t="s">
        <v>700</v>
      </c>
      <c r="B5" s="769" t="s">
        <v>416</v>
      </c>
      <c r="C5" s="270" t="s">
        <v>417</v>
      </c>
      <c r="D5" s="446">
        <f t="shared" ref="D5:D19" si="0">SUM(E5:H5)</f>
        <v>0</v>
      </c>
      <c r="E5" s="447">
        <f>+'1.6.4 오수간선및차집관로 교체및보수'!B56</f>
        <v>0</v>
      </c>
      <c r="F5" s="447">
        <f>+'1.6.4 오수간선및차집관로 교체및보수'!C56</f>
        <v>0</v>
      </c>
      <c r="G5" s="447">
        <f>+'1.6.4 오수간선및차집관로 교체및보수'!D56</f>
        <v>0</v>
      </c>
      <c r="H5" s="448">
        <f>+'1.6.4 오수간선및차집관로 교체및보수'!E56</f>
        <v>0</v>
      </c>
    </row>
    <row r="6" spans="1:8" ht="20.100000000000001" customHeight="1">
      <c r="A6" s="772"/>
      <c r="B6" s="769"/>
      <c r="C6" s="270" t="s">
        <v>413</v>
      </c>
      <c r="D6" s="446">
        <f t="shared" si="0"/>
        <v>0</v>
      </c>
      <c r="E6" s="447">
        <f>+'1.6.4 오수간선및차집관로 교체및보수'!B57</f>
        <v>0</v>
      </c>
      <c r="F6" s="447">
        <f>+'1.6.4 오수간선및차집관로 교체및보수'!C57</f>
        <v>0</v>
      </c>
      <c r="G6" s="447">
        <f>+'1.6.4 오수간선및차집관로 교체및보수'!D57</f>
        <v>0</v>
      </c>
      <c r="H6" s="448">
        <f>+'1.6.4 오수간선및차집관로 교체및보수'!E57</f>
        <v>0</v>
      </c>
    </row>
    <row r="7" spans="1:8" ht="20.100000000000001" customHeight="1">
      <c r="A7" s="772"/>
      <c r="B7" s="769"/>
      <c r="C7" s="270" t="s">
        <v>406</v>
      </c>
      <c r="D7" s="446">
        <f t="shared" si="0"/>
        <v>0</v>
      </c>
      <c r="E7" s="447">
        <f>SUM(E5:E6)</f>
        <v>0</v>
      </c>
      <c r="F7" s="447">
        <f>SUM(F5:F6)</f>
        <v>0</v>
      </c>
      <c r="G7" s="447">
        <f>SUM(G5:G6)</f>
        <v>0</v>
      </c>
      <c r="H7" s="448">
        <f>SUM(H5:H6)</f>
        <v>0</v>
      </c>
    </row>
    <row r="8" spans="1:8" ht="20.100000000000001" customHeight="1">
      <c r="A8" s="771" t="s">
        <v>414</v>
      </c>
      <c r="B8" s="769" t="s">
        <v>415</v>
      </c>
      <c r="C8" s="770"/>
      <c r="D8" s="446">
        <f t="shared" si="0"/>
        <v>9043</v>
      </c>
      <c r="E8" s="447">
        <f>+'1.6.5 오수관로신설'!B55</f>
        <v>6563</v>
      </c>
      <c r="F8" s="447">
        <f>+'1.6.5 오수관로신설'!C55</f>
        <v>591</v>
      </c>
      <c r="G8" s="447">
        <f>+'1.6.5 오수관로신설'!D55</f>
        <v>1889</v>
      </c>
      <c r="H8" s="448">
        <f>+'1.6.5 오수관로신설'!E55</f>
        <v>0</v>
      </c>
    </row>
    <row r="9" spans="1:8" ht="20.100000000000001" customHeight="1">
      <c r="A9" s="772"/>
      <c r="B9" s="769" t="s">
        <v>416</v>
      </c>
      <c r="C9" s="270" t="s">
        <v>417</v>
      </c>
      <c r="D9" s="446">
        <f t="shared" si="0"/>
        <v>0</v>
      </c>
      <c r="E9" s="447">
        <f>+'1.6.6 오수관로 교체및보수'!B57</f>
        <v>0</v>
      </c>
      <c r="F9" s="447">
        <v>0</v>
      </c>
      <c r="G9" s="447">
        <f>+'1.6.6 오수관로 교체및보수'!D57</f>
        <v>0</v>
      </c>
      <c r="H9" s="448">
        <f>+'1.6.6 오수관로 교체및보수'!E57</f>
        <v>0</v>
      </c>
    </row>
    <row r="10" spans="1:8" ht="20.100000000000001" customHeight="1">
      <c r="A10" s="772"/>
      <c r="B10" s="769"/>
      <c r="C10" s="270" t="s">
        <v>413</v>
      </c>
      <c r="D10" s="446">
        <f t="shared" si="0"/>
        <v>0</v>
      </c>
      <c r="E10" s="447">
        <f>+'1.6.6 오수관로 교체및보수'!B58</f>
        <v>0</v>
      </c>
      <c r="F10" s="447">
        <v>0</v>
      </c>
      <c r="G10" s="447">
        <f>+'1.6.6 오수관로 교체및보수'!D58</f>
        <v>0</v>
      </c>
      <c r="H10" s="448">
        <f>+'1.6.6 오수관로 교체및보수'!E58</f>
        <v>0</v>
      </c>
    </row>
    <row r="11" spans="1:8" ht="20.100000000000001" customHeight="1">
      <c r="A11" s="772"/>
      <c r="B11" s="769"/>
      <c r="C11" s="270" t="s">
        <v>406</v>
      </c>
      <c r="D11" s="446">
        <f t="shared" si="0"/>
        <v>0</v>
      </c>
      <c r="E11" s="447">
        <f>SUM(E9:E10)</f>
        <v>0</v>
      </c>
      <c r="F11" s="447">
        <f>SUM(F9:F10)</f>
        <v>0</v>
      </c>
      <c r="G11" s="447">
        <f>SUM(G9:G10)</f>
        <v>0</v>
      </c>
      <c r="H11" s="448">
        <f>SUM(H9:H10)</f>
        <v>0</v>
      </c>
    </row>
    <row r="12" spans="1:8" ht="20.100000000000001" customHeight="1">
      <c r="A12" s="771" t="s">
        <v>701</v>
      </c>
      <c r="B12" s="769" t="s">
        <v>415</v>
      </c>
      <c r="C12" s="770"/>
      <c r="D12" s="446">
        <f t="shared" si="0"/>
        <v>0</v>
      </c>
      <c r="E12" s="447">
        <v>0</v>
      </c>
      <c r="F12" s="447">
        <v>0</v>
      </c>
      <c r="G12" s="447">
        <v>0</v>
      </c>
      <c r="H12" s="448">
        <v>0</v>
      </c>
    </row>
    <row r="13" spans="1:8" ht="20.100000000000001" customHeight="1">
      <c r="A13" s="772"/>
      <c r="B13" s="769" t="s">
        <v>416</v>
      </c>
      <c r="C13" s="270" t="s">
        <v>417</v>
      </c>
      <c r="D13" s="446">
        <f t="shared" si="0"/>
        <v>6901</v>
      </c>
      <c r="E13" s="447">
        <f>+'1.6.7 우수관로 교체 및 보수'!B48</f>
        <v>780</v>
      </c>
      <c r="F13" s="447">
        <f>+'1.6.7 우수관로 교체 및 보수'!C48</f>
        <v>3373</v>
      </c>
      <c r="G13" s="447">
        <f>+'1.6.7 우수관로 교체 및 보수'!D48</f>
        <v>2353</v>
      </c>
      <c r="H13" s="448">
        <f>+'1.6.7 우수관로 교체 및 보수'!E48</f>
        <v>395</v>
      </c>
    </row>
    <row r="14" spans="1:8" ht="20.100000000000001" customHeight="1">
      <c r="A14" s="772"/>
      <c r="B14" s="769"/>
      <c r="C14" s="270" t="s">
        <v>413</v>
      </c>
      <c r="D14" s="446">
        <f t="shared" si="0"/>
        <v>0</v>
      </c>
      <c r="E14" s="447">
        <v>0</v>
      </c>
      <c r="F14" s="447">
        <v>0</v>
      </c>
      <c r="G14" s="447">
        <v>0</v>
      </c>
      <c r="H14" s="448">
        <v>0</v>
      </c>
    </row>
    <row r="15" spans="1:8" ht="20.100000000000001" customHeight="1">
      <c r="A15" s="772"/>
      <c r="B15" s="769"/>
      <c r="C15" s="270" t="s">
        <v>406</v>
      </c>
      <c r="D15" s="446">
        <f t="shared" si="0"/>
        <v>6901</v>
      </c>
      <c r="E15" s="447">
        <f>SUM(E13:E14)</f>
        <v>780</v>
      </c>
      <c r="F15" s="447">
        <f>SUM(F13:F14)</f>
        <v>3373</v>
      </c>
      <c r="G15" s="447">
        <f>SUM(G13:G14)</f>
        <v>2353</v>
      </c>
      <c r="H15" s="448">
        <f>SUM(H13:H14)</f>
        <v>395</v>
      </c>
    </row>
    <row r="16" spans="1:8" ht="20.100000000000001" customHeight="1">
      <c r="A16" s="773" t="s">
        <v>422</v>
      </c>
      <c r="B16" s="774" t="s">
        <v>423</v>
      </c>
      <c r="C16" s="775"/>
      <c r="D16" s="449">
        <f>SUM(E16:H16)</f>
        <v>0</v>
      </c>
      <c r="E16" s="450">
        <f>+'1.6.2 공공하수처리시설 신증설'!B56</f>
        <v>0</v>
      </c>
      <c r="F16" s="450">
        <f>+'1.6.2 공공하수처리시설 신증설'!C56</f>
        <v>0</v>
      </c>
      <c r="G16" s="450">
        <f>+'1.6.2 공공하수처리시설 신증설'!D56</f>
        <v>0</v>
      </c>
      <c r="H16" s="451">
        <f>+'1.6.2 공공하수처리시설 신증설'!E56</f>
        <v>0</v>
      </c>
    </row>
    <row r="17" spans="1:8" ht="20.100000000000001" customHeight="1">
      <c r="A17" s="772"/>
      <c r="B17" s="769" t="s">
        <v>424</v>
      </c>
      <c r="C17" s="770"/>
      <c r="D17" s="446">
        <f>SUM(E17:H17)</f>
        <v>0</v>
      </c>
      <c r="E17" s="447">
        <f>+'1.6.3 공공하수처리시설 기능정상화'!B56</f>
        <v>0</v>
      </c>
      <c r="F17" s="447">
        <f>+'1.6.3 공공하수처리시설 기능정상화'!C56</f>
        <v>0</v>
      </c>
      <c r="G17" s="447">
        <f>+'1.6.3 공공하수처리시설 기능정상화'!D56</f>
        <v>0</v>
      </c>
      <c r="H17" s="448">
        <f>+'1.6.3 공공하수처리시설 기능정상화'!E56</f>
        <v>0</v>
      </c>
    </row>
    <row r="18" spans="1:8" ht="20.100000000000001" customHeight="1">
      <c r="A18" s="271" t="s">
        <v>425</v>
      </c>
      <c r="B18" s="747" t="s">
        <v>919</v>
      </c>
      <c r="C18" s="765"/>
      <c r="D18" s="446">
        <f t="shared" si="0"/>
        <v>0</v>
      </c>
      <c r="E18" s="447">
        <f>+'1.6.8 하수저류시설'!B55</f>
        <v>0</v>
      </c>
      <c r="F18" s="447">
        <f>+'1.6.8 하수저류시설'!C55</f>
        <v>0</v>
      </c>
      <c r="G18" s="447">
        <f>+'1.6.8 하수저류시설'!D55</f>
        <v>0</v>
      </c>
      <c r="H18" s="448">
        <f>+'1.6.8 하수저류시설'!E55</f>
        <v>0</v>
      </c>
    </row>
    <row r="19" spans="1:8" ht="20.100000000000001" customHeight="1">
      <c r="A19" s="766" t="s">
        <v>406</v>
      </c>
      <c r="B19" s="767"/>
      <c r="C19" s="768"/>
      <c r="D19" s="452">
        <f t="shared" si="0"/>
        <v>15944</v>
      </c>
      <c r="E19" s="453">
        <f>+E16+E17+E7+E8+E11+E12+E15+E18</f>
        <v>7343</v>
      </c>
      <c r="F19" s="453">
        <f>+F16+F17+F7+F8+F11+F12+F15+F18</f>
        <v>3964</v>
      </c>
      <c r="G19" s="453">
        <f>+G16+G17+G7+G8+G11+G12+G15+G18</f>
        <v>4242</v>
      </c>
      <c r="H19" s="454">
        <f>+H16+H17+H7+H8+H11+H12+H15+H18</f>
        <v>395</v>
      </c>
    </row>
    <row r="20" spans="1:8" ht="20.100000000000001" customHeight="1">
      <c r="A20" s="69"/>
      <c r="B20" s="68"/>
      <c r="C20" s="68"/>
      <c r="D20" s="68"/>
      <c r="E20" s="68"/>
      <c r="F20" s="68"/>
      <c r="G20" s="68"/>
      <c r="H20" s="68"/>
    </row>
    <row r="21" spans="1:8" ht="20.100000000000001" customHeight="1">
      <c r="A21" s="69"/>
      <c r="B21" s="68"/>
      <c r="C21" s="68"/>
      <c r="D21" s="68"/>
      <c r="E21" s="68"/>
      <c r="F21" s="68"/>
      <c r="G21" s="68"/>
      <c r="H21" s="68"/>
    </row>
    <row r="22" spans="1:8" ht="20.100000000000001" customHeight="1">
      <c r="A22" s="69"/>
      <c r="B22" s="68"/>
      <c r="C22" s="68"/>
      <c r="D22" s="68"/>
      <c r="E22" s="68"/>
      <c r="F22" s="68"/>
      <c r="G22" s="68"/>
      <c r="H22" s="68"/>
    </row>
    <row r="23" spans="1:8" ht="20.100000000000001" customHeight="1">
      <c r="A23" s="69"/>
      <c r="B23" s="68"/>
      <c r="C23" s="68"/>
      <c r="D23" s="68"/>
      <c r="E23" s="68"/>
      <c r="F23" s="68"/>
      <c r="G23" s="68"/>
      <c r="H23" s="68"/>
    </row>
    <row r="24" spans="1:8" ht="20.100000000000001" customHeight="1">
      <c r="A24" s="69"/>
      <c r="B24" s="68"/>
      <c r="C24" s="68"/>
      <c r="D24" s="68"/>
      <c r="E24" s="68"/>
      <c r="F24" s="68"/>
      <c r="G24" s="68"/>
      <c r="H24" s="68"/>
    </row>
    <row r="25" spans="1:8" ht="20.100000000000001" customHeight="1">
      <c r="A25" s="69"/>
      <c r="B25" s="68"/>
      <c r="C25" s="68"/>
      <c r="D25" s="68"/>
      <c r="E25" s="68"/>
      <c r="F25" s="68"/>
      <c r="G25" s="68"/>
      <c r="H25" s="68"/>
    </row>
    <row r="26" spans="1:8" ht="20.100000000000001" customHeight="1">
      <c r="A26" s="69"/>
      <c r="B26" s="68"/>
      <c r="C26" s="68"/>
      <c r="D26" s="68"/>
      <c r="E26" s="68"/>
      <c r="F26" s="68"/>
      <c r="G26" s="68"/>
      <c r="H26" s="68"/>
    </row>
    <row r="27" spans="1:8" ht="20.100000000000001" customHeight="1">
      <c r="A27" s="69"/>
      <c r="B27" s="68"/>
      <c r="C27" s="68"/>
      <c r="D27" s="68"/>
      <c r="E27" s="68"/>
      <c r="F27" s="68"/>
      <c r="G27" s="68"/>
      <c r="H27" s="68"/>
    </row>
    <row r="28" spans="1:8" ht="20.100000000000001" customHeight="1">
      <c r="A28" s="69"/>
      <c r="B28" s="68"/>
      <c r="C28" s="68"/>
      <c r="D28" s="68"/>
      <c r="E28" s="68"/>
      <c r="F28" s="68"/>
      <c r="G28" s="68"/>
      <c r="H28" s="68"/>
    </row>
    <row r="29" spans="1:8" ht="20.100000000000001" customHeight="1">
      <c r="A29" s="69"/>
      <c r="B29" s="68"/>
      <c r="C29" s="68"/>
      <c r="D29" s="68"/>
      <c r="E29" s="68"/>
      <c r="F29" s="68"/>
      <c r="G29" s="68"/>
      <c r="H29" s="68"/>
    </row>
    <row r="30" spans="1:8" ht="20.100000000000001" customHeight="1">
      <c r="A30" s="69"/>
      <c r="B30" s="68"/>
      <c r="C30" s="68"/>
      <c r="D30" s="68"/>
      <c r="E30" s="68"/>
      <c r="F30" s="68"/>
      <c r="G30" s="68"/>
      <c r="H30" s="68"/>
    </row>
    <row r="31" spans="1:8" ht="20.100000000000001" customHeight="1">
      <c r="A31" s="69"/>
      <c r="B31" s="68"/>
      <c r="C31" s="68"/>
      <c r="D31" s="68"/>
      <c r="E31" s="68"/>
      <c r="F31" s="68"/>
      <c r="G31" s="68"/>
      <c r="H31" s="68"/>
    </row>
    <row r="32" spans="1:8" ht="20.100000000000001" customHeight="1">
      <c r="A32" s="69"/>
      <c r="B32" s="68"/>
      <c r="C32" s="68"/>
      <c r="D32" s="68"/>
      <c r="E32" s="68"/>
      <c r="F32" s="68"/>
      <c r="G32" s="68"/>
      <c r="H32" s="68"/>
    </row>
    <row r="33" spans="1:8" ht="20.100000000000001" customHeight="1">
      <c r="A33" s="69"/>
      <c r="B33" s="68"/>
      <c r="C33" s="68"/>
      <c r="D33" s="68"/>
      <c r="E33" s="68"/>
      <c r="F33" s="68"/>
      <c r="G33" s="68"/>
      <c r="H33" s="68"/>
    </row>
    <row r="34" spans="1:8" ht="20.100000000000001" customHeight="1">
      <c r="A34" s="69"/>
      <c r="B34" s="68"/>
      <c r="C34" s="68"/>
      <c r="D34" s="68"/>
      <c r="E34" s="68"/>
      <c r="F34" s="68"/>
      <c r="G34" s="68"/>
      <c r="H34" s="68"/>
    </row>
    <row r="35" spans="1:8" ht="20.100000000000001" customHeight="1">
      <c r="A35" s="69"/>
      <c r="B35" s="68"/>
      <c r="C35" s="68"/>
      <c r="D35" s="68"/>
      <c r="E35" s="68"/>
      <c r="F35" s="68"/>
      <c r="G35" s="68"/>
      <c r="H35" s="68"/>
    </row>
    <row r="36" spans="1:8" ht="20.100000000000001" customHeight="1">
      <c r="A36" s="69"/>
      <c r="B36" s="68"/>
      <c r="C36" s="68"/>
      <c r="D36" s="68"/>
      <c r="E36" s="68"/>
      <c r="F36" s="68"/>
      <c r="G36" s="68"/>
      <c r="H36" s="68"/>
    </row>
    <row r="37" spans="1:8" ht="20.100000000000001" customHeight="1">
      <c r="A37" s="69"/>
      <c r="B37" s="68"/>
      <c r="C37" s="68"/>
      <c r="D37" s="68"/>
      <c r="E37" s="68"/>
      <c r="F37" s="68"/>
      <c r="G37" s="68"/>
      <c r="H37" s="68"/>
    </row>
    <row r="38" spans="1:8" ht="20.100000000000001" customHeight="1">
      <c r="A38" s="69"/>
      <c r="B38" s="68"/>
      <c r="C38" s="68"/>
      <c r="D38" s="68"/>
      <c r="E38" s="68"/>
      <c r="F38" s="68"/>
      <c r="G38" s="68"/>
      <c r="H38" s="68"/>
    </row>
    <row r="39" spans="1:8" ht="20.100000000000001" customHeight="1">
      <c r="A39" s="69"/>
      <c r="B39" s="68"/>
      <c r="C39" s="68"/>
      <c r="D39" s="68"/>
      <c r="E39" s="68"/>
      <c r="F39" s="68"/>
      <c r="G39" s="68"/>
      <c r="H39" s="68"/>
    </row>
    <row r="40" spans="1:8" ht="20.100000000000001" customHeight="1">
      <c r="A40" s="69"/>
      <c r="B40" s="68"/>
      <c r="C40" s="68"/>
      <c r="D40" s="68"/>
      <c r="E40" s="68"/>
      <c r="F40" s="68"/>
      <c r="G40" s="68"/>
      <c r="H40" s="68"/>
    </row>
    <row r="41" spans="1:8" ht="20.100000000000001" customHeight="1">
      <c r="A41" s="69"/>
      <c r="B41" s="68"/>
      <c r="C41" s="68"/>
      <c r="D41" s="68"/>
      <c r="E41" s="68"/>
      <c r="F41" s="68"/>
      <c r="G41" s="68"/>
      <c r="H41" s="68"/>
    </row>
    <row r="42" spans="1:8" ht="20.100000000000001" customHeight="1">
      <c r="A42" s="69"/>
      <c r="B42" s="68"/>
      <c r="C42" s="68"/>
      <c r="D42" s="68"/>
      <c r="E42" s="68"/>
      <c r="F42" s="68"/>
      <c r="G42" s="68"/>
      <c r="H42" s="68"/>
    </row>
    <row r="43" spans="1:8" ht="20.100000000000001" customHeight="1">
      <c r="A43" s="69"/>
      <c r="B43" s="68"/>
      <c r="C43" s="68"/>
      <c r="D43" s="68"/>
      <c r="E43" s="68"/>
      <c r="F43" s="68"/>
      <c r="G43" s="68"/>
      <c r="H43" s="68"/>
    </row>
    <row r="44" spans="1:8" ht="20.100000000000001" customHeight="1">
      <c r="A44" s="69"/>
      <c r="B44" s="68"/>
      <c r="C44" s="68"/>
      <c r="D44" s="68"/>
      <c r="E44" s="68"/>
      <c r="F44" s="68"/>
      <c r="G44" s="68"/>
      <c r="H44" s="68"/>
    </row>
    <row r="45" spans="1:8" ht="20.100000000000001" customHeight="1">
      <c r="A45" s="69"/>
      <c r="B45" s="68"/>
      <c r="C45" s="68"/>
      <c r="D45" s="68"/>
      <c r="E45" s="68"/>
      <c r="F45" s="68"/>
      <c r="G45" s="68"/>
      <c r="H45" s="68"/>
    </row>
    <row r="46" spans="1:8" ht="20.100000000000001" customHeight="1">
      <c r="A46" s="69"/>
      <c r="B46" s="68"/>
      <c r="C46" s="68"/>
      <c r="D46" s="68"/>
      <c r="E46" s="68"/>
      <c r="F46" s="68"/>
      <c r="G46" s="68"/>
      <c r="H46" s="68"/>
    </row>
    <row r="47" spans="1:8" ht="20.100000000000001" customHeight="1">
      <c r="A47" s="69"/>
      <c r="B47" s="68"/>
      <c r="C47" s="68"/>
      <c r="D47" s="68"/>
      <c r="E47" s="68"/>
      <c r="F47" s="68"/>
      <c r="G47" s="68"/>
      <c r="H47" s="68"/>
    </row>
    <row r="48" spans="1:8" ht="20.100000000000001" customHeight="1">
      <c r="A48" s="69"/>
      <c r="B48" s="68"/>
      <c r="C48" s="68"/>
      <c r="D48" s="68"/>
      <c r="E48" s="68"/>
      <c r="F48" s="68"/>
      <c r="G48" s="68"/>
      <c r="H48" s="68"/>
    </row>
    <row r="49" spans="1:8" ht="20.100000000000001" customHeight="1">
      <c r="A49" s="69"/>
      <c r="B49" s="68"/>
      <c r="C49" s="68"/>
      <c r="D49" s="68"/>
      <c r="E49" s="68"/>
      <c r="F49" s="68"/>
      <c r="G49" s="68"/>
      <c r="H49" s="68"/>
    </row>
    <row r="50" spans="1:8" ht="20.100000000000001" customHeight="1">
      <c r="A50" s="69"/>
      <c r="B50" s="68"/>
      <c r="C50" s="68"/>
      <c r="D50" s="68"/>
      <c r="E50" s="68"/>
      <c r="F50" s="68"/>
      <c r="G50" s="68"/>
      <c r="H50" s="68"/>
    </row>
    <row r="51" spans="1:8" ht="20.100000000000001" customHeight="1">
      <c r="A51" s="69"/>
      <c r="B51" s="68"/>
      <c r="C51" s="68"/>
      <c r="D51" s="68"/>
      <c r="E51" s="68"/>
      <c r="F51" s="68"/>
      <c r="G51" s="68"/>
      <c r="H51" s="68"/>
    </row>
    <row r="52" spans="1:8" ht="20.100000000000001" customHeight="1">
      <c r="A52" s="69"/>
      <c r="B52" s="68"/>
      <c r="C52" s="68"/>
      <c r="D52" s="68"/>
      <c r="E52" s="68"/>
      <c r="F52" s="68"/>
      <c r="G52" s="68"/>
      <c r="H52" s="68"/>
    </row>
    <row r="53" spans="1:8" ht="20.100000000000001" customHeight="1">
      <c r="A53" s="69"/>
      <c r="B53" s="68"/>
      <c r="C53" s="68"/>
      <c r="D53" s="68"/>
      <c r="E53" s="68"/>
      <c r="F53" s="68"/>
      <c r="G53" s="68"/>
      <c r="H53" s="68"/>
    </row>
    <row r="54" spans="1:8" ht="20.100000000000001" customHeight="1">
      <c r="A54" s="69"/>
      <c r="B54" s="68"/>
      <c r="C54" s="68"/>
      <c r="D54" s="68"/>
      <c r="E54" s="68"/>
      <c r="F54" s="68"/>
      <c r="G54" s="68"/>
      <c r="H54" s="68"/>
    </row>
    <row r="55" spans="1:8" ht="20.100000000000001" customHeight="1">
      <c r="A55" s="69"/>
      <c r="B55" s="68"/>
      <c r="C55" s="68"/>
      <c r="D55" s="68"/>
      <c r="E55" s="68"/>
      <c r="F55" s="68"/>
      <c r="G55" s="68"/>
      <c r="H55" s="68"/>
    </row>
  </sheetData>
  <mergeCells count="14">
    <mergeCell ref="A4:C4"/>
    <mergeCell ref="A5:A7"/>
    <mergeCell ref="B5:B7"/>
    <mergeCell ref="A8:A11"/>
    <mergeCell ref="B8:C8"/>
    <mergeCell ref="B9:B11"/>
    <mergeCell ref="B18:C18"/>
    <mergeCell ref="A19:C19"/>
    <mergeCell ref="A12:A15"/>
    <mergeCell ref="B12:C12"/>
    <mergeCell ref="B13:B15"/>
    <mergeCell ref="A16:A17"/>
    <mergeCell ref="B16:C16"/>
    <mergeCell ref="B17:C17"/>
  </mergeCells>
  <phoneticPr fontId="4" type="noConversion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426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402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442</v>
      </c>
      <c r="B9" s="106"/>
      <c r="C9" s="101"/>
      <c r="D9" s="101"/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/>
      <c r="D10" s="96"/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/>
      <c r="D11" s="96"/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/>
      <c r="D12" s="96"/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/>
      <c r="D13" s="96"/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/>
      <c r="D14" s="97"/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 t="s">
        <v>454</v>
      </c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I16" s="13">
        <f>ROUND((I6+I7+I8+I9+I10+I11+I12+I15)*1.1,0)</f>
        <v>4942</v>
      </c>
      <c r="J16" s="13">
        <f>ROUND((J6+J7+J8+J9+J10+J11+J12+J15)*1.1,0)</f>
        <v>7438</v>
      </c>
      <c r="K16" s="13">
        <f>ROUND((K6+K7+K8+K9+K10+K11+K12+K15)*1.1,0)</f>
        <v>8718</v>
      </c>
      <c r="M16" s="13">
        <f>ROUND((P4+O5+M6+M7+M8+M9+M10+M11+M12+M15)*1.1,0)</f>
        <v>20402</v>
      </c>
      <c r="P16" s="13">
        <f>ROUND((P6+P7+P8+P9+P10+P11+P12+P15)*1.08,0)</f>
        <v>21639</v>
      </c>
      <c r="Q16" s="13">
        <f>ROUND((Q6+Q7+Q8+Q9+Q10+Q11+Q12+Q15)*1.08,0)</f>
        <v>29670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f>+C14</f>
        <v>0</v>
      </c>
      <c r="D19" s="101">
        <f>D14</f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>
        <f>IFERROR(INDEX($H$19:$L$35,MATCH(B19,$H$19:$H$35,1),1),0)</f>
        <v>0</v>
      </c>
      <c r="C20" s="118">
        <f>IFERROR(INDEX($H$19:$L$35,MATCH(C19,$H$19:$H$35,1),1),0)</f>
        <v>0</v>
      </c>
      <c r="D20" s="118">
        <f>IFERROR(INDEX($H$19:$L$35,MATCH(D19,$H$19:$H$35,1),1),0)</f>
        <v>0</v>
      </c>
      <c r="E20" s="118">
        <f>IFERROR(INDEX($H$19:$L$35,MATCH(E19,$H$19:$H$35,1),1),0)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>
        <f>IFERROR(INDEX($H$19:$L$35,MATCH(B19,$H$19:$H$35,1)+1,1),0)</f>
        <v>0</v>
      </c>
      <c r="C21" s="118">
        <f>IFERROR(INDEX($H$19:$L$35,MATCH(C19,$H$19:$H$35,1)+1,1),0)</f>
        <v>0</v>
      </c>
      <c r="D21" s="118">
        <f>IFERROR(INDEX($H$19:$L$35,MATCH(D19,$H$19:$H$35,1)+1,1),0)</f>
        <v>0</v>
      </c>
      <c r="E21" s="118">
        <f>IFERROR(INDEX($H$19:$L$35,MATCH(E19,$H$19:$H$35,1)+1,1),0)</f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41">
        <f>IFERROR(INDEX($H$19:$L$35,MATCH(B19,$H$19:$H$35,1),2)+INDEX($H$19:$L$35,MATCH(B19,$H$19:$H$35,1),3),0)</f>
        <v>0</v>
      </c>
      <c r="C22" s="141">
        <f>IFERROR(INDEX($H$19:$L$35,MATCH(C19,$H$19:$H$35,1),2)+INDEX($H$19:$L$35,MATCH(C19,$H$19:$H$35,1),3),0)</f>
        <v>0</v>
      </c>
      <c r="D22" s="141">
        <f>IFERROR(INDEX($H$19:$L$35,MATCH(D19,$H$19:$H$35,1),2)+INDEX($H$19:$L$35,MATCH(D19,$H$19:$H$35,1),3),0)</f>
        <v>0</v>
      </c>
      <c r="E22" s="141">
        <f>IFERROR(INDEX($H$19:$L$35,MATCH(E19,$H$19:$H$35,1),2)+INDEX($H$19:$L$35,MATCH(E19,$H$19:$H$35,1),3),0)</f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41">
        <f>IFERROR(INDEX($H$19:$L$35,MATCH(B19,$H$19:$H$35,1)+1,2)+INDEX($H$19:$L$35,MATCH(B19,$H$19:$H$35,1)+1,3),0)</f>
        <v>0</v>
      </c>
      <c r="C23" s="141">
        <f>IFERROR(INDEX($H$19:$L$35,MATCH(C19,$H$19:$H$35,1)+1,2)+INDEX($H$19:$L$35,MATCH(C19,$H$19:$H$35,1)+1,3),0)</f>
        <v>0</v>
      </c>
      <c r="D23" s="141">
        <f>IFERROR(INDEX($H$19:$L$35,MATCH(D19,$H$19:$H$35,1)+1,2)+INDEX($H$19:$L$35,MATCH(D19,$H$19:$H$35,1)+1,3),0)</f>
        <v>0</v>
      </c>
      <c r="E23" s="141">
        <f>IFERROR(INDEX($H$19:$L$35,MATCH(E19,$H$19:$H$35,1)+1,2)+INDEX($H$19:$L$35,MATCH(E19,$H$19:$H$35,1)+1,3),0)</f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41">
        <f>IFERROR(B22+((B23-B22)/(B21-B20))*(B19-B20),0)</f>
        <v>0</v>
      </c>
      <c r="C24" s="141">
        <f>IFERROR(C22+((C23-C22)/(C21-C20))*(C19-C20),0)</f>
        <v>0</v>
      </c>
      <c r="D24" s="141">
        <f>IFERROR(D22+((D23-D22)/(D21-D20))*(D19-D20),0)</f>
        <v>0</v>
      </c>
      <c r="E24" s="141">
        <f>IFERROR(E22+((E23-E22)/(E21-E20))*(E19-E20),0)</f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97">
        <f>+ROUND(B19*B24,0)</f>
        <v>0</v>
      </c>
      <c r="C25" s="97">
        <f>+ROUND(C19*C24,0)</f>
        <v>0</v>
      </c>
      <c r="D25" s="97">
        <f>+ROUND(D19*D24,0)</f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17">
        <f>+D19</f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2">
        <f>+I37</f>
        <v>10000</v>
      </c>
      <c r="C31" s="112">
        <f>+I37</f>
        <v>10000</v>
      </c>
      <c r="D31" s="112">
        <f>+I37</f>
        <v>10000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2">
        <f>+I37</f>
        <v>10000</v>
      </c>
      <c r="C32" s="112">
        <f>+J37</f>
        <v>20000</v>
      </c>
      <c r="D32" s="112">
        <f>+I37</f>
        <v>10000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35">
        <f>+I38</f>
        <v>9.3699999999999992E-2</v>
      </c>
      <c r="C33" s="135">
        <f>+I38</f>
        <v>9.3699999999999992E-2</v>
      </c>
      <c r="D33" s="174">
        <f>+I38</f>
        <v>9.3699999999999992E-2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35">
        <f>+I38</f>
        <v>9.3699999999999992E-2</v>
      </c>
      <c r="C34" s="135">
        <f>+J38</f>
        <v>7.4999999999999997E-2</v>
      </c>
      <c r="D34" s="174">
        <f>+I38</f>
        <v>9.3699999999999992E-2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35">
        <f>B34</f>
        <v>9.3699999999999992E-2</v>
      </c>
      <c r="C35" s="135">
        <f>C33+((C34-C33)/(C32-C31))*(C30-C31)</f>
        <v>0.11239999999999999</v>
      </c>
      <c r="D35" s="135">
        <f>D34</f>
        <v>9.3699999999999992E-2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97">
        <f>+ROUND(B30*B35,0)</f>
        <v>0</v>
      </c>
      <c r="C36" s="97">
        <f>+ROUND(C30*C35,0)</f>
        <v>0</v>
      </c>
      <c r="D36" s="97">
        <f>+ROUND(D30*D35,0)</f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15">
        <f>+D19</f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>
        <f>IFERROR(INDEX($H$19:$L$35,MATCH(B14,$H$19:$H$35,1),1),0)</f>
        <v>0</v>
      </c>
      <c r="C42" s="118">
        <f>IFERROR(INDEX($H$19:$L$35,MATCH(C14,$H$19:$H$35,1),1),0)</f>
        <v>0</v>
      </c>
      <c r="D42" s="118">
        <f>IFERROR(INDEX($H$19:$L$35,MATCH(D14,$H$19:$H$35,1),1),0)</f>
        <v>0</v>
      </c>
      <c r="E42" s="118">
        <f>IFERROR(INDEX($H$19:$L$35,MATCH(E14,$H$19:$H$35,1),1),0)</f>
        <v>0</v>
      </c>
      <c r="F42" s="113"/>
      <c r="G42" s="9"/>
    </row>
    <row r="43" spans="1:17" ht="20.100000000000001" customHeight="1">
      <c r="A43" s="110" t="s">
        <v>448</v>
      </c>
      <c r="B43" s="118">
        <f>IFERROR(INDEX($H$19:$L$35,MATCH(B14,$H$19:$H$35,1)+1,1),0)</f>
        <v>0</v>
      </c>
      <c r="C43" s="118">
        <f>IFERROR(INDEX($H$19:$L$35,MATCH(C14,$H$19:$H$35,1)+1,1),0)</f>
        <v>0</v>
      </c>
      <c r="D43" s="118">
        <f>IFERROR(INDEX($H$19:$L$35,MATCH(D14,$H$19:$H$35,1)+1,1),0)</f>
        <v>0</v>
      </c>
      <c r="E43" s="118">
        <f>IFERROR(INDEX($H$19:$L$35,MATCH(E14,$H$19:$H$35,1)+1,1),0)</f>
        <v>0</v>
      </c>
      <c r="F43" s="113"/>
    </row>
    <row r="44" spans="1:17" ht="20.100000000000001" customHeight="1">
      <c r="A44" s="110" t="s">
        <v>462</v>
      </c>
      <c r="B44" s="141">
        <f>IFERROR(INDEX($H$19:$L$35,MATCH(B14,$H$19:$H$35,1),5),0)</f>
        <v>0</v>
      </c>
      <c r="C44" s="141">
        <f>IFERROR(INDEX($H$19:$L$35,MATCH(C14,$H$19:$H$35,1),5),0)</f>
        <v>0</v>
      </c>
      <c r="D44" s="141">
        <f>IFERROR(INDEX($H$19:$L$35,MATCH(D14,$H$19:$H$35,1),5),0)</f>
        <v>0</v>
      </c>
      <c r="E44" s="141">
        <f>IFERROR(INDEX($H$19:$L$35,MATCH(E14,$H$19:$H$35,1),5),0)</f>
        <v>0</v>
      </c>
      <c r="F44" s="113"/>
    </row>
    <row r="45" spans="1:17" ht="20.100000000000001" customHeight="1">
      <c r="A45" s="110" t="s">
        <v>463</v>
      </c>
      <c r="B45" s="141">
        <f>IFERROR(INDEX($H$19:$L$35,MATCH(B14,$H$19:$H$35,1)+1,5),0)</f>
        <v>0</v>
      </c>
      <c r="C45" s="141">
        <f>IFERROR(INDEX($H$19:$L$35,MATCH(C14,$H$19:$H$35,1)+1,5),0)</f>
        <v>0</v>
      </c>
      <c r="D45" s="141">
        <f>IFERROR(INDEX($H$19:$L$35,MATCH(D14,$H$19:$H$35,1)+1,5),0)</f>
        <v>0</v>
      </c>
      <c r="E45" s="141">
        <f>IFERROR(INDEX($H$19:$L$35,MATCH(E14,$H$19:$H$35,1)+1,5),0)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97">
        <f>+ROUND(B41*B46,0)</f>
        <v>0</v>
      </c>
      <c r="C47" s="97">
        <f>+ROUND(C41*C46,0)</f>
        <v>0</v>
      </c>
      <c r="D47" s="97">
        <f>+ROUND(D41*D46,0)</f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6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482</v>
      </c>
      <c r="G1" s="3"/>
      <c r="H1" s="3"/>
    </row>
    <row r="2" spans="1:20" ht="20.100000000000001" customHeight="1">
      <c r="A2" s="2" t="s">
        <v>427</v>
      </c>
      <c r="G2" s="3"/>
      <c r="H2" s="3"/>
    </row>
    <row r="3" spans="1:20" ht="20.100000000000001" customHeight="1">
      <c r="A3" s="4" t="s">
        <v>483</v>
      </c>
      <c r="G3" s="5"/>
      <c r="H3" s="6" t="s">
        <v>428</v>
      </c>
      <c r="I3" s="6">
        <v>500</v>
      </c>
      <c r="J3" s="6">
        <v>1000</v>
      </c>
      <c r="K3" s="6">
        <v>2000</v>
      </c>
      <c r="L3" s="6">
        <v>3000</v>
      </c>
      <c r="M3" s="6">
        <v>4000</v>
      </c>
      <c r="N3" s="6">
        <v>5000</v>
      </c>
      <c r="O3" s="6">
        <v>7500</v>
      </c>
      <c r="P3" s="6">
        <v>10000</v>
      </c>
      <c r="Q3" s="6">
        <v>20000</v>
      </c>
      <c r="R3" s="6">
        <v>40000</v>
      </c>
      <c r="S3" s="6">
        <v>70000</v>
      </c>
      <c r="T3" s="6">
        <v>100000</v>
      </c>
    </row>
    <row r="4" spans="1:20" ht="20.100000000000001" customHeight="1">
      <c r="A4" s="4"/>
      <c r="G4" s="5"/>
      <c r="H4" s="6" t="s">
        <v>429</v>
      </c>
      <c r="I4" s="7">
        <v>1873</v>
      </c>
      <c r="J4" s="7">
        <v>2346</v>
      </c>
      <c r="K4" s="7">
        <v>2735</v>
      </c>
      <c r="L4" s="7">
        <v>2901</v>
      </c>
      <c r="M4" s="7">
        <v>2959</v>
      </c>
      <c r="N4" s="7">
        <v>3193</v>
      </c>
      <c r="O4" s="7">
        <v>3678</v>
      </c>
      <c r="P4" s="7">
        <v>4971</v>
      </c>
      <c r="Q4" s="7">
        <v>6295</v>
      </c>
      <c r="R4" s="7">
        <v>10212</v>
      </c>
      <c r="S4" s="7">
        <v>12134</v>
      </c>
      <c r="T4" s="7">
        <v>16040</v>
      </c>
    </row>
    <row r="5" spans="1:20" ht="20.100000000000001" customHeight="1">
      <c r="A5" s="4"/>
      <c r="G5" s="5"/>
      <c r="H5" s="6" t="s">
        <v>430</v>
      </c>
      <c r="I5" s="7">
        <v>214</v>
      </c>
      <c r="J5" s="7">
        <v>373</v>
      </c>
      <c r="K5" s="7">
        <v>699</v>
      </c>
      <c r="L5" s="7">
        <v>1023</v>
      </c>
      <c r="M5" s="7">
        <v>1495</v>
      </c>
      <c r="N5" s="7">
        <v>1804</v>
      </c>
      <c r="O5" s="7">
        <v>1952</v>
      </c>
      <c r="P5" s="7">
        <v>2244</v>
      </c>
      <c r="Q5" s="7">
        <v>2978</v>
      </c>
      <c r="R5" s="7">
        <v>4655</v>
      </c>
      <c r="S5" s="7">
        <v>6614</v>
      </c>
      <c r="T5" s="7">
        <v>8759</v>
      </c>
    </row>
    <row r="6" spans="1:20" ht="20.100000000000001" customHeight="1">
      <c r="A6" s="2" t="s">
        <v>431</v>
      </c>
      <c r="G6" s="5"/>
      <c r="H6" s="6" t="s">
        <v>432</v>
      </c>
      <c r="I6" s="7">
        <v>311</v>
      </c>
      <c r="J6" s="7">
        <v>510</v>
      </c>
      <c r="K6" s="7">
        <v>650</v>
      </c>
      <c r="L6" s="7">
        <v>835</v>
      </c>
      <c r="M6" s="7">
        <v>1290</v>
      </c>
      <c r="N6" s="7">
        <v>1423</v>
      </c>
      <c r="O6" s="7">
        <v>1864</v>
      </c>
      <c r="P6" s="7">
        <v>2593</v>
      </c>
      <c r="Q6" s="7">
        <v>3372</v>
      </c>
      <c r="R6" s="7">
        <v>6320</v>
      </c>
      <c r="S6" s="7">
        <v>9834</v>
      </c>
      <c r="T6" s="7">
        <v>13143</v>
      </c>
    </row>
    <row r="7" spans="1:20" ht="20.100000000000001" customHeight="1">
      <c r="F7" s="8" t="s">
        <v>433</v>
      </c>
      <c r="G7" s="5"/>
      <c r="H7" s="6" t="s">
        <v>434</v>
      </c>
      <c r="I7" s="7">
        <v>872</v>
      </c>
      <c r="J7" s="7">
        <v>1458</v>
      </c>
      <c r="K7" s="7">
        <v>1799</v>
      </c>
      <c r="L7" s="7">
        <v>2293</v>
      </c>
      <c r="M7" s="7">
        <v>2925</v>
      </c>
      <c r="N7" s="7">
        <v>3288</v>
      </c>
      <c r="O7" s="7">
        <v>3984</v>
      </c>
      <c r="P7" s="7">
        <v>4940</v>
      </c>
      <c r="Q7" s="7">
        <v>7301</v>
      </c>
      <c r="R7" s="7">
        <v>13536</v>
      </c>
      <c r="S7" s="7">
        <v>17201</v>
      </c>
      <c r="T7" s="7">
        <v>23562</v>
      </c>
    </row>
    <row r="8" spans="1:20" ht="20.100000000000001" customHeight="1">
      <c r="A8" s="282" t="s">
        <v>435</v>
      </c>
      <c r="B8" s="297" t="s">
        <v>436</v>
      </c>
      <c r="C8" s="298" t="s">
        <v>437</v>
      </c>
      <c r="D8" s="298" t="s">
        <v>438</v>
      </c>
      <c r="E8" s="298" t="s">
        <v>439</v>
      </c>
      <c r="F8" s="299" t="s">
        <v>440</v>
      </c>
      <c r="G8" s="5"/>
      <c r="H8" s="6" t="s">
        <v>441</v>
      </c>
      <c r="I8" s="7">
        <v>843</v>
      </c>
      <c r="J8" s="7">
        <v>1431</v>
      </c>
      <c r="K8" s="7">
        <v>1609</v>
      </c>
      <c r="L8" s="7">
        <v>2122</v>
      </c>
      <c r="M8" s="7">
        <v>2329</v>
      </c>
      <c r="N8" s="7">
        <v>2506</v>
      </c>
      <c r="O8" s="7">
        <v>2819</v>
      </c>
      <c r="P8" s="7">
        <v>3528</v>
      </c>
      <c r="Q8" s="7">
        <v>4701</v>
      </c>
      <c r="R8" s="7">
        <v>9186</v>
      </c>
      <c r="S8" s="7">
        <v>14286</v>
      </c>
      <c r="T8" s="7">
        <v>18967</v>
      </c>
    </row>
    <row r="9" spans="1:20" ht="20.100000000000001" customHeight="1">
      <c r="A9" s="109" t="s">
        <v>484</v>
      </c>
      <c r="B9" s="106"/>
      <c r="C9" s="101">
        <v>0</v>
      </c>
      <c r="D9" s="101">
        <v>0</v>
      </c>
      <c r="E9" s="101">
        <v>0</v>
      </c>
      <c r="F9" s="102"/>
      <c r="G9" s="5"/>
      <c r="H9" s="6" t="s">
        <v>443</v>
      </c>
      <c r="I9" s="7">
        <v>425</v>
      </c>
      <c r="J9" s="7">
        <v>512</v>
      </c>
      <c r="K9" s="7">
        <v>669</v>
      </c>
      <c r="L9" s="7">
        <v>770</v>
      </c>
      <c r="M9" s="7">
        <v>890</v>
      </c>
      <c r="N9" s="7">
        <v>949</v>
      </c>
      <c r="O9" s="7">
        <v>1169</v>
      </c>
      <c r="P9" s="7">
        <v>1605</v>
      </c>
      <c r="Q9" s="7">
        <v>2297</v>
      </c>
      <c r="R9" s="7">
        <v>3566</v>
      </c>
      <c r="S9" s="7">
        <v>4541</v>
      </c>
      <c r="T9" s="7">
        <v>5938</v>
      </c>
    </row>
    <row r="10" spans="1:20" ht="20.100000000000001" customHeight="1">
      <c r="A10" s="110" t="s">
        <v>444</v>
      </c>
      <c r="B10" s="107"/>
      <c r="C10" s="96">
        <v>0</v>
      </c>
      <c r="D10" s="96">
        <v>0</v>
      </c>
      <c r="E10" s="96">
        <v>0</v>
      </c>
      <c r="F10" s="95"/>
      <c r="G10" s="5"/>
      <c r="H10" s="6" t="s">
        <v>445</v>
      </c>
      <c r="I10" s="205">
        <v>1236</v>
      </c>
      <c r="J10" s="205">
        <v>1927</v>
      </c>
      <c r="K10" s="205">
        <v>2143</v>
      </c>
      <c r="L10" s="205">
        <v>2490</v>
      </c>
      <c r="M10" s="205">
        <v>2514</v>
      </c>
      <c r="N10" s="205">
        <v>2541</v>
      </c>
      <c r="O10" s="205">
        <v>2873</v>
      </c>
      <c r="P10" s="7">
        <v>1299</v>
      </c>
      <c r="Q10" s="7">
        <v>1946</v>
      </c>
      <c r="R10" s="7">
        <v>2466</v>
      </c>
      <c r="S10" s="7">
        <v>3615</v>
      </c>
      <c r="T10" s="7">
        <v>5110</v>
      </c>
    </row>
    <row r="11" spans="1:20" ht="20.100000000000001" customHeight="1">
      <c r="A11" s="110" t="s">
        <v>446</v>
      </c>
      <c r="B11" s="107"/>
      <c r="C11" s="96">
        <v>0</v>
      </c>
      <c r="D11" s="96">
        <v>0</v>
      </c>
      <c r="E11" s="96">
        <v>0</v>
      </c>
      <c r="F11" s="95"/>
      <c r="G11" s="5"/>
      <c r="H11" s="6" t="s">
        <v>447</v>
      </c>
      <c r="I11" s="206"/>
      <c r="J11" s="206"/>
      <c r="K11" s="206"/>
      <c r="L11" s="206"/>
      <c r="M11" s="206"/>
      <c r="N11" s="206"/>
      <c r="O11" s="206"/>
      <c r="P11" s="7">
        <v>2111</v>
      </c>
      <c r="Q11" s="7">
        <v>2919</v>
      </c>
      <c r="R11" s="7">
        <v>3585</v>
      </c>
      <c r="S11" s="7">
        <v>4605</v>
      </c>
      <c r="T11" s="7">
        <v>6555</v>
      </c>
    </row>
    <row r="12" spans="1:20" ht="20.100000000000001" customHeight="1">
      <c r="A12" s="110" t="s">
        <v>448</v>
      </c>
      <c r="B12" s="107"/>
      <c r="C12" s="96">
        <v>0</v>
      </c>
      <c r="D12" s="96">
        <v>0</v>
      </c>
      <c r="E12" s="96">
        <v>0</v>
      </c>
      <c r="F12" s="95"/>
      <c r="G12" s="5"/>
      <c r="H12" s="6" t="s">
        <v>449</v>
      </c>
      <c r="I12" s="7">
        <v>526</v>
      </c>
      <c r="J12" s="7">
        <v>611</v>
      </c>
      <c r="K12" s="7">
        <v>653</v>
      </c>
      <c r="L12" s="7">
        <v>678</v>
      </c>
      <c r="M12" s="7">
        <v>881</v>
      </c>
      <c r="N12" s="7">
        <v>1130</v>
      </c>
      <c r="O12" s="7">
        <v>1222</v>
      </c>
      <c r="P12" s="7">
        <v>1683</v>
      </c>
      <c r="Q12" s="7">
        <v>2178</v>
      </c>
      <c r="R12" s="7">
        <v>2818</v>
      </c>
      <c r="S12" s="7">
        <v>3131</v>
      </c>
      <c r="T12" s="7">
        <v>4133</v>
      </c>
    </row>
    <row r="13" spans="1:20" ht="20.100000000000001" customHeight="1">
      <c r="A13" s="110" t="s">
        <v>450</v>
      </c>
      <c r="B13" s="107"/>
      <c r="C13" s="96">
        <v>0</v>
      </c>
      <c r="D13" s="96">
        <v>0</v>
      </c>
      <c r="E13" s="96">
        <v>0</v>
      </c>
      <c r="F13" s="95"/>
      <c r="G13" s="5"/>
      <c r="H13" s="6" t="s">
        <v>451</v>
      </c>
      <c r="I13" s="7">
        <v>37</v>
      </c>
      <c r="J13" s="7">
        <v>71</v>
      </c>
      <c r="K13" s="7">
        <v>86</v>
      </c>
      <c r="L13" s="7">
        <v>116</v>
      </c>
      <c r="M13" s="7">
        <v>129</v>
      </c>
      <c r="N13" s="7">
        <v>146</v>
      </c>
      <c r="O13" s="7">
        <v>189</v>
      </c>
      <c r="P13" s="7">
        <v>504</v>
      </c>
      <c r="Q13" s="7">
        <v>633</v>
      </c>
      <c r="R13" s="7">
        <v>953</v>
      </c>
      <c r="S13" s="7">
        <v>1063</v>
      </c>
      <c r="T13" s="7">
        <v>1489</v>
      </c>
    </row>
    <row r="14" spans="1:20" ht="20.100000000000001" customHeight="1">
      <c r="A14" s="111" t="s">
        <v>452</v>
      </c>
      <c r="B14" s="108"/>
      <c r="C14" s="97">
        <v>0</v>
      </c>
      <c r="D14" s="98">
        <v>0</v>
      </c>
      <c r="E14" s="98">
        <v>0</v>
      </c>
      <c r="F14" s="99"/>
      <c r="G14" s="5"/>
      <c r="H14" s="6" t="s">
        <v>453</v>
      </c>
      <c r="I14" s="7">
        <v>409</v>
      </c>
      <c r="J14" s="7">
        <v>447</v>
      </c>
      <c r="K14" s="7">
        <v>830</v>
      </c>
      <c r="L14" s="7">
        <v>1052</v>
      </c>
      <c r="M14" s="7">
        <v>1210</v>
      </c>
      <c r="N14" s="7">
        <v>1332</v>
      </c>
      <c r="O14" s="7">
        <v>1557</v>
      </c>
      <c r="P14" s="7">
        <v>1635</v>
      </c>
      <c r="Q14" s="7">
        <v>1757</v>
      </c>
      <c r="R14" s="7">
        <v>2861</v>
      </c>
      <c r="S14" s="7">
        <v>3434</v>
      </c>
      <c r="T14" s="7">
        <v>3679</v>
      </c>
    </row>
    <row r="15" spans="1:20" ht="20.100000000000001" customHeight="1">
      <c r="A15" s="38"/>
      <c r="G15" s="5"/>
      <c r="H15" s="6" t="s">
        <v>455</v>
      </c>
      <c r="I15" s="7">
        <v>280</v>
      </c>
      <c r="J15" s="7">
        <v>313</v>
      </c>
      <c r="K15" s="7">
        <v>402</v>
      </c>
      <c r="L15" s="7">
        <v>686</v>
      </c>
      <c r="M15" s="7">
        <v>795</v>
      </c>
      <c r="N15" s="7">
        <v>1006</v>
      </c>
      <c r="O15" s="7">
        <v>1275</v>
      </c>
      <c r="P15" s="7">
        <v>2277</v>
      </c>
      <c r="Q15" s="7">
        <v>2758</v>
      </c>
      <c r="R15" s="7">
        <v>2858</v>
      </c>
      <c r="S15" s="7">
        <v>3091</v>
      </c>
      <c r="T15" s="7">
        <v>3214</v>
      </c>
    </row>
    <row r="16" spans="1:20" ht="20.100000000000001" customHeight="1">
      <c r="A16" s="2" t="s">
        <v>456</v>
      </c>
      <c r="D16" s="12"/>
      <c r="G16" s="5"/>
      <c r="H16" s="5"/>
      <c r="M16" s="13"/>
      <c r="P16" s="13">
        <f>ROUND((P7+P8)*P17,0)</f>
        <v>11008</v>
      </c>
      <c r="Q16" s="13">
        <f>ROUND((Q7+Q8)*P17,0)</f>
        <v>15603</v>
      </c>
    </row>
    <row r="17" spans="1:16" ht="20.100000000000001" customHeight="1">
      <c r="A17" s="14"/>
      <c r="B17" s="15"/>
      <c r="C17" s="15"/>
      <c r="D17" s="15"/>
      <c r="E17" s="15"/>
      <c r="F17" s="8" t="s">
        <v>457</v>
      </c>
      <c r="G17" s="16"/>
      <c r="H17" s="16" t="s">
        <v>458</v>
      </c>
      <c r="P17" s="2">
        <v>1.3</v>
      </c>
    </row>
    <row r="18" spans="1:16" ht="20.100000000000001" customHeight="1">
      <c r="A18" s="282" t="s">
        <v>435</v>
      </c>
      <c r="B18" s="297" t="s">
        <v>436</v>
      </c>
      <c r="C18" s="298" t="s">
        <v>437</v>
      </c>
      <c r="D18" s="298" t="s">
        <v>438</v>
      </c>
      <c r="E18" s="298" t="s">
        <v>439</v>
      </c>
      <c r="F18" s="299" t="s">
        <v>440</v>
      </c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20" t="s">
        <v>461</v>
      </c>
      <c r="B19" s="117">
        <f>+B14</f>
        <v>0</v>
      </c>
      <c r="C19" s="115">
        <v>0</v>
      </c>
      <c r="D19" s="101">
        <v>0</v>
      </c>
      <c r="E19" s="101">
        <v>0</v>
      </c>
      <c r="F19" s="116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450</v>
      </c>
      <c r="B20" s="118"/>
      <c r="C20" s="112">
        <v>0</v>
      </c>
      <c r="D20" s="96">
        <v>0</v>
      </c>
      <c r="E20" s="96"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0" t="s">
        <v>448</v>
      </c>
      <c r="B21" s="118"/>
      <c r="C21" s="112">
        <v>0</v>
      </c>
      <c r="D21" s="96">
        <v>0</v>
      </c>
      <c r="E21" s="96">
        <v>0</v>
      </c>
      <c r="F21" s="113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10" t="s">
        <v>462</v>
      </c>
      <c r="B22" s="119"/>
      <c r="C22" s="112">
        <v>0</v>
      </c>
      <c r="D22" s="96">
        <v>0</v>
      </c>
      <c r="E22" s="96">
        <v>0</v>
      </c>
      <c r="F22" s="113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110" t="s">
        <v>463</v>
      </c>
      <c r="B23" s="119"/>
      <c r="C23" s="112">
        <v>0</v>
      </c>
      <c r="D23" s="96">
        <v>0</v>
      </c>
      <c r="E23" s="96">
        <v>0</v>
      </c>
      <c r="F23" s="113"/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10" t="s">
        <v>464</v>
      </c>
      <c r="B24" s="119"/>
      <c r="C24" s="112">
        <v>0</v>
      </c>
      <c r="D24" s="96">
        <v>0</v>
      </c>
      <c r="E24" s="96">
        <v>0</v>
      </c>
      <c r="F24" s="113"/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111" t="s">
        <v>480</v>
      </c>
      <c r="B25" s="108"/>
      <c r="C25" s="97">
        <f>+ROUND(C19*C24,0)</f>
        <v>0</v>
      </c>
      <c r="D25" s="98">
        <v>0</v>
      </c>
      <c r="E25" s="98">
        <v>0</v>
      </c>
      <c r="F25" s="114"/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21"/>
      <c r="B26" s="22"/>
      <c r="C26" s="22"/>
      <c r="D26" s="23"/>
      <c r="E26" s="23"/>
      <c r="F26" s="24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2" t="s">
        <v>485</v>
      </c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4"/>
      <c r="B28" s="15"/>
      <c r="C28" s="15"/>
      <c r="D28" s="15"/>
      <c r="E28" s="15"/>
      <c r="F28" s="8" t="s">
        <v>457</v>
      </c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282" t="s">
        <v>435</v>
      </c>
      <c r="B29" s="297" t="s">
        <v>436</v>
      </c>
      <c r="C29" s="298" t="s">
        <v>437</v>
      </c>
      <c r="D29" s="298" t="s">
        <v>438</v>
      </c>
      <c r="E29" s="298" t="s">
        <v>439</v>
      </c>
      <c r="F29" s="299" t="s">
        <v>440</v>
      </c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20" t="s">
        <v>461</v>
      </c>
      <c r="B30" s="117">
        <f>+B19</f>
        <v>0</v>
      </c>
      <c r="C30" s="115">
        <f>+C19</f>
        <v>0</v>
      </c>
      <c r="D30" s="101">
        <v>0</v>
      </c>
      <c r="E30" s="101">
        <v>0</v>
      </c>
      <c r="F30" s="116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450</v>
      </c>
      <c r="B31" s="118"/>
      <c r="C31" s="96">
        <v>0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0" t="s">
        <v>448</v>
      </c>
      <c r="B32" s="118"/>
      <c r="C32" s="96">
        <v>0</v>
      </c>
      <c r="D32" s="96">
        <v>0</v>
      </c>
      <c r="E32" s="96">
        <v>0</v>
      </c>
      <c r="F32" s="113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110" t="s">
        <v>462</v>
      </c>
      <c r="B33" s="119"/>
      <c r="C33" s="96">
        <v>0</v>
      </c>
      <c r="D33" s="96">
        <v>0</v>
      </c>
      <c r="E33" s="96">
        <v>0</v>
      </c>
      <c r="F33" s="11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110" t="s">
        <v>463</v>
      </c>
      <c r="B34" s="119"/>
      <c r="C34" s="96">
        <v>0</v>
      </c>
      <c r="D34" s="96">
        <v>0</v>
      </c>
      <c r="E34" s="96">
        <v>0</v>
      </c>
      <c r="F34" s="11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110" t="s">
        <v>464</v>
      </c>
      <c r="B35" s="119"/>
      <c r="C35" s="96">
        <v>0</v>
      </c>
      <c r="D35" s="96">
        <v>0</v>
      </c>
      <c r="E35" s="96">
        <v>0</v>
      </c>
      <c r="F35" s="11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111" t="s">
        <v>475</v>
      </c>
      <c r="B36" s="108"/>
      <c r="C36" s="97">
        <f>+ROUND(C30*C35,0)</f>
        <v>0</v>
      </c>
      <c r="D36" s="98">
        <v>0</v>
      </c>
      <c r="E36" s="98">
        <v>0</v>
      </c>
      <c r="F36" s="114"/>
      <c r="G36" s="9"/>
      <c r="H36" s="9" t="s">
        <v>476</v>
      </c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2" t="s">
        <v>477</v>
      </c>
      <c r="D38" s="12"/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9"/>
    </row>
    <row r="41" spans="1:17" ht="20.100000000000001" customHeight="1">
      <c r="A41" s="120" t="s">
        <v>461</v>
      </c>
      <c r="B41" s="117">
        <f>+B19</f>
        <v>0</v>
      </c>
      <c r="C41" s="115">
        <f>+C19</f>
        <v>0</v>
      </c>
      <c r="D41" s="101">
        <v>0</v>
      </c>
      <c r="E41" s="101">
        <v>0</v>
      </c>
      <c r="F41" s="116"/>
      <c r="G41" s="9"/>
      <c r="H41" s="9"/>
    </row>
    <row r="42" spans="1:17" ht="20.100000000000001" customHeight="1">
      <c r="A42" s="110" t="s">
        <v>450</v>
      </c>
      <c r="B42" s="118"/>
      <c r="C42" s="112">
        <f>+C20</f>
        <v>0</v>
      </c>
      <c r="D42" s="96">
        <v>0</v>
      </c>
      <c r="E42" s="96">
        <v>0</v>
      </c>
      <c r="F42" s="113"/>
      <c r="G42" s="9"/>
    </row>
    <row r="43" spans="1:17" ht="20.100000000000001" customHeight="1">
      <c r="A43" s="110" t="s">
        <v>448</v>
      </c>
      <c r="B43" s="118"/>
      <c r="C43" s="112">
        <v>0</v>
      </c>
      <c r="D43" s="96">
        <v>0</v>
      </c>
      <c r="E43" s="96">
        <v>0</v>
      </c>
      <c r="F43" s="113"/>
    </row>
    <row r="44" spans="1:17" ht="20.100000000000001" customHeight="1">
      <c r="A44" s="110" t="s">
        <v>462</v>
      </c>
      <c r="B44" s="119"/>
      <c r="C44" s="112">
        <v>0</v>
      </c>
      <c r="D44" s="96">
        <v>0</v>
      </c>
      <c r="E44" s="96">
        <v>0</v>
      </c>
      <c r="F44" s="113"/>
    </row>
    <row r="45" spans="1:17" ht="20.100000000000001" customHeight="1">
      <c r="A45" s="110" t="s">
        <v>463</v>
      </c>
      <c r="B45" s="119"/>
      <c r="C45" s="112">
        <v>0</v>
      </c>
      <c r="D45" s="96">
        <v>0</v>
      </c>
      <c r="E45" s="96">
        <v>0</v>
      </c>
      <c r="F45" s="113"/>
    </row>
    <row r="46" spans="1:17" ht="20.100000000000001" customHeight="1">
      <c r="A46" s="110" t="s">
        <v>464</v>
      </c>
      <c r="B46" s="119"/>
      <c r="C46" s="112">
        <v>0</v>
      </c>
      <c r="D46" s="96">
        <v>0</v>
      </c>
      <c r="E46" s="96">
        <v>0</v>
      </c>
      <c r="F46" s="113"/>
    </row>
    <row r="47" spans="1:17" ht="20.100000000000001" customHeight="1">
      <c r="A47" s="111" t="s">
        <v>478</v>
      </c>
      <c r="B47" s="108"/>
      <c r="C47" s="97">
        <f>+ROUND(C41*C46,0)</f>
        <v>0</v>
      </c>
      <c r="D47" s="98">
        <v>0</v>
      </c>
      <c r="E47" s="98"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31" t="s">
        <v>452</v>
      </c>
      <c r="B52" s="128">
        <f>+B14</f>
        <v>0</v>
      </c>
      <c r="C52" s="126">
        <f>+C14</f>
        <v>0</v>
      </c>
      <c r="D52" s="126">
        <f>+D14</f>
        <v>0</v>
      </c>
      <c r="E52" s="126">
        <f>+E14</f>
        <v>0</v>
      </c>
      <c r="F52" s="127"/>
    </row>
    <row r="53" spans="1:6" ht="20.100000000000001" customHeight="1">
      <c r="A53" s="132" t="s">
        <v>480</v>
      </c>
      <c r="B53" s="129">
        <f>+B25</f>
        <v>0</v>
      </c>
      <c r="C53" s="121">
        <f>+C25</f>
        <v>0</v>
      </c>
      <c r="D53" s="121">
        <f>+D25</f>
        <v>0</v>
      </c>
      <c r="E53" s="121">
        <f>+E25</f>
        <v>0</v>
      </c>
      <c r="F53" s="122"/>
    </row>
    <row r="54" spans="1:6" ht="20.100000000000001" customHeight="1">
      <c r="A54" s="132" t="s">
        <v>475</v>
      </c>
      <c r="B54" s="129">
        <f>+B36</f>
        <v>0</v>
      </c>
      <c r="C54" s="121">
        <f>+C36</f>
        <v>0</v>
      </c>
      <c r="D54" s="121">
        <f>+D36</f>
        <v>0</v>
      </c>
      <c r="E54" s="121">
        <f>+E36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4"/>
      <c r="E56" s="124"/>
      <c r="F56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7"/>
  <sheetViews>
    <sheetView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9" width="9.375" style="2" bestFit="1" customWidth="1"/>
    <col min="10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486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 t="s">
        <v>488</v>
      </c>
      <c r="I3" s="21"/>
      <c r="J3" s="22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7" t="s">
        <v>405</v>
      </c>
      <c r="I4" s="282" t="s">
        <v>489</v>
      </c>
      <c r="J4" s="282" t="s">
        <v>171</v>
      </c>
      <c r="K4" s="282" t="s">
        <v>172</v>
      </c>
      <c r="L4" s="282" t="s">
        <v>173</v>
      </c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+'가.굴착교체(감곡-간선)'!E21</f>
        <v>0</v>
      </c>
      <c r="C5" s="101">
        <f>+'가.굴착교체(감곡-간선)'!G21</f>
        <v>0</v>
      </c>
      <c r="D5" s="101">
        <f>+'가.굴착교체(감곡-간선)'!I21</f>
        <v>0</v>
      </c>
      <c r="E5" s="101">
        <f>+'가.굴착교체(감곡-간선)'!K21</f>
        <v>0</v>
      </c>
      <c r="F5" s="144"/>
      <c r="G5" s="5"/>
      <c r="H5" s="7" t="s">
        <v>417</v>
      </c>
      <c r="I5" s="70" t="e">
        <f>+(B5+B8+B9)/B10</f>
        <v>#DIV/0!</v>
      </c>
      <c r="J5" s="70" t="e">
        <f>+C5/C10</f>
        <v>#DIV/0!</v>
      </c>
      <c r="K5" s="70" t="e">
        <f>+D5/D10</f>
        <v>#DIV/0!</v>
      </c>
      <c r="L5" s="70" t="e">
        <f>+E5/E10</f>
        <v>#DIV/0!</v>
      </c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+'나.전체보수(감곡-간선)'!E19</f>
        <v>0</v>
      </c>
      <c r="C6" s="94">
        <f>+'나.전체보수(감곡-간선)'!G19</f>
        <v>0</v>
      </c>
      <c r="D6" s="94">
        <f>+'나.전체보수(감곡-간선)'!I19</f>
        <v>0</v>
      </c>
      <c r="E6" s="94">
        <f>+'나.전체보수(감곡-간선)'!K19</f>
        <v>0</v>
      </c>
      <c r="F6" s="134"/>
      <c r="G6" s="5"/>
      <c r="H6" s="7" t="s">
        <v>413</v>
      </c>
      <c r="I6" s="71" t="e">
        <f>1-I5</f>
        <v>#DIV/0!</v>
      </c>
      <c r="J6" s="71" t="e">
        <f>1-J5</f>
        <v>#DIV/0!</v>
      </c>
      <c r="K6" s="71" t="e">
        <f>1-K5</f>
        <v>#DIV/0!</v>
      </c>
      <c r="L6" s="71" t="e">
        <f>1-L5</f>
        <v>#DIV/0!</v>
      </c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492</v>
      </c>
      <c r="B7" s="107">
        <f>+'다.부분보수(감곡-간선)'!E17</f>
        <v>0</v>
      </c>
      <c r="C7" s="96">
        <f>+'다.부분보수(감곡-간선)'!G17</f>
        <v>0</v>
      </c>
      <c r="D7" s="96">
        <f>+'다.부분보수(감곡-간선)'!I17</f>
        <v>0</v>
      </c>
      <c r="E7" s="96">
        <f>+'다.부분보수(감곡-간선)'!K17</f>
        <v>0</v>
      </c>
      <c r="F7" s="134"/>
      <c r="G7" s="5"/>
      <c r="H7" s="21"/>
      <c r="I7" s="22"/>
      <c r="J7" s="23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0" t="s">
        <v>493</v>
      </c>
      <c r="B8" s="107">
        <f>+'라.맨홀보수(감곡-간선)'!D12</f>
        <v>0</v>
      </c>
      <c r="C8" s="96">
        <f>+'라.맨홀보수(감곡-간선)'!F12</f>
        <v>0</v>
      </c>
      <c r="D8" s="96">
        <f>+'라.맨홀보수(감곡-간선)'!H12</f>
        <v>0</v>
      </c>
      <c r="E8" s="96">
        <f>+'라.맨홀보수(감곡-간선)'!J12</f>
        <v>0</v>
      </c>
      <c r="F8" s="134"/>
      <c r="G8" s="5"/>
      <c r="H8" s="21" t="s">
        <v>494</v>
      </c>
      <c r="I8" s="21"/>
      <c r="J8" s="22"/>
      <c r="K8" s="21"/>
      <c r="L8" s="21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0" t="s">
        <v>495</v>
      </c>
      <c r="B9" s="107">
        <f>+'마.우수토실개량(감곡-간선)'!D11</f>
        <v>0</v>
      </c>
      <c r="C9" s="96">
        <f>+'마.우수토실개량(감곡-간선)'!F11</f>
        <v>0</v>
      </c>
      <c r="D9" s="96">
        <f>+'마.우수토실개량(감곡-간선)'!H11</f>
        <v>0</v>
      </c>
      <c r="E9" s="96">
        <f>+'마.우수토실개량(감곡-간선)'!J11</f>
        <v>0</v>
      </c>
      <c r="F9" s="134"/>
      <c r="G9" s="5"/>
      <c r="H9" s="7" t="s">
        <v>405</v>
      </c>
      <c r="I9" s="282" t="s">
        <v>489</v>
      </c>
      <c r="J9" s="282" t="s">
        <v>171</v>
      </c>
      <c r="K9" s="282" t="s">
        <v>172</v>
      </c>
      <c r="L9" s="282" t="s">
        <v>173</v>
      </c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111" t="s">
        <v>452</v>
      </c>
      <c r="B10" s="108">
        <f>SUM(B5:B9)</f>
        <v>0</v>
      </c>
      <c r="C10" s="97">
        <f>SUM(C5:C9)</f>
        <v>0</v>
      </c>
      <c r="D10" s="97">
        <f>SUM(D5:D9)</f>
        <v>0</v>
      </c>
      <c r="E10" s="97">
        <f>SUM(E5:E9)</f>
        <v>0</v>
      </c>
      <c r="F10" s="99"/>
      <c r="G10" s="5"/>
      <c r="H10" s="7" t="s">
        <v>496</v>
      </c>
      <c r="I10" s="70" t="e">
        <f>+'가.굴착교체(감곡-간선)'!W23/'1.6.4 오수간선및차집관로 교체및보수'!B10</f>
        <v>#DIV/0!</v>
      </c>
      <c r="J10" s="70" t="e">
        <f t="shared" ref="J10:L11" si="0">+C10/C15</f>
        <v>#DIV/0!</v>
      </c>
      <c r="K10" s="70" t="e">
        <f t="shared" si="0"/>
        <v>#DIV/0!</v>
      </c>
      <c r="L10" s="70" t="e">
        <f t="shared" si="0"/>
        <v>#DIV/0!</v>
      </c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38"/>
      <c r="G11" s="5"/>
      <c r="H11" s="7" t="s">
        <v>702</v>
      </c>
      <c r="I11" s="77" t="e">
        <f>+ROUND(B55*I10,0)</f>
        <v>#DIV/0!</v>
      </c>
      <c r="J11" s="70" t="e">
        <f t="shared" si="0"/>
        <v>#DIV/0!</v>
      </c>
      <c r="K11" s="70" t="e">
        <f t="shared" si="0"/>
        <v>#DIV/0!</v>
      </c>
      <c r="L11" s="70" t="e">
        <f t="shared" si="0"/>
        <v>#DIV/0!</v>
      </c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" t="s">
        <v>456</v>
      </c>
      <c r="D12" s="12"/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4"/>
      <c r="B13" s="15"/>
      <c r="C13" s="15"/>
      <c r="D13" s="15"/>
      <c r="E13" s="15"/>
      <c r="F13" s="8" t="s">
        <v>457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282" t="s">
        <v>435</v>
      </c>
      <c r="B14" s="297" t="s">
        <v>436</v>
      </c>
      <c r="C14" s="298" t="s">
        <v>437</v>
      </c>
      <c r="D14" s="298" t="s">
        <v>438</v>
      </c>
      <c r="E14" s="298" t="s">
        <v>439</v>
      </c>
      <c r="F14" s="299" t="s">
        <v>440</v>
      </c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20" t="s">
        <v>461</v>
      </c>
      <c r="B15" s="117">
        <f>+B10</f>
        <v>0</v>
      </c>
      <c r="C15" s="117">
        <f>+C10</f>
        <v>0</v>
      </c>
      <c r="D15" s="101">
        <v>0</v>
      </c>
      <c r="E15" s="101">
        <v>0</v>
      </c>
      <c r="F15" s="116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450</v>
      </c>
      <c r="B16" s="118">
        <f>IFERROR(INDEX($H$19:$L$35,MATCH(B15,$H$19:$H$35,1),1),0)</f>
        <v>0</v>
      </c>
      <c r="C16" s="118">
        <f>IFERROR(INDEX($H$19:$L$35,MATCH(C15,$H$19:$H$35,1),1),0)</f>
        <v>0</v>
      </c>
      <c r="D16" s="118">
        <f>IFERROR(INDEX($H$19:$L$35,MATCH(D15,$H$19:$H$35,1),1),0)</f>
        <v>0</v>
      </c>
      <c r="E16" s="118">
        <f>IFERROR(INDEX($H$19:$L$35,MATCH(E15,$H$19:$H$35,1),1),0)</f>
        <v>0</v>
      </c>
      <c r="F16" s="113"/>
      <c r="G16" s="5"/>
      <c r="H16" s="16"/>
      <c r="I16" s="9"/>
      <c r="J16" s="9"/>
      <c r="K16" s="9"/>
      <c r="L16" s="9"/>
      <c r="M16" s="39"/>
      <c r="N16" s="9"/>
      <c r="O16" s="9"/>
      <c r="P16" s="39"/>
      <c r="Q16" s="39"/>
      <c r="R16" s="9"/>
      <c r="S16" s="9"/>
      <c r="T16" s="9"/>
    </row>
    <row r="17" spans="1:16" ht="20.100000000000001" customHeight="1">
      <c r="A17" s="110" t="s">
        <v>448</v>
      </c>
      <c r="B17" s="118">
        <f>IFERROR(INDEX($H$19:$L$35,MATCH(B15,$H$19:$H$35,1)+1,1),0)</f>
        <v>0</v>
      </c>
      <c r="C17" s="118">
        <f>IFERROR(INDEX($H$19:$L$35,MATCH(C15,$H$19:$H$35,1)+1,1),0)</f>
        <v>0</v>
      </c>
      <c r="D17" s="118">
        <f>IFERROR(INDEX($H$19:$L$35,MATCH(D15,$H$19:$H$35,1)+1,1),0)</f>
        <v>0</v>
      </c>
      <c r="E17" s="118">
        <f>IFERROR(INDEX($H$19:$L$35,MATCH(E15,$H$19:$H$35,1)+1,1),0)</f>
        <v>0</v>
      </c>
      <c r="F17" s="113"/>
      <c r="G17" s="16"/>
      <c r="H17" s="16" t="s">
        <v>458</v>
      </c>
    </row>
    <row r="18" spans="1:16" ht="20.100000000000001" customHeight="1">
      <c r="A18" s="110" t="s">
        <v>462</v>
      </c>
      <c r="B18" s="141">
        <f>IFERROR(INDEX($H$19:$L$35,MATCH(B15,$H$19:$H$35,1),2)+INDEX($H$19:$L$35,MATCH(B15,$H$19:$H$35,1),3),0)</f>
        <v>0</v>
      </c>
      <c r="C18" s="141">
        <f>IFERROR(INDEX($H$19:$L$35,MATCH(C15,$H$19:$H$35,1),2)+INDEX($H$19:$L$35,MATCH(C15,$H$19:$H$35,1),3),0)</f>
        <v>0</v>
      </c>
      <c r="D18" s="141">
        <f>IFERROR(INDEX($H$19:$L$35,MATCH(D15,$H$19:$H$35,1),2)+INDEX($H$19:$L$35,MATCH(D15,$H$19:$H$35,1),3),0)</f>
        <v>0</v>
      </c>
      <c r="E18" s="141">
        <f>IFERROR(INDEX($H$19:$L$35,MATCH(E15,$H$19:$H$35,1),2)+INDEX($H$19:$L$35,MATCH(E15,$H$19:$H$35,1),3),0)</f>
        <v>0</v>
      </c>
      <c r="F18" s="113"/>
      <c r="G18" s="16"/>
      <c r="H18" s="17" t="s">
        <v>459</v>
      </c>
      <c r="I18" s="17" t="s">
        <v>38</v>
      </c>
      <c r="J18" s="17" t="s">
        <v>39</v>
      </c>
      <c r="K18" s="17" t="s">
        <v>460</v>
      </c>
      <c r="L18" s="17" t="s">
        <v>41</v>
      </c>
    </row>
    <row r="19" spans="1:16" ht="20.100000000000001" customHeight="1">
      <c r="A19" s="110" t="s">
        <v>463</v>
      </c>
      <c r="B19" s="141">
        <f>IFERROR(INDEX($H$19:$L$35,MATCH(B15,$H$19:$H$35,1)+1,2)+INDEX($H$19:$L$35,MATCH(B15,$H$19:$H$35,1)+1,3),0)</f>
        <v>0</v>
      </c>
      <c r="C19" s="141">
        <f>IFERROR(INDEX($H$19:$L$35,MATCH(C15,$H$19:$H$35,1)+1,2)+INDEX($H$19:$L$35,MATCH(C15,$H$19:$H$35,1)+1,3),0)</f>
        <v>0</v>
      </c>
      <c r="D19" s="141">
        <f>IFERROR(INDEX($H$19:$L$35,MATCH(D15,$H$19:$H$35,1)+1,2)+INDEX($H$19:$L$35,MATCH(D15,$H$19:$H$35,1)+1,3),0)</f>
        <v>0</v>
      </c>
      <c r="E19" s="141">
        <f>IFERROR(INDEX($H$19:$L$35,MATCH(E15,$H$19:$H$35,1)+1,2)+INDEX($H$19:$L$35,MATCH(E15,$H$19:$H$35,1)+1,3),0)</f>
        <v>0</v>
      </c>
      <c r="F19" s="113"/>
      <c r="G19" s="16"/>
      <c r="H19" s="18">
        <v>50</v>
      </c>
      <c r="I19" s="19">
        <v>3.2400000000000005E-2</v>
      </c>
      <c r="J19" s="19">
        <v>6.4899999999999999E-2</v>
      </c>
      <c r="K19" s="19">
        <v>3.0200000000000001E-2</v>
      </c>
      <c r="L19" s="19">
        <v>1.0800000000000001E-2</v>
      </c>
      <c r="M19" s="20"/>
      <c r="N19" s="20"/>
      <c r="O19" s="20"/>
      <c r="P19" s="20"/>
    </row>
    <row r="20" spans="1:16" ht="20.100000000000001" customHeight="1">
      <c r="A20" s="110" t="s">
        <v>464</v>
      </c>
      <c r="B20" s="141">
        <f>IFERROR(B18+((B19-B18)/(B17-B16))*(B15-B16),0)</f>
        <v>0</v>
      </c>
      <c r="C20" s="141">
        <f>IFERROR(C18+((C19-C18)/(C17-C16))*(C15-C16),0)</f>
        <v>0</v>
      </c>
      <c r="D20" s="141">
        <f>IFERROR(D18+((D19-D18)/(D17-D16))*(D15-D16),0)</f>
        <v>0</v>
      </c>
      <c r="E20" s="141">
        <f>IFERROR(E18+((E19-E18)/(E17-E16))*(E15-E16),0)</f>
        <v>0</v>
      </c>
      <c r="F20" s="113"/>
      <c r="G20" s="16"/>
      <c r="H20" s="18">
        <v>100</v>
      </c>
      <c r="I20" s="19">
        <v>3.04E-2</v>
      </c>
      <c r="J20" s="19">
        <v>6.0700000000000004E-2</v>
      </c>
      <c r="K20" s="19">
        <v>2.8500000000000001E-2</v>
      </c>
      <c r="L20" s="19">
        <v>9.0000000000000011E-3</v>
      </c>
      <c r="M20" s="20"/>
      <c r="N20" s="20"/>
      <c r="O20" s="20"/>
      <c r="P20" s="20"/>
    </row>
    <row r="21" spans="1:16" ht="20.100000000000001" customHeight="1">
      <c r="A21" s="111" t="s">
        <v>480</v>
      </c>
      <c r="B21" s="97">
        <f>+ROUND(B15*B20,0)</f>
        <v>0</v>
      </c>
      <c r="C21" s="97">
        <f>+ROUND(C15*C20,0)</f>
        <v>0</v>
      </c>
      <c r="D21" s="98">
        <v>0</v>
      </c>
      <c r="E21" s="98">
        <v>0</v>
      </c>
      <c r="F21" s="114"/>
      <c r="G21" s="16"/>
      <c r="H21" s="18">
        <v>200</v>
      </c>
      <c r="I21" s="19">
        <v>2.4199999999999999E-2</v>
      </c>
      <c r="J21" s="19">
        <v>4.8499999999999995E-2</v>
      </c>
      <c r="K21" s="19">
        <v>2.2599999999999999E-2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21"/>
      <c r="B22" s="22"/>
      <c r="C22" s="22"/>
      <c r="D22" s="23"/>
      <c r="E22" s="23"/>
      <c r="F22" s="24"/>
      <c r="G22" s="16"/>
      <c r="H22" s="18">
        <v>300</v>
      </c>
      <c r="I22" s="19">
        <v>2.2200000000000001E-2</v>
      </c>
      <c r="J22" s="19">
        <v>4.4299999999999999E-2</v>
      </c>
      <c r="K22" s="19">
        <v>2.06E-2</v>
      </c>
      <c r="L22" s="19">
        <v>7.1999999999999998E-3</v>
      </c>
      <c r="M22" s="20"/>
      <c r="N22" s="20"/>
      <c r="O22" s="20"/>
      <c r="P22" s="20"/>
    </row>
    <row r="23" spans="1:16" ht="20.100000000000001" customHeight="1">
      <c r="A23" s="2" t="s">
        <v>485</v>
      </c>
      <c r="G23" s="16"/>
      <c r="H23" s="18">
        <v>500</v>
      </c>
      <c r="I23" s="19">
        <v>2.0099999999999996E-2</v>
      </c>
      <c r="J23" s="19">
        <v>4.0300000000000002E-2</v>
      </c>
      <c r="K23" s="19">
        <v>1.89E-2</v>
      </c>
      <c r="L23" s="19">
        <v>7.1999999999999998E-3</v>
      </c>
      <c r="M23" s="20"/>
      <c r="N23" s="20"/>
      <c r="O23" s="20"/>
      <c r="P23" s="20"/>
    </row>
    <row r="24" spans="1:16" ht="20.100000000000001" customHeight="1">
      <c r="A24" s="14"/>
      <c r="B24" s="15"/>
      <c r="C24" s="15"/>
      <c r="D24" s="15"/>
      <c r="E24" s="15"/>
      <c r="F24" s="8" t="s">
        <v>457</v>
      </c>
      <c r="G24" s="16"/>
      <c r="H24" s="18">
        <v>1000</v>
      </c>
      <c r="I24" s="19">
        <v>1.77E-2</v>
      </c>
      <c r="J24" s="19">
        <v>3.5499999999999997E-2</v>
      </c>
      <c r="K24" s="19">
        <v>1.66E-2</v>
      </c>
      <c r="L24" s="19">
        <v>6.3E-3</v>
      </c>
      <c r="M24" s="20"/>
      <c r="N24" s="20"/>
      <c r="O24" s="20"/>
      <c r="P24" s="20"/>
    </row>
    <row r="25" spans="1:16" ht="20.100000000000001" customHeight="1">
      <c r="A25" s="282" t="s">
        <v>435</v>
      </c>
      <c r="B25" s="297" t="s">
        <v>436</v>
      </c>
      <c r="C25" s="298" t="s">
        <v>437</v>
      </c>
      <c r="D25" s="298" t="s">
        <v>438</v>
      </c>
      <c r="E25" s="298" t="s">
        <v>439</v>
      </c>
      <c r="F25" s="299" t="s">
        <v>440</v>
      </c>
      <c r="G25" s="16"/>
      <c r="H25" s="18">
        <v>2000</v>
      </c>
      <c r="I25" s="19">
        <v>1.6299999999999999E-2</v>
      </c>
      <c r="J25" s="19">
        <v>3.27E-2</v>
      </c>
      <c r="K25" s="19">
        <v>1.5300000000000001E-2</v>
      </c>
      <c r="L25" s="19">
        <v>3.5999999999999999E-3</v>
      </c>
      <c r="M25" s="20"/>
      <c r="N25" s="20"/>
      <c r="O25" s="20"/>
      <c r="P25" s="20"/>
    </row>
    <row r="26" spans="1:16" ht="20.100000000000001" customHeight="1">
      <c r="A26" s="120" t="s">
        <v>461</v>
      </c>
      <c r="B26" s="117">
        <f>+B15</f>
        <v>0</v>
      </c>
      <c r="C26" s="115">
        <f>+C15</f>
        <v>0</v>
      </c>
      <c r="D26" s="101">
        <v>0</v>
      </c>
      <c r="E26" s="101">
        <v>0</v>
      </c>
      <c r="F26" s="116"/>
      <c r="G26" s="16"/>
      <c r="H26" s="18">
        <v>3000</v>
      </c>
      <c r="I26" s="19">
        <v>1.5700000000000002E-2</v>
      </c>
      <c r="J26" s="19">
        <v>3.15E-2</v>
      </c>
      <c r="K26" s="19">
        <v>1.4800000000000001E-2</v>
      </c>
      <c r="L26" s="19">
        <v>3.5999999999999999E-3</v>
      </c>
      <c r="M26" s="20"/>
      <c r="N26" s="20"/>
      <c r="O26" s="20"/>
      <c r="P26" s="20"/>
    </row>
    <row r="27" spans="1:16" ht="20.100000000000001" customHeight="1">
      <c r="A27" s="110" t="s">
        <v>450</v>
      </c>
      <c r="B27" s="118">
        <f>I37</f>
        <v>10000</v>
      </c>
      <c r="C27" s="118">
        <f>I37</f>
        <v>10000</v>
      </c>
      <c r="D27" s="96">
        <v>0</v>
      </c>
      <c r="E27" s="96">
        <v>0</v>
      </c>
      <c r="F27" s="113"/>
      <c r="G27" s="16"/>
      <c r="H27" s="18">
        <v>5000</v>
      </c>
      <c r="I27" s="19">
        <v>1.54E-2</v>
      </c>
      <c r="J27" s="19">
        <v>3.0899999999999997E-2</v>
      </c>
      <c r="K27" s="19">
        <v>1.4499999999999999E-2</v>
      </c>
      <c r="L27" s="19">
        <v>2.7000000000000001E-3</v>
      </c>
      <c r="M27" s="20"/>
      <c r="N27" s="20"/>
      <c r="O27" s="20"/>
      <c r="P27" s="20"/>
    </row>
    <row r="28" spans="1:16" ht="20.100000000000001" customHeight="1">
      <c r="A28" s="110" t="s">
        <v>448</v>
      </c>
      <c r="B28" s="118">
        <f>I37</f>
        <v>10000</v>
      </c>
      <c r="C28" s="118">
        <f>I37</f>
        <v>10000</v>
      </c>
      <c r="D28" s="96">
        <v>0</v>
      </c>
      <c r="E28" s="96">
        <v>0</v>
      </c>
      <c r="F28" s="113"/>
      <c r="G28" s="16"/>
      <c r="H28" s="18">
        <v>10000</v>
      </c>
      <c r="I28" s="19">
        <v>1.5100000000000001E-2</v>
      </c>
      <c r="J28" s="19">
        <v>3.0099999999999998E-2</v>
      </c>
      <c r="K28" s="19">
        <v>1.41E-2</v>
      </c>
      <c r="L28" s="19">
        <v>2.5000000000000001E-3</v>
      </c>
      <c r="M28" s="20"/>
      <c r="N28" s="20"/>
      <c r="O28" s="20"/>
      <c r="P28" s="20"/>
    </row>
    <row r="29" spans="1:16" ht="20.100000000000001" customHeight="1">
      <c r="A29" s="110" t="s">
        <v>462</v>
      </c>
      <c r="B29" s="141">
        <f>I38</f>
        <v>9.3699999999999992E-2</v>
      </c>
      <c r="C29" s="141">
        <f>I38</f>
        <v>9.3699999999999992E-2</v>
      </c>
      <c r="D29" s="96">
        <v>0</v>
      </c>
      <c r="E29" s="96">
        <v>0</v>
      </c>
      <c r="F29" s="113"/>
      <c r="G29" s="16"/>
      <c r="H29" s="18">
        <v>20000</v>
      </c>
      <c r="I29" s="19">
        <v>1.46E-2</v>
      </c>
      <c r="J29" s="19">
        <v>2.9100000000000001E-2</v>
      </c>
      <c r="K29" s="19">
        <v>1.37E-2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0" t="s">
        <v>463</v>
      </c>
      <c r="B30" s="141">
        <f>I38</f>
        <v>9.3699999999999992E-2</v>
      </c>
      <c r="C30" s="141">
        <f>I38</f>
        <v>9.3699999999999992E-2</v>
      </c>
      <c r="D30" s="96">
        <v>0</v>
      </c>
      <c r="E30" s="96">
        <v>0</v>
      </c>
      <c r="F30" s="113"/>
      <c r="G30" s="16"/>
      <c r="H30" s="18">
        <v>30000</v>
      </c>
      <c r="I30" s="19">
        <v>1.4499999999999999E-2</v>
      </c>
      <c r="J30" s="19">
        <v>2.8999999999999998E-2</v>
      </c>
      <c r="K30" s="19">
        <v>1.3500000000000002E-2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110" t="s">
        <v>464</v>
      </c>
      <c r="B31" s="141">
        <f>I38</f>
        <v>9.3699999999999992E-2</v>
      </c>
      <c r="C31" s="141">
        <f>I38</f>
        <v>9.3699999999999992E-2</v>
      </c>
      <c r="D31" s="96">
        <v>0</v>
      </c>
      <c r="E31" s="96">
        <v>0</v>
      </c>
      <c r="F31" s="113"/>
      <c r="G31" s="16"/>
      <c r="H31" s="18">
        <v>50000</v>
      </c>
      <c r="I31" s="19">
        <v>1.41E-2</v>
      </c>
      <c r="J31" s="19">
        <v>2.8399999999999998E-2</v>
      </c>
      <c r="K31" s="19">
        <v>1.3300000000000001E-2</v>
      </c>
      <c r="L31" s="19">
        <v>2.3E-3</v>
      </c>
      <c r="M31" s="20"/>
      <c r="N31" s="20"/>
      <c r="O31" s="20"/>
      <c r="P31" s="20"/>
    </row>
    <row r="32" spans="1:16" ht="20.100000000000001" customHeight="1">
      <c r="A32" s="111" t="s">
        <v>475</v>
      </c>
      <c r="B32" s="97">
        <f>+ROUND(B26*B31,0)</f>
        <v>0</v>
      </c>
      <c r="C32" s="97">
        <f>+ROUND(C26*C31,0)</f>
        <v>0</v>
      </c>
      <c r="D32" s="98">
        <v>0</v>
      </c>
      <c r="E32" s="98">
        <v>0</v>
      </c>
      <c r="F32" s="114"/>
      <c r="G32" s="25"/>
      <c r="H32" s="18">
        <v>100000</v>
      </c>
      <c r="I32" s="19">
        <v>1.3999999999999999E-2</v>
      </c>
      <c r="J32" s="19">
        <v>2.7900000000000001E-2</v>
      </c>
      <c r="K32" s="19">
        <v>1.3000000000000001E-2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26"/>
      <c r="H33" s="18">
        <v>200000</v>
      </c>
      <c r="I33" s="19">
        <v>1.38E-2</v>
      </c>
      <c r="J33" s="19">
        <v>2.76E-2</v>
      </c>
      <c r="K33" s="19">
        <v>1.2800000000000001E-2</v>
      </c>
      <c r="L33" s="19">
        <v>2.0999999999999999E-3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7"/>
      <c r="H34" s="18">
        <v>300000</v>
      </c>
      <c r="I34" s="19">
        <v>1.37E-2</v>
      </c>
      <c r="J34" s="19">
        <v>2.7200000000000002E-2</v>
      </c>
      <c r="K34" s="19">
        <v>1.2500000000000001E-2</v>
      </c>
      <c r="L34" s="19">
        <v>1.9E-3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8">
        <v>500000</v>
      </c>
      <c r="I35" s="19">
        <v>1.34E-2</v>
      </c>
      <c r="J35" s="19">
        <v>2.7000000000000003E-2</v>
      </c>
      <c r="K35" s="19">
        <v>1.23E-2</v>
      </c>
      <c r="L35" s="19">
        <v>1.7000000000000001E-3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9" t="s">
        <v>476</v>
      </c>
    </row>
    <row r="37" spans="1:17" ht="20.100000000000001" customHeight="1">
      <c r="A37" s="2" t="s">
        <v>477</v>
      </c>
      <c r="D37" s="12"/>
      <c r="G37" s="9"/>
      <c r="H37" s="17" t="s">
        <v>459</v>
      </c>
      <c r="I37" s="34">
        <v>10000</v>
      </c>
      <c r="J37" s="34">
        <v>20000</v>
      </c>
      <c r="K37" s="34">
        <v>30000</v>
      </c>
      <c r="L37" s="34">
        <v>40000</v>
      </c>
      <c r="M37" s="34">
        <v>50000</v>
      </c>
      <c r="N37" s="34">
        <v>70000</v>
      </c>
      <c r="O37" s="34">
        <v>100000</v>
      </c>
      <c r="P37" s="34">
        <v>150000</v>
      </c>
      <c r="Q37" s="34">
        <v>200000</v>
      </c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17" t="s">
        <v>53</v>
      </c>
      <c r="I38" s="19">
        <v>9.3699999999999992E-2</v>
      </c>
      <c r="J38" s="19">
        <v>7.4999999999999997E-2</v>
      </c>
      <c r="K38" s="19">
        <v>6.5199999999999994E-2</v>
      </c>
      <c r="L38" s="19">
        <v>5.8799999999999998E-2</v>
      </c>
      <c r="M38" s="19">
        <v>5.4299999999999994E-2</v>
      </c>
      <c r="N38" s="19">
        <v>4.9100000000000005E-2</v>
      </c>
      <c r="O38" s="19">
        <v>4.4600000000000001E-2</v>
      </c>
      <c r="P38" s="19">
        <v>3.9199999999999999E-2</v>
      </c>
      <c r="Q38" s="19">
        <v>3.5299999999999998E-2</v>
      </c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  <c r="I39" s="20"/>
      <c r="J39" s="20"/>
      <c r="K39" s="20"/>
      <c r="L39" s="20"/>
      <c r="M39" s="20"/>
      <c r="N39" s="20"/>
      <c r="O39" s="20"/>
      <c r="P39" s="20"/>
      <c r="Q39" s="20"/>
    </row>
    <row r="40" spans="1:17" ht="20.100000000000001" customHeight="1">
      <c r="A40" s="120" t="s">
        <v>461</v>
      </c>
      <c r="B40" s="117">
        <f>+B15</f>
        <v>0</v>
      </c>
      <c r="C40" s="115">
        <f>+C15</f>
        <v>0</v>
      </c>
      <c r="D40" s="101">
        <v>0</v>
      </c>
      <c r="E40" s="101">
        <v>0</v>
      </c>
      <c r="F40" s="116"/>
      <c r="G40" s="9"/>
      <c r="H40" s="9"/>
    </row>
    <row r="41" spans="1:17" ht="20.100000000000001" customHeight="1">
      <c r="A41" s="110" t="s">
        <v>450</v>
      </c>
      <c r="B41" s="118">
        <f>IFERROR(INDEX($H$19:$L$35,MATCH(B10,$H$19:$H$35,1),1),0)</f>
        <v>0</v>
      </c>
      <c r="C41" s="118">
        <f>IFERROR(INDEX($H$19:$L$35,MATCH(C10,$H$19:$H$35,1),1),0)</f>
        <v>0</v>
      </c>
      <c r="D41" s="118">
        <f>IFERROR(INDEX($H$19:$L$35,MATCH(D10,$H$19:$H$35,1),1),0)</f>
        <v>0</v>
      </c>
      <c r="E41" s="118">
        <f>IFERROR(INDEX($H$19:$L$35,MATCH(E10,$H$19:$H$35,1),1),0)</f>
        <v>0</v>
      </c>
      <c r="F41" s="113"/>
      <c r="G41" s="9"/>
      <c r="H41" s="9"/>
    </row>
    <row r="42" spans="1:17" ht="20.100000000000001" customHeight="1">
      <c r="A42" s="110" t="s">
        <v>448</v>
      </c>
      <c r="B42" s="118">
        <f>IFERROR(INDEX($H$19:$L$35,MATCH(B10,$H$19:$H$35,1)+1,1),0)</f>
        <v>0</v>
      </c>
      <c r="C42" s="118">
        <f>IFERROR(INDEX($H$19:$L$35,MATCH(C10,$H$19:$H$35,1)+1,1),0)</f>
        <v>0</v>
      </c>
      <c r="D42" s="118">
        <f>IFERROR(INDEX($H$19:$L$35,MATCH(D10,$H$19:$H$35,1)+1,1),0)</f>
        <v>0</v>
      </c>
      <c r="E42" s="118">
        <f>IFERROR(INDEX($H$19:$L$35,MATCH(E10,$H$19:$H$35,1)+1,1),0)</f>
        <v>0</v>
      </c>
      <c r="F42" s="113"/>
      <c r="G42" s="9"/>
    </row>
    <row r="43" spans="1:17" ht="20.100000000000001" customHeight="1">
      <c r="A43" s="110" t="s">
        <v>462</v>
      </c>
      <c r="B43" s="141">
        <f>IFERROR(INDEX($H$19:$L$35,MATCH(B10,$H$19:$H$35,1),5),0)</f>
        <v>0</v>
      </c>
      <c r="C43" s="141">
        <f>IFERROR(INDEX($H$19:$L$35,MATCH(C10,$H$19:$H$35,1),5),0)</f>
        <v>0</v>
      </c>
      <c r="D43" s="141">
        <f>IFERROR(INDEX($H$19:$L$35,MATCH(D10,$H$19:$H$35,1),5),0)</f>
        <v>0</v>
      </c>
      <c r="E43" s="141">
        <f>IFERROR(INDEX($H$19:$L$35,MATCH(E10,$H$19:$H$35,1),5),0)</f>
        <v>0</v>
      </c>
      <c r="F43" s="113"/>
    </row>
    <row r="44" spans="1:17" ht="20.100000000000001" customHeight="1">
      <c r="A44" s="110" t="s">
        <v>463</v>
      </c>
      <c r="B44" s="141">
        <f>IFERROR(INDEX($H$19:$L$35,MATCH(B10,$H$19:$H$35,1)+1,5),0)</f>
        <v>0</v>
      </c>
      <c r="C44" s="141">
        <f>IFERROR(INDEX($H$19:$L$35,MATCH(C10,$H$19:$H$35,1)+1,5),0)</f>
        <v>0</v>
      </c>
      <c r="D44" s="141">
        <f>IFERROR(INDEX($H$19:$L$35,MATCH(D10,$H$19:$H$35,1)+1,5),0)</f>
        <v>0</v>
      </c>
      <c r="E44" s="141">
        <f>IFERROR(INDEX($H$19:$L$35,MATCH(E10,$H$19:$H$35,1)+1,5),0)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0</v>
      </c>
      <c r="C45" s="141">
        <f>IFERROR(C43+((C44-C43)/(C42-C41))*(C40-C41),0)</f>
        <v>0</v>
      </c>
      <c r="D45" s="141">
        <f>IFERROR(D43+((D44-D43)/(D42-D41))*(D40-D41),0)</f>
        <v>0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98">
        <v>0</v>
      </c>
      <c r="C46" s="98">
        <v>0</v>
      </c>
      <c r="D46" s="98">
        <v>0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47" t="s">
        <v>452</v>
      </c>
      <c r="B51" s="148">
        <f>+B10</f>
        <v>0</v>
      </c>
      <c r="C51" s="149">
        <f>+C10</f>
        <v>0</v>
      </c>
      <c r="D51" s="149">
        <f>+D10</f>
        <v>0</v>
      </c>
      <c r="E51" s="149">
        <f>+E10</f>
        <v>0</v>
      </c>
      <c r="F51" s="150"/>
    </row>
    <row r="52" spans="1:6" ht="20.100000000000001" customHeight="1">
      <c r="A52" s="132" t="s">
        <v>480</v>
      </c>
      <c r="B52" s="129">
        <f>+B21</f>
        <v>0</v>
      </c>
      <c r="C52" s="121">
        <f>+C21</f>
        <v>0</v>
      </c>
      <c r="D52" s="121">
        <f>+D21</f>
        <v>0</v>
      </c>
      <c r="E52" s="121">
        <f>+E21</f>
        <v>0</v>
      </c>
      <c r="F52" s="122"/>
    </row>
    <row r="53" spans="1:6" ht="20.100000000000001" customHeight="1">
      <c r="A53" s="132" t="s">
        <v>475</v>
      </c>
      <c r="B53" s="129">
        <f>+B32</f>
        <v>0</v>
      </c>
      <c r="C53" s="121">
        <f>+C32</f>
        <v>0</v>
      </c>
      <c r="D53" s="121">
        <f>+D32</f>
        <v>0</v>
      </c>
      <c r="E53" s="121">
        <f>+E32</f>
        <v>0</v>
      </c>
      <c r="F53" s="122"/>
    </row>
    <row r="54" spans="1:6" ht="20.100000000000001" customHeight="1">
      <c r="A54" s="132" t="s">
        <v>478</v>
      </c>
      <c r="B54" s="129">
        <f>+B46</f>
        <v>0</v>
      </c>
      <c r="C54" s="121">
        <f>+C46</f>
        <v>0</v>
      </c>
      <c r="D54" s="121">
        <f>+D46</f>
        <v>0</v>
      </c>
      <c r="E54" s="121">
        <f>+E46</f>
        <v>0</v>
      </c>
      <c r="F54" s="122"/>
    </row>
    <row r="55" spans="1:6" ht="20.100000000000001" customHeight="1">
      <c r="A55" s="133" t="s">
        <v>481</v>
      </c>
      <c r="B55" s="130">
        <f>SUM(B51:B54)</f>
        <v>0</v>
      </c>
      <c r="C55" s="123">
        <f>SUM(C51:C54)</f>
        <v>0</v>
      </c>
      <c r="D55" s="123">
        <f>SUM(D51:D54)</f>
        <v>0</v>
      </c>
      <c r="E55" s="123">
        <f>SUM(E51:E54)</f>
        <v>0</v>
      </c>
      <c r="F55" s="125"/>
    </row>
    <row r="56" spans="1:6" ht="20.100000000000001" customHeight="1">
      <c r="A56" s="109" t="s">
        <v>417</v>
      </c>
      <c r="B56" s="145">
        <v>0</v>
      </c>
      <c r="C56" s="145">
        <v>0</v>
      </c>
      <c r="D56" s="146">
        <v>0</v>
      </c>
      <c r="E56" s="146">
        <v>0</v>
      </c>
      <c r="F56" s="144"/>
    </row>
    <row r="57" spans="1:6" ht="20.100000000000001" customHeight="1">
      <c r="A57" s="143" t="s">
        <v>413</v>
      </c>
      <c r="B57" s="142">
        <f>+B55-B56</f>
        <v>0</v>
      </c>
      <c r="C57" s="137">
        <f>+C55-C56</f>
        <v>0</v>
      </c>
      <c r="D57" s="137">
        <f>+D55-D56</f>
        <v>0</v>
      </c>
      <c r="E57" s="137">
        <f>+E55-E56</f>
        <v>0</v>
      </c>
      <c r="F57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workbookViewId="0"/>
    <sheetView workbookViewId="1"/>
  </sheetViews>
  <sheetFormatPr defaultRowHeight="12"/>
  <cols>
    <col min="1" max="2" width="6.625" style="2" customWidth="1"/>
    <col min="3" max="3" width="9.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30" ht="20.100000000000001" customHeight="1">
      <c r="A1" s="1" t="s">
        <v>507</v>
      </c>
      <c r="B1" s="1"/>
      <c r="C1" s="1"/>
      <c r="D1" s="1"/>
      <c r="L1" s="2">
        <v>2.0798999999999999</v>
      </c>
      <c r="M1" s="2" t="s">
        <v>508</v>
      </c>
    </row>
    <row r="2" spans="1:30" ht="20.100000000000001" customHeight="1">
      <c r="A2" s="2" t="s">
        <v>509</v>
      </c>
    </row>
    <row r="3" spans="1:30" ht="20.100000000000001" customHeight="1">
      <c r="A3" s="4" t="s">
        <v>510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</row>
    <row r="4" spans="1:30" ht="20.100000000000001" customHeight="1">
      <c r="A4" s="40"/>
      <c r="B4" s="40"/>
      <c r="C4" s="40"/>
      <c r="D4" s="40"/>
      <c r="M4" s="776"/>
      <c r="N4" s="776"/>
      <c r="O4" s="272" t="s">
        <v>67</v>
      </c>
      <c r="P4" s="272" t="s">
        <v>68</v>
      </c>
    </row>
    <row r="5" spans="1:30" ht="20.100000000000001" customHeight="1">
      <c r="A5" s="2" t="s">
        <v>431</v>
      </c>
      <c r="M5" s="776" t="s">
        <v>69</v>
      </c>
      <c r="N5" s="272">
        <v>300</v>
      </c>
      <c r="O5" s="44">
        <v>659080</v>
      </c>
      <c r="P5" s="44">
        <v>942420</v>
      </c>
    </row>
    <row r="6" spans="1:30" ht="20.100000000000001" customHeight="1">
      <c r="I6" s="8"/>
      <c r="K6" s="8" t="s">
        <v>512</v>
      </c>
      <c r="M6" s="776"/>
      <c r="N6" s="272">
        <v>400</v>
      </c>
      <c r="O6" s="44">
        <v>695100</v>
      </c>
      <c r="P6" s="44">
        <v>988070</v>
      </c>
    </row>
    <row r="7" spans="1:30" ht="20.100000000000001" customHeight="1">
      <c r="A7" s="783" t="s">
        <v>435</v>
      </c>
      <c r="B7" s="785" t="s">
        <v>513</v>
      </c>
      <c r="C7" s="787" t="s">
        <v>514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776"/>
      <c r="N7" s="272">
        <v>500</v>
      </c>
      <c r="O7" s="44">
        <v>744140</v>
      </c>
      <c r="P7" s="44">
        <v>1046720</v>
      </c>
    </row>
    <row r="8" spans="1:30" ht="20.100000000000001" customHeight="1">
      <c r="A8" s="840"/>
      <c r="B8" s="888"/>
      <c r="C8" s="841"/>
      <c r="D8" s="160" t="s">
        <v>515</v>
      </c>
      <c r="E8" s="273" t="s">
        <v>452</v>
      </c>
      <c r="F8" s="281" t="s">
        <v>515</v>
      </c>
      <c r="G8" s="273" t="s">
        <v>452</v>
      </c>
      <c r="H8" s="281" t="s">
        <v>515</v>
      </c>
      <c r="I8" s="273" t="s">
        <v>452</v>
      </c>
      <c r="J8" s="281" t="s">
        <v>515</v>
      </c>
      <c r="K8" s="274" t="s">
        <v>452</v>
      </c>
      <c r="M8" s="776"/>
      <c r="N8" s="272">
        <v>600</v>
      </c>
      <c r="O8" s="44">
        <v>827700</v>
      </c>
      <c r="P8" s="44">
        <v>1152160</v>
      </c>
      <c r="S8" s="12" t="s">
        <v>516</v>
      </c>
    </row>
    <row r="9" spans="1:30" ht="20.100000000000001" customHeight="1">
      <c r="A9" s="943" t="s">
        <v>832</v>
      </c>
      <c r="B9" s="397">
        <v>250</v>
      </c>
      <c r="C9" s="394">
        <f>ROUND(AVERAGE(O5,O26)*L1,0)</f>
        <v>1326092</v>
      </c>
      <c r="D9" s="2">
        <v>0</v>
      </c>
      <c r="E9" s="101">
        <f>+ROUND($C9*D9/1000000,0)</f>
        <v>0</v>
      </c>
      <c r="F9" s="2">
        <v>0</v>
      </c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776"/>
      <c r="N9" s="272">
        <v>700</v>
      </c>
      <c r="O9" s="44">
        <v>908330</v>
      </c>
      <c r="P9" s="44">
        <v>1242130</v>
      </c>
      <c r="S9" s="796" t="s">
        <v>435</v>
      </c>
      <c r="T9" s="791" t="s">
        <v>513</v>
      </c>
      <c r="U9" s="791" t="s">
        <v>514</v>
      </c>
      <c r="V9" s="790" t="s">
        <v>436</v>
      </c>
      <c r="W9" s="790"/>
      <c r="X9" s="790" t="s">
        <v>437</v>
      </c>
      <c r="Y9" s="790"/>
      <c r="Z9" s="790" t="s">
        <v>438</v>
      </c>
      <c r="AA9" s="790"/>
      <c r="AB9" s="790" t="s">
        <v>439</v>
      </c>
      <c r="AC9" s="790"/>
    </row>
    <row r="10" spans="1:30" ht="20.100000000000001" customHeight="1">
      <c r="A10" s="913"/>
      <c r="B10" s="347">
        <v>300</v>
      </c>
      <c r="C10" s="332">
        <f>ROUND(AVERAGE(O5,O27)*$L$1,0)</f>
        <v>1383986</v>
      </c>
      <c r="D10" s="2">
        <v>199</v>
      </c>
      <c r="E10" s="94">
        <f t="shared" ref="E10:G19" si="0">+ROUND($C10*D10/1000000,0)</f>
        <v>275</v>
      </c>
      <c r="F10" s="2">
        <v>199</v>
      </c>
      <c r="G10" s="94">
        <f t="shared" si="0"/>
        <v>275</v>
      </c>
      <c r="H10" s="94"/>
      <c r="I10" s="94">
        <f t="shared" ref="I10:I20" si="1">+ROUND($C10*H10/1000000,0)</f>
        <v>0</v>
      </c>
      <c r="J10" s="94"/>
      <c r="K10" s="153">
        <f t="shared" ref="K10:K20" si="2">+ROUND($C10*J10/1000000,0)</f>
        <v>0</v>
      </c>
      <c r="L10" s="9"/>
      <c r="M10" s="776"/>
      <c r="N10" s="272">
        <v>800</v>
      </c>
      <c r="O10" s="44">
        <v>985210</v>
      </c>
      <c r="P10" s="44">
        <v>1328710</v>
      </c>
      <c r="S10" s="793"/>
      <c r="T10" s="797"/>
      <c r="U10" s="797"/>
      <c r="V10" s="42" t="s">
        <v>515</v>
      </c>
      <c r="W10" s="282" t="s">
        <v>452</v>
      </c>
      <c r="X10" s="42" t="s">
        <v>515</v>
      </c>
      <c r="Y10" s="282" t="s">
        <v>452</v>
      </c>
      <c r="Z10" s="42" t="s">
        <v>515</v>
      </c>
      <c r="AA10" s="282" t="s">
        <v>452</v>
      </c>
      <c r="AB10" s="42" t="s">
        <v>515</v>
      </c>
      <c r="AC10" s="282" t="s">
        <v>452</v>
      </c>
    </row>
    <row r="11" spans="1:30" ht="20.100000000000001" customHeight="1">
      <c r="A11" s="913"/>
      <c r="B11" s="347">
        <v>400</v>
      </c>
      <c r="C11" s="332">
        <f>ROUND(AVERAGE(O6,O28)*$L$1,0)</f>
        <v>1494294</v>
      </c>
      <c r="D11" s="2">
        <v>54</v>
      </c>
      <c r="E11" s="94">
        <f t="shared" si="0"/>
        <v>81</v>
      </c>
      <c r="F11" s="2">
        <v>54</v>
      </c>
      <c r="G11" s="94">
        <f t="shared" si="0"/>
        <v>81</v>
      </c>
      <c r="H11" s="94"/>
      <c r="I11" s="94">
        <f t="shared" si="1"/>
        <v>0</v>
      </c>
      <c r="J11" s="94"/>
      <c r="K11" s="153">
        <f t="shared" si="2"/>
        <v>0</v>
      </c>
      <c r="L11" s="9"/>
      <c r="M11" s="776"/>
      <c r="N11" s="272">
        <v>900</v>
      </c>
      <c r="O11" s="44">
        <v>1082060</v>
      </c>
      <c r="P11" s="44">
        <v>1435170</v>
      </c>
      <c r="S11" s="791" t="s">
        <v>518</v>
      </c>
      <c r="T11" s="272">
        <v>300</v>
      </c>
      <c r="U11" s="46">
        <f t="shared" ref="U11:U22" si="3">+C9</f>
        <v>1326092</v>
      </c>
      <c r="V11" s="66">
        <v>82</v>
      </c>
      <c r="W11" s="10">
        <f t="shared" ref="W11:W22" si="4">+ROUND($C9*V11/1000000,0)</f>
        <v>109</v>
      </c>
      <c r="X11" s="10"/>
      <c r="Y11" s="10">
        <f t="shared" ref="Y11:Y22" si="5">+ROUND($C9*X11/1000000,0)</f>
        <v>0</v>
      </c>
      <c r="Z11" s="10"/>
      <c r="AA11" s="10">
        <f t="shared" ref="AA11:AA22" si="6">+ROUND($C9*Z11/1000000,0)</f>
        <v>0</v>
      </c>
      <c r="AB11" s="10"/>
      <c r="AC11" s="10">
        <f t="shared" ref="AC11:AC22" si="7">+ROUND($C9*AB11/1000000,0)</f>
        <v>0</v>
      </c>
      <c r="AD11" s="13">
        <f t="shared" ref="AD11:AD23" si="8">+D9-V11</f>
        <v>-82</v>
      </c>
    </row>
    <row r="12" spans="1:30" ht="20.100000000000001" customHeight="1">
      <c r="A12" s="913"/>
      <c r="B12" s="347">
        <v>450</v>
      </c>
      <c r="C12" s="332">
        <f>(C11+C13)/2</f>
        <v>1567153</v>
      </c>
      <c r="D12" s="2">
        <v>0</v>
      </c>
      <c r="E12" s="94">
        <f t="shared" si="0"/>
        <v>0</v>
      </c>
      <c r="F12" s="2">
        <v>0</v>
      </c>
      <c r="G12" s="94">
        <f t="shared" si="0"/>
        <v>0</v>
      </c>
      <c r="H12" s="94"/>
      <c r="I12" s="94">
        <f t="shared" si="1"/>
        <v>0</v>
      </c>
      <c r="J12" s="94"/>
      <c r="K12" s="153">
        <f t="shared" si="2"/>
        <v>0</v>
      </c>
      <c r="L12" s="9"/>
      <c r="M12" s="776"/>
      <c r="N12" s="272">
        <v>1000</v>
      </c>
      <c r="O12" s="44">
        <v>1224100</v>
      </c>
      <c r="P12" s="44">
        <v>1586920</v>
      </c>
      <c r="S12" s="792"/>
      <c r="T12" s="272">
        <v>400</v>
      </c>
      <c r="U12" s="46">
        <f t="shared" si="3"/>
        <v>1383986</v>
      </c>
      <c r="V12" s="66">
        <v>39</v>
      </c>
      <c r="W12" s="10">
        <f t="shared" si="4"/>
        <v>54</v>
      </c>
      <c r="X12" s="10"/>
      <c r="Y12" s="10">
        <f t="shared" si="5"/>
        <v>0</v>
      </c>
      <c r="Z12" s="10"/>
      <c r="AA12" s="10">
        <f t="shared" si="6"/>
        <v>0</v>
      </c>
      <c r="AB12" s="10"/>
      <c r="AC12" s="10">
        <f t="shared" si="7"/>
        <v>0</v>
      </c>
      <c r="AD12" s="13">
        <f t="shared" si="8"/>
        <v>160</v>
      </c>
    </row>
    <row r="13" spans="1:30" ht="20.100000000000001" customHeight="1">
      <c r="A13" s="913"/>
      <c r="B13" s="347">
        <v>500</v>
      </c>
      <c r="C13" s="332">
        <f t="shared" ref="C13:C18" si="9">ROUND(AVERAGE(O7,O29)*$L$1,0)</f>
        <v>1640012</v>
      </c>
      <c r="D13" s="2">
        <v>0</v>
      </c>
      <c r="E13" s="94">
        <f t="shared" si="0"/>
        <v>0</v>
      </c>
      <c r="F13" s="2">
        <v>0</v>
      </c>
      <c r="G13" s="94">
        <f t="shared" si="0"/>
        <v>0</v>
      </c>
      <c r="H13" s="94"/>
      <c r="I13" s="94">
        <f t="shared" si="1"/>
        <v>0</v>
      </c>
      <c r="J13" s="94"/>
      <c r="K13" s="153">
        <f t="shared" si="2"/>
        <v>0</v>
      </c>
      <c r="L13" s="9"/>
      <c r="M13" s="776"/>
      <c r="N13" s="272">
        <v>1100</v>
      </c>
      <c r="O13" s="44">
        <v>1364190</v>
      </c>
      <c r="P13" s="44">
        <v>1748220</v>
      </c>
      <c r="S13" s="792"/>
      <c r="T13" s="272">
        <v>450</v>
      </c>
      <c r="U13" s="46">
        <f t="shared" si="3"/>
        <v>1494294</v>
      </c>
      <c r="V13" s="66">
        <v>301</v>
      </c>
      <c r="W13" s="10">
        <f t="shared" si="4"/>
        <v>450</v>
      </c>
      <c r="X13" s="10"/>
      <c r="Y13" s="10">
        <f t="shared" si="5"/>
        <v>0</v>
      </c>
      <c r="Z13" s="10"/>
      <c r="AA13" s="10">
        <f t="shared" si="6"/>
        <v>0</v>
      </c>
      <c r="AB13" s="10"/>
      <c r="AC13" s="10">
        <f t="shared" si="7"/>
        <v>0</v>
      </c>
      <c r="AD13" s="13">
        <f t="shared" si="8"/>
        <v>-247</v>
      </c>
    </row>
    <row r="14" spans="1:30" ht="20.100000000000001" customHeight="1">
      <c r="A14" s="913"/>
      <c r="B14" s="347">
        <v>600</v>
      </c>
      <c r="C14" s="332">
        <f t="shared" si="9"/>
        <v>1833411</v>
      </c>
      <c r="D14" s="2">
        <v>5</v>
      </c>
      <c r="E14" s="94">
        <f t="shared" si="0"/>
        <v>9</v>
      </c>
      <c r="F14" s="2">
        <v>5</v>
      </c>
      <c r="G14" s="94">
        <f t="shared" si="0"/>
        <v>9</v>
      </c>
      <c r="H14" s="94"/>
      <c r="I14" s="94">
        <f t="shared" si="1"/>
        <v>0</v>
      </c>
      <c r="J14" s="94"/>
      <c r="K14" s="153">
        <f t="shared" si="2"/>
        <v>0</v>
      </c>
      <c r="L14" s="9"/>
      <c r="M14" s="776"/>
      <c r="N14" s="272">
        <v>1200</v>
      </c>
      <c r="O14" s="44">
        <v>1496390</v>
      </c>
      <c r="P14" s="44">
        <v>1889810</v>
      </c>
      <c r="S14" s="792"/>
      <c r="T14" s="272">
        <v>500</v>
      </c>
      <c r="U14" s="46">
        <f t="shared" si="3"/>
        <v>1567153</v>
      </c>
      <c r="V14" s="66">
        <v>0</v>
      </c>
      <c r="W14" s="10">
        <f t="shared" si="4"/>
        <v>0</v>
      </c>
      <c r="X14" s="10"/>
      <c r="Y14" s="10">
        <f t="shared" si="5"/>
        <v>0</v>
      </c>
      <c r="Z14" s="10"/>
      <c r="AA14" s="10">
        <f t="shared" si="6"/>
        <v>0</v>
      </c>
      <c r="AB14" s="10"/>
      <c r="AC14" s="10">
        <f t="shared" si="7"/>
        <v>0</v>
      </c>
      <c r="AD14" s="13">
        <f t="shared" si="8"/>
        <v>0</v>
      </c>
    </row>
    <row r="15" spans="1:30" ht="20.100000000000001" customHeight="1">
      <c r="A15" s="913"/>
      <c r="B15" s="347">
        <v>700</v>
      </c>
      <c r="C15" s="332">
        <f t="shared" si="9"/>
        <v>2034475</v>
      </c>
      <c r="D15" s="139"/>
      <c r="E15" s="94">
        <f t="shared" si="0"/>
        <v>0</v>
      </c>
      <c r="F15" s="94"/>
      <c r="G15" s="94">
        <f t="shared" si="0"/>
        <v>0</v>
      </c>
      <c r="H15" s="94"/>
      <c r="I15" s="94">
        <f t="shared" si="1"/>
        <v>0</v>
      </c>
      <c r="J15" s="94"/>
      <c r="K15" s="153">
        <f t="shared" si="2"/>
        <v>0</v>
      </c>
      <c r="L15" s="9"/>
      <c r="M15" s="776"/>
      <c r="N15" s="272">
        <v>1350</v>
      </c>
      <c r="O15" s="44">
        <v>1667580</v>
      </c>
      <c r="P15" s="44">
        <v>2146200</v>
      </c>
      <c r="S15" s="792"/>
      <c r="T15" s="272">
        <v>600</v>
      </c>
      <c r="U15" s="46">
        <f t="shared" si="3"/>
        <v>1640012</v>
      </c>
      <c r="V15" s="66">
        <v>86</v>
      </c>
      <c r="W15" s="10">
        <f t="shared" si="4"/>
        <v>141</v>
      </c>
      <c r="X15" s="10"/>
      <c r="Y15" s="10">
        <f t="shared" si="5"/>
        <v>0</v>
      </c>
      <c r="Z15" s="10"/>
      <c r="AA15" s="10">
        <f t="shared" si="6"/>
        <v>0</v>
      </c>
      <c r="AB15" s="10"/>
      <c r="AC15" s="10">
        <f t="shared" si="7"/>
        <v>0</v>
      </c>
      <c r="AD15" s="13">
        <f t="shared" si="8"/>
        <v>-86</v>
      </c>
    </row>
    <row r="16" spans="1:30" ht="20.100000000000001" customHeight="1">
      <c r="A16" s="913"/>
      <c r="B16" s="347">
        <v>800</v>
      </c>
      <c r="C16" s="332">
        <f t="shared" si="9"/>
        <v>2236683</v>
      </c>
      <c r="D16" s="139"/>
      <c r="E16" s="94">
        <f t="shared" si="0"/>
        <v>0</v>
      </c>
      <c r="F16" s="94"/>
      <c r="G16" s="94">
        <f t="shared" si="0"/>
        <v>0</v>
      </c>
      <c r="H16" s="94"/>
      <c r="I16" s="94">
        <f t="shared" si="1"/>
        <v>0</v>
      </c>
      <c r="J16" s="94"/>
      <c r="K16" s="153">
        <f t="shared" si="2"/>
        <v>0</v>
      </c>
      <c r="L16" s="9"/>
      <c r="M16" s="776" t="s">
        <v>76</v>
      </c>
      <c r="N16" s="272">
        <v>300</v>
      </c>
      <c r="O16" s="44">
        <v>858250</v>
      </c>
      <c r="P16" s="44">
        <v>1141590</v>
      </c>
      <c r="S16" s="792"/>
      <c r="T16" s="272">
        <v>700</v>
      </c>
      <c r="U16" s="46">
        <f t="shared" si="3"/>
        <v>1833411</v>
      </c>
      <c r="V16" s="66">
        <v>459</v>
      </c>
      <c r="W16" s="10">
        <f t="shared" si="4"/>
        <v>842</v>
      </c>
      <c r="X16" s="10"/>
      <c r="Y16" s="10">
        <f t="shared" si="5"/>
        <v>0</v>
      </c>
      <c r="Z16" s="10"/>
      <c r="AA16" s="10">
        <f t="shared" si="6"/>
        <v>0</v>
      </c>
      <c r="AB16" s="10"/>
      <c r="AC16" s="10">
        <f t="shared" si="7"/>
        <v>0</v>
      </c>
      <c r="AD16" s="13">
        <f t="shared" si="8"/>
        <v>-454</v>
      </c>
    </row>
    <row r="17" spans="1:30" ht="20.100000000000001" customHeight="1">
      <c r="A17" s="913"/>
      <c r="B17" s="347">
        <v>900</v>
      </c>
      <c r="C17" s="332">
        <f t="shared" si="9"/>
        <v>2436832</v>
      </c>
      <c r="D17" s="139"/>
      <c r="E17" s="94">
        <f t="shared" si="0"/>
        <v>0</v>
      </c>
      <c r="F17" s="94"/>
      <c r="G17" s="94">
        <f t="shared" si="0"/>
        <v>0</v>
      </c>
      <c r="H17" s="94"/>
      <c r="I17" s="94">
        <f t="shared" si="1"/>
        <v>0</v>
      </c>
      <c r="J17" s="94"/>
      <c r="K17" s="153">
        <f t="shared" si="2"/>
        <v>0</v>
      </c>
      <c r="L17" s="9"/>
      <c r="M17" s="776"/>
      <c r="N17" s="272">
        <v>400</v>
      </c>
      <c r="O17" s="44">
        <v>948130</v>
      </c>
      <c r="P17" s="44">
        <v>1241090</v>
      </c>
      <c r="S17" s="792"/>
      <c r="T17" s="272">
        <v>800</v>
      </c>
      <c r="U17" s="46">
        <f t="shared" si="3"/>
        <v>2034475</v>
      </c>
      <c r="V17" s="66">
        <v>253</v>
      </c>
      <c r="W17" s="10">
        <f t="shared" si="4"/>
        <v>515</v>
      </c>
      <c r="X17" s="10"/>
      <c r="Y17" s="10">
        <f t="shared" si="5"/>
        <v>0</v>
      </c>
      <c r="Z17" s="10"/>
      <c r="AA17" s="10">
        <f t="shared" si="6"/>
        <v>0</v>
      </c>
      <c r="AB17" s="10"/>
      <c r="AC17" s="10">
        <f t="shared" si="7"/>
        <v>0</v>
      </c>
      <c r="AD17" s="13">
        <f t="shared" si="8"/>
        <v>-253</v>
      </c>
    </row>
    <row r="18" spans="1:30" ht="20.100000000000001" customHeight="1">
      <c r="A18" s="913"/>
      <c r="B18" s="347">
        <v>1000</v>
      </c>
      <c r="C18" s="332">
        <f t="shared" si="9"/>
        <v>2759310</v>
      </c>
      <c r="D18" s="139"/>
      <c r="E18" s="94">
        <f t="shared" si="0"/>
        <v>0</v>
      </c>
      <c r="F18" s="94"/>
      <c r="G18" s="94">
        <f t="shared" si="0"/>
        <v>0</v>
      </c>
      <c r="H18" s="94"/>
      <c r="I18" s="94">
        <f t="shared" si="1"/>
        <v>0</v>
      </c>
      <c r="J18" s="94"/>
      <c r="K18" s="153">
        <f t="shared" si="2"/>
        <v>0</v>
      </c>
      <c r="L18" s="9"/>
      <c r="M18" s="776"/>
      <c r="N18" s="272">
        <v>500</v>
      </c>
      <c r="O18" s="44">
        <v>1062140</v>
      </c>
      <c r="P18" s="44">
        <v>1364730</v>
      </c>
      <c r="S18" s="792"/>
      <c r="T18" s="272">
        <v>900</v>
      </c>
      <c r="U18" s="46">
        <f t="shared" si="3"/>
        <v>2236683</v>
      </c>
      <c r="V18" s="66">
        <v>231</v>
      </c>
      <c r="W18" s="10">
        <f t="shared" si="4"/>
        <v>517</v>
      </c>
      <c r="X18" s="10"/>
      <c r="Y18" s="10">
        <f t="shared" si="5"/>
        <v>0</v>
      </c>
      <c r="Z18" s="10"/>
      <c r="AA18" s="10">
        <f t="shared" si="6"/>
        <v>0</v>
      </c>
      <c r="AB18" s="10"/>
      <c r="AC18" s="10">
        <f t="shared" si="7"/>
        <v>0</v>
      </c>
      <c r="AD18" s="13">
        <f t="shared" si="8"/>
        <v>-231</v>
      </c>
    </row>
    <row r="19" spans="1:30" ht="20.100000000000001" customHeight="1">
      <c r="A19" s="913"/>
      <c r="B19" s="347">
        <v>1200</v>
      </c>
      <c r="C19" s="332">
        <f>ROUND(AVERAGE(O14,O35)*$L$1,0)</f>
        <v>3331105</v>
      </c>
      <c r="D19" s="139"/>
      <c r="E19" s="94">
        <f t="shared" si="0"/>
        <v>0</v>
      </c>
      <c r="F19" s="94"/>
      <c r="G19" s="94">
        <f t="shared" si="0"/>
        <v>0</v>
      </c>
      <c r="H19" s="94"/>
      <c r="I19" s="94">
        <f t="shared" si="1"/>
        <v>0</v>
      </c>
      <c r="J19" s="94"/>
      <c r="K19" s="153">
        <f t="shared" si="2"/>
        <v>0</v>
      </c>
      <c r="L19" s="9"/>
      <c r="M19" s="776"/>
      <c r="N19" s="272">
        <v>600</v>
      </c>
      <c r="O19" s="44">
        <v>1198160</v>
      </c>
      <c r="P19" s="44">
        <v>1522580</v>
      </c>
      <c r="S19" s="792"/>
      <c r="T19" s="272">
        <v>1000</v>
      </c>
      <c r="U19" s="46">
        <f t="shared" si="3"/>
        <v>2436832</v>
      </c>
      <c r="V19" s="66">
        <v>205</v>
      </c>
      <c r="W19" s="10">
        <f t="shared" si="4"/>
        <v>500</v>
      </c>
      <c r="X19" s="10"/>
      <c r="Y19" s="10">
        <f t="shared" si="5"/>
        <v>0</v>
      </c>
      <c r="Z19" s="10"/>
      <c r="AA19" s="10">
        <f t="shared" si="6"/>
        <v>0</v>
      </c>
      <c r="AB19" s="10"/>
      <c r="AC19" s="10">
        <f t="shared" si="7"/>
        <v>0</v>
      </c>
      <c r="AD19" s="13">
        <f t="shared" si="8"/>
        <v>-205</v>
      </c>
    </row>
    <row r="20" spans="1:30" ht="20.100000000000001" customHeight="1">
      <c r="A20" s="913"/>
      <c r="B20" s="347"/>
      <c r="C20" s="332"/>
      <c r="D20" s="139"/>
      <c r="E20" s="94"/>
      <c r="F20" s="94"/>
      <c r="G20" s="94"/>
      <c r="H20" s="94"/>
      <c r="I20" s="94">
        <f t="shared" si="1"/>
        <v>0</v>
      </c>
      <c r="J20" s="94"/>
      <c r="K20" s="153">
        <f t="shared" si="2"/>
        <v>0</v>
      </c>
      <c r="L20" s="9"/>
      <c r="M20" s="776"/>
      <c r="N20" s="272">
        <v>700</v>
      </c>
      <c r="O20" s="44">
        <v>1340850</v>
      </c>
      <c r="P20" s="44">
        <v>1674620</v>
      </c>
      <c r="S20" s="792"/>
      <c r="T20" s="272">
        <v>1100</v>
      </c>
      <c r="U20" s="46">
        <f t="shared" si="3"/>
        <v>2759310</v>
      </c>
      <c r="V20" s="66">
        <v>0</v>
      </c>
      <c r="W20" s="10">
        <f t="shared" si="4"/>
        <v>0</v>
      </c>
      <c r="X20" s="10"/>
      <c r="Y20" s="10">
        <f t="shared" si="5"/>
        <v>0</v>
      </c>
      <c r="Z20" s="10"/>
      <c r="AA20" s="10">
        <f t="shared" si="6"/>
        <v>0</v>
      </c>
      <c r="AB20" s="10"/>
      <c r="AC20" s="10">
        <f t="shared" si="7"/>
        <v>0</v>
      </c>
      <c r="AD20" s="13">
        <f t="shared" si="8"/>
        <v>0</v>
      </c>
    </row>
    <row r="21" spans="1:30" ht="20.100000000000001" customHeight="1">
      <c r="A21" s="910"/>
      <c r="B21" s="942" t="s">
        <v>406</v>
      </c>
      <c r="C21" s="911"/>
      <c r="D21" s="142"/>
      <c r="E21" s="137"/>
      <c r="F21" s="137"/>
      <c r="G21" s="137"/>
      <c r="H21" s="137">
        <f>SUM(H9:H20)</f>
        <v>0</v>
      </c>
      <c r="I21" s="137">
        <f>SUM(I9:I20)</f>
        <v>0</v>
      </c>
      <c r="J21" s="137">
        <f>SUM(J9:J20)</f>
        <v>0</v>
      </c>
      <c r="K21" s="154">
        <f>SUM(K9:K20)</f>
        <v>0</v>
      </c>
      <c r="L21" s="9"/>
      <c r="M21" s="776"/>
      <c r="N21" s="272">
        <v>800</v>
      </c>
      <c r="O21" s="44">
        <v>1515080</v>
      </c>
      <c r="P21" s="44">
        <v>1858540</v>
      </c>
      <c r="S21" s="792"/>
      <c r="T21" s="272">
        <v>1200</v>
      </c>
      <c r="U21" s="46">
        <f t="shared" si="3"/>
        <v>3331105</v>
      </c>
      <c r="V21" s="66">
        <v>300</v>
      </c>
      <c r="W21" s="10">
        <f t="shared" si="4"/>
        <v>999</v>
      </c>
      <c r="X21" s="10"/>
      <c r="Y21" s="10">
        <f t="shared" si="5"/>
        <v>0</v>
      </c>
      <c r="Z21" s="10"/>
      <c r="AA21" s="10">
        <f t="shared" si="6"/>
        <v>0</v>
      </c>
      <c r="AB21" s="10"/>
      <c r="AC21" s="10">
        <f t="shared" si="7"/>
        <v>0</v>
      </c>
      <c r="AD21" s="13">
        <f t="shared" si="8"/>
        <v>-300</v>
      </c>
    </row>
    <row r="22" spans="1:30" ht="20.100000000000001" customHeight="1">
      <c r="D22" s="13">
        <f>+D21-4505</f>
        <v>-4505</v>
      </c>
      <c r="E22" s="13">
        <f>+E21+'마.우수토실개량(감곡-간선)'!D11+'라.맨홀보수(감곡-간선)'!D12</f>
        <v>0</v>
      </c>
      <c r="F22" s="13"/>
      <c r="G22" s="13"/>
      <c r="H22" s="13"/>
      <c r="I22" s="13"/>
      <c r="J22" s="13"/>
      <c r="K22" s="13"/>
      <c r="L22" s="9"/>
      <c r="M22" s="776"/>
      <c r="N22" s="272">
        <v>900</v>
      </c>
      <c r="O22" s="44">
        <v>1657660</v>
      </c>
      <c r="P22" s="44">
        <v>2010740</v>
      </c>
      <c r="S22" s="792"/>
      <c r="T22" s="272">
        <v>1350</v>
      </c>
      <c r="U22" s="46">
        <f t="shared" si="3"/>
        <v>0</v>
      </c>
      <c r="V22" s="66">
        <v>2546</v>
      </c>
      <c r="W22" s="10">
        <f t="shared" si="4"/>
        <v>0</v>
      </c>
      <c r="X22" s="10"/>
      <c r="Y22" s="10">
        <f t="shared" si="5"/>
        <v>0</v>
      </c>
      <c r="Z22" s="10"/>
      <c r="AA22" s="10">
        <f t="shared" si="6"/>
        <v>0</v>
      </c>
      <c r="AB22" s="10"/>
      <c r="AC22" s="10">
        <f t="shared" si="7"/>
        <v>0</v>
      </c>
      <c r="AD22" s="13">
        <f t="shared" si="8"/>
        <v>-2546</v>
      </c>
    </row>
    <row r="23" spans="1:30" ht="20.100000000000001" customHeight="1">
      <c r="E23" s="13">
        <v>26095</v>
      </c>
      <c r="L23" s="9"/>
      <c r="M23" s="776"/>
      <c r="N23" s="272">
        <v>1000</v>
      </c>
      <c r="O23" s="44">
        <v>1917700</v>
      </c>
      <c r="P23" s="44">
        <v>2280490</v>
      </c>
      <c r="S23" s="793"/>
      <c r="T23" s="794" t="s">
        <v>406</v>
      </c>
      <c r="U23" s="795"/>
      <c r="V23" s="11">
        <f t="shared" ref="V23:AC23" si="10">SUM(V11:V22)</f>
        <v>4502</v>
      </c>
      <c r="W23" s="11">
        <f t="shared" si="10"/>
        <v>4127</v>
      </c>
      <c r="X23" s="11">
        <f t="shared" si="10"/>
        <v>0</v>
      </c>
      <c r="Y23" s="11">
        <f t="shared" si="10"/>
        <v>0</v>
      </c>
      <c r="Z23" s="11">
        <f t="shared" si="10"/>
        <v>0</v>
      </c>
      <c r="AA23" s="11">
        <f t="shared" si="10"/>
        <v>0</v>
      </c>
      <c r="AB23" s="11">
        <f t="shared" si="10"/>
        <v>0</v>
      </c>
      <c r="AC23" s="11">
        <f t="shared" si="10"/>
        <v>0</v>
      </c>
      <c r="AD23" s="13">
        <f t="shared" si="8"/>
        <v>-4502</v>
      </c>
    </row>
    <row r="24" spans="1:30" ht="20.100000000000001" customHeight="1">
      <c r="G24" s="2" t="s">
        <v>809</v>
      </c>
      <c r="H24" s="2" t="s">
        <v>810</v>
      </c>
      <c r="I24" s="2" t="s">
        <v>811</v>
      </c>
      <c r="L24" s="9"/>
      <c r="M24" s="776"/>
      <c r="N24" s="272">
        <v>1100</v>
      </c>
      <c r="O24" s="44">
        <v>2185750</v>
      </c>
      <c r="P24" s="44">
        <v>2569790</v>
      </c>
    </row>
    <row r="25" spans="1:30" ht="20.100000000000001" customHeight="1">
      <c r="C25" s="2">
        <v>258</v>
      </c>
      <c r="D25" s="2">
        <v>250</v>
      </c>
      <c r="E25" s="2">
        <v>0</v>
      </c>
      <c r="F25" s="2">
        <f>ROUND($C$25*E25,0)</f>
        <v>0</v>
      </c>
      <c r="G25" s="2">
        <f t="shared" ref="G25:G30" si="11">ROUND(F25*1,0)</f>
        <v>0</v>
      </c>
      <c r="H25" s="2">
        <f t="shared" ref="H25:H30" si="12">ROUND(F25*0,0)</f>
        <v>0</v>
      </c>
      <c r="I25" s="2">
        <f t="shared" ref="I25:I35" si="13">F25-G25-H25</f>
        <v>0</v>
      </c>
      <c r="L25" s="9"/>
      <c r="M25" s="776"/>
      <c r="N25" s="272">
        <v>1200</v>
      </c>
      <c r="O25" s="44">
        <v>2438880</v>
      </c>
      <c r="P25" s="44">
        <v>2832290</v>
      </c>
    </row>
    <row r="26" spans="1:30" ht="20.100000000000001" customHeight="1">
      <c r="D26" s="2">
        <v>300</v>
      </c>
      <c r="E26" s="2">
        <v>0.77</v>
      </c>
      <c r="F26" s="2">
        <f>ROUND($C$25*E26,0)</f>
        <v>199</v>
      </c>
      <c r="G26" s="2">
        <f t="shared" si="11"/>
        <v>199</v>
      </c>
      <c r="H26" s="2">
        <f t="shared" si="12"/>
        <v>0</v>
      </c>
      <c r="I26" s="2">
        <f t="shared" si="13"/>
        <v>0</v>
      </c>
      <c r="L26" s="9"/>
      <c r="M26" s="776" t="s">
        <v>77</v>
      </c>
      <c r="N26" s="272">
        <v>200</v>
      </c>
      <c r="O26" s="44">
        <v>616070</v>
      </c>
      <c r="P26" s="44">
        <v>890190</v>
      </c>
    </row>
    <row r="27" spans="1:30" ht="20.100000000000001" customHeight="1">
      <c r="D27" s="2">
        <v>400</v>
      </c>
      <c r="E27" s="2">
        <v>0.21</v>
      </c>
      <c r="F27" s="2">
        <f t="shared" ref="F27:F35" si="14">ROUND($C$25*E27,0)</f>
        <v>54</v>
      </c>
      <c r="G27" s="2">
        <f t="shared" si="11"/>
        <v>54</v>
      </c>
      <c r="H27" s="2">
        <f t="shared" si="12"/>
        <v>0</v>
      </c>
      <c r="I27" s="2">
        <f t="shared" si="13"/>
        <v>0</v>
      </c>
      <c r="L27" s="9"/>
      <c r="M27" s="776"/>
      <c r="N27" s="272">
        <v>300</v>
      </c>
      <c r="O27" s="44">
        <v>671740</v>
      </c>
      <c r="P27" s="44">
        <v>955080</v>
      </c>
    </row>
    <row r="28" spans="1:30" ht="20.100000000000001" customHeight="1">
      <c r="D28" s="2">
        <v>450</v>
      </c>
      <c r="F28" s="2">
        <f t="shared" si="14"/>
        <v>0</v>
      </c>
      <c r="G28" s="2">
        <f t="shared" si="11"/>
        <v>0</v>
      </c>
      <c r="H28" s="2">
        <f t="shared" si="12"/>
        <v>0</v>
      </c>
      <c r="I28" s="2">
        <f t="shared" si="13"/>
        <v>0</v>
      </c>
      <c r="M28" s="776"/>
      <c r="N28" s="272">
        <v>400</v>
      </c>
      <c r="O28" s="44">
        <v>741790</v>
      </c>
      <c r="P28" s="44">
        <v>1034760</v>
      </c>
    </row>
    <row r="29" spans="1:30" ht="20.100000000000001" customHeight="1">
      <c r="D29" s="2">
        <v>500</v>
      </c>
      <c r="F29" s="2">
        <f t="shared" si="14"/>
        <v>0</v>
      </c>
      <c r="G29" s="2">
        <f t="shared" si="11"/>
        <v>0</v>
      </c>
      <c r="H29" s="2">
        <f t="shared" si="12"/>
        <v>0</v>
      </c>
      <c r="I29" s="2">
        <f t="shared" si="13"/>
        <v>0</v>
      </c>
      <c r="M29" s="776"/>
      <c r="N29" s="272">
        <v>500</v>
      </c>
      <c r="O29" s="44">
        <v>832870</v>
      </c>
      <c r="P29" s="44">
        <v>1135450</v>
      </c>
    </row>
    <row r="30" spans="1:30" ht="20.100000000000001" customHeight="1">
      <c r="D30" s="2">
        <v>600</v>
      </c>
      <c r="E30" s="2">
        <v>0.02</v>
      </c>
      <c r="F30" s="2">
        <f t="shared" si="14"/>
        <v>5</v>
      </c>
      <c r="G30" s="2">
        <f t="shared" si="11"/>
        <v>5</v>
      </c>
      <c r="H30" s="2">
        <f t="shared" si="12"/>
        <v>0</v>
      </c>
      <c r="I30" s="2">
        <f t="shared" si="13"/>
        <v>0</v>
      </c>
      <c r="M30" s="776"/>
      <c r="N30" s="272">
        <v>600</v>
      </c>
      <c r="O30" s="44">
        <v>935280</v>
      </c>
      <c r="P30" s="44">
        <v>1259740</v>
      </c>
    </row>
    <row r="31" spans="1:30" ht="20.100000000000001" customHeight="1">
      <c r="D31" s="2">
        <v>700</v>
      </c>
      <c r="F31" s="2">
        <f t="shared" si="14"/>
        <v>0</v>
      </c>
      <c r="G31" s="2">
        <f>ROUND(F31*0.9,0)</f>
        <v>0</v>
      </c>
      <c r="H31" s="2">
        <f>ROUND(F31*0.08,0)</f>
        <v>0</v>
      </c>
      <c r="I31" s="2">
        <f t="shared" si="13"/>
        <v>0</v>
      </c>
      <c r="L31" s="9"/>
      <c r="M31" s="776"/>
      <c r="N31" s="272">
        <v>700</v>
      </c>
      <c r="O31" s="44">
        <v>1047990</v>
      </c>
      <c r="P31" s="44">
        <v>1381800</v>
      </c>
    </row>
    <row r="32" spans="1:30" ht="20.100000000000001" customHeight="1">
      <c r="D32" s="2">
        <v>800</v>
      </c>
      <c r="F32" s="2">
        <f t="shared" si="14"/>
        <v>0</v>
      </c>
      <c r="G32" s="2">
        <f>ROUND(F32*0.9,0)</f>
        <v>0</v>
      </c>
      <c r="H32" s="2">
        <f>ROUND(F32*0.08,0)</f>
        <v>0</v>
      </c>
      <c r="I32" s="2">
        <f t="shared" si="13"/>
        <v>0</v>
      </c>
      <c r="L32" s="29"/>
      <c r="M32" s="776"/>
      <c r="N32" s="272">
        <v>800</v>
      </c>
      <c r="O32" s="44">
        <v>1165550</v>
      </c>
      <c r="P32" s="44">
        <v>1509040</v>
      </c>
    </row>
    <row r="33" spans="4:16" ht="20.100000000000001" customHeight="1">
      <c r="D33" s="2">
        <v>900</v>
      </c>
      <c r="F33" s="2">
        <f t="shared" si="14"/>
        <v>0</v>
      </c>
      <c r="G33" s="2">
        <f>ROUND(F33*0.9,0)</f>
        <v>0</v>
      </c>
      <c r="H33" s="2">
        <f>ROUND(F33*0.08,0)</f>
        <v>0</v>
      </c>
      <c r="I33" s="2">
        <f t="shared" si="13"/>
        <v>0</v>
      </c>
      <c r="L33" s="45"/>
      <c r="M33" s="776"/>
      <c r="N33" s="272">
        <v>900</v>
      </c>
      <c r="O33" s="44">
        <v>1261160</v>
      </c>
      <c r="P33" s="44">
        <v>1614280</v>
      </c>
    </row>
    <row r="34" spans="4:16" ht="20.100000000000001" customHeight="1">
      <c r="D34" s="2">
        <v>1000</v>
      </c>
      <c r="F34" s="2">
        <f t="shared" si="14"/>
        <v>0</v>
      </c>
      <c r="G34" s="2">
        <f>ROUND(F34*0.9,0)</f>
        <v>0</v>
      </c>
      <c r="H34" s="2">
        <f>ROUND(F34*0.08,0)</f>
        <v>0</v>
      </c>
      <c r="I34" s="2">
        <f t="shared" si="13"/>
        <v>0</v>
      </c>
      <c r="L34" s="45"/>
      <c r="M34" s="776"/>
      <c r="N34" s="272">
        <v>1000</v>
      </c>
      <c r="O34" s="44">
        <v>1429210</v>
      </c>
      <c r="P34" s="44">
        <v>1792030</v>
      </c>
    </row>
    <row r="35" spans="4:16" ht="20.100000000000001" customHeight="1">
      <c r="D35" s="2">
        <v>1200</v>
      </c>
      <c r="F35" s="2">
        <f t="shared" si="14"/>
        <v>0</v>
      </c>
      <c r="G35" s="2">
        <f>ROUND(F35*0.9,0)</f>
        <v>0</v>
      </c>
      <c r="H35" s="2">
        <f>ROUND(F35*0.08,0)</f>
        <v>0</v>
      </c>
      <c r="I35" s="2">
        <f t="shared" si="13"/>
        <v>0</v>
      </c>
      <c r="L35" s="35"/>
      <c r="M35" s="776"/>
      <c r="N35" s="272">
        <v>1200</v>
      </c>
      <c r="O35" s="44">
        <v>1706750</v>
      </c>
      <c r="P35" s="44">
        <v>2100160</v>
      </c>
    </row>
    <row r="36" spans="4:16" ht="20.100000000000001" customHeight="1">
      <c r="L36" s="35"/>
      <c r="M36" s="776" t="s">
        <v>519</v>
      </c>
      <c r="N36" s="272" t="s">
        <v>79</v>
      </c>
      <c r="O36" s="44">
        <v>2170280</v>
      </c>
      <c r="P36" s="44">
        <v>2460500</v>
      </c>
    </row>
    <row r="37" spans="4:16" ht="20.100000000000001" customHeight="1">
      <c r="L37" s="36"/>
      <c r="M37" s="776"/>
      <c r="N37" s="272" t="s">
        <v>80</v>
      </c>
      <c r="O37" s="44">
        <v>2342490</v>
      </c>
      <c r="P37" s="44">
        <v>2632710</v>
      </c>
    </row>
    <row r="38" spans="4:16" ht="20.100000000000001" customHeight="1">
      <c r="L38" s="35"/>
      <c r="M38" s="776"/>
      <c r="N38" s="272" t="s">
        <v>81</v>
      </c>
      <c r="O38" s="44">
        <v>2386000</v>
      </c>
      <c r="P38" s="44">
        <v>2676210</v>
      </c>
    </row>
    <row r="39" spans="4:16" ht="20.100000000000001" customHeight="1">
      <c r="L39" s="35"/>
      <c r="M39" s="776"/>
      <c r="N39" s="272" t="s">
        <v>82</v>
      </c>
      <c r="O39" s="44">
        <v>2448100</v>
      </c>
      <c r="P39" s="44">
        <v>2798670</v>
      </c>
    </row>
    <row r="40" spans="4:16" ht="20.100000000000001" customHeight="1">
      <c r="L40" s="35"/>
      <c r="M40" s="776"/>
      <c r="N40" s="272" t="s">
        <v>83</v>
      </c>
      <c r="O40" s="44">
        <v>2638680</v>
      </c>
      <c r="P40" s="44">
        <v>2989240</v>
      </c>
    </row>
    <row r="41" spans="4:16" ht="20.100000000000001" customHeight="1">
      <c r="L41" s="35"/>
      <c r="M41" s="776"/>
      <c r="N41" s="272" t="s">
        <v>84</v>
      </c>
      <c r="O41" s="44">
        <v>2902880</v>
      </c>
      <c r="P41" s="44">
        <v>3253450</v>
      </c>
    </row>
    <row r="42" spans="4:16" ht="20.100000000000001" customHeight="1">
      <c r="L42" s="35"/>
      <c r="M42" s="776"/>
      <c r="N42" s="272" t="s">
        <v>85</v>
      </c>
      <c r="O42" s="44">
        <v>3126030</v>
      </c>
      <c r="P42" s="44">
        <v>3476590</v>
      </c>
    </row>
    <row r="43" spans="4:16" ht="20.100000000000001" customHeight="1">
      <c r="L43" s="35"/>
      <c r="M43" s="776"/>
      <c r="N43" s="272" t="s">
        <v>86</v>
      </c>
      <c r="O43" s="44">
        <v>3127790</v>
      </c>
      <c r="P43" s="44">
        <v>3478350</v>
      </c>
    </row>
    <row r="44" spans="4:16" ht="20.100000000000001" customHeight="1">
      <c r="L44" s="35"/>
      <c r="M44" s="776"/>
      <c r="N44" s="272" t="s">
        <v>87</v>
      </c>
      <c r="O44" s="44">
        <v>3624820</v>
      </c>
      <c r="P44" s="44">
        <v>3975390</v>
      </c>
    </row>
    <row r="45" spans="4:16" ht="20.100000000000001" customHeight="1">
      <c r="L45" s="35"/>
      <c r="M45" s="776"/>
      <c r="N45" s="272" t="s">
        <v>88</v>
      </c>
      <c r="O45" s="44">
        <v>3871160</v>
      </c>
      <c r="P45" s="44">
        <v>4402590</v>
      </c>
    </row>
    <row r="46" spans="4:16" ht="20.100000000000001" customHeight="1">
      <c r="L46" s="36"/>
      <c r="M46" s="776"/>
      <c r="N46" s="272" t="s">
        <v>89</v>
      </c>
      <c r="O46" s="44">
        <v>4243270</v>
      </c>
      <c r="P46" s="44">
        <v>4774710</v>
      </c>
    </row>
    <row r="47" spans="4:16" ht="20.100000000000001" customHeight="1">
      <c r="L47" s="9"/>
      <c r="M47" s="776"/>
      <c r="N47" s="272" t="s">
        <v>90</v>
      </c>
      <c r="O47" s="44">
        <v>4952980</v>
      </c>
      <c r="P47" s="44">
        <v>5484420</v>
      </c>
    </row>
    <row r="48" spans="4:16" ht="20.100000000000001" customHeight="1">
      <c r="L48" s="37"/>
      <c r="M48" s="776"/>
      <c r="N48" s="272" t="s">
        <v>91</v>
      </c>
      <c r="O48" s="44">
        <v>4501900</v>
      </c>
      <c r="P48" s="44">
        <v>5033330</v>
      </c>
    </row>
    <row r="49" spans="12:16" ht="20.100000000000001" customHeight="1">
      <c r="L49" s="9"/>
      <c r="M49" s="776"/>
      <c r="N49" s="272" t="s">
        <v>92</v>
      </c>
      <c r="O49" s="44">
        <v>5013630</v>
      </c>
      <c r="P49" s="44">
        <v>5545070</v>
      </c>
    </row>
    <row r="50" spans="12:16" ht="20.100000000000001" customHeight="1">
      <c r="M50" s="776"/>
      <c r="N50" s="272" t="s">
        <v>93</v>
      </c>
      <c r="O50" s="44">
        <v>5826300</v>
      </c>
      <c r="P50" s="44">
        <v>6357730</v>
      </c>
    </row>
    <row r="51" spans="12:16" ht="20.100000000000001" customHeight="1">
      <c r="M51" s="776"/>
      <c r="N51" s="272" t="s">
        <v>94</v>
      </c>
      <c r="O51" s="44">
        <v>6169420</v>
      </c>
      <c r="P51" s="44">
        <v>6700860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M3:M4"/>
    <mergeCell ref="N3:N4"/>
    <mergeCell ref="O3:P3"/>
    <mergeCell ref="M5:M15"/>
    <mergeCell ref="A7:A8"/>
    <mergeCell ref="B7:B8"/>
    <mergeCell ref="C7:C8"/>
    <mergeCell ref="D7:E7"/>
    <mergeCell ref="F7:G7"/>
    <mergeCell ref="H7:I7"/>
    <mergeCell ref="B21:C21"/>
    <mergeCell ref="T23:U23"/>
    <mergeCell ref="J7:K7"/>
    <mergeCell ref="A9:A21"/>
    <mergeCell ref="S9:S10"/>
    <mergeCell ref="T9:T10"/>
    <mergeCell ref="U9:U10"/>
    <mergeCell ref="M26:M35"/>
    <mergeCell ref="M36:M51"/>
    <mergeCell ref="X9:Y9"/>
    <mergeCell ref="Z9:AA9"/>
    <mergeCell ref="AB9:AC9"/>
    <mergeCell ref="S11:S23"/>
    <mergeCell ref="M16:M25"/>
    <mergeCell ref="V9:W9"/>
  </mergeCells>
  <phoneticPr fontId="4" type="noConversion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41" width="9" style="2"/>
    <col min="42" max="42" width="9.5" style="2" customWidth="1"/>
    <col min="43" max="246" width="9" style="2"/>
    <col min="247" max="248" width="3.75" style="2" customWidth="1"/>
    <col min="249" max="249" width="15" style="2" customWidth="1"/>
    <col min="250" max="253" width="12.875" style="2" customWidth="1"/>
    <col min="254" max="254" width="12.125" style="2" customWidth="1"/>
    <col min="255" max="255" width="9" style="2"/>
    <col min="256" max="256" width="12.25" style="2" customWidth="1"/>
    <col min="257" max="257" width="9.625" style="2" customWidth="1"/>
    <col min="258" max="259" width="9.75" style="2" customWidth="1"/>
    <col min="260" max="260" width="9.375" style="2" customWidth="1"/>
    <col min="261" max="502" width="9" style="2"/>
    <col min="503" max="504" width="3.75" style="2" customWidth="1"/>
    <col min="505" max="505" width="15" style="2" customWidth="1"/>
    <col min="506" max="509" width="12.875" style="2" customWidth="1"/>
    <col min="510" max="510" width="12.125" style="2" customWidth="1"/>
    <col min="511" max="511" width="9" style="2"/>
    <col min="512" max="512" width="12.25" style="2" customWidth="1"/>
    <col min="513" max="513" width="9.625" style="2" customWidth="1"/>
    <col min="514" max="515" width="9.75" style="2" customWidth="1"/>
    <col min="516" max="516" width="9.375" style="2" customWidth="1"/>
    <col min="517" max="758" width="9" style="2"/>
    <col min="759" max="760" width="3.75" style="2" customWidth="1"/>
    <col min="761" max="761" width="15" style="2" customWidth="1"/>
    <col min="762" max="765" width="12.875" style="2" customWidth="1"/>
    <col min="766" max="766" width="12.125" style="2" customWidth="1"/>
    <col min="767" max="767" width="9" style="2"/>
    <col min="768" max="768" width="12.25" style="2" customWidth="1"/>
    <col min="769" max="769" width="9.625" style="2" customWidth="1"/>
    <col min="770" max="771" width="9.75" style="2" customWidth="1"/>
    <col min="772" max="772" width="9.375" style="2" customWidth="1"/>
    <col min="773" max="1014" width="9" style="2"/>
    <col min="1015" max="1016" width="3.75" style="2" customWidth="1"/>
    <col min="1017" max="1017" width="15" style="2" customWidth="1"/>
    <col min="1018" max="1021" width="12.875" style="2" customWidth="1"/>
    <col min="1022" max="1022" width="12.125" style="2" customWidth="1"/>
    <col min="1023" max="1023" width="9" style="2"/>
    <col min="1024" max="1024" width="12.25" style="2" customWidth="1"/>
    <col min="1025" max="1025" width="9.625" style="2" customWidth="1"/>
    <col min="1026" max="1027" width="9.75" style="2" customWidth="1"/>
    <col min="1028" max="1028" width="9.375" style="2" customWidth="1"/>
    <col min="1029" max="1270" width="9" style="2"/>
    <col min="1271" max="1272" width="3.75" style="2" customWidth="1"/>
    <col min="1273" max="1273" width="15" style="2" customWidth="1"/>
    <col min="1274" max="1277" width="12.875" style="2" customWidth="1"/>
    <col min="1278" max="1278" width="12.125" style="2" customWidth="1"/>
    <col min="1279" max="1279" width="9" style="2"/>
    <col min="1280" max="1280" width="12.25" style="2" customWidth="1"/>
    <col min="1281" max="1281" width="9.625" style="2" customWidth="1"/>
    <col min="1282" max="1283" width="9.75" style="2" customWidth="1"/>
    <col min="1284" max="1284" width="9.375" style="2" customWidth="1"/>
    <col min="1285" max="1526" width="9" style="2"/>
    <col min="1527" max="1528" width="3.75" style="2" customWidth="1"/>
    <col min="1529" max="1529" width="15" style="2" customWidth="1"/>
    <col min="1530" max="1533" width="12.875" style="2" customWidth="1"/>
    <col min="1534" max="1534" width="12.125" style="2" customWidth="1"/>
    <col min="1535" max="1535" width="9" style="2"/>
    <col min="1536" max="1536" width="12.25" style="2" customWidth="1"/>
    <col min="1537" max="1537" width="9.625" style="2" customWidth="1"/>
    <col min="1538" max="1539" width="9.75" style="2" customWidth="1"/>
    <col min="1540" max="1540" width="9.375" style="2" customWidth="1"/>
    <col min="1541" max="1782" width="9" style="2"/>
    <col min="1783" max="1784" width="3.75" style="2" customWidth="1"/>
    <col min="1785" max="1785" width="15" style="2" customWidth="1"/>
    <col min="1786" max="1789" width="12.875" style="2" customWidth="1"/>
    <col min="1790" max="1790" width="12.125" style="2" customWidth="1"/>
    <col min="1791" max="1791" width="9" style="2"/>
    <col min="1792" max="1792" width="12.25" style="2" customWidth="1"/>
    <col min="1793" max="1793" width="9.625" style="2" customWidth="1"/>
    <col min="1794" max="1795" width="9.75" style="2" customWidth="1"/>
    <col min="1796" max="1796" width="9.375" style="2" customWidth="1"/>
    <col min="1797" max="2038" width="9" style="2"/>
    <col min="2039" max="2040" width="3.75" style="2" customWidth="1"/>
    <col min="2041" max="2041" width="15" style="2" customWidth="1"/>
    <col min="2042" max="2045" width="12.875" style="2" customWidth="1"/>
    <col min="2046" max="2046" width="12.125" style="2" customWidth="1"/>
    <col min="2047" max="2047" width="9" style="2"/>
    <col min="2048" max="2048" width="12.25" style="2" customWidth="1"/>
    <col min="2049" max="2049" width="9.625" style="2" customWidth="1"/>
    <col min="2050" max="2051" width="9.75" style="2" customWidth="1"/>
    <col min="2052" max="2052" width="9.375" style="2" customWidth="1"/>
    <col min="2053" max="2294" width="9" style="2"/>
    <col min="2295" max="2296" width="3.75" style="2" customWidth="1"/>
    <col min="2297" max="2297" width="15" style="2" customWidth="1"/>
    <col min="2298" max="2301" width="12.875" style="2" customWidth="1"/>
    <col min="2302" max="2302" width="12.125" style="2" customWidth="1"/>
    <col min="2303" max="2303" width="9" style="2"/>
    <col min="2304" max="2304" width="12.25" style="2" customWidth="1"/>
    <col min="2305" max="2305" width="9.625" style="2" customWidth="1"/>
    <col min="2306" max="2307" width="9.75" style="2" customWidth="1"/>
    <col min="2308" max="2308" width="9.375" style="2" customWidth="1"/>
    <col min="2309" max="2550" width="9" style="2"/>
    <col min="2551" max="2552" width="3.75" style="2" customWidth="1"/>
    <col min="2553" max="2553" width="15" style="2" customWidth="1"/>
    <col min="2554" max="2557" width="12.875" style="2" customWidth="1"/>
    <col min="2558" max="2558" width="12.125" style="2" customWidth="1"/>
    <col min="2559" max="2559" width="9" style="2"/>
    <col min="2560" max="2560" width="12.25" style="2" customWidth="1"/>
    <col min="2561" max="2561" width="9.625" style="2" customWidth="1"/>
    <col min="2562" max="2563" width="9.75" style="2" customWidth="1"/>
    <col min="2564" max="2564" width="9.375" style="2" customWidth="1"/>
    <col min="2565" max="2806" width="9" style="2"/>
    <col min="2807" max="2808" width="3.75" style="2" customWidth="1"/>
    <col min="2809" max="2809" width="15" style="2" customWidth="1"/>
    <col min="2810" max="2813" width="12.875" style="2" customWidth="1"/>
    <col min="2814" max="2814" width="12.125" style="2" customWidth="1"/>
    <col min="2815" max="2815" width="9" style="2"/>
    <col min="2816" max="2816" width="12.25" style="2" customWidth="1"/>
    <col min="2817" max="2817" width="9.625" style="2" customWidth="1"/>
    <col min="2818" max="2819" width="9.75" style="2" customWidth="1"/>
    <col min="2820" max="2820" width="9.375" style="2" customWidth="1"/>
    <col min="2821" max="3062" width="9" style="2"/>
    <col min="3063" max="3064" width="3.75" style="2" customWidth="1"/>
    <col min="3065" max="3065" width="15" style="2" customWidth="1"/>
    <col min="3066" max="3069" width="12.875" style="2" customWidth="1"/>
    <col min="3070" max="3070" width="12.125" style="2" customWidth="1"/>
    <col min="3071" max="3071" width="9" style="2"/>
    <col min="3072" max="3072" width="12.25" style="2" customWidth="1"/>
    <col min="3073" max="3073" width="9.625" style="2" customWidth="1"/>
    <col min="3074" max="3075" width="9.75" style="2" customWidth="1"/>
    <col min="3076" max="3076" width="9.375" style="2" customWidth="1"/>
    <col min="3077" max="3318" width="9" style="2"/>
    <col min="3319" max="3320" width="3.75" style="2" customWidth="1"/>
    <col min="3321" max="3321" width="15" style="2" customWidth="1"/>
    <col min="3322" max="3325" width="12.875" style="2" customWidth="1"/>
    <col min="3326" max="3326" width="12.125" style="2" customWidth="1"/>
    <col min="3327" max="3327" width="9" style="2"/>
    <col min="3328" max="3328" width="12.25" style="2" customWidth="1"/>
    <col min="3329" max="3329" width="9.625" style="2" customWidth="1"/>
    <col min="3330" max="3331" width="9.75" style="2" customWidth="1"/>
    <col min="3332" max="3332" width="9.375" style="2" customWidth="1"/>
    <col min="3333" max="3574" width="9" style="2"/>
    <col min="3575" max="3576" width="3.75" style="2" customWidth="1"/>
    <col min="3577" max="3577" width="15" style="2" customWidth="1"/>
    <col min="3578" max="3581" width="12.875" style="2" customWidth="1"/>
    <col min="3582" max="3582" width="12.125" style="2" customWidth="1"/>
    <col min="3583" max="3583" width="9" style="2"/>
    <col min="3584" max="3584" width="12.25" style="2" customWidth="1"/>
    <col min="3585" max="3585" width="9.625" style="2" customWidth="1"/>
    <col min="3586" max="3587" width="9.75" style="2" customWidth="1"/>
    <col min="3588" max="3588" width="9.375" style="2" customWidth="1"/>
    <col min="3589" max="3830" width="9" style="2"/>
    <col min="3831" max="3832" width="3.75" style="2" customWidth="1"/>
    <col min="3833" max="3833" width="15" style="2" customWidth="1"/>
    <col min="3834" max="3837" width="12.875" style="2" customWidth="1"/>
    <col min="3838" max="3838" width="12.125" style="2" customWidth="1"/>
    <col min="3839" max="3839" width="9" style="2"/>
    <col min="3840" max="3840" width="12.25" style="2" customWidth="1"/>
    <col min="3841" max="3841" width="9.625" style="2" customWidth="1"/>
    <col min="3842" max="3843" width="9.75" style="2" customWidth="1"/>
    <col min="3844" max="3844" width="9.375" style="2" customWidth="1"/>
    <col min="3845" max="4086" width="9" style="2"/>
    <col min="4087" max="4088" width="3.75" style="2" customWidth="1"/>
    <col min="4089" max="4089" width="15" style="2" customWidth="1"/>
    <col min="4090" max="4093" width="12.875" style="2" customWidth="1"/>
    <col min="4094" max="4094" width="12.125" style="2" customWidth="1"/>
    <col min="4095" max="4095" width="9" style="2"/>
    <col min="4096" max="4096" width="12.25" style="2" customWidth="1"/>
    <col min="4097" max="4097" width="9.625" style="2" customWidth="1"/>
    <col min="4098" max="4099" width="9.75" style="2" customWidth="1"/>
    <col min="4100" max="4100" width="9.375" style="2" customWidth="1"/>
    <col min="4101" max="4342" width="9" style="2"/>
    <col min="4343" max="4344" width="3.75" style="2" customWidth="1"/>
    <col min="4345" max="4345" width="15" style="2" customWidth="1"/>
    <col min="4346" max="4349" width="12.875" style="2" customWidth="1"/>
    <col min="4350" max="4350" width="12.125" style="2" customWidth="1"/>
    <col min="4351" max="4351" width="9" style="2"/>
    <col min="4352" max="4352" width="12.25" style="2" customWidth="1"/>
    <col min="4353" max="4353" width="9.625" style="2" customWidth="1"/>
    <col min="4354" max="4355" width="9.75" style="2" customWidth="1"/>
    <col min="4356" max="4356" width="9.375" style="2" customWidth="1"/>
    <col min="4357" max="4598" width="9" style="2"/>
    <col min="4599" max="4600" width="3.75" style="2" customWidth="1"/>
    <col min="4601" max="4601" width="15" style="2" customWidth="1"/>
    <col min="4602" max="4605" width="12.875" style="2" customWidth="1"/>
    <col min="4606" max="4606" width="12.125" style="2" customWidth="1"/>
    <col min="4607" max="4607" width="9" style="2"/>
    <col min="4608" max="4608" width="12.25" style="2" customWidth="1"/>
    <col min="4609" max="4609" width="9.625" style="2" customWidth="1"/>
    <col min="4610" max="4611" width="9.75" style="2" customWidth="1"/>
    <col min="4612" max="4612" width="9.375" style="2" customWidth="1"/>
    <col min="4613" max="4854" width="9" style="2"/>
    <col min="4855" max="4856" width="3.75" style="2" customWidth="1"/>
    <col min="4857" max="4857" width="15" style="2" customWidth="1"/>
    <col min="4858" max="4861" width="12.875" style="2" customWidth="1"/>
    <col min="4862" max="4862" width="12.125" style="2" customWidth="1"/>
    <col min="4863" max="4863" width="9" style="2"/>
    <col min="4864" max="4864" width="12.25" style="2" customWidth="1"/>
    <col min="4865" max="4865" width="9.625" style="2" customWidth="1"/>
    <col min="4866" max="4867" width="9.75" style="2" customWidth="1"/>
    <col min="4868" max="4868" width="9.375" style="2" customWidth="1"/>
    <col min="4869" max="5110" width="9" style="2"/>
    <col min="5111" max="5112" width="3.75" style="2" customWidth="1"/>
    <col min="5113" max="5113" width="15" style="2" customWidth="1"/>
    <col min="5114" max="5117" width="12.875" style="2" customWidth="1"/>
    <col min="5118" max="5118" width="12.125" style="2" customWidth="1"/>
    <col min="5119" max="5119" width="9" style="2"/>
    <col min="5120" max="5120" width="12.25" style="2" customWidth="1"/>
    <col min="5121" max="5121" width="9.625" style="2" customWidth="1"/>
    <col min="5122" max="5123" width="9.75" style="2" customWidth="1"/>
    <col min="5124" max="5124" width="9.375" style="2" customWidth="1"/>
    <col min="5125" max="5366" width="9" style="2"/>
    <col min="5367" max="5368" width="3.75" style="2" customWidth="1"/>
    <col min="5369" max="5369" width="15" style="2" customWidth="1"/>
    <col min="5370" max="5373" width="12.875" style="2" customWidth="1"/>
    <col min="5374" max="5374" width="12.125" style="2" customWidth="1"/>
    <col min="5375" max="5375" width="9" style="2"/>
    <col min="5376" max="5376" width="12.25" style="2" customWidth="1"/>
    <col min="5377" max="5377" width="9.625" style="2" customWidth="1"/>
    <col min="5378" max="5379" width="9.75" style="2" customWidth="1"/>
    <col min="5380" max="5380" width="9.375" style="2" customWidth="1"/>
    <col min="5381" max="5622" width="9" style="2"/>
    <col min="5623" max="5624" width="3.75" style="2" customWidth="1"/>
    <col min="5625" max="5625" width="15" style="2" customWidth="1"/>
    <col min="5626" max="5629" width="12.875" style="2" customWidth="1"/>
    <col min="5630" max="5630" width="12.125" style="2" customWidth="1"/>
    <col min="5631" max="5631" width="9" style="2"/>
    <col min="5632" max="5632" width="12.25" style="2" customWidth="1"/>
    <col min="5633" max="5633" width="9.625" style="2" customWidth="1"/>
    <col min="5634" max="5635" width="9.75" style="2" customWidth="1"/>
    <col min="5636" max="5636" width="9.375" style="2" customWidth="1"/>
    <col min="5637" max="5878" width="9" style="2"/>
    <col min="5879" max="5880" width="3.75" style="2" customWidth="1"/>
    <col min="5881" max="5881" width="15" style="2" customWidth="1"/>
    <col min="5882" max="5885" width="12.875" style="2" customWidth="1"/>
    <col min="5886" max="5886" width="12.125" style="2" customWidth="1"/>
    <col min="5887" max="5887" width="9" style="2"/>
    <col min="5888" max="5888" width="12.25" style="2" customWidth="1"/>
    <col min="5889" max="5889" width="9.625" style="2" customWidth="1"/>
    <col min="5890" max="5891" width="9.75" style="2" customWidth="1"/>
    <col min="5892" max="5892" width="9.375" style="2" customWidth="1"/>
    <col min="5893" max="6134" width="9" style="2"/>
    <col min="6135" max="6136" width="3.75" style="2" customWidth="1"/>
    <col min="6137" max="6137" width="15" style="2" customWidth="1"/>
    <col min="6138" max="6141" width="12.875" style="2" customWidth="1"/>
    <col min="6142" max="6142" width="12.125" style="2" customWidth="1"/>
    <col min="6143" max="6143" width="9" style="2"/>
    <col min="6144" max="6144" width="12.25" style="2" customWidth="1"/>
    <col min="6145" max="6145" width="9.625" style="2" customWidth="1"/>
    <col min="6146" max="6147" width="9.75" style="2" customWidth="1"/>
    <col min="6148" max="6148" width="9.375" style="2" customWidth="1"/>
    <col min="6149" max="6390" width="9" style="2"/>
    <col min="6391" max="6392" width="3.75" style="2" customWidth="1"/>
    <col min="6393" max="6393" width="15" style="2" customWidth="1"/>
    <col min="6394" max="6397" width="12.875" style="2" customWidth="1"/>
    <col min="6398" max="6398" width="12.125" style="2" customWidth="1"/>
    <col min="6399" max="6399" width="9" style="2"/>
    <col min="6400" max="6400" width="12.25" style="2" customWidth="1"/>
    <col min="6401" max="6401" width="9.625" style="2" customWidth="1"/>
    <col min="6402" max="6403" width="9.75" style="2" customWidth="1"/>
    <col min="6404" max="6404" width="9.375" style="2" customWidth="1"/>
    <col min="6405" max="6646" width="9" style="2"/>
    <col min="6647" max="6648" width="3.75" style="2" customWidth="1"/>
    <col min="6649" max="6649" width="15" style="2" customWidth="1"/>
    <col min="6650" max="6653" width="12.875" style="2" customWidth="1"/>
    <col min="6654" max="6654" width="12.125" style="2" customWidth="1"/>
    <col min="6655" max="6655" width="9" style="2"/>
    <col min="6656" max="6656" width="12.25" style="2" customWidth="1"/>
    <col min="6657" max="6657" width="9.625" style="2" customWidth="1"/>
    <col min="6658" max="6659" width="9.75" style="2" customWidth="1"/>
    <col min="6660" max="6660" width="9.375" style="2" customWidth="1"/>
    <col min="6661" max="6902" width="9" style="2"/>
    <col min="6903" max="6904" width="3.75" style="2" customWidth="1"/>
    <col min="6905" max="6905" width="15" style="2" customWidth="1"/>
    <col min="6906" max="6909" width="12.875" style="2" customWidth="1"/>
    <col min="6910" max="6910" width="12.125" style="2" customWidth="1"/>
    <col min="6911" max="6911" width="9" style="2"/>
    <col min="6912" max="6912" width="12.25" style="2" customWidth="1"/>
    <col min="6913" max="6913" width="9.625" style="2" customWidth="1"/>
    <col min="6914" max="6915" width="9.75" style="2" customWidth="1"/>
    <col min="6916" max="6916" width="9.375" style="2" customWidth="1"/>
    <col min="6917" max="7158" width="9" style="2"/>
    <col min="7159" max="7160" width="3.75" style="2" customWidth="1"/>
    <col min="7161" max="7161" width="15" style="2" customWidth="1"/>
    <col min="7162" max="7165" width="12.875" style="2" customWidth="1"/>
    <col min="7166" max="7166" width="12.125" style="2" customWidth="1"/>
    <col min="7167" max="7167" width="9" style="2"/>
    <col min="7168" max="7168" width="12.25" style="2" customWidth="1"/>
    <col min="7169" max="7169" width="9.625" style="2" customWidth="1"/>
    <col min="7170" max="7171" width="9.75" style="2" customWidth="1"/>
    <col min="7172" max="7172" width="9.375" style="2" customWidth="1"/>
    <col min="7173" max="7414" width="9" style="2"/>
    <col min="7415" max="7416" width="3.75" style="2" customWidth="1"/>
    <col min="7417" max="7417" width="15" style="2" customWidth="1"/>
    <col min="7418" max="7421" width="12.875" style="2" customWidth="1"/>
    <col min="7422" max="7422" width="12.125" style="2" customWidth="1"/>
    <col min="7423" max="7423" width="9" style="2"/>
    <col min="7424" max="7424" width="12.25" style="2" customWidth="1"/>
    <col min="7425" max="7425" width="9.625" style="2" customWidth="1"/>
    <col min="7426" max="7427" width="9.75" style="2" customWidth="1"/>
    <col min="7428" max="7428" width="9.375" style="2" customWidth="1"/>
    <col min="7429" max="7670" width="9" style="2"/>
    <col min="7671" max="7672" width="3.75" style="2" customWidth="1"/>
    <col min="7673" max="7673" width="15" style="2" customWidth="1"/>
    <col min="7674" max="7677" width="12.875" style="2" customWidth="1"/>
    <col min="7678" max="7678" width="12.125" style="2" customWidth="1"/>
    <col min="7679" max="7679" width="9" style="2"/>
    <col min="7680" max="7680" width="12.25" style="2" customWidth="1"/>
    <col min="7681" max="7681" width="9.625" style="2" customWidth="1"/>
    <col min="7682" max="7683" width="9.75" style="2" customWidth="1"/>
    <col min="7684" max="7684" width="9.375" style="2" customWidth="1"/>
    <col min="7685" max="7926" width="9" style="2"/>
    <col min="7927" max="7928" width="3.75" style="2" customWidth="1"/>
    <col min="7929" max="7929" width="15" style="2" customWidth="1"/>
    <col min="7930" max="7933" width="12.875" style="2" customWidth="1"/>
    <col min="7934" max="7934" width="12.125" style="2" customWidth="1"/>
    <col min="7935" max="7935" width="9" style="2"/>
    <col min="7936" max="7936" width="12.25" style="2" customWidth="1"/>
    <col min="7937" max="7937" width="9.625" style="2" customWidth="1"/>
    <col min="7938" max="7939" width="9.75" style="2" customWidth="1"/>
    <col min="7940" max="7940" width="9.375" style="2" customWidth="1"/>
    <col min="7941" max="8182" width="9" style="2"/>
    <col min="8183" max="8184" width="3.75" style="2" customWidth="1"/>
    <col min="8185" max="8185" width="15" style="2" customWidth="1"/>
    <col min="8186" max="8189" width="12.875" style="2" customWidth="1"/>
    <col min="8190" max="8190" width="12.125" style="2" customWidth="1"/>
    <col min="8191" max="8191" width="9" style="2"/>
    <col min="8192" max="8192" width="12.25" style="2" customWidth="1"/>
    <col min="8193" max="8193" width="9.625" style="2" customWidth="1"/>
    <col min="8194" max="8195" width="9.75" style="2" customWidth="1"/>
    <col min="8196" max="8196" width="9.375" style="2" customWidth="1"/>
    <col min="8197" max="8438" width="9" style="2"/>
    <col min="8439" max="8440" width="3.75" style="2" customWidth="1"/>
    <col min="8441" max="8441" width="15" style="2" customWidth="1"/>
    <col min="8442" max="8445" width="12.875" style="2" customWidth="1"/>
    <col min="8446" max="8446" width="12.125" style="2" customWidth="1"/>
    <col min="8447" max="8447" width="9" style="2"/>
    <col min="8448" max="8448" width="12.25" style="2" customWidth="1"/>
    <col min="8449" max="8449" width="9.625" style="2" customWidth="1"/>
    <col min="8450" max="8451" width="9.75" style="2" customWidth="1"/>
    <col min="8452" max="8452" width="9.375" style="2" customWidth="1"/>
    <col min="8453" max="8694" width="9" style="2"/>
    <col min="8695" max="8696" width="3.75" style="2" customWidth="1"/>
    <col min="8697" max="8697" width="15" style="2" customWidth="1"/>
    <col min="8698" max="8701" width="12.875" style="2" customWidth="1"/>
    <col min="8702" max="8702" width="12.125" style="2" customWidth="1"/>
    <col min="8703" max="8703" width="9" style="2"/>
    <col min="8704" max="8704" width="12.25" style="2" customWidth="1"/>
    <col min="8705" max="8705" width="9.625" style="2" customWidth="1"/>
    <col min="8706" max="8707" width="9.75" style="2" customWidth="1"/>
    <col min="8708" max="8708" width="9.375" style="2" customWidth="1"/>
    <col min="8709" max="8950" width="9" style="2"/>
    <col min="8951" max="8952" width="3.75" style="2" customWidth="1"/>
    <col min="8953" max="8953" width="15" style="2" customWidth="1"/>
    <col min="8954" max="8957" width="12.875" style="2" customWidth="1"/>
    <col min="8958" max="8958" width="12.125" style="2" customWidth="1"/>
    <col min="8959" max="8959" width="9" style="2"/>
    <col min="8960" max="8960" width="12.25" style="2" customWidth="1"/>
    <col min="8961" max="8961" width="9.625" style="2" customWidth="1"/>
    <col min="8962" max="8963" width="9.75" style="2" customWidth="1"/>
    <col min="8964" max="8964" width="9.375" style="2" customWidth="1"/>
    <col min="8965" max="9206" width="9" style="2"/>
    <col min="9207" max="9208" width="3.75" style="2" customWidth="1"/>
    <col min="9209" max="9209" width="15" style="2" customWidth="1"/>
    <col min="9210" max="9213" width="12.875" style="2" customWidth="1"/>
    <col min="9214" max="9214" width="12.125" style="2" customWidth="1"/>
    <col min="9215" max="9215" width="9" style="2"/>
    <col min="9216" max="9216" width="12.25" style="2" customWidth="1"/>
    <col min="9217" max="9217" width="9.625" style="2" customWidth="1"/>
    <col min="9218" max="9219" width="9.75" style="2" customWidth="1"/>
    <col min="9220" max="9220" width="9.375" style="2" customWidth="1"/>
    <col min="9221" max="9462" width="9" style="2"/>
    <col min="9463" max="9464" width="3.75" style="2" customWidth="1"/>
    <col min="9465" max="9465" width="15" style="2" customWidth="1"/>
    <col min="9466" max="9469" width="12.875" style="2" customWidth="1"/>
    <col min="9470" max="9470" width="12.125" style="2" customWidth="1"/>
    <col min="9471" max="9471" width="9" style="2"/>
    <col min="9472" max="9472" width="12.25" style="2" customWidth="1"/>
    <col min="9473" max="9473" width="9.625" style="2" customWidth="1"/>
    <col min="9474" max="9475" width="9.75" style="2" customWidth="1"/>
    <col min="9476" max="9476" width="9.375" style="2" customWidth="1"/>
    <col min="9477" max="9718" width="9" style="2"/>
    <col min="9719" max="9720" width="3.75" style="2" customWidth="1"/>
    <col min="9721" max="9721" width="15" style="2" customWidth="1"/>
    <col min="9722" max="9725" width="12.875" style="2" customWidth="1"/>
    <col min="9726" max="9726" width="12.125" style="2" customWidth="1"/>
    <col min="9727" max="9727" width="9" style="2"/>
    <col min="9728" max="9728" width="12.25" style="2" customWidth="1"/>
    <col min="9729" max="9729" width="9.625" style="2" customWidth="1"/>
    <col min="9730" max="9731" width="9.75" style="2" customWidth="1"/>
    <col min="9732" max="9732" width="9.375" style="2" customWidth="1"/>
    <col min="9733" max="9974" width="9" style="2"/>
    <col min="9975" max="9976" width="3.75" style="2" customWidth="1"/>
    <col min="9977" max="9977" width="15" style="2" customWidth="1"/>
    <col min="9978" max="9981" width="12.875" style="2" customWidth="1"/>
    <col min="9982" max="9982" width="12.125" style="2" customWidth="1"/>
    <col min="9983" max="9983" width="9" style="2"/>
    <col min="9984" max="9984" width="12.25" style="2" customWidth="1"/>
    <col min="9985" max="9985" width="9.625" style="2" customWidth="1"/>
    <col min="9986" max="9987" width="9.75" style="2" customWidth="1"/>
    <col min="9988" max="9988" width="9.375" style="2" customWidth="1"/>
    <col min="9989" max="10230" width="9" style="2"/>
    <col min="10231" max="10232" width="3.75" style="2" customWidth="1"/>
    <col min="10233" max="10233" width="15" style="2" customWidth="1"/>
    <col min="10234" max="10237" width="12.875" style="2" customWidth="1"/>
    <col min="10238" max="10238" width="12.125" style="2" customWidth="1"/>
    <col min="10239" max="10239" width="9" style="2"/>
    <col min="10240" max="10240" width="12.25" style="2" customWidth="1"/>
    <col min="10241" max="10241" width="9.625" style="2" customWidth="1"/>
    <col min="10242" max="10243" width="9.75" style="2" customWidth="1"/>
    <col min="10244" max="10244" width="9.375" style="2" customWidth="1"/>
    <col min="10245" max="10486" width="9" style="2"/>
    <col min="10487" max="10488" width="3.75" style="2" customWidth="1"/>
    <col min="10489" max="10489" width="15" style="2" customWidth="1"/>
    <col min="10490" max="10493" width="12.875" style="2" customWidth="1"/>
    <col min="10494" max="10494" width="12.125" style="2" customWidth="1"/>
    <col min="10495" max="10495" width="9" style="2"/>
    <col min="10496" max="10496" width="12.25" style="2" customWidth="1"/>
    <col min="10497" max="10497" width="9.625" style="2" customWidth="1"/>
    <col min="10498" max="10499" width="9.75" style="2" customWidth="1"/>
    <col min="10500" max="10500" width="9.375" style="2" customWidth="1"/>
    <col min="10501" max="10742" width="9" style="2"/>
    <col min="10743" max="10744" width="3.75" style="2" customWidth="1"/>
    <col min="10745" max="10745" width="15" style="2" customWidth="1"/>
    <col min="10746" max="10749" width="12.875" style="2" customWidth="1"/>
    <col min="10750" max="10750" width="12.125" style="2" customWidth="1"/>
    <col min="10751" max="10751" width="9" style="2"/>
    <col min="10752" max="10752" width="12.25" style="2" customWidth="1"/>
    <col min="10753" max="10753" width="9.625" style="2" customWidth="1"/>
    <col min="10754" max="10755" width="9.75" style="2" customWidth="1"/>
    <col min="10756" max="10756" width="9.375" style="2" customWidth="1"/>
    <col min="10757" max="10998" width="9" style="2"/>
    <col min="10999" max="11000" width="3.75" style="2" customWidth="1"/>
    <col min="11001" max="11001" width="15" style="2" customWidth="1"/>
    <col min="11002" max="11005" width="12.875" style="2" customWidth="1"/>
    <col min="11006" max="11006" width="12.125" style="2" customWidth="1"/>
    <col min="11007" max="11007" width="9" style="2"/>
    <col min="11008" max="11008" width="12.25" style="2" customWidth="1"/>
    <col min="11009" max="11009" width="9.625" style="2" customWidth="1"/>
    <col min="11010" max="11011" width="9.75" style="2" customWidth="1"/>
    <col min="11012" max="11012" width="9.375" style="2" customWidth="1"/>
    <col min="11013" max="11254" width="9" style="2"/>
    <col min="11255" max="11256" width="3.75" style="2" customWidth="1"/>
    <col min="11257" max="11257" width="15" style="2" customWidth="1"/>
    <col min="11258" max="11261" width="12.875" style="2" customWidth="1"/>
    <col min="11262" max="11262" width="12.125" style="2" customWidth="1"/>
    <col min="11263" max="11263" width="9" style="2"/>
    <col min="11264" max="11264" width="12.25" style="2" customWidth="1"/>
    <col min="11265" max="11265" width="9.625" style="2" customWidth="1"/>
    <col min="11266" max="11267" width="9.75" style="2" customWidth="1"/>
    <col min="11268" max="11268" width="9.375" style="2" customWidth="1"/>
    <col min="11269" max="11510" width="9" style="2"/>
    <col min="11511" max="11512" width="3.75" style="2" customWidth="1"/>
    <col min="11513" max="11513" width="15" style="2" customWidth="1"/>
    <col min="11514" max="11517" width="12.875" style="2" customWidth="1"/>
    <col min="11518" max="11518" width="12.125" style="2" customWidth="1"/>
    <col min="11519" max="11519" width="9" style="2"/>
    <col min="11520" max="11520" width="12.25" style="2" customWidth="1"/>
    <col min="11521" max="11521" width="9.625" style="2" customWidth="1"/>
    <col min="11522" max="11523" width="9.75" style="2" customWidth="1"/>
    <col min="11524" max="11524" width="9.375" style="2" customWidth="1"/>
    <col min="11525" max="11766" width="9" style="2"/>
    <col min="11767" max="11768" width="3.75" style="2" customWidth="1"/>
    <col min="11769" max="11769" width="15" style="2" customWidth="1"/>
    <col min="11770" max="11773" width="12.875" style="2" customWidth="1"/>
    <col min="11774" max="11774" width="12.125" style="2" customWidth="1"/>
    <col min="11775" max="11775" width="9" style="2"/>
    <col min="11776" max="11776" width="12.25" style="2" customWidth="1"/>
    <col min="11777" max="11777" width="9.625" style="2" customWidth="1"/>
    <col min="11778" max="11779" width="9.75" style="2" customWidth="1"/>
    <col min="11780" max="11780" width="9.375" style="2" customWidth="1"/>
    <col min="11781" max="12022" width="9" style="2"/>
    <col min="12023" max="12024" width="3.75" style="2" customWidth="1"/>
    <col min="12025" max="12025" width="15" style="2" customWidth="1"/>
    <col min="12026" max="12029" width="12.875" style="2" customWidth="1"/>
    <col min="12030" max="12030" width="12.125" style="2" customWidth="1"/>
    <col min="12031" max="12031" width="9" style="2"/>
    <col min="12032" max="12032" width="12.25" style="2" customWidth="1"/>
    <col min="12033" max="12033" width="9.625" style="2" customWidth="1"/>
    <col min="12034" max="12035" width="9.75" style="2" customWidth="1"/>
    <col min="12036" max="12036" width="9.375" style="2" customWidth="1"/>
    <col min="12037" max="12278" width="9" style="2"/>
    <col min="12279" max="12280" width="3.75" style="2" customWidth="1"/>
    <col min="12281" max="12281" width="15" style="2" customWidth="1"/>
    <col min="12282" max="12285" width="12.875" style="2" customWidth="1"/>
    <col min="12286" max="12286" width="12.125" style="2" customWidth="1"/>
    <col min="12287" max="12287" width="9" style="2"/>
    <col min="12288" max="12288" width="12.25" style="2" customWidth="1"/>
    <col min="12289" max="12289" width="9.625" style="2" customWidth="1"/>
    <col min="12290" max="12291" width="9.75" style="2" customWidth="1"/>
    <col min="12292" max="12292" width="9.375" style="2" customWidth="1"/>
    <col min="12293" max="12534" width="9" style="2"/>
    <col min="12535" max="12536" width="3.75" style="2" customWidth="1"/>
    <col min="12537" max="12537" width="15" style="2" customWidth="1"/>
    <col min="12538" max="12541" width="12.875" style="2" customWidth="1"/>
    <col min="12542" max="12542" width="12.125" style="2" customWidth="1"/>
    <col min="12543" max="12543" width="9" style="2"/>
    <col min="12544" max="12544" width="12.25" style="2" customWidth="1"/>
    <col min="12545" max="12545" width="9.625" style="2" customWidth="1"/>
    <col min="12546" max="12547" width="9.75" style="2" customWidth="1"/>
    <col min="12548" max="12548" width="9.375" style="2" customWidth="1"/>
    <col min="12549" max="12790" width="9" style="2"/>
    <col min="12791" max="12792" width="3.75" style="2" customWidth="1"/>
    <col min="12793" max="12793" width="15" style="2" customWidth="1"/>
    <col min="12794" max="12797" width="12.875" style="2" customWidth="1"/>
    <col min="12798" max="12798" width="12.125" style="2" customWidth="1"/>
    <col min="12799" max="12799" width="9" style="2"/>
    <col min="12800" max="12800" width="12.25" style="2" customWidth="1"/>
    <col min="12801" max="12801" width="9.625" style="2" customWidth="1"/>
    <col min="12802" max="12803" width="9.75" style="2" customWidth="1"/>
    <col min="12804" max="12804" width="9.375" style="2" customWidth="1"/>
    <col min="12805" max="13046" width="9" style="2"/>
    <col min="13047" max="13048" width="3.75" style="2" customWidth="1"/>
    <col min="13049" max="13049" width="15" style="2" customWidth="1"/>
    <col min="13050" max="13053" width="12.875" style="2" customWidth="1"/>
    <col min="13054" max="13054" width="12.125" style="2" customWidth="1"/>
    <col min="13055" max="13055" width="9" style="2"/>
    <col min="13056" max="13056" width="12.25" style="2" customWidth="1"/>
    <col min="13057" max="13057" width="9.625" style="2" customWidth="1"/>
    <col min="13058" max="13059" width="9.75" style="2" customWidth="1"/>
    <col min="13060" max="13060" width="9.375" style="2" customWidth="1"/>
    <col min="13061" max="13302" width="9" style="2"/>
    <col min="13303" max="13304" width="3.75" style="2" customWidth="1"/>
    <col min="13305" max="13305" width="15" style="2" customWidth="1"/>
    <col min="13306" max="13309" width="12.875" style="2" customWidth="1"/>
    <col min="13310" max="13310" width="12.125" style="2" customWidth="1"/>
    <col min="13311" max="13311" width="9" style="2"/>
    <col min="13312" max="13312" width="12.25" style="2" customWidth="1"/>
    <col min="13313" max="13313" width="9.625" style="2" customWidth="1"/>
    <col min="13314" max="13315" width="9.75" style="2" customWidth="1"/>
    <col min="13316" max="13316" width="9.375" style="2" customWidth="1"/>
    <col min="13317" max="13558" width="9" style="2"/>
    <col min="13559" max="13560" width="3.75" style="2" customWidth="1"/>
    <col min="13561" max="13561" width="15" style="2" customWidth="1"/>
    <col min="13562" max="13565" width="12.875" style="2" customWidth="1"/>
    <col min="13566" max="13566" width="12.125" style="2" customWidth="1"/>
    <col min="13567" max="13567" width="9" style="2"/>
    <col min="13568" max="13568" width="12.25" style="2" customWidth="1"/>
    <col min="13569" max="13569" width="9.625" style="2" customWidth="1"/>
    <col min="13570" max="13571" width="9.75" style="2" customWidth="1"/>
    <col min="13572" max="13572" width="9.375" style="2" customWidth="1"/>
    <col min="13573" max="13814" width="9" style="2"/>
    <col min="13815" max="13816" width="3.75" style="2" customWidth="1"/>
    <col min="13817" max="13817" width="15" style="2" customWidth="1"/>
    <col min="13818" max="13821" width="12.875" style="2" customWidth="1"/>
    <col min="13822" max="13822" width="12.125" style="2" customWidth="1"/>
    <col min="13823" max="13823" width="9" style="2"/>
    <col min="13824" max="13824" width="12.25" style="2" customWidth="1"/>
    <col min="13825" max="13825" width="9.625" style="2" customWidth="1"/>
    <col min="13826" max="13827" width="9.75" style="2" customWidth="1"/>
    <col min="13828" max="13828" width="9.375" style="2" customWidth="1"/>
    <col min="13829" max="14070" width="9" style="2"/>
    <col min="14071" max="14072" width="3.75" style="2" customWidth="1"/>
    <col min="14073" max="14073" width="15" style="2" customWidth="1"/>
    <col min="14074" max="14077" width="12.875" style="2" customWidth="1"/>
    <col min="14078" max="14078" width="12.125" style="2" customWidth="1"/>
    <col min="14079" max="14079" width="9" style="2"/>
    <col min="14080" max="14080" width="12.25" style="2" customWidth="1"/>
    <col min="14081" max="14081" width="9.625" style="2" customWidth="1"/>
    <col min="14082" max="14083" width="9.75" style="2" customWidth="1"/>
    <col min="14084" max="14084" width="9.375" style="2" customWidth="1"/>
    <col min="14085" max="14326" width="9" style="2"/>
    <col min="14327" max="14328" width="3.75" style="2" customWidth="1"/>
    <col min="14329" max="14329" width="15" style="2" customWidth="1"/>
    <col min="14330" max="14333" width="12.875" style="2" customWidth="1"/>
    <col min="14334" max="14334" width="12.125" style="2" customWidth="1"/>
    <col min="14335" max="14335" width="9" style="2"/>
    <col min="14336" max="14336" width="12.25" style="2" customWidth="1"/>
    <col min="14337" max="14337" width="9.625" style="2" customWidth="1"/>
    <col min="14338" max="14339" width="9.75" style="2" customWidth="1"/>
    <col min="14340" max="14340" width="9.375" style="2" customWidth="1"/>
    <col min="14341" max="14582" width="9" style="2"/>
    <col min="14583" max="14584" width="3.75" style="2" customWidth="1"/>
    <col min="14585" max="14585" width="15" style="2" customWidth="1"/>
    <col min="14586" max="14589" width="12.875" style="2" customWidth="1"/>
    <col min="14590" max="14590" width="12.125" style="2" customWidth="1"/>
    <col min="14591" max="14591" width="9" style="2"/>
    <col min="14592" max="14592" width="12.25" style="2" customWidth="1"/>
    <col min="14593" max="14593" width="9.625" style="2" customWidth="1"/>
    <col min="14594" max="14595" width="9.75" style="2" customWidth="1"/>
    <col min="14596" max="14596" width="9.375" style="2" customWidth="1"/>
    <col min="14597" max="14838" width="9" style="2"/>
    <col min="14839" max="14840" width="3.75" style="2" customWidth="1"/>
    <col min="14841" max="14841" width="15" style="2" customWidth="1"/>
    <col min="14842" max="14845" width="12.875" style="2" customWidth="1"/>
    <col min="14846" max="14846" width="12.125" style="2" customWidth="1"/>
    <col min="14847" max="14847" width="9" style="2"/>
    <col min="14848" max="14848" width="12.25" style="2" customWidth="1"/>
    <col min="14849" max="14849" width="9.625" style="2" customWidth="1"/>
    <col min="14850" max="14851" width="9.75" style="2" customWidth="1"/>
    <col min="14852" max="14852" width="9.375" style="2" customWidth="1"/>
    <col min="14853" max="15094" width="9" style="2"/>
    <col min="15095" max="15096" width="3.75" style="2" customWidth="1"/>
    <col min="15097" max="15097" width="15" style="2" customWidth="1"/>
    <col min="15098" max="15101" width="12.875" style="2" customWidth="1"/>
    <col min="15102" max="15102" width="12.125" style="2" customWidth="1"/>
    <col min="15103" max="15103" width="9" style="2"/>
    <col min="15104" max="15104" width="12.25" style="2" customWidth="1"/>
    <col min="15105" max="15105" width="9.625" style="2" customWidth="1"/>
    <col min="15106" max="15107" width="9.75" style="2" customWidth="1"/>
    <col min="15108" max="15108" width="9.375" style="2" customWidth="1"/>
    <col min="15109" max="15350" width="9" style="2"/>
    <col min="15351" max="15352" width="3.75" style="2" customWidth="1"/>
    <col min="15353" max="15353" width="15" style="2" customWidth="1"/>
    <col min="15354" max="15357" width="12.875" style="2" customWidth="1"/>
    <col min="15358" max="15358" width="12.125" style="2" customWidth="1"/>
    <col min="15359" max="15359" width="9" style="2"/>
    <col min="15360" max="15360" width="12.25" style="2" customWidth="1"/>
    <col min="15361" max="15361" width="9.625" style="2" customWidth="1"/>
    <col min="15362" max="15363" width="9.75" style="2" customWidth="1"/>
    <col min="15364" max="15364" width="9.375" style="2" customWidth="1"/>
    <col min="15365" max="15606" width="9" style="2"/>
    <col min="15607" max="15608" width="3.75" style="2" customWidth="1"/>
    <col min="15609" max="15609" width="15" style="2" customWidth="1"/>
    <col min="15610" max="15613" width="12.875" style="2" customWidth="1"/>
    <col min="15614" max="15614" width="12.125" style="2" customWidth="1"/>
    <col min="15615" max="15615" width="9" style="2"/>
    <col min="15616" max="15616" width="12.25" style="2" customWidth="1"/>
    <col min="15617" max="15617" width="9.625" style="2" customWidth="1"/>
    <col min="15618" max="15619" width="9.75" style="2" customWidth="1"/>
    <col min="15620" max="15620" width="9.375" style="2" customWidth="1"/>
    <col min="15621" max="15862" width="9" style="2"/>
    <col min="15863" max="15864" width="3.75" style="2" customWidth="1"/>
    <col min="15865" max="15865" width="15" style="2" customWidth="1"/>
    <col min="15866" max="15869" width="12.875" style="2" customWidth="1"/>
    <col min="15870" max="15870" width="12.125" style="2" customWidth="1"/>
    <col min="15871" max="15871" width="9" style="2"/>
    <col min="15872" max="15872" width="12.25" style="2" customWidth="1"/>
    <col min="15873" max="15873" width="9.625" style="2" customWidth="1"/>
    <col min="15874" max="15875" width="9.75" style="2" customWidth="1"/>
    <col min="15876" max="15876" width="9.375" style="2" customWidth="1"/>
    <col min="15877" max="16118" width="9" style="2"/>
    <col min="16119" max="16120" width="3.75" style="2" customWidth="1"/>
    <col min="16121" max="16121" width="15" style="2" customWidth="1"/>
    <col min="16122" max="16125" width="12.875" style="2" customWidth="1"/>
    <col min="16126" max="16126" width="12.125" style="2" customWidth="1"/>
    <col min="16127" max="16127" width="9" style="2"/>
    <col min="16128" max="16128" width="12.25" style="2" customWidth="1"/>
    <col min="16129" max="16129" width="9.625" style="2" customWidth="1"/>
    <col min="16130" max="16131" width="9.75" style="2" customWidth="1"/>
    <col min="16132" max="16132" width="9.375" style="2" customWidth="1"/>
    <col min="16133" max="16384" width="9" style="2"/>
  </cols>
  <sheetData>
    <row r="1" spans="1:38" ht="20.100000000000001" customHeight="1">
      <c r="A1" s="1" t="s">
        <v>520</v>
      </c>
      <c r="B1" s="1"/>
      <c r="C1" s="1"/>
      <c r="D1" s="1"/>
      <c r="L1" s="2">
        <v>1.2825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491</v>
      </c>
      <c r="N5" s="272" t="s">
        <v>223</v>
      </c>
      <c r="O5" s="44">
        <v>142417</v>
      </c>
      <c r="P5" s="816">
        <v>0.2</v>
      </c>
      <c r="Q5" s="44">
        <f>+ROUND(O5+O5*$P$5,0)</f>
        <v>170900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182035</v>
      </c>
      <c r="P6" s="817"/>
      <c r="Q6" s="44">
        <f t="shared" ref="Q6:Q18" si="0">+ROUND(O6+O6*$P$5,0)</f>
        <v>218442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814"/>
      <c r="N7" s="272" t="s">
        <v>225</v>
      </c>
      <c r="O7" s="44">
        <v>220784</v>
      </c>
      <c r="P7" s="817"/>
      <c r="Q7" s="44">
        <f t="shared" si="0"/>
        <v>264941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714</v>
      </c>
      <c r="B8" s="152" t="s">
        <v>528</v>
      </c>
      <c r="C8" s="153">
        <f>X38</f>
        <v>458970</v>
      </c>
      <c r="D8" s="139"/>
      <c r="E8" s="94">
        <f t="shared" ref="E8:G18" si="1">+ROUND($C8*D8/1000000,0)</f>
        <v>0</v>
      </c>
      <c r="F8" s="94"/>
      <c r="G8" s="94">
        <f t="shared" si="1"/>
        <v>0</v>
      </c>
      <c r="H8" s="94"/>
      <c r="I8" s="94">
        <f t="shared" ref="I8:I18" si="2">+ROUND($C8*H8/1000000,0)</f>
        <v>0</v>
      </c>
      <c r="J8" s="94"/>
      <c r="K8" s="153">
        <f t="shared" ref="K8:K18" si="3">+ROUND($C8*J8/1000000,0)</f>
        <v>0</v>
      </c>
      <c r="M8" s="814"/>
      <c r="N8" s="272" t="s">
        <v>226</v>
      </c>
      <c r="O8" s="44">
        <v>257397</v>
      </c>
      <c r="P8" s="817"/>
      <c r="Q8" s="44">
        <f t="shared" si="0"/>
        <v>308876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3">
        <f t="shared" ref="C9:C17" si="4">X40</f>
        <v>553056</v>
      </c>
      <c r="D9" s="139"/>
      <c r="E9" s="94">
        <f t="shared" si="1"/>
        <v>0</v>
      </c>
      <c r="F9" s="94"/>
      <c r="G9" s="94">
        <f t="shared" si="1"/>
        <v>0</v>
      </c>
      <c r="H9" s="94"/>
      <c r="I9" s="94">
        <f t="shared" si="2"/>
        <v>0</v>
      </c>
      <c r="J9" s="94"/>
      <c r="K9" s="153">
        <f t="shared" si="3"/>
        <v>0</v>
      </c>
      <c r="M9" s="814"/>
      <c r="N9" s="272" t="s">
        <v>227</v>
      </c>
      <c r="O9" s="44">
        <v>316310</v>
      </c>
      <c r="P9" s="817"/>
      <c r="Q9" s="44">
        <f t="shared" si="0"/>
        <v>379572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3">
        <f t="shared" si="4"/>
        <v>625418</v>
      </c>
      <c r="D10" s="139"/>
      <c r="E10" s="94">
        <f t="shared" si="1"/>
        <v>0</v>
      </c>
      <c r="F10" s="94"/>
      <c r="G10" s="94">
        <f t="shared" si="1"/>
        <v>0</v>
      </c>
      <c r="H10" s="94"/>
      <c r="I10" s="94">
        <f t="shared" si="2"/>
        <v>0</v>
      </c>
      <c r="J10" s="94"/>
      <c r="K10" s="153">
        <f t="shared" si="3"/>
        <v>0</v>
      </c>
      <c r="L10" s="9"/>
      <c r="M10" s="814"/>
      <c r="N10" s="272" t="s">
        <v>228</v>
      </c>
      <c r="O10" s="44">
        <v>382855</v>
      </c>
      <c r="P10" s="817"/>
      <c r="Q10" s="44">
        <f t="shared" si="0"/>
        <v>459426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3">
        <f t="shared" si="4"/>
        <v>709106</v>
      </c>
      <c r="D11" s="139"/>
      <c r="E11" s="94">
        <f t="shared" si="1"/>
        <v>0</v>
      </c>
      <c r="F11" s="94"/>
      <c r="G11" s="94">
        <f t="shared" si="1"/>
        <v>0</v>
      </c>
      <c r="H11" s="94"/>
      <c r="I11" s="94">
        <f t="shared" si="2"/>
        <v>0</v>
      </c>
      <c r="J11" s="94"/>
      <c r="K11" s="153">
        <f t="shared" si="3"/>
        <v>0</v>
      </c>
      <c r="L11" s="9"/>
      <c r="M11" s="814"/>
      <c r="N11" s="272" t="s">
        <v>229</v>
      </c>
      <c r="O11" s="44">
        <v>459144</v>
      </c>
      <c r="P11" s="817"/>
      <c r="Q11" s="44">
        <f t="shared" si="0"/>
        <v>550973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3">
        <f t="shared" si="4"/>
        <v>801512</v>
      </c>
      <c r="D12" s="139"/>
      <c r="E12" s="94">
        <f t="shared" si="1"/>
        <v>0</v>
      </c>
      <c r="F12" s="94"/>
      <c r="G12" s="94">
        <f t="shared" si="1"/>
        <v>0</v>
      </c>
      <c r="H12" s="94"/>
      <c r="I12" s="94">
        <f t="shared" si="2"/>
        <v>0</v>
      </c>
      <c r="J12" s="94"/>
      <c r="K12" s="153">
        <f t="shared" si="3"/>
        <v>0</v>
      </c>
      <c r="L12" s="9"/>
      <c r="M12" s="814"/>
      <c r="N12" s="272" t="s">
        <v>230</v>
      </c>
      <c r="O12" s="44">
        <v>543955</v>
      </c>
      <c r="P12" s="817"/>
      <c r="Q12" s="44">
        <f t="shared" si="0"/>
        <v>652746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3">
        <f t="shared" si="4"/>
        <v>930783</v>
      </c>
      <c r="D13" s="139"/>
      <c r="E13" s="94">
        <f t="shared" si="1"/>
        <v>0</v>
      </c>
      <c r="F13" s="94"/>
      <c r="G13" s="94">
        <f t="shared" si="1"/>
        <v>0</v>
      </c>
      <c r="H13" s="94"/>
      <c r="I13" s="94">
        <f t="shared" si="2"/>
        <v>0</v>
      </c>
      <c r="J13" s="94"/>
      <c r="K13" s="153">
        <f t="shared" si="3"/>
        <v>0</v>
      </c>
      <c r="L13" s="9"/>
      <c r="M13" s="814"/>
      <c r="N13" s="272" t="s">
        <v>231</v>
      </c>
      <c r="O13" s="44">
        <v>637524</v>
      </c>
      <c r="P13" s="817"/>
      <c r="Q13" s="44">
        <f t="shared" si="0"/>
        <v>765029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3">
        <f t="shared" si="4"/>
        <v>1147661</v>
      </c>
      <c r="D14" s="139"/>
      <c r="E14" s="94">
        <f t="shared" si="1"/>
        <v>0</v>
      </c>
      <c r="F14" s="94"/>
      <c r="G14" s="94">
        <f t="shared" si="1"/>
        <v>0</v>
      </c>
      <c r="H14" s="94"/>
      <c r="I14" s="94">
        <f t="shared" si="2"/>
        <v>0</v>
      </c>
      <c r="J14" s="94"/>
      <c r="K14" s="153">
        <f t="shared" si="3"/>
        <v>0</v>
      </c>
      <c r="L14" s="9"/>
      <c r="M14" s="814"/>
      <c r="N14" s="272" t="s">
        <v>232</v>
      </c>
      <c r="O14" s="44">
        <v>740257</v>
      </c>
      <c r="P14" s="817"/>
      <c r="Q14" s="44">
        <f t="shared" si="0"/>
        <v>888308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3">
        <f t="shared" si="4"/>
        <v>1265449</v>
      </c>
      <c r="D15" s="139">
        <v>0</v>
      </c>
      <c r="E15" s="94">
        <f t="shared" si="1"/>
        <v>0</v>
      </c>
      <c r="F15" s="94"/>
      <c r="G15" s="94">
        <f t="shared" si="1"/>
        <v>0</v>
      </c>
      <c r="H15" s="94"/>
      <c r="I15" s="94">
        <f t="shared" si="2"/>
        <v>0</v>
      </c>
      <c r="J15" s="94"/>
      <c r="K15" s="153">
        <f t="shared" si="3"/>
        <v>0</v>
      </c>
      <c r="L15" s="9"/>
      <c r="M15" s="814"/>
      <c r="N15" s="272" t="s">
        <v>233</v>
      </c>
      <c r="O15" s="44">
        <v>815662</v>
      </c>
      <c r="P15" s="817"/>
      <c r="Q15" s="44">
        <f t="shared" si="0"/>
        <v>978794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231</v>
      </c>
      <c r="C16" s="153">
        <f t="shared" si="4"/>
        <v>1485626</v>
      </c>
      <c r="D16" s="139">
        <v>0</v>
      </c>
      <c r="E16" s="94">
        <f t="shared" si="1"/>
        <v>0</v>
      </c>
      <c r="F16" s="94"/>
      <c r="G16" s="94">
        <f t="shared" si="1"/>
        <v>0</v>
      </c>
      <c r="H16" s="94"/>
      <c r="I16" s="94">
        <f t="shared" si="2"/>
        <v>0</v>
      </c>
      <c r="J16" s="94"/>
      <c r="K16" s="153">
        <f t="shared" si="3"/>
        <v>0</v>
      </c>
      <c r="L16" s="9"/>
      <c r="M16" s="814"/>
      <c r="N16" s="272"/>
      <c r="O16" s="44"/>
      <c r="P16" s="817"/>
      <c r="Q16" s="44">
        <f t="shared" si="0"/>
        <v>0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232</v>
      </c>
      <c r="C17" s="153">
        <f t="shared" si="4"/>
        <v>1727293</v>
      </c>
      <c r="D17" s="139">
        <v>0</v>
      </c>
      <c r="E17" s="94">
        <f t="shared" si="1"/>
        <v>0</v>
      </c>
      <c r="F17" s="94"/>
      <c r="G17" s="94">
        <f t="shared" si="1"/>
        <v>0</v>
      </c>
      <c r="H17" s="94"/>
      <c r="I17" s="94">
        <f t="shared" si="2"/>
        <v>0</v>
      </c>
      <c r="J17" s="94"/>
      <c r="K17" s="153">
        <f t="shared" si="3"/>
        <v>0</v>
      </c>
      <c r="L17" s="9"/>
      <c r="M17" s="814"/>
      <c r="N17" s="272"/>
      <c r="O17" s="44"/>
      <c r="P17" s="817"/>
      <c r="Q17" s="44">
        <f t="shared" si="0"/>
        <v>0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233</v>
      </c>
      <c r="C18" s="153"/>
      <c r="D18" s="139">
        <v>0</v>
      </c>
      <c r="E18" s="94">
        <f t="shared" si="1"/>
        <v>0</v>
      </c>
      <c r="F18" s="94"/>
      <c r="G18" s="94">
        <f t="shared" si="1"/>
        <v>0</v>
      </c>
      <c r="H18" s="94"/>
      <c r="I18" s="94">
        <f t="shared" si="2"/>
        <v>0</v>
      </c>
      <c r="J18" s="94"/>
      <c r="K18" s="153">
        <f t="shared" si="3"/>
        <v>0</v>
      </c>
      <c r="L18" s="9"/>
      <c r="M18" s="815"/>
      <c r="N18" s="272"/>
      <c r="O18" s="44"/>
      <c r="P18" s="818"/>
      <c r="Q18" s="44">
        <f t="shared" si="0"/>
        <v>0</v>
      </c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1"/>
      <c r="B19" s="777" t="s">
        <v>406</v>
      </c>
      <c r="C19" s="778"/>
      <c r="D19" s="163">
        <f t="shared" ref="D19:K19" si="5">SUM(D8:D18)</f>
        <v>0</v>
      </c>
      <c r="E19" s="161">
        <f t="shared" si="5"/>
        <v>0</v>
      </c>
      <c r="F19" s="161">
        <f t="shared" si="5"/>
        <v>0</v>
      </c>
      <c r="G19" s="161">
        <f t="shared" si="5"/>
        <v>0</v>
      </c>
      <c r="H19" s="161">
        <f t="shared" si="5"/>
        <v>0</v>
      </c>
      <c r="I19" s="161">
        <f t="shared" si="5"/>
        <v>0</v>
      </c>
      <c r="J19" s="161">
        <f t="shared" si="5"/>
        <v>0</v>
      </c>
      <c r="K19" s="162">
        <f t="shared" si="5"/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529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530</v>
      </c>
      <c r="T34" s="835" t="s">
        <v>321</v>
      </c>
      <c r="U34" s="836"/>
      <c r="V34" s="836"/>
      <c r="W34" s="836"/>
      <c r="X34" s="836"/>
      <c r="Y34" s="837"/>
    </row>
    <row r="35" spans="12:36" ht="30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531</v>
      </c>
      <c r="T49" s="825" t="s">
        <v>338</v>
      </c>
      <c r="U49" s="826"/>
      <c r="V49" s="826"/>
      <c r="W49" s="826"/>
      <c r="X49" s="826"/>
      <c r="Y49" s="827"/>
    </row>
    <row r="50" spans="12:25" ht="30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8"/>
    <mergeCell ref="P5:P18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9"/>
    <mergeCell ref="S18:S19"/>
    <mergeCell ref="T18:X18"/>
    <mergeCell ref="B19:C19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248</v>
      </c>
      <c r="B1" s="1"/>
      <c r="C1" s="1"/>
      <c r="D1" s="1"/>
      <c r="L1" s="2">
        <v>3.9115000000000002</v>
      </c>
      <c r="M1" s="2" t="s">
        <v>196</v>
      </c>
      <c r="S1" s="2" t="s">
        <v>344</v>
      </c>
    </row>
    <row r="2" spans="1:38" ht="20.100000000000001" customHeight="1" thickBot="1">
      <c r="A2" s="2" t="s">
        <v>63</v>
      </c>
      <c r="S2" s="236" t="s">
        <v>341</v>
      </c>
    </row>
    <row r="3" spans="1:38" ht="20.100000000000001" customHeight="1" thickTop="1">
      <c r="A3" s="4" t="s">
        <v>345</v>
      </c>
      <c r="B3" s="40"/>
      <c r="C3" s="40"/>
      <c r="D3" s="40"/>
      <c r="M3" s="776" t="s">
        <v>64</v>
      </c>
      <c r="N3" s="776" t="s">
        <v>65</v>
      </c>
      <c r="O3" s="813" t="s">
        <v>101</v>
      </c>
      <c r="P3" s="813" t="s">
        <v>241</v>
      </c>
      <c r="Q3" s="813" t="s">
        <v>100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32" t="s">
        <v>259</v>
      </c>
      <c r="AF3" s="232" t="s">
        <v>261</v>
      </c>
      <c r="AG3" s="232" t="s">
        <v>262</v>
      </c>
      <c r="AH3" s="232" t="s">
        <v>263</v>
      </c>
      <c r="AI3" s="232" t="s">
        <v>264</v>
      </c>
      <c r="AJ3" s="232" t="s">
        <v>265</v>
      </c>
      <c r="AK3" s="232" t="s">
        <v>266</v>
      </c>
      <c r="AL3" s="212" t="s">
        <v>267</v>
      </c>
    </row>
    <row r="4" spans="1:38" ht="20.100000000000001" customHeight="1" thickBot="1">
      <c r="A4" s="2" t="s">
        <v>4</v>
      </c>
      <c r="M4" s="776"/>
      <c r="N4" s="776"/>
      <c r="O4" s="815"/>
      <c r="P4" s="815"/>
      <c r="Q4" s="815"/>
      <c r="S4" s="812"/>
      <c r="T4" s="237" t="s">
        <v>279</v>
      </c>
      <c r="U4" s="238" t="s">
        <v>280</v>
      </c>
      <c r="V4" s="238" t="s">
        <v>281</v>
      </c>
      <c r="W4" s="237" t="s">
        <v>282</v>
      </c>
      <c r="X4" s="238" t="s">
        <v>283</v>
      </c>
      <c r="Y4" s="238" t="s">
        <v>284</v>
      </c>
      <c r="Z4" s="237" t="s">
        <v>285</v>
      </c>
      <c r="AC4" s="208" t="s">
        <v>257</v>
      </c>
      <c r="AD4" s="799"/>
      <c r="AE4" s="228" t="s">
        <v>260</v>
      </c>
      <c r="AF4" s="228" t="s">
        <v>260</v>
      </c>
      <c r="AG4" s="228" t="s">
        <v>260</v>
      </c>
      <c r="AH4" s="228" t="s">
        <v>260</v>
      </c>
      <c r="AI4" s="228" t="s">
        <v>260</v>
      </c>
      <c r="AJ4" s="228" t="s">
        <v>260</v>
      </c>
      <c r="AK4" s="228" t="s">
        <v>260</v>
      </c>
      <c r="AL4" s="233" t="s">
        <v>260</v>
      </c>
    </row>
    <row r="5" spans="1:38" ht="20.100000000000001" customHeight="1" thickTop="1">
      <c r="I5" s="8"/>
      <c r="K5" s="8" t="s">
        <v>71</v>
      </c>
      <c r="M5" s="813" t="s">
        <v>164</v>
      </c>
      <c r="N5" s="194" t="s">
        <v>223</v>
      </c>
      <c r="O5" s="44">
        <v>415877</v>
      </c>
      <c r="P5" s="81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8</v>
      </c>
      <c r="B6" s="785" t="s">
        <v>72</v>
      </c>
      <c r="C6" s="787" t="s">
        <v>103</v>
      </c>
      <c r="D6" s="789" t="s">
        <v>9</v>
      </c>
      <c r="E6" s="781"/>
      <c r="F6" s="781" t="s">
        <v>10</v>
      </c>
      <c r="G6" s="781"/>
      <c r="H6" s="781" t="s">
        <v>11</v>
      </c>
      <c r="I6" s="781"/>
      <c r="J6" s="781" t="s">
        <v>12</v>
      </c>
      <c r="K6" s="782"/>
      <c r="M6" s="814"/>
      <c r="N6" s="194" t="s">
        <v>224</v>
      </c>
      <c r="O6" s="44">
        <v>579329</v>
      </c>
      <c r="P6" s="81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104</v>
      </c>
      <c r="E7" s="158" t="s">
        <v>75</v>
      </c>
      <c r="F7" s="157" t="s">
        <v>104</v>
      </c>
      <c r="G7" s="158" t="s">
        <v>75</v>
      </c>
      <c r="H7" s="157" t="s">
        <v>104</v>
      </c>
      <c r="I7" s="158" t="s">
        <v>75</v>
      </c>
      <c r="J7" s="157" t="s">
        <v>104</v>
      </c>
      <c r="K7" s="159" t="s">
        <v>75</v>
      </c>
      <c r="M7" s="814"/>
      <c r="N7" s="194" t="s">
        <v>225</v>
      </c>
      <c r="O7" s="44">
        <v>612315</v>
      </c>
      <c r="P7" s="81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391</v>
      </c>
      <c r="B8" s="152" t="s">
        <v>971</v>
      </c>
      <c r="C8" s="572">
        <f>ROUND(X51*$L$1,0)</f>
        <v>2059894</v>
      </c>
      <c r="D8" s="106">
        <v>0</v>
      </c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14"/>
      <c r="N8" s="194" t="s">
        <v>226</v>
      </c>
      <c r="O8" s="44">
        <v>757477</v>
      </c>
      <c r="P8" s="81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972</v>
      </c>
      <c r="C9" s="572">
        <f>ROUND(X51*$L$1,0)</f>
        <v>2059894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814"/>
      <c r="N9" s="194" t="s">
        <v>227</v>
      </c>
      <c r="O9" s="44">
        <v>846044</v>
      </c>
      <c r="P9" s="81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973</v>
      </c>
      <c r="C10" s="572">
        <f>ROUND(X52*$L$1,0)</f>
        <v>2158147</v>
      </c>
      <c r="D10" s="106">
        <v>0</v>
      </c>
      <c r="E10" s="101">
        <f>+ROUND($C10*D10/1000000,0)</f>
        <v>0</v>
      </c>
      <c r="F10" s="101"/>
      <c r="G10" s="101">
        <f>+ROUND($C10*F10/1000000,0)</f>
        <v>0</v>
      </c>
      <c r="H10" s="101"/>
      <c r="I10" s="101">
        <f>+ROUND($C10*H10/1000000,0)</f>
        <v>0</v>
      </c>
      <c r="J10" s="101"/>
      <c r="K10" s="156">
        <f>+ROUND($C10*J10/1000000,0)</f>
        <v>0</v>
      </c>
      <c r="L10" s="9"/>
      <c r="M10" s="814"/>
      <c r="N10" s="194" t="s">
        <v>228</v>
      </c>
      <c r="O10" s="44">
        <v>960369</v>
      </c>
      <c r="P10" s="81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5" t="s">
        <v>223</v>
      </c>
      <c r="C11" s="572">
        <f>ROUND(X53*$L$1,0)</f>
        <v>2384169</v>
      </c>
      <c r="D11" s="106">
        <v>0</v>
      </c>
      <c r="E11" s="101">
        <f>+ROUND($C11*D11/1000000,0)</f>
        <v>0</v>
      </c>
      <c r="F11" s="101"/>
      <c r="G11" s="101">
        <f>+ROUND($C11*F11/1000000,0)</f>
        <v>0</v>
      </c>
      <c r="H11" s="101"/>
      <c r="I11" s="101">
        <f>+ROUND($C11*H11/1000000,0)</f>
        <v>0</v>
      </c>
      <c r="J11" s="101"/>
      <c r="K11" s="156">
        <f>+ROUND($C11*J11/1000000,0)</f>
        <v>0</v>
      </c>
      <c r="L11" s="9"/>
      <c r="M11" s="814"/>
      <c r="N11" s="194" t="s">
        <v>229</v>
      </c>
      <c r="O11" s="44">
        <v>1086032</v>
      </c>
      <c r="P11" s="81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224</v>
      </c>
      <c r="C12" s="572">
        <f t="shared" ref="C12:C18" si="1">ROUND(X55*$L$1,0)</f>
        <v>3283700</v>
      </c>
      <c r="D12" s="139">
        <v>0</v>
      </c>
      <c r="E12" s="94">
        <f t="shared" ref="E12:G19" si="2">+ROUND($C12*D12/1000000,0)</f>
        <v>0</v>
      </c>
      <c r="F12" s="94"/>
      <c r="G12" s="94">
        <f t="shared" si="2"/>
        <v>0</v>
      </c>
      <c r="H12" s="94"/>
      <c r="I12" s="94">
        <f t="shared" ref="I12:I19" si="3">+ROUND($C12*H12/1000000,0)</f>
        <v>0</v>
      </c>
      <c r="J12" s="94"/>
      <c r="K12" s="153">
        <f t="shared" ref="K12:K19" si="4">+ROUND($C12*J12/1000000,0)</f>
        <v>0</v>
      </c>
      <c r="L12" s="9"/>
      <c r="M12" s="814"/>
      <c r="N12" s="194" t="s">
        <v>230</v>
      </c>
      <c r="O12" s="44">
        <v>1155632</v>
      </c>
      <c r="P12" s="81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225</v>
      </c>
      <c r="C13" s="572">
        <f t="shared" si="1"/>
        <v>3514948</v>
      </c>
      <c r="D13" s="139">
        <v>0</v>
      </c>
      <c r="E13" s="94">
        <f t="shared" si="2"/>
        <v>0</v>
      </c>
      <c r="F13" s="94"/>
      <c r="G13" s="94">
        <f t="shared" si="2"/>
        <v>0</v>
      </c>
      <c r="H13" s="94"/>
      <c r="I13" s="94">
        <f t="shared" si="3"/>
        <v>0</v>
      </c>
      <c r="J13" s="94"/>
      <c r="K13" s="153">
        <f t="shared" si="4"/>
        <v>0</v>
      </c>
      <c r="L13" s="9"/>
      <c r="M13" s="814"/>
      <c r="N13" s="194" t="s">
        <v>230</v>
      </c>
      <c r="O13" s="44">
        <v>1155632</v>
      </c>
      <c r="P13" s="81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226</v>
      </c>
      <c r="C14" s="572">
        <f t="shared" si="1"/>
        <v>3937907</v>
      </c>
      <c r="D14" s="139">
        <v>0</v>
      </c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14"/>
      <c r="N14" s="194" t="s">
        <v>231</v>
      </c>
      <c r="O14" s="44">
        <v>1269088</v>
      </c>
      <c r="P14" s="81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227</v>
      </c>
      <c r="C15" s="572">
        <f t="shared" si="1"/>
        <v>4425107</v>
      </c>
      <c r="D15" s="139">
        <v>0</v>
      </c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14"/>
      <c r="N15" s="194" t="s">
        <v>232</v>
      </c>
      <c r="O15" s="44">
        <v>1370696</v>
      </c>
      <c r="P15" s="81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228</v>
      </c>
      <c r="C16" s="572">
        <f t="shared" si="1"/>
        <v>4804222</v>
      </c>
      <c r="D16" s="139">
        <v>0</v>
      </c>
      <c r="E16" s="94">
        <f t="shared" si="2"/>
        <v>0</v>
      </c>
      <c r="F16" s="94"/>
      <c r="G16" s="94"/>
      <c r="H16" s="94"/>
      <c r="I16" s="94"/>
      <c r="J16" s="94"/>
      <c r="K16" s="153"/>
      <c r="L16" s="9"/>
      <c r="M16" s="815"/>
      <c r="N16" s="194" t="s">
        <v>233</v>
      </c>
      <c r="O16" s="44">
        <v>1475229</v>
      </c>
      <c r="P16" s="81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0"/>
      <c r="B17" s="152" t="s">
        <v>229</v>
      </c>
      <c r="C17" s="572">
        <f t="shared" si="1"/>
        <v>5530079</v>
      </c>
      <c r="D17" s="139">
        <v>0</v>
      </c>
      <c r="E17" s="94">
        <f t="shared" si="2"/>
        <v>0</v>
      </c>
      <c r="F17" s="94"/>
      <c r="G17" s="94">
        <f t="shared" si="2"/>
        <v>0</v>
      </c>
      <c r="H17" s="94"/>
      <c r="I17" s="94">
        <f t="shared" si="3"/>
        <v>0</v>
      </c>
      <c r="J17" s="94"/>
      <c r="K17" s="153">
        <f t="shared" si="4"/>
        <v>0</v>
      </c>
      <c r="L17" s="9"/>
      <c r="M17" s="47"/>
      <c r="N17" s="193" t="s">
        <v>236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A18" s="820"/>
      <c r="B18" s="152" t="s">
        <v>230</v>
      </c>
      <c r="C18" s="572">
        <f t="shared" si="1"/>
        <v>6158657</v>
      </c>
      <c r="D18" s="139">
        <v>0</v>
      </c>
      <c r="E18" s="94">
        <f t="shared" si="2"/>
        <v>0</v>
      </c>
      <c r="F18" s="94"/>
      <c r="G18" s="94">
        <f t="shared" si="2"/>
        <v>0</v>
      </c>
      <c r="H18" s="94"/>
      <c r="I18" s="94">
        <f t="shared" si="3"/>
        <v>0</v>
      </c>
      <c r="J18" s="94"/>
      <c r="K18" s="153">
        <f t="shared" si="4"/>
        <v>0</v>
      </c>
      <c r="L18" s="9"/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A19" s="820"/>
      <c r="B19" s="152" t="s">
        <v>235</v>
      </c>
      <c r="C19" s="156"/>
      <c r="D19" s="139">
        <v>0</v>
      </c>
      <c r="E19" s="94">
        <f t="shared" si="2"/>
        <v>0</v>
      </c>
      <c r="F19" s="94"/>
      <c r="G19" s="94">
        <f t="shared" si="2"/>
        <v>0</v>
      </c>
      <c r="H19" s="94"/>
      <c r="I19" s="94">
        <f t="shared" si="3"/>
        <v>0</v>
      </c>
      <c r="J19" s="94"/>
      <c r="K19" s="153">
        <f t="shared" si="4"/>
        <v>0</v>
      </c>
      <c r="L19" s="9"/>
      <c r="S19" s="810"/>
      <c r="T19" s="243" t="s">
        <v>302</v>
      </c>
      <c r="U19" s="243" t="s">
        <v>303</v>
      </c>
      <c r="V19" s="243" t="s">
        <v>304</v>
      </c>
      <c r="W19" s="243" t="s">
        <v>305</v>
      </c>
      <c r="X19" s="243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27" t="s">
        <v>274</v>
      </c>
      <c r="AJ19" s="800" t="s">
        <v>276</v>
      </c>
    </row>
    <row r="20" spans="1:38" ht="20.100000000000001" customHeight="1" thickBot="1">
      <c r="A20" s="821"/>
      <c r="B20" s="777" t="s">
        <v>95</v>
      </c>
      <c r="C20" s="778"/>
      <c r="D20" s="142">
        <f t="shared" ref="D20:K20" si="5">SUM(D8:D19)</f>
        <v>0</v>
      </c>
      <c r="E20" s="204">
        <f t="shared" si="5"/>
        <v>0</v>
      </c>
      <c r="F20" s="142">
        <f t="shared" si="5"/>
        <v>0</v>
      </c>
      <c r="G20" s="204">
        <f t="shared" si="5"/>
        <v>0</v>
      </c>
      <c r="H20" s="142">
        <f t="shared" si="5"/>
        <v>0</v>
      </c>
      <c r="I20" s="204">
        <f t="shared" si="5"/>
        <v>0</v>
      </c>
      <c r="J20" s="142">
        <f t="shared" si="5"/>
        <v>0</v>
      </c>
      <c r="K20" s="204">
        <f t="shared" si="5"/>
        <v>0</v>
      </c>
      <c r="L20" s="9"/>
      <c r="S20" s="244" t="s">
        <v>307</v>
      </c>
      <c r="T20" s="245" t="s">
        <v>308</v>
      </c>
      <c r="U20" s="246">
        <v>364337</v>
      </c>
      <c r="V20" s="246">
        <v>389567</v>
      </c>
      <c r="W20" s="246">
        <v>263709</v>
      </c>
      <c r="X20" s="246">
        <v>339210</v>
      </c>
      <c r="AC20" s="208" t="s">
        <v>257</v>
      </c>
      <c r="AD20" s="799"/>
      <c r="AE20" s="799"/>
      <c r="AF20" s="803"/>
      <c r="AG20" s="799"/>
      <c r="AH20" s="799"/>
      <c r="AI20" s="228" t="s">
        <v>275</v>
      </c>
      <c r="AJ20" s="801"/>
    </row>
    <row r="21" spans="1:38" ht="20.100000000000001" customHeight="1" thickTop="1">
      <c r="L21" s="9"/>
      <c r="S21" s="244" t="s">
        <v>309</v>
      </c>
      <c r="T21" s="245" t="s">
        <v>308</v>
      </c>
      <c r="U21" s="246">
        <v>386064</v>
      </c>
      <c r="V21" s="246">
        <v>389567</v>
      </c>
      <c r="W21" s="246">
        <v>290522</v>
      </c>
      <c r="X21" s="246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E22" s="13">
        <f>+'나.전체보수(음성-간선)'!E22+'다.부분보수(음성-간선)'!E20</f>
        <v>0</v>
      </c>
      <c r="L22" s="9"/>
      <c r="S22" s="244" t="s">
        <v>310</v>
      </c>
      <c r="T22" s="245" t="s">
        <v>308</v>
      </c>
      <c r="U22" s="246">
        <v>424007</v>
      </c>
      <c r="V22" s="246">
        <v>423395</v>
      </c>
      <c r="W22" s="246">
        <v>330416</v>
      </c>
      <c r="X22" s="246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45" t="s">
        <v>308</v>
      </c>
      <c r="U23" s="246">
        <v>502696</v>
      </c>
      <c r="V23" s="246">
        <v>454530</v>
      </c>
      <c r="W23" s="246">
        <v>433722</v>
      </c>
      <c r="X23" s="246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45" t="s">
        <v>308</v>
      </c>
      <c r="U24" s="246">
        <v>564967</v>
      </c>
      <c r="V24" s="246">
        <v>571632</v>
      </c>
      <c r="W24" s="246">
        <v>485599</v>
      </c>
      <c r="X24" s="246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45" t="s">
        <v>308</v>
      </c>
      <c r="U25" s="246">
        <v>587345</v>
      </c>
      <c r="V25" s="246">
        <v>642103</v>
      </c>
      <c r="W25" s="246">
        <v>506995</v>
      </c>
      <c r="X25" s="246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45" t="s">
        <v>308</v>
      </c>
      <c r="U26" s="246">
        <v>674986</v>
      </c>
      <c r="V26" s="246">
        <v>751145</v>
      </c>
      <c r="W26" s="246">
        <v>519271</v>
      </c>
      <c r="X26" s="246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45" t="s">
        <v>308</v>
      </c>
      <c r="U27" s="246">
        <v>724113</v>
      </c>
      <c r="V27" s="246">
        <v>833572</v>
      </c>
      <c r="W27" s="246">
        <v>628408</v>
      </c>
      <c r="X27" s="246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45" t="s">
        <v>308</v>
      </c>
      <c r="U28" s="246">
        <v>758583</v>
      </c>
      <c r="V28" s="246">
        <v>939370</v>
      </c>
      <c r="W28" s="246">
        <v>675408</v>
      </c>
      <c r="X28" s="246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45" t="s">
        <v>308</v>
      </c>
      <c r="U29" s="246">
        <v>1018240</v>
      </c>
      <c r="V29" s="246">
        <v>969474</v>
      </c>
      <c r="W29" s="246">
        <v>744247</v>
      </c>
      <c r="X29" s="246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45" t="s">
        <v>308</v>
      </c>
      <c r="U30" s="246">
        <v>1065901</v>
      </c>
      <c r="V30" s="246">
        <v>1118948</v>
      </c>
      <c r="W30" s="246">
        <v>857657</v>
      </c>
      <c r="X30" s="246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45" t="s">
        <v>308</v>
      </c>
      <c r="U31" s="246">
        <v>1118654</v>
      </c>
      <c r="V31" s="246">
        <v>1196354</v>
      </c>
      <c r="W31" s="246">
        <v>890807</v>
      </c>
      <c r="X31" s="246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45" t="s">
        <v>308</v>
      </c>
      <c r="U32" s="246">
        <v>1170172</v>
      </c>
      <c r="V32" s="246">
        <v>1346097</v>
      </c>
      <c r="W32" s="246">
        <v>1137883</v>
      </c>
      <c r="X32" s="246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20.100000000000001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20.100000000000001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36:U36"/>
    <mergeCell ref="V36:W36"/>
    <mergeCell ref="X36:Y36"/>
    <mergeCell ref="T37:U37"/>
    <mergeCell ref="V37:W37"/>
    <mergeCell ref="X37:Y37"/>
    <mergeCell ref="S34:S35"/>
    <mergeCell ref="T34:Y34"/>
    <mergeCell ref="T35:U35"/>
    <mergeCell ref="V35:W35"/>
    <mergeCell ref="X35:Y35"/>
    <mergeCell ref="AG19:AG20"/>
    <mergeCell ref="AH19:AH20"/>
    <mergeCell ref="AJ19:AJ20"/>
    <mergeCell ref="S3:S4"/>
    <mergeCell ref="T3:Z3"/>
    <mergeCell ref="AD3:AD4"/>
    <mergeCell ref="S18:S19"/>
    <mergeCell ref="T18:X18"/>
    <mergeCell ref="AD19:AD20"/>
    <mergeCell ref="A6:A7"/>
    <mergeCell ref="B6:B7"/>
    <mergeCell ref="C6:C7"/>
    <mergeCell ref="D6:E6"/>
    <mergeCell ref="F6:G6"/>
    <mergeCell ref="H6:I6"/>
    <mergeCell ref="AE19:AE20"/>
    <mergeCell ref="AF19:AF20"/>
    <mergeCell ref="A8:A20"/>
    <mergeCell ref="M3:M4"/>
    <mergeCell ref="N3:N4"/>
    <mergeCell ref="O3:O4"/>
    <mergeCell ref="P3:P4"/>
    <mergeCell ref="Q3:Q4"/>
    <mergeCell ref="M5:M16"/>
    <mergeCell ref="P5:P16"/>
    <mergeCell ref="J6:K6"/>
    <mergeCell ref="B20:C20"/>
  </mergeCells>
  <phoneticPr fontId="4" type="noConversion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1"/>
  <sheetViews>
    <sheetView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18" width="9" style="2"/>
    <col min="19" max="19" width="17" style="2" customWidth="1"/>
    <col min="20" max="24" width="9" style="2"/>
    <col min="25" max="25" width="9" style="2" customWidth="1"/>
    <col min="26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38" ht="20.100000000000001" customHeight="1">
      <c r="A1" s="1" t="s">
        <v>532</v>
      </c>
      <c r="B1" s="1"/>
      <c r="C1" s="1"/>
      <c r="D1" s="1"/>
      <c r="L1" s="2">
        <v>3.9115000000000002</v>
      </c>
      <c r="M1" s="2" t="s">
        <v>508</v>
      </c>
      <c r="S1" s="2" t="s">
        <v>521</v>
      </c>
    </row>
    <row r="2" spans="1:38" ht="20.100000000000001" customHeight="1" thickBot="1">
      <c r="A2" s="2" t="s">
        <v>509</v>
      </c>
      <c r="S2" s="236" t="s">
        <v>522</v>
      </c>
    </row>
    <row r="3" spans="1:38" ht="20.100000000000001" customHeight="1" thickTop="1">
      <c r="A3" s="4" t="s">
        <v>523</v>
      </c>
      <c r="B3" s="40"/>
      <c r="C3" s="40"/>
      <c r="D3" s="40"/>
      <c r="M3" s="776" t="s">
        <v>64</v>
      </c>
      <c r="N3" s="776" t="s">
        <v>511</v>
      </c>
      <c r="O3" s="813" t="s">
        <v>524</v>
      </c>
      <c r="P3" s="813" t="s">
        <v>525</v>
      </c>
      <c r="Q3" s="813" t="s">
        <v>526</v>
      </c>
      <c r="S3" s="811" t="s">
        <v>277</v>
      </c>
      <c r="T3" s="831" t="s">
        <v>278</v>
      </c>
      <c r="U3" s="832"/>
      <c r="V3" s="832"/>
      <c r="W3" s="832"/>
      <c r="X3" s="832"/>
      <c r="Y3" s="832"/>
      <c r="Z3" s="833"/>
      <c r="AC3" s="207" t="s">
        <v>256</v>
      </c>
      <c r="AD3" s="798" t="s">
        <v>258</v>
      </c>
      <c r="AE3" s="286" t="s">
        <v>259</v>
      </c>
      <c r="AF3" s="286" t="s">
        <v>261</v>
      </c>
      <c r="AG3" s="286" t="s">
        <v>262</v>
      </c>
      <c r="AH3" s="286" t="s">
        <v>263</v>
      </c>
      <c r="AI3" s="286" t="s">
        <v>264</v>
      </c>
      <c r="AJ3" s="286" t="s">
        <v>265</v>
      </c>
      <c r="AK3" s="286" t="s">
        <v>266</v>
      </c>
      <c r="AL3" s="212" t="s">
        <v>267</v>
      </c>
    </row>
    <row r="4" spans="1:38" ht="20.100000000000001" customHeight="1" thickBot="1">
      <c r="A4" s="2" t="s">
        <v>431</v>
      </c>
      <c r="M4" s="776"/>
      <c r="N4" s="776"/>
      <c r="O4" s="815"/>
      <c r="P4" s="815"/>
      <c r="Q4" s="815"/>
      <c r="S4" s="812"/>
      <c r="T4" s="237" t="s">
        <v>279</v>
      </c>
      <c r="U4" s="289" t="s">
        <v>280</v>
      </c>
      <c r="V4" s="289" t="s">
        <v>281</v>
      </c>
      <c r="W4" s="237" t="s">
        <v>282</v>
      </c>
      <c r="X4" s="289" t="s">
        <v>283</v>
      </c>
      <c r="Y4" s="289" t="s">
        <v>284</v>
      </c>
      <c r="Z4" s="237" t="s">
        <v>285</v>
      </c>
      <c r="AC4" s="208" t="s">
        <v>257</v>
      </c>
      <c r="AD4" s="799"/>
      <c r="AE4" s="284" t="s">
        <v>260</v>
      </c>
      <c r="AF4" s="284" t="s">
        <v>260</v>
      </c>
      <c r="AG4" s="284" t="s">
        <v>260</v>
      </c>
      <c r="AH4" s="284" t="s">
        <v>260</v>
      </c>
      <c r="AI4" s="284" t="s">
        <v>260</v>
      </c>
      <c r="AJ4" s="284" t="s">
        <v>260</v>
      </c>
      <c r="AK4" s="284" t="s">
        <v>260</v>
      </c>
      <c r="AL4" s="285" t="s">
        <v>260</v>
      </c>
    </row>
    <row r="5" spans="1:38" ht="20.100000000000001" customHeight="1" thickTop="1">
      <c r="I5" s="8"/>
      <c r="K5" s="8" t="s">
        <v>512</v>
      </c>
      <c r="M5" s="813" t="s">
        <v>533</v>
      </c>
      <c r="N5" s="272" t="s">
        <v>223</v>
      </c>
      <c r="O5" s="44">
        <v>415877</v>
      </c>
      <c r="P5" s="816">
        <v>0.2</v>
      </c>
      <c r="Q5" s="44">
        <f>+ROUND(O5+O5*$P$5,0)</f>
        <v>499052</v>
      </c>
      <c r="S5" s="239" t="s">
        <v>286</v>
      </c>
      <c r="T5" s="240" t="s">
        <v>287</v>
      </c>
      <c r="U5" s="241">
        <v>186505</v>
      </c>
      <c r="V5" s="241">
        <v>235044</v>
      </c>
      <c r="W5" s="242">
        <v>239300</v>
      </c>
      <c r="X5" s="241">
        <v>304105</v>
      </c>
      <c r="Y5" s="241">
        <v>313454</v>
      </c>
      <c r="Z5" s="242">
        <v>255682</v>
      </c>
      <c r="AC5" s="214">
        <v>200</v>
      </c>
      <c r="AD5" s="215">
        <v>211780</v>
      </c>
      <c r="AE5" s="215">
        <v>121077</v>
      </c>
      <c r="AF5" s="215">
        <v>222246</v>
      </c>
      <c r="AG5" s="216" t="s">
        <v>268</v>
      </c>
      <c r="AH5" s="215">
        <v>210373</v>
      </c>
      <c r="AI5" s="215">
        <v>225183</v>
      </c>
      <c r="AJ5" s="216" t="s">
        <v>268</v>
      </c>
      <c r="AK5" s="215">
        <v>280019</v>
      </c>
      <c r="AL5" s="217" t="s">
        <v>268</v>
      </c>
    </row>
    <row r="6" spans="1:38" ht="20.100000000000001" customHeight="1">
      <c r="A6" s="783" t="s">
        <v>435</v>
      </c>
      <c r="B6" s="785" t="s">
        <v>513</v>
      </c>
      <c r="C6" s="787" t="s">
        <v>534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814"/>
      <c r="N6" s="272" t="s">
        <v>224</v>
      </c>
      <c r="O6" s="44">
        <v>579329</v>
      </c>
      <c r="P6" s="817"/>
      <c r="Q6" s="44">
        <f t="shared" ref="Q6:Q16" si="0">+ROUND(O6+O6*$P$5,0)</f>
        <v>695195</v>
      </c>
      <c r="S6" s="239" t="s">
        <v>288</v>
      </c>
      <c r="T6" s="240" t="s">
        <v>287</v>
      </c>
      <c r="U6" s="241">
        <v>186505</v>
      </c>
      <c r="V6" s="241">
        <v>235044</v>
      </c>
      <c r="W6" s="242">
        <v>261179</v>
      </c>
      <c r="X6" s="241">
        <v>314330</v>
      </c>
      <c r="Y6" s="241">
        <v>319653</v>
      </c>
      <c r="Z6" s="242">
        <v>263342</v>
      </c>
      <c r="AC6" s="218">
        <v>300</v>
      </c>
      <c r="AD6" s="219">
        <v>206990</v>
      </c>
      <c r="AE6" s="219">
        <v>134427</v>
      </c>
      <c r="AF6" s="219">
        <v>236456</v>
      </c>
      <c r="AG6" s="219">
        <v>126467</v>
      </c>
      <c r="AH6" s="219">
        <v>232204</v>
      </c>
      <c r="AI6" s="219">
        <v>241876</v>
      </c>
      <c r="AJ6" s="219">
        <v>250000</v>
      </c>
      <c r="AK6" s="219">
        <v>280019</v>
      </c>
      <c r="AL6" s="220">
        <v>154468</v>
      </c>
    </row>
    <row r="7" spans="1:38" ht="20.100000000000001" customHeight="1">
      <c r="A7" s="784"/>
      <c r="B7" s="786"/>
      <c r="C7" s="788"/>
      <c r="D7" s="160" t="s">
        <v>535</v>
      </c>
      <c r="E7" s="273" t="s">
        <v>452</v>
      </c>
      <c r="F7" s="281" t="s">
        <v>535</v>
      </c>
      <c r="G7" s="273" t="s">
        <v>452</v>
      </c>
      <c r="H7" s="281" t="s">
        <v>535</v>
      </c>
      <c r="I7" s="273" t="s">
        <v>452</v>
      </c>
      <c r="J7" s="281" t="s">
        <v>535</v>
      </c>
      <c r="K7" s="274" t="s">
        <v>452</v>
      </c>
      <c r="M7" s="814"/>
      <c r="N7" s="272" t="s">
        <v>225</v>
      </c>
      <c r="O7" s="44">
        <v>612315</v>
      </c>
      <c r="P7" s="817"/>
      <c r="Q7" s="44">
        <f t="shared" si="0"/>
        <v>734778</v>
      </c>
      <c r="S7" s="239" t="s">
        <v>289</v>
      </c>
      <c r="T7" s="240" t="s">
        <v>287</v>
      </c>
      <c r="U7" s="241">
        <v>218964</v>
      </c>
      <c r="V7" s="241">
        <v>260670</v>
      </c>
      <c r="W7" s="242">
        <v>298960</v>
      </c>
      <c r="X7" s="241">
        <v>345093</v>
      </c>
      <c r="Y7" s="241">
        <v>354480</v>
      </c>
      <c r="Z7" s="242">
        <v>295633</v>
      </c>
      <c r="AC7" s="218">
        <v>350</v>
      </c>
      <c r="AD7" s="219">
        <v>245132</v>
      </c>
      <c r="AE7" s="221" t="s">
        <v>268</v>
      </c>
      <c r="AF7" s="219">
        <v>274422</v>
      </c>
      <c r="AG7" s="221" t="s">
        <v>268</v>
      </c>
      <c r="AH7" s="219">
        <v>259141</v>
      </c>
      <c r="AI7" s="219">
        <v>269945</v>
      </c>
      <c r="AJ7" s="221" t="s">
        <v>268</v>
      </c>
      <c r="AK7" s="221" t="s">
        <v>268</v>
      </c>
      <c r="AL7" s="220">
        <v>177018</v>
      </c>
    </row>
    <row r="8" spans="1:38" ht="20.100000000000001" customHeight="1">
      <c r="A8" s="819" t="s">
        <v>714</v>
      </c>
      <c r="B8" s="155" t="s">
        <v>223</v>
      </c>
      <c r="C8" s="156">
        <f>ROUND(X53*$L$1,0)</f>
        <v>2384169</v>
      </c>
      <c r="D8" s="106"/>
      <c r="E8" s="101">
        <f>+ROUND($C8*D8/1000000,0)</f>
        <v>0</v>
      </c>
      <c r="F8" s="101"/>
      <c r="G8" s="101">
        <f>+ROUND($C8*F8/1000000,0)</f>
        <v>0</v>
      </c>
      <c r="H8" s="101"/>
      <c r="I8" s="101">
        <f>+ROUND($C8*H8/1000000,0)</f>
        <v>0</v>
      </c>
      <c r="J8" s="101"/>
      <c r="K8" s="156">
        <f>+ROUND($C8*J8/1000000,0)</f>
        <v>0</v>
      </c>
      <c r="M8" s="814"/>
      <c r="N8" s="272" t="s">
        <v>226</v>
      </c>
      <c r="O8" s="44">
        <v>757477</v>
      </c>
      <c r="P8" s="817"/>
      <c r="Q8" s="44">
        <f t="shared" si="0"/>
        <v>908972</v>
      </c>
      <c r="S8" s="239" t="s">
        <v>290</v>
      </c>
      <c r="T8" s="240" t="s">
        <v>287</v>
      </c>
      <c r="U8" s="241">
        <v>246080</v>
      </c>
      <c r="V8" s="241">
        <v>301445</v>
      </c>
      <c r="W8" s="242">
        <v>312480</v>
      </c>
      <c r="X8" s="241">
        <v>364717</v>
      </c>
      <c r="Y8" s="241">
        <v>386795</v>
      </c>
      <c r="Z8" s="242">
        <v>322303</v>
      </c>
      <c r="AC8" s="218">
        <v>400</v>
      </c>
      <c r="AD8" s="219">
        <v>278312</v>
      </c>
      <c r="AE8" s="221" t="s">
        <v>268</v>
      </c>
      <c r="AF8" s="219">
        <v>297818</v>
      </c>
      <c r="AG8" s="219">
        <v>176641</v>
      </c>
      <c r="AH8" s="219">
        <v>292164</v>
      </c>
      <c r="AI8" s="219">
        <v>306159</v>
      </c>
      <c r="AJ8" s="219">
        <v>285000</v>
      </c>
      <c r="AK8" s="219">
        <v>358996</v>
      </c>
      <c r="AL8" s="220">
        <v>231409</v>
      </c>
    </row>
    <row r="9" spans="1:38" ht="20.100000000000001" customHeight="1">
      <c r="A9" s="820"/>
      <c r="B9" s="152" t="s">
        <v>224</v>
      </c>
      <c r="C9" s="156">
        <f t="shared" ref="C9:C15" si="1">ROUND(X55*$L$1,0)</f>
        <v>3283700</v>
      </c>
      <c r="D9" s="139"/>
      <c r="E9" s="94">
        <f t="shared" ref="E9:G16" si="2">+ROUND($C9*D9/1000000,0)</f>
        <v>0</v>
      </c>
      <c r="F9" s="94"/>
      <c r="G9" s="94">
        <f t="shared" si="2"/>
        <v>0</v>
      </c>
      <c r="H9" s="94"/>
      <c r="I9" s="94">
        <f t="shared" ref="I9:I16" si="3">+ROUND($C9*H9/1000000,0)</f>
        <v>0</v>
      </c>
      <c r="J9" s="94"/>
      <c r="K9" s="153">
        <f t="shared" ref="K9:K16" si="4">+ROUND($C9*J9/1000000,0)</f>
        <v>0</v>
      </c>
      <c r="M9" s="814"/>
      <c r="N9" s="272" t="s">
        <v>227</v>
      </c>
      <c r="O9" s="44">
        <v>846044</v>
      </c>
      <c r="P9" s="817"/>
      <c r="Q9" s="44">
        <f t="shared" si="0"/>
        <v>1015253</v>
      </c>
      <c r="S9" s="239" t="s">
        <v>291</v>
      </c>
      <c r="T9" s="240" t="s">
        <v>287</v>
      </c>
      <c r="U9" s="241">
        <v>292870</v>
      </c>
      <c r="V9" s="241">
        <v>359457</v>
      </c>
      <c r="W9" s="242">
        <v>335286</v>
      </c>
      <c r="X9" s="241">
        <v>390203</v>
      </c>
      <c r="Y9" s="241">
        <v>403366</v>
      </c>
      <c r="Z9" s="242">
        <v>356236</v>
      </c>
      <c r="AC9" s="218">
        <v>450</v>
      </c>
      <c r="AD9" s="219">
        <v>295741</v>
      </c>
      <c r="AE9" s="219">
        <v>212628</v>
      </c>
      <c r="AF9" s="219">
        <v>324505</v>
      </c>
      <c r="AG9" s="219">
        <v>202453</v>
      </c>
      <c r="AH9" s="219">
        <v>334377</v>
      </c>
      <c r="AI9" s="219">
        <v>353969</v>
      </c>
      <c r="AJ9" s="219">
        <v>310000</v>
      </c>
      <c r="AK9" s="219">
        <v>375131</v>
      </c>
      <c r="AL9" s="220">
        <v>252867</v>
      </c>
    </row>
    <row r="10" spans="1:38" ht="20.100000000000001" customHeight="1">
      <c r="A10" s="820"/>
      <c r="B10" s="152" t="s">
        <v>225</v>
      </c>
      <c r="C10" s="156">
        <f t="shared" si="1"/>
        <v>3514948</v>
      </c>
      <c r="D10" s="139"/>
      <c r="E10" s="94">
        <f t="shared" si="2"/>
        <v>0</v>
      </c>
      <c r="F10" s="94"/>
      <c r="G10" s="94">
        <f t="shared" si="2"/>
        <v>0</v>
      </c>
      <c r="H10" s="94"/>
      <c r="I10" s="94">
        <f t="shared" si="3"/>
        <v>0</v>
      </c>
      <c r="J10" s="94"/>
      <c r="K10" s="153">
        <f t="shared" si="4"/>
        <v>0</v>
      </c>
      <c r="L10" s="9"/>
      <c r="M10" s="814"/>
      <c r="N10" s="272" t="s">
        <v>228</v>
      </c>
      <c r="O10" s="44">
        <v>960369</v>
      </c>
      <c r="P10" s="817"/>
      <c r="Q10" s="44">
        <f t="shared" si="0"/>
        <v>1152443</v>
      </c>
      <c r="S10" s="239" t="s">
        <v>292</v>
      </c>
      <c r="T10" s="240" t="s">
        <v>287</v>
      </c>
      <c r="U10" s="241">
        <v>331970</v>
      </c>
      <c r="V10" s="241">
        <v>385091</v>
      </c>
      <c r="W10" s="242">
        <v>374664</v>
      </c>
      <c r="X10" s="241">
        <v>452365</v>
      </c>
      <c r="Y10" s="241">
        <v>470142</v>
      </c>
      <c r="Z10" s="242">
        <v>402846</v>
      </c>
      <c r="AC10" s="218">
        <v>500</v>
      </c>
      <c r="AD10" s="219">
        <v>348699</v>
      </c>
      <c r="AE10" s="219">
        <v>257143</v>
      </c>
      <c r="AF10" s="219">
        <v>406092</v>
      </c>
      <c r="AG10" s="219">
        <v>265796</v>
      </c>
      <c r="AH10" s="219">
        <v>403937</v>
      </c>
      <c r="AI10" s="219">
        <v>389817</v>
      </c>
      <c r="AJ10" s="219">
        <v>385000</v>
      </c>
      <c r="AK10" s="219">
        <v>407960</v>
      </c>
      <c r="AL10" s="220">
        <v>273850</v>
      </c>
    </row>
    <row r="11" spans="1:38" ht="20.100000000000001" customHeight="1">
      <c r="A11" s="820"/>
      <c r="B11" s="152" t="s">
        <v>226</v>
      </c>
      <c r="C11" s="156">
        <f t="shared" si="1"/>
        <v>3937907</v>
      </c>
      <c r="D11" s="139"/>
      <c r="E11" s="94">
        <f t="shared" si="2"/>
        <v>0</v>
      </c>
      <c r="F11" s="94"/>
      <c r="G11" s="94">
        <f t="shared" si="2"/>
        <v>0</v>
      </c>
      <c r="H11" s="94"/>
      <c r="I11" s="94">
        <f t="shared" si="3"/>
        <v>0</v>
      </c>
      <c r="J11" s="94"/>
      <c r="K11" s="153">
        <f t="shared" si="4"/>
        <v>0</v>
      </c>
      <c r="L11" s="9"/>
      <c r="M11" s="814"/>
      <c r="N11" s="272" t="s">
        <v>229</v>
      </c>
      <c r="O11" s="44">
        <v>1086032</v>
      </c>
      <c r="P11" s="817"/>
      <c r="Q11" s="44">
        <f t="shared" si="0"/>
        <v>1303238</v>
      </c>
      <c r="S11" s="239" t="s">
        <v>293</v>
      </c>
      <c r="T11" s="240" t="s">
        <v>287</v>
      </c>
      <c r="U11" s="241">
        <v>437475</v>
      </c>
      <c r="V11" s="241">
        <v>419296</v>
      </c>
      <c r="W11" s="242">
        <v>402452</v>
      </c>
      <c r="X11" s="241">
        <v>490471</v>
      </c>
      <c r="Y11" s="241">
        <v>534060</v>
      </c>
      <c r="Z11" s="242">
        <v>456751</v>
      </c>
      <c r="AC11" s="218">
        <v>600</v>
      </c>
      <c r="AD11" s="219">
        <v>397630</v>
      </c>
      <c r="AE11" s="219">
        <v>311299</v>
      </c>
      <c r="AF11" s="219">
        <v>446495</v>
      </c>
      <c r="AG11" s="219">
        <v>307915</v>
      </c>
      <c r="AH11" s="219">
        <v>449033</v>
      </c>
      <c r="AI11" s="219">
        <v>406004</v>
      </c>
      <c r="AJ11" s="219">
        <v>430000</v>
      </c>
      <c r="AK11" s="219">
        <v>473146</v>
      </c>
      <c r="AL11" s="220">
        <v>357145</v>
      </c>
    </row>
    <row r="12" spans="1:38" ht="20.100000000000001" customHeight="1">
      <c r="A12" s="820"/>
      <c r="B12" s="152" t="s">
        <v>227</v>
      </c>
      <c r="C12" s="156">
        <f t="shared" si="1"/>
        <v>4425107</v>
      </c>
      <c r="D12" s="139"/>
      <c r="E12" s="94">
        <f t="shared" si="2"/>
        <v>0</v>
      </c>
      <c r="F12" s="94"/>
      <c r="G12" s="94">
        <f t="shared" si="2"/>
        <v>0</v>
      </c>
      <c r="H12" s="94"/>
      <c r="I12" s="94">
        <f t="shared" si="3"/>
        <v>0</v>
      </c>
      <c r="J12" s="94"/>
      <c r="K12" s="153">
        <f t="shared" si="4"/>
        <v>0</v>
      </c>
      <c r="L12" s="9"/>
      <c r="M12" s="814"/>
      <c r="N12" s="272" t="s">
        <v>230</v>
      </c>
      <c r="O12" s="44">
        <v>1155632</v>
      </c>
      <c r="P12" s="817"/>
      <c r="Q12" s="44">
        <f t="shared" si="0"/>
        <v>1386758</v>
      </c>
      <c r="S12" s="239" t="s">
        <v>294</v>
      </c>
      <c r="T12" s="240" t="s">
        <v>287</v>
      </c>
      <c r="U12" s="241">
        <v>478766</v>
      </c>
      <c r="V12" s="241">
        <v>454829</v>
      </c>
      <c r="W12" s="242">
        <v>466375</v>
      </c>
      <c r="X12" s="241">
        <v>574125</v>
      </c>
      <c r="Y12" s="241">
        <v>607263</v>
      </c>
      <c r="Z12" s="242">
        <v>516272</v>
      </c>
      <c r="AC12" s="218">
        <v>700</v>
      </c>
      <c r="AD12" s="219">
        <v>486000</v>
      </c>
      <c r="AE12" s="219">
        <v>378705</v>
      </c>
      <c r="AF12" s="219">
        <v>524841</v>
      </c>
      <c r="AG12" s="219">
        <v>370466</v>
      </c>
      <c r="AH12" s="219">
        <v>549104</v>
      </c>
      <c r="AI12" s="219">
        <v>519692</v>
      </c>
      <c r="AJ12" s="219">
        <v>525000</v>
      </c>
      <c r="AK12" s="219">
        <v>552639</v>
      </c>
      <c r="AL12" s="220">
        <v>467554</v>
      </c>
    </row>
    <row r="13" spans="1:38" ht="20.100000000000001" customHeight="1">
      <c r="A13" s="820"/>
      <c r="B13" s="152" t="s">
        <v>228</v>
      </c>
      <c r="C13" s="156">
        <f t="shared" si="1"/>
        <v>4804222</v>
      </c>
      <c r="D13" s="139"/>
      <c r="E13" s="94">
        <f t="shared" si="2"/>
        <v>0</v>
      </c>
      <c r="F13" s="94"/>
      <c r="G13" s="94"/>
      <c r="H13" s="94"/>
      <c r="I13" s="94"/>
      <c r="J13" s="94"/>
      <c r="K13" s="153"/>
      <c r="L13" s="9"/>
      <c r="M13" s="814"/>
      <c r="N13" s="272" t="s">
        <v>230</v>
      </c>
      <c r="O13" s="44">
        <v>1155632</v>
      </c>
      <c r="P13" s="817"/>
      <c r="Q13" s="44">
        <f t="shared" si="0"/>
        <v>1386758</v>
      </c>
      <c r="S13" s="239" t="s">
        <v>295</v>
      </c>
      <c r="T13" s="240" t="s">
        <v>287</v>
      </c>
      <c r="U13" s="241">
        <v>561586</v>
      </c>
      <c r="V13" s="241">
        <v>584960</v>
      </c>
      <c r="W13" s="242">
        <v>523874</v>
      </c>
      <c r="X13" s="241">
        <v>645030</v>
      </c>
      <c r="Y13" s="241">
        <v>682238</v>
      </c>
      <c r="Z13" s="242">
        <v>599538</v>
      </c>
      <c r="AC13" s="218">
        <v>800</v>
      </c>
      <c r="AD13" s="219">
        <v>596045</v>
      </c>
      <c r="AE13" s="219">
        <v>547204</v>
      </c>
      <c r="AF13" s="219">
        <v>569885</v>
      </c>
      <c r="AG13" s="221" t="s">
        <v>268</v>
      </c>
      <c r="AH13" s="219">
        <v>669124</v>
      </c>
      <c r="AI13" s="219">
        <v>575262</v>
      </c>
      <c r="AJ13" s="219">
        <v>620000</v>
      </c>
      <c r="AK13" s="219">
        <v>591475</v>
      </c>
      <c r="AL13" s="220">
        <v>599363</v>
      </c>
    </row>
    <row r="14" spans="1:38" ht="20.100000000000001" customHeight="1">
      <c r="A14" s="820"/>
      <c r="B14" s="152" t="s">
        <v>229</v>
      </c>
      <c r="C14" s="156">
        <f t="shared" si="1"/>
        <v>5530079</v>
      </c>
      <c r="D14" s="139"/>
      <c r="E14" s="94">
        <f t="shared" si="2"/>
        <v>0</v>
      </c>
      <c r="F14" s="94"/>
      <c r="G14" s="94">
        <f t="shared" si="2"/>
        <v>0</v>
      </c>
      <c r="H14" s="94"/>
      <c r="I14" s="94">
        <f t="shared" si="3"/>
        <v>0</v>
      </c>
      <c r="J14" s="94"/>
      <c r="K14" s="153">
        <f t="shared" si="4"/>
        <v>0</v>
      </c>
      <c r="L14" s="9"/>
      <c r="M14" s="814"/>
      <c r="N14" s="272" t="s">
        <v>231</v>
      </c>
      <c r="O14" s="44">
        <v>1269088</v>
      </c>
      <c r="P14" s="817"/>
      <c r="Q14" s="44">
        <f t="shared" si="0"/>
        <v>1522906</v>
      </c>
      <c r="S14" s="239" t="s">
        <v>296</v>
      </c>
      <c r="T14" s="240" t="s">
        <v>287</v>
      </c>
      <c r="U14" s="241">
        <v>713246</v>
      </c>
      <c r="V14" s="241">
        <v>659808</v>
      </c>
      <c r="W14" s="242">
        <v>687142</v>
      </c>
      <c r="X14" s="241">
        <v>793128</v>
      </c>
      <c r="Y14" s="241">
        <v>842845</v>
      </c>
      <c r="Z14" s="242">
        <v>739234</v>
      </c>
      <c r="AC14" s="218">
        <v>900</v>
      </c>
      <c r="AD14" s="219">
        <v>628097</v>
      </c>
      <c r="AE14" s="219">
        <v>542006</v>
      </c>
      <c r="AF14" s="219">
        <v>658575</v>
      </c>
      <c r="AG14" s="219">
        <v>486946</v>
      </c>
      <c r="AH14" s="219">
        <v>718266</v>
      </c>
      <c r="AI14" s="219">
        <v>649811</v>
      </c>
      <c r="AJ14" s="219">
        <v>705000</v>
      </c>
      <c r="AK14" s="219">
        <v>604914</v>
      </c>
      <c r="AL14" s="220">
        <v>659260</v>
      </c>
    </row>
    <row r="15" spans="1:38" ht="20.100000000000001" customHeight="1">
      <c r="A15" s="820"/>
      <c r="B15" s="152" t="s">
        <v>230</v>
      </c>
      <c r="C15" s="156">
        <f t="shared" si="1"/>
        <v>6158657</v>
      </c>
      <c r="D15" s="139"/>
      <c r="E15" s="94">
        <f t="shared" si="2"/>
        <v>0</v>
      </c>
      <c r="F15" s="94"/>
      <c r="G15" s="94">
        <f t="shared" si="2"/>
        <v>0</v>
      </c>
      <c r="H15" s="94"/>
      <c r="I15" s="94">
        <f t="shared" si="3"/>
        <v>0</v>
      </c>
      <c r="J15" s="94"/>
      <c r="K15" s="153">
        <f t="shared" si="4"/>
        <v>0</v>
      </c>
      <c r="L15" s="9"/>
      <c r="M15" s="814"/>
      <c r="N15" s="272" t="s">
        <v>232</v>
      </c>
      <c r="O15" s="44">
        <v>1370696</v>
      </c>
      <c r="P15" s="817"/>
      <c r="Q15" s="44">
        <f t="shared" si="0"/>
        <v>1644835</v>
      </c>
      <c r="S15" s="239" t="s">
        <v>297</v>
      </c>
      <c r="T15" s="240" t="s">
        <v>287</v>
      </c>
      <c r="U15" s="241">
        <v>823014</v>
      </c>
      <c r="V15" s="241">
        <v>724277</v>
      </c>
      <c r="W15" s="242">
        <v>704897</v>
      </c>
      <c r="X15" s="241">
        <v>871259</v>
      </c>
      <c r="Y15" s="241">
        <v>952074</v>
      </c>
      <c r="Z15" s="242">
        <v>815104</v>
      </c>
      <c r="AC15" s="222">
        <v>1000</v>
      </c>
      <c r="AD15" s="219">
        <v>747237</v>
      </c>
      <c r="AE15" s="219">
        <v>641027</v>
      </c>
      <c r="AF15" s="219">
        <v>787060</v>
      </c>
      <c r="AG15" s="219">
        <v>567464</v>
      </c>
      <c r="AH15" s="219">
        <v>825603</v>
      </c>
      <c r="AI15" s="219">
        <v>768989</v>
      </c>
      <c r="AJ15" s="219">
        <v>850000</v>
      </c>
      <c r="AK15" s="219">
        <v>708132</v>
      </c>
      <c r="AL15" s="220">
        <v>829622</v>
      </c>
    </row>
    <row r="16" spans="1:38" ht="20.100000000000001" customHeight="1">
      <c r="A16" s="820"/>
      <c r="B16" s="152" t="s">
        <v>235</v>
      </c>
      <c r="C16" s="156"/>
      <c r="D16" s="139"/>
      <c r="E16" s="94">
        <f t="shared" si="2"/>
        <v>0</v>
      </c>
      <c r="F16" s="94"/>
      <c r="G16" s="94">
        <f t="shared" si="2"/>
        <v>0</v>
      </c>
      <c r="H16" s="94"/>
      <c r="I16" s="94">
        <f t="shared" si="3"/>
        <v>0</v>
      </c>
      <c r="J16" s="94"/>
      <c r="K16" s="153">
        <f t="shared" si="4"/>
        <v>0</v>
      </c>
      <c r="L16" s="9"/>
      <c r="M16" s="815"/>
      <c r="N16" s="272" t="s">
        <v>233</v>
      </c>
      <c r="O16" s="44">
        <v>1475229</v>
      </c>
      <c r="P16" s="818"/>
      <c r="Q16" s="44">
        <f t="shared" si="0"/>
        <v>1770275</v>
      </c>
      <c r="S16" s="239" t="s">
        <v>298</v>
      </c>
      <c r="T16" s="240" t="s">
        <v>287</v>
      </c>
      <c r="U16" s="241">
        <v>896140</v>
      </c>
      <c r="V16" s="241">
        <v>875333</v>
      </c>
      <c r="W16" s="242">
        <v>834157</v>
      </c>
      <c r="X16" s="241">
        <v>1058495</v>
      </c>
      <c r="Y16" s="241">
        <v>1120499</v>
      </c>
      <c r="Z16" s="242">
        <v>956925</v>
      </c>
      <c r="AC16" s="222">
        <v>1100</v>
      </c>
      <c r="AD16" s="219">
        <v>848902</v>
      </c>
      <c r="AE16" s="219">
        <v>789593</v>
      </c>
      <c r="AF16" s="219">
        <v>905243</v>
      </c>
      <c r="AG16" s="219">
        <v>620991</v>
      </c>
      <c r="AH16" s="221" t="s">
        <v>268</v>
      </c>
      <c r="AI16" s="219">
        <v>894830</v>
      </c>
      <c r="AJ16" s="219">
        <v>975000</v>
      </c>
      <c r="AK16" s="219">
        <v>860321</v>
      </c>
      <c r="AL16" s="220">
        <v>896337</v>
      </c>
    </row>
    <row r="17" spans="1:38" ht="20.100000000000001" customHeight="1" thickBot="1">
      <c r="A17" s="821"/>
      <c r="B17" s="777" t="s">
        <v>95</v>
      </c>
      <c r="C17" s="778"/>
      <c r="D17" s="142">
        <f t="shared" ref="D17:K17" si="5">SUM(D8:D16)</f>
        <v>0</v>
      </c>
      <c r="E17" s="204">
        <f t="shared" si="5"/>
        <v>0</v>
      </c>
      <c r="F17" s="137">
        <f t="shared" si="5"/>
        <v>0</v>
      </c>
      <c r="G17" s="137">
        <f t="shared" si="5"/>
        <v>0</v>
      </c>
      <c r="H17" s="137">
        <f t="shared" si="5"/>
        <v>0</v>
      </c>
      <c r="I17" s="137">
        <f t="shared" si="5"/>
        <v>0</v>
      </c>
      <c r="J17" s="137">
        <f t="shared" si="5"/>
        <v>0</v>
      </c>
      <c r="K17" s="154">
        <f t="shared" si="5"/>
        <v>0</v>
      </c>
      <c r="L17" s="9"/>
      <c r="M17" s="47"/>
      <c r="N17" s="282" t="s">
        <v>537</v>
      </c>
      <c r="O17" s="47">
        <v>1917797</v>
      </c>
      <c r="P17" s="47"/>
      <c r="Q17" s="47">
        <f>+ROUND(O17+O17*$P$5,0)</f>
        <v>2301356</v>
      </c>
      <c r="S17" s="239" t="s">
        <v>299</v>
      </c>
      <c r="T17" s="240" t="s">
        <v>287</v>
      </c>
      <c r="U17" s="241">
        <v>1110454</v>
      </c>
      <c r="V17" s="241">
        <v>1012766</v>
      </c>
      <c r="W17" s="242">
        <v>955937</v>
      </c>
      <c r="X17" s="241">
        <v>1224241</v>
      </c>
      <c r="Y17" s="241">
        <v>1259544</v>
      </c>
      <c r="Z17" s="242">
        <v>1112588</v>
      </c>
      <c r="AC17" s="223">
        <v>1200</v>
      </c>
      <c r="AD17" s="224">
        <v>963174</v>
      </c>
      <c r="AE17" s="224">
        <v>845810</v>
      </c>
      <c r="AF17" s="224">
        <v>997376</v>
      </c>
      <c r="AG17" s="225" t="s">
        <v>268</v>
      </c>
      <c r="AH17" s="225" t="s">
        <v>268</v>
      </c>
      <c r="AI17" s="224">
        <v>970760</v>
      </c>
      <c r="AJ17" s="224">
        <v>1065000</v>
      </c>
      <c r="AK17" s="224">
        <v>936921</v>
      </c>
      <c r="AL17" s="226">
        <v>963177</v>
      </c>
    </row>
    <row r="18" spans="1:38" ht="20.100000000000001" customHeight="1" thickTop="1" thickBot="1">
      <c r="L18" s="9"/>
      <c r="S18" s="809" t="s">
        <v>300</v>
      </c>
      <c r="T18" s="828" t="s">
        <v>301</v>
      </c>
      <c r="U18" s="834"/>
      <c r="V18" s="834"/>
      <c r="W18" s="834"/>
      <c r="X18" s="834"/>
    </row>
    <row r="19" spans="1:38" ht="20.100000000000001" customHeight="1" thickTop="1">
      <c r="E19" s="13">
        <f>+'나.전체보수(감곡-간선)'!E19+'다.부분보수(감곡-간선)'!E17</f>
        <v>0</v>
      </c>
      <c r="L19" s="9"/>
      <c r="S19" s="810"/>
      <c r="T19" s="288" t="s">
        <v>302</v>
      </c>
      <c r="U19" s="288" t="s">
        <v>303</v>
      </c>
      <c r="V19" s="288" t="s">
        <v>304</v>
      </c>
      <c r="W19" s="288" t="s">
        <v>305</v>
      </c>
      <c r="X19" s="288" t="s">
        <v>306</v>
      </c>
      <c r="AC19" s="207" t="s">
        <v>256</v>
      </c>
      <c r="AD19" s="798" t="s">
        <v>269</v>
      </c>
      <c r="AE19" s="798" t="s">
        <v>270</v>
      </c>
      <c r="AF19" s="802" t="s">
        <v>271</v>
      </c>
      <c r="AG19" s="798" t="s">
        <v>272</v>
      </c>
      <c r="AH19" s="798" t="s">
        <v>273</v>
      </c>
      <c r="AI19" s="283" t="s">
        <v>274</v>
      </c>
      <c r="AJ19" s="800" t="s">
        <v>276</v>
      </c>
    </row>
    <row r="20" spans="1:38" ht="20.100000000000001" customHeight="1" thickBot="1">
      <c r="L20" s="9"/>
      <c r="S20" s="244" t="s">
        <v>307</v>
      </c>
      <c r="T20" s="296" t="s">
        <v>308</v>
      </c>
      <c r="U20" s="287">
        <v>364337</v>
      </c>
      <c r="V20" s="287">
        <v>389567</v>
      </c>
      <c r="W20" s="287">
        <v>263709</v>
      </c>
      <c r="X20" s="287">
        <v>339210</v>
      </c>
      <c r="AC20" s="208" t="s">
        <v>257</v>
      </c>
      <c r="AD20" s="799"/>
      <c r="AE20" s="799"/>
      <c r="AF20" s="803"/>
      <c r="AG20" s="799"/>
      <c r="AH20" s="799"/>
      <c r="AI20" s="284" t="s">
        <v>275</v>
      </c>
      <c r="AJ20" s="801"/>
    </row>
    <row r="21" spans="1:38" ht="20.100000000000001" customHeight="1" thickTop="1">
      <c r="L21" s="9"/>
      <c r="S21" s="244" t="s">
        <v>309</v>
      </c>
      <c r="T21" s="296" t="s">
        <v>308</v>
      </c>
      <c r="U21" s="287">
        <v>386064</v>
      </c>
      <c r="V21" s="287">
        <v>389567</v>
      </c>
      <c r="W21" s="287">
        <v>290522</v>
      </c>
      <c r="X21" s="287">
        <v>355390</v>
      </c>
      <c r="AC21" s="214">
        <v>200</v>
      </c>
      <c r="AD21" s="215">
        <v>211780</v>
      </c>
      <c r="AE21" s="215">
        <v>4991</v>
      </c>
      <c r="AF21" s="215">
        <v>3509</v>
      </c>
      <c r="AG21" s="215">
        <v>220280</v>
      </c>
      <c r="AH21" s="216">
        <v>35</v>
      </c>
      <c r="AI21" s="215">
        <v>297377</v>
      </c>
      <c r="AJ21" s="229"/>
    </row>
    <row r="22" spans="1:38" ht="20.100000000000001" customHeight="1">
      <c r="L22" s="9"/>
      <c r="S22" s="244" t="s">
        <v>310</v>
      </c>
      <c r="T22" s="296" t="s">
        <v>308</v>
      </c>
      <c r="U22" s="287">
        <v>424007</v>
      </c>
      <c r="V22" s="287">
        <v>423395</v>
      </c>
      <c r="W22" s="287">
        <v>330416</v>
      </c>
      <c r="X22" s="287">
        <v>392610</v>
      </c>
      <c r="AC22" s="218">
        <v>300</v>
      </c>
      <c r="AD22" s="219">
        <v>206990</v>
      </c>
      <c r="AE22" s="219">
        <v>4991</v>
      </c>
      <c r="AF22" s="219">
        <v>3509</v>
      </c>
      <c r="AG22" s="219">
        <v>215490</v>
      </c>
      <c r="AH22" s="221">
        <v>35</v>
      </c>
      <c r="AI22" s="219">
        <v>290911</v>
      </c>
      <c r="AJ22" s="230"/>
    </row>
    <row r="23" spans="1:38" ht="20.100000000000001" customHeight="1">
      <c r="L23" s="9"/>
      <c r="S23" s="244" t="s">
        <v>311</v>
      </c>
      <c r="T23" s="296" t="s">
        <v>308</v>
      </c>
      <c r="U23" s="287">
        <v>502696</v>
      </c>
      <c r="V23" s="287">
        <v>454530</v>
      </c>
      <c r="W23" s="287">
        <v>433722</v>
      </c>
      <c r="X23" s="287">
        <v>463650</v>
      </c>
      <c r="AC23" s="218">
        <v>350</v>
      </c>
      <c r="AD23" s="219">
        <v>245132</v>
      </c>
      <c r="AE23" s="219">
        <v>4991</v>
      </c>
      <c r="AF23" s="219">
        <v>3509</v>
      </c>
      <c r="AG23" s="219">
        <v>253632</v>
      </c>
      <c r="AH23" s="221">
        <v>35</v>
      </c>
      <c r="AI23" s="219">
        <v>342403</v>
      </c>
      <c r="AJ23" s="230"/>
    </row>
    <row r="24" spans="1:38" ht="20.100000000000001" customHeight="1">
      <c r="L24" s="9"/>
      <c r="S24" s="244" t="s">
        <v>312</v>
      </c>
      <c r="T24" s="296" t="s">
        <v>308</v>
      </c>
      <c r="U24" s="287">
        <v>564967</v>
      </c>
      <c r="V24" s="287">
        <v>571632</v>
      </c>
      <c r="W24" s="287">
        <v>485599</v>
      </c>
      <c r="X24" s="287">
        <v>540740</v>
      </c>
      <c r="AC24" s="218">
        <v>400</v>
      </c>
      <c r="AD24" s="219">
        <v>278312</v>
      </c>
      <c r="AE24" s="219">
        <v>4991</v>
      </c>
      <c r="AF24" s="219">
        <v>3509</v>
      </c>
      <c r="AG24" s="219">
        <v>286812</v>
      </c>
      <c r="AH24" s="221">
        <v>35</v>
      </c>
      <c r="AI24" s="219">
        <v>387197</v>
      </c>
      <c r="AJ24" s="230"/>
    </row>
    <row r="25" spans="1:38" ht="20.100000000000001" customHeight="1">
      <c r="L25" s="9"/>
      <c r="S25" s="244" t="s">
        <v>313</v>
      </c>
      <c r="T25" s="296" t="s">
        <v>308</v>
      </c>
      <c r="U25" s="287">
        <v>587345</v>
      </c>
      <c r="V25" s="287">
        <v>642103</v>
      </c>
      <c r="W25" s="287">
        <v>506995</v>
      </c>
      <c r="X25" s="287">
        <v>578820</v>
      </c>
      <c r="AC25" s="218">
        <v>450</v>
      </c>
      <c r="AD25" s="219">
        <v>295741</v>
      </c>
      <c r="AE25" s="219">
        <v>4991</v>
      </c>
      <c r="AF25" s="219">
        <v>3509</v>
      </c>
      <c r="AG25" s="219">
        <v>304241</v>
      </c>
      <c r="AH25" s="221">
        <v>35</v>
      </c>
      <c r="AI25" s="219">
        <v>410726</v>
      </c>
      <c r="AJ25" s="230"/>
    </row>
    <row r="26" spans="1:38" ht="20.100000000000001" customHeight="1">
      <c r="L26" s="9"/>
      <c r="S26" s="244" t="s">
        <v>314</v>
      </c>
      <c r="T26" s="296" t="s">
        <v>308</v>
      </c>
      <c r="U26" s="287">
        <v>674986</v>
      </c>
      <c r="V26" s="287">
        <v>751145</v>
      </c>
      <c r="W26" s="287">
        <v>519271</v>
      </c>
      <c r="X26" s="287">
        <v>648470</v>
      </c>
      <c r="AC26" s="218">
        <v>500</v>
      </c>
      <c r="AD26" s="219">
        <v>348699</v>
      </c>
      <c r="AE26" s="219">
        <v>4991</v>
      </c>
      <c r="AF26" s="219">
        <v>3509</v>
      </c>
      <c r="AG26" s="219">
        <v>357199</v>
      </c>
      <c r="AH26" s="221">
        <v>35</v>
      </c>
      <c r="AI26" s="219">
        <v>482219</v>
      </c>
      <c r="AJ26" s="230"/>
    </row>
    <row r="27" spans="1:38" ht="20.100000000000001" customHeight="1">
      <c r="L27" s="9"/>
      <c r="S27" s="244" t="s">
        <v>315</v>
      </c>
      <c r="T27" s="296" t="s">
        <v>308</v>
      </c>
      <c r="U27" s="287">
        <v>724113</v>
      </c>
      <c r="V27" s="287">
        <v>833572</v>
      </c>
      <c r="W27" s="287">
        <v>628408</v>
      </c>
      <c r="X27" s="287">
        <v>728700</v>
      </c>
      <c r="AC27" s="218">
        <v>600</v>
      </c>
      <c r="AD27" s="219">
        <v>397630</v>
      </c>
      <c r="AE27" s="219">
        <v>4991</v>
      </c>
      <c r="AF27" s="219">
        <v>3509</v>
      </c>
      <c r="AG27" s="219">
        <v>406130</v>
      </c>
      <c r="AH27" s="221">
        <v>35</v>
      </c>
      <c r="AI27" s="219">
        <v>548275</v>
      </c>
      <c r="AJ27" s="230"/>
    </row>
    <row r="28" spans="1:38" ht="20.100000000000001" customHeight="1">
      <c r="S28" s="244" t="s">
        <v>316</v>
      </c>
      <c r="T28" s="296" t="s">
        <v>308</v>
      </c>
      <c r="U28" s="287">
        <v>758583</v>
      </c>
      <c r="V28" s="287">
        <v>939370</v>
      </c>
      <c r="W28" s="287">
        <v>675408</v>
      </c>
      <c r="X28" s="287">
        <v>791130</v>
      </c>
      <c r="AC28" s="218">
        <v>700</v>
      </c>
      <c r="AD28" s="219">
        <v>486000</v>
      </c>
      <c r="AE28" s="219">
        <v>4991</v>
      </c>
      <c r="AF28" s="219">
        <v>3509</v>
      </c>
      <c r="AG28" s="219">
        <v>494500</v>
      </c>
      <c r="AH28" s="221">
        <v>35</v>
      </c>
      <c r="AI28" s="219">
        <v>667575</v>
      </c>
      <c r="AJ28" s="230"/>
    </row>
    <row r="29" spans="1:38" ht="20.100000000000001" customHeight="1">
      <c r="S29" s="244" t="s">
        <v>317</v>
      </c>
      <c r="T29" s="296" t="s">
        <v>308</v>
      </c>
      <c r="U29" s="287">
        <v>1018240</v>
      </c>
      <c r="V29" s="287">
        <v>969474</v>
      </c>
      <c r="W29" s="287">
        <v>744247</v>
      </c>
      <c r="X29" s="287">
        <v>910660</v>
      </c>
      <c r="AC29" s="218">
        <v>800</v>
      </c>
      <c r="AD29" s="219">
        <v>596045</v>
      </c>
      <c r="AE29" s="219">
        <v>4991</v>
      </c>
      <c r="AF29" s="219">
        <v>3509</v>
      </c>
      <c r="AG29" s="219">
        <v>604545</v>
      </c>
      <c r="AH29" s="221">
        <v>35</v>
      </c>
      <c r="AI29" s="219">
        <v>816135</v>
      </c>
      <c r="AJ29" s="230"/>
    </row>
    <row r="30" spans="1:38" ht="20.100000000000001" customHeight="1">
      <c r="S30" s="244" t="s">
        <v>318</v>
      </c>
      <c r="T30" s="296" t="s">
        <v>308</v>
      </c>
      <c r="U30" s="287">
        <v>1065901</v>
      </c>
      <c r="V30" s="287">
        <v>1118948</v>
      </c>
      <c r="W30" s="287">
        <v>857657</v>
      </c>
      <c r="X30" s="287">
        <v>1014170</v>
      </c>
      <c r="AC30" s="218">
        <v>900</v>
      </c>
      <c r="AD30" s="219">
        <v>628097</v>
      </c>
      <c r="AE30" s="219">
        <v>4991</v>
      </c>
      <c r="AF30" s="219">
        <v>3509</v>
      </c>
      <c r="AG30" s="219">
        <v>636597</v>
      </c>
      <c r="AH30" s="221">
        <v>35</v>
      </c>
      <c r="AI30" s="219">
        <v>859406</v>
      </c>
      <c r="AJ30" s="230"/>
    </row>
    <row r="31" spans="1:38" ht="20.100000000000001" customHeight="1">
      <c r="L31" s="9"/>
      <c r="S31" s="244" t="s">
        <v>319</v>
      </c>
      <c r="T31" s="296" t="s">
        <v>308</v>
      </c>
      <c r="U31" s="287">
        <v>1118654</v>
      </c>
      <c r="V31" s="287">
        <v>1196354</v>
      </c>
      <c r="W31" s="287">
        <v>890807</v>
      </c>
      <c r="X31" s="287">
        <v>1068610</v>
      </c>
      <c r="AC31" s="222">
        <v>1000</v>
      </c>
      <c r="AD31" s="219">
        <v>747237</v>
      </c>
      <c r="AE31" s="219">
        <v>4991</v>
      </c>
      <c r="AF31" s="219">
        <v>3509</v>
      </c>
      <c r="AG31" s="219">
        <v>756033</v>
      </c>
      <c r="AH31" s="221">
        <v>35</v>
      </c>
      <c r="AI31" s="219">
        <v>1020645</v>
      </c>
      <c r="AJ31" s="230"/>
    </row>
    <row r="32" spans="1:38" ht="20.100000000000001" customHeight="1">
      <c r="L32" s="29"/>
      <c r="S32" s="244" t="s">
        <v>320</v>
      </c>
      <c r="T32" s="296" t="s">
        <v>308</v>
      </c>
      <c r="U32" s="287">
        <v>1170172</v>
      </c>
      <c r="V32" s="287">
        <v>1346097</v>
      </c>
      <c r="W32" s="287">
        <v>1137883</v>
      </c>
      <c r="X32" s="287">
        <v>1218060</v>
      </c>
      <c r="AC32" s="222">
        <v>1100</v>
      </c>
      <c r="AD32" s="219">
        <v>848902</v>
      </c>
      <c r="AE32" s="219">
        <v>4991</v>
      </c>
      <c r="AF32" s="219">
        <v>3509</v>
      </c>
      <c r="AG32" s="219">
        <v>857698</v>
      </c>
      <c r="AH32" s="221">
        <v>35</v>
      </c>
      <c r="AI32" s="219">
        <v>1157892</v>
      </c>
      <c r="AJ32" s="230"/>
    </row>
    <row r="33" spans="12:36" ht="20.100000000000001" customHeight="1" thickBot="1">
      <c r="L33" s="45"/>
      <c r="S33" s="236" t="s">
        <v>340</v>
      </c>
      <c r="T33" s="3"/>
      <c r="U33" s="3"/>
      <c r="V33" s="3"/>
      <c r="W33" s="3"/>
      <c r="X33" s="3"/>
      <c r="Y33" s="3"/>
      <c r="Z33" s="3"/>
      <c r="AA33" s="3"/>
      <c r="AB33" s="3"/>
      <c r="AC33" s="223">
        <v>1200</v>
      </c>
      <c r="AD33" s="224">
        <v>963174</v>
      </c>
      <c r="AE33" s="224">
        <v>4991</v>
      </c>
      <c r="AF33" s="224">
        <v>3509</v>
      </c>
      <c r="AG33" s="224">
        <v>971970</v>
      </c>
      <c r="AH33" s="225">
        <v>35</v>
      </c>
      <c r="AI33" s="224">
        <v>1312160</v>
      </c>
      <c r="AJ33" s="231"/>
    </row>
    <row r="34" spans="12:36" ht="20.100000000000001" customHeight="1" thickTop="1">
      <c r="L34" s="45"/>
      <c r="S34" s="807" t="s">
        <v>343</v>
      </c>
      <c r="T34" s="835" t="s">
        <v>321</v>
      </c>
      <c r="U34" s="836"/>
      <c r="V34" s="836"/>
      <c r="W34" s="836"/>
      <c r="X34" s="836"/>
      <c r="Y34" s="837"/>
    </row>
    <row r="35" spans="12:36" ht="20.100000000000001" customHeight="1">
      <c r="L35" s="35"/>
      <c r="S35" s="808"/>
      <c r="T35" s="828" t="s">
        <v>322</v>
      </c>
      <c r="U35" s="829"/>
      <c r="V35" s="828" t="s">
        <v>323</v>
      </c>
      <c r="W35" s="829"/>
      <c r="X35" s="828" t="s">
        <v>324</v>
      </c>
      <c r="Y35" s="830"/>
    </row>
    <row r="36" spans="12:36" ht="20.100000000000001" customHeight="1">
      <c r="L36" s="35"/>
      <c r="S36" s="247" t="s">
        <v>325</v>
      </c>
      <c r="T36" s="804">
        <v>255682</v>
      </c>
      <c r="U36" s="805"/>
      <c r="V36" s="804">
        <v>294034</v>
      </c>
      <c r="W36" s="805"/>
      <c r="X36" s="804">
        <v>396946</v>
      </c>
      <c r="Y36" s="806"/>
    </row>
    <row r="37" spans="12:36" ht="20.100000000000001" customHeight="1">
      <c r="L37" s="36"/>
      <c r="S37" s="247" t="s">
        <v>326</v>
      </c>
      <c r="T37" s="804">
        <v>263342</v>
      </c>
      <c r="U37" s="805"/>
      <c r="V37" s="804">
        <v>302843</v>
      </c>
      <c r="W37" s="805"/>
      <c r="X37" s="804">
        <v>408838</v>
      </c>
      <c r="Y37" s="806"/>
    </row>
    <row r="38" spans="12:36" ht="20.100000000000001" customHeight="1">
      <c r="L38" s="35"/>
      <c r="S38" s="247" t="s">
        <v>327</v>
      </c>
      <c r="T38" s="804">
        <v>295633</v>
      </c>
      <c r="U38" s="805"/>
      <c r="V38" s="804">
        <v>339978</v>
      </c>
      <c r="W38" s="805"/>
      <c r="X38" s="804">
        <v>458970</v>
      </c>
      <c r="Y38" s="806"/>
    </row>
    <row r="39" spans="12:36" ht="20.100000000000001" customHeight="1">
      <c r="L39" s="35"/>
      <c r="S39" s="247" t="s">
        <v>328</v>
      </c>
      <c r="T39" s="804">
        <v>322303</v>
      </c>
      <c r="U39" s="805"/>
      <c r="V39" s="804">
        <v>370648</v>
      </c>
      <c r="W39" s="805"/>
      <c r="X39" s="804">
        <v>500375</v>
      </c>
      <c r="Y39" s="806"/>
    </row>
    <row r="40" spans="12:36" ht="20.100000000000001" customHeight="1">
      <c r="L40" s="35"/>
      <c r="S40" s="247" t="s">
        <v>329</v>
      </c>
      <c r="T40" s="804">
        <v>356236</v>
      </c>
      <c r="U40" s="805"/>
      <c r="V40" s="804">
        <v>409671</v>
      </c>
      <c r="W40" s="805"/>
      <c r="X40" s="804">
        <v>553056</v>
      </c>
      <c r="Y40" s="806"/>
    </row>
    <row r="41" spans="12:36" ht="20.100000000000001" customHeight="1">
      <c r="L41" s="35"/>
      <c r="S41" s="247" t="s">
        <v>330</v>
      </c>
      <c r="T41" s="804">
        <v>402846</v>
      </c>
      <c r="U41" s="805"/>
      <c r="V41" s="804">
        <v>463273</v>
      </c>
      <c r="W41" s="805"/>
      <c r="X41" s="804">
        <v>625418</v>
      </c>
      <c r="Y41" s="806"/>
    </row>
    <row r="42" spans="12:36" ht="20.100000000000001" customHeight="1">
      <c r="L42" s="35"/>
      <c r="S42" s="247" t="s">
        <v>331</v>
      </c>
      <c r="T42" s="804">
        <v>456751</v>
      </c>
      <c r="U42" s="805"/>
      <c r="V42" s="804">
        <v>525264</v>
      </c>
      <c r="W42" s="805"/>
      <c r="X42" s="804">
        <v>709106</v>
      </c>
      <c r="Y42" s="806"/>
    </row>
    <row r="43" spans="12:36" ht="20.100000000000001" customHeight="1">
      <c r="L43" s="35"/>
      <c r="S43" s="247" t="s">
        <v>332</v>
      </c>
      <c r="T43" s="804">
        <v>516272</v>
      </c>
      <c r="U43" s="805"/>
      <c r="V43" s="804">
        <v>593713</v>
      </c>
      <c r="W43" s="805"/>
      <c r="X43" s="804">
        <v>801512</v>
      </c>
      <c r="Y43" s="806"/>
    </row>
    <row r="44" spans="12:36" ht="20.100000000000001" customHeight="1">
      <c r="L44" s="35"/>
      <c r="S44" s="247" t="s">
        <v>333</v>
      </c>
      <c r="T44" s="804">
        <v>599538</v>
      </c>
      <c r="U44" s="805"/>
      <c r="V44" s="804">
        <v>689469</v>
      </c>
      <c r="W44" s="805"/>
      <c r="X44" s="804">
        <v>930783</v>
      </c>
      <c r="Y44" s="806"/>
    </row>
    <row r="45" spans="12:36" ht="20.100000000000001" customHeight="1">
      <c r="L45" s="35"/>
      <c r="S45" s="247" t="s">
        <v>334</v>
      </c>
      <c r="T45" s="804">
        <v>739234</v>
      </c>
      <c r="U45" s="805"/>
      <c r="V45" s="804">
        <v>850119</v>
      </c>
      <c r="W45" s="805"/>
      <c r="X45" s="804">
        <v>1147661</v>
      </c>
      <c r="Y45" s="806"/>
    </row>
    <row r="46" spans="12:36" ht="20.100000000000001" customHeight="1">
      <c r="L46" s="36"/>
      <c r="S46" s="247" t="s">
        <v>335</v>
      </c>
      <c r="T46" s="804">
        <v>815104</v>
      </c>
      <c r="U46" s="805"/>
      <c r="V46" s="804">
        <v>937370</v>
      </c>
      <c r="W46" s="805"/>
      <c r="X46" s="804">
        <v>1265449</v>
      </c>
      <c r="Y46" s="806"/>
    </row>
    <row r="47" spans="12:36" ht="20.100000000000001" customHeight="1">
      <c r="L47" s="9"/>
      <c r="S47" s="247" t="s">
        <v>336</v>
      </c>
      <c r="T47" s="804">
        <v>956925</v>
      </c>
      <c r="U47" s="805"/>
      <c r="V47" s="804">
        <v>1100464</v>
      </c>
      <c r="W47" s="805"/>
      <c r="X47" s="804">
        <v>1485626</v>
      </c>
      <c r="Y47" s="806"/>
    </row>
    <row r="48" spans="12:36" ht="20.100000000000001" customHeight="1">
      <c r="L48" s="37"/>
      <c r="S48" s="248" t="s">
        <v>337</v>
      </c>
      <c r="T48" s="822">
        <v>1112588</v>
      </c>
      <c r="U48" s="823"/>
      <c r="V48" s="822">
        <v>1279476</v>
      </c>
      <c r="W48" s="823"/>
      <c r="X48" s="822">
        <v>1727293</v>
      </c>
      <c r="Y48" s="824"/>
    </row>
    <row r="49" spans="12:25" ht="20.100000000000001" customHeight="1">
      <c r="L49" s="9"/>
      <c r="S49" s="807" t="s">
        <v>342</v>
      </c>
      <c r="T49" s="825" t="s">
        <v>338</v>
      </c>
      <c r="U49" s="826"/>
      <c r="V49" s="826"/>
      <c r="W49" s="826"/>
      <c r="X49" s="826"/>
      <c r="Y49" s="827"/>
    </row>
    <row r="50" spans="12:25" ht="20.100000000000001" customHeight="1">
      <c r="S50" s="808"/>
      <c r="T50" s="828" t="s">
        <v>339</v>
      </c>
      <c r="U50" s="829"/>
      <c r="V50" s="828" t="s">
        <v>323</v>
      </c>
      <c r="W50" s="829"/>
      <c r="X50" s="828" t="s">
        <v>324</v>
      </c>
      <c r="Y50" s="830"/>
    </row>
    <row r="51" spans="12:25" ht="20.100000000000001" customHeight="1">
      <c r="S51" s="247" t="s">
        <v>307</v>
      </c>
      <c r="T51" s="804">
        <v>339210</v>
      </c>
      <c r="U51" s="805"/>
      <c r="V51" s="804">
        <v>390092</v>
      </c>
      <c r="W51" s="805"/>
      <c r="X51" s="804">
        <v>526625</v>
      </c>
      <c r="Y51" s="806"/>
    </row>
    <row r="52" spans="12:25" ht="20.100000000000001" customHeight="1">
      <c r="S52" s="247" t="s">
        <v>309</v>
      </c>
      <c r="T52" s="804">
        <v>355390</v>
      </c>
      <c r="U52" s="805"/>
      <c r="V52" s="804">
        <v>408699</v>
      </c>
      <c r="W52" s="805"/>
      <c r="X52" s="804">
        <v>551744</v>
      </c>
      <c r="Y52" s="806"/>
    </row>
    <row r="53" spans="12:25" ht="20.100000000000001" customHeight="1">
      <c r="S53" s="247" t="s">
        <v>310</v>
      </c>
      <c r="T53" s="804">
        <v>392610</v>
      </c>
      <c r="U53" s="805"/>
      <c r="V53" s="804">
        <v>451502</v>
      </c>
      <c r="W53" s="805"/>
      <c r="X53" s="804">
        <v>609528</v>
      </c>
      <c r="Y53" s="806"/>
    </row>
    <row r="54" spans="12:25" ht="20.100000000000001" customHeight="1">
      <c r="S54" s="247" t="s">
        <v>311</v>
      </c>
      <c r="T54" s="804">
        <v>463650</v>
      </c>
      <c r="U54" s="805"/>
      <c r="V54" s="804">
        <v>533198</v>
      </c>
      <c r="W54" s="805"/>
      <c r="X54" s="804">
        <v>719818</v>
      </c>
      <c r="Y54" s="806"/>
    </row>
    <row r="55" spans="12:25" ht="20.100000000000001" customHeight="1">
      <c r="S55" s="247" t="s">
        <v>312</v>
      </c>
      <c r="T55" s="804">
        <v>540740</v>
      </c>
      <c r="U55" s="805"/>
      <c r="V55" s="804">
        <v>621851</v>
      </c>
      <c r="W55" s="805"/>
      <c r="X55" s="804">
        <v>839499</v>
      </c>
      <c r="Y55" s="806"/>
    </row>
    <row r="56" spans="12:25" ht="20.100000000000001" customHeight="1">
      <c r="S56" s="247" t="s">
        <v>313</v>
      </c>
      <c r="T56" s="804">
        <v>578820</v>
      </c>
      <c r="U56" s="805"/>
      <c r="V56" s="804">
        <v>665643</v>
      </c>
      <c r="W56" s="805"/>
      <c r="X56" s="804">
        <v>898619</v>
      </c>
      <c r="Y56" s="806"/>
    </row>
    <row r="57" spans="12:25" ht="20.100000000000001" customHeight="1">
      <c r="S57" s="247" t="s">
        <v>314</v>
      </c>
      <c r="T57" s="804">
        <v>648470</v>
      </c>
      <c r="U57" s="805"/>
      <c r="V57" s="804">
        <v>745741</v>
      </c>
      <c r="W57" s="805"/>
      <c r="X57" s="804">
        <v>1006751</v>
      </c>
      <c r="Y57" s="806"/>
    </row>
    <row r="58" spans="12:25" ht="20.100000000000001" customHeight="1">
      <c r="S58" s="247" t="s">
        <v>315</v>
      </c>
      <c r="T58" s="804">
        <v>728700</v>
      </c>
      <c r="U58" s="805"/>
      <c r="V58" s="804">
        <v>838005</v>
      </c>
      <c r="W58" s="805"/>
      <c r="X58" s="804">
        <v>1131307</v>
      </c>
      <c r="Y58" s="806"/>
    </row>
    <row r="59" spans="12:25" ht="20.100000000000001" customHeight="1">
      <c r="S59" s="247" t="s">
        <v>316</v>
      </c>
      <c r="T59" s="804">
        <v>791130</v>
      </c>
      <c r="U59" s="805"/>
      <c r="V59" s="804">
        <v>909800</v>
      </c>
      <c r="W59" s="805"/>
      <c r="X59" s="804">
        <v>1228230</v>
      </c>
      <c r="Y59" s="806"/>
    </row>
    <row r="60" spans="12:25" ht="20.100000000000001" customHeight="1">
      <c r="S60" s="247" t="s">
        <v>317</v>
      </c>
      <c r="T60" s="804">
        <v>910660</v>
      </c>
      <c r="U60" s="805"/>
      <c r="V60" s="804">
        <v>1047259</v>
      </c>
      <c r="W60" s="805"/>
      <c r="X60" s="804">
        <v>1413800</v>
      </c>
      <c r="Y60" s="806"/>
    </row>
    <row r="61" spans="12:25" ht="20.100000000000001" customHeight="1">
      <c r="S61" s="247" t="s">
        <v>318</v>
      </c>
      <c r="T61" s="804">
        <v>1014170</v>
      </c>
      <c r="U61" s="805"/>
      <c r="V61" s="804">
        <v>1166296</v>
      </c>
      <c r="W61" s="805"/>
      <c r="X61" s="804">
        <v>1574500</v>
      </c>
      <c r="Y61" s="806"/>
    </row>
    <row r="62" spans="12:25" ht="20.100000000000001" customHeight="1">
      <c r="S62" s="247" t="s">
        <v>319</v>
      </c>
      <c r="T62" s="804">
        <v>1068610</v>
      </c>
      <c r="U62" s="805"/>
      <c r="V62" s="804">
        <v>1228902</v>
      </c>
      <c r="W62" s="805"/>
      <c r="X62" s="804">
        <v>1659018</v>
      </c>
      <c r="Y62" s="806"/>
    </row>
    <row r="63" spans="12:25" ht="20.100000000000001" customHeight="1">
      <c r="S63" s="248" t="s">
        <v>320</v>
      </c>
      <c r="T63" s="822">
        <v>1218060</v>
      </c>
      <c r="U63" s="823"/>
      <c r="V63" s="822">
        <v>1400769</v>
      </c>
      <c r="W63" s="823"/>
      <c r="X63" s="822">
        <v>1891039</v>
      </c>
      <c r="Y63" s="824"/>
    </row>
    <row r="64" spans="12:25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15">
    <mergeCell ref="T3:Z3"/>
    <mergeCell ref="AD3:AD4"/>
    <mergeCell ref="M5:M16"/>
    <mergeCell ref="P5:P16"/>
    <mergeCell ref="A6:A7"/>
    <mergeCell ref="B6:B7"/>
    <mergeCell ref="C6:C7"/>
    <mergeCell ref="D6:E6"/>
    <mergeCell ref="F6:G6"/>
    <mergeCell ref="H6:I6"/>
    <mergeCell ref="M3:M4"/>
    <mergeCell ref="N3:N4"/>
    <mergeCell ref="O3:O4"/>
    <mergeCell ref="P3:P4"/>
    <mergeCell ref="Q3:Q4"/>
    <mergeCell ref="S3:S4"/>
    <mergeCell ref="AH19:AH20"/>
    <mergeCell ref="AJ19:AJ20"/>
    <mergeCell ref="S34:S35"/>
    <mergeCell ref="T34:Y34"/>
    <mergeCell ref="T35:U35"/>
    <mergeCell ref="V35:W35"/>
    <mergeCell ref="X35:Y35"/>
    <mergeCell ref="J6:K6"/>
    <mergeCell ref="A8:A17"/>
    <mergeCell ref="B17:C17"/>
    <mergeCell ref="S18:S19"/>
    <mergeCell ref="T18:X18"/>
    <mergeCell ref="AD19:AD20"/>
    <mergeCell ref="T36:U36"/>
    <mergeCell ref="V36:W36"/>
    <mergeCell ref="X36:Y36"/>
    <mergeCell ref="T37:U37"/>
    <mergeCell ref="V37:W37"/>
    <mergeCell ref="X37:Y37"/>
    <mergeCell ref="AE19:AE20"/>
    <mergeCell ref="AF19:AF20"/>
    <mergeCell ref="AG19:AG20"/>
    <mergeCell ref="T40:U40"/>
    <mergeCell ref="V40:W40"/>
    <mergeCell ref="X40:Y40"/>
    <mergeCell ref="T41:U41"/>
    <mergeCell ref="V41:W41"/>
    <mergeCell ref="X41:Y41"/>
    <mergeCell ref="T38:U38"/>
    <mergeCell ref="V38:W38"/>
    <mergeCell ref="X38:Y38"/>
    <mergeCell ref="T39:U39"/>
    <mergeCell ref="V39:W39"/>
    <mergeCell ref="X39:Y39"/>
    <mergeCell ref="T44:U44"/>
    <mergeCell ref="V44:W44"/>
    <mergeCell ref="X44:Y44"/>
    <mergeCell ref="T45:U45"/>
    <mergeCell ref="V45:W45"/>
    <mergeCell ref="X45:Y45"/>
    <mergeCell ref="T42:U42"/>
    <mergeCell ref="V42:W42"/>
    <mergeCell ref="X42:Y42"/>
    <mergeCell ref="T43:U43"/>
    <mergeCell ref="V43:W43"/>
    <mergeCell ref="X43:Y43"/>
    <mergeCell ref="S49:S50"/>
    <mergeCell ref="T49:Y49"/>
    <mergeCell ref="T50:U50"/>
    <mergeCell ref="V50:W50"/>
    <mergeCell ref="X50:Y50"/>
    <mergeCell ref="T46:U46"/>
    <mergeCell ref="V46:W46"/>
    <mergeCell ref="X46:Y46"/>
    <mergeCell ref="T47:U47"/>
    <mergeCell ref="V47:W47"/>
    <mergeCell ref="X47:Y47"/>
    <mergeCell ref="T51:U51"/>
    <mergeCell ref="V51:W51"/>
    <mergeCell ref="X51:Y51"/>
    <mergeCell ref="T52:U52"/>
    <mergeCell ref="V52:W52"/>
    <mergeCell ref="X52:Y52"/>
    <mergeCell ref="T48:U48"/>
    <mergeCell ref="V48:W48"/>
    <mergeCell ref="X48:Y48"/>
    <mergeCell ref="T55:U55"/>
    <mergeCell ref="V55:W55"/>
    <mergeCell ref="X55:Y55"/>
    <mergeCell ref="T56:U56"/>
    <mergeCell ref="V56:W56"/>
    <mergeCell ref="X56:Y56"/>
    <mergeCell ref="T53:U53"/>
    <mergeCell ref="V53:W53"/>
    <mergeCell ref="X53:Y53"/>
    <mergeCell ref="T54:U54"/>
    <mergeCell ref="V54:W54"/>
    <mergeCell ref="X54:Y54"/>
    <mergeCell ref="T59:U59"/>
    <mergeCell ref="V59:W59"/>
    <mergeCell ref="X59:Y59"/>
    <mergeCell ref="T60:U60"/>
    <mergeCell ref="V60:W60"/>
    <mergeCell ref="X60:Y60"/>
    <mergeCell ref="T57:U57"/>
    <mergeCell ref="V57:W57"/>
    <mergeCell ref="X57:Y57"/>
    <mergeCell ref="T58:U58"/>
    <mergeCell ref="V58:W58"/>
    <mergeCell ref="X58:Y58"/>
    <mergeCell ref="T63:U63"/>
    <mergeCell ref="V63:W63"/>
    <mergeCell ref="X63:Y63"/>
    <mergeCell ref="T61:U61"/>
    <mergeCell ref="V61:W61"/>
    <mergeCell ref="X61:Y61"/>
    <mergeCell ref="T62:U62"/>
    <mergeCell ref="V62:W62"/>
    <mergeCell ref="X62:Y62"/>
  </mergeCells>
  <phoneticPr fontId="4" type="noConversion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6.625" style="2" customWidth="1"/>
    <col min="2" max="2" width="11.25" style="2" customWidth="1"/>
    <col min="3" max="10" width="7.75" style="2" customWidth="1"/>
    <col min="11" max="11" width="12.125" style="2" customWidth="1"/>
    <col min="12" max="12" width="26.625" style="2" bestFit="1" customWidth="1"/>
    <col min="13" max="13" width="19" style="2" bestFit="1" customWidth="1"/>
    <col min="14" max="14" width="17.375" style="2" bestFit="1" customWidth="1"/>
    <col min="15" max="15" width="9.625" style="2" bestFit="1" customWidth="1"/>
    <col min="16" max="16" width="9" style="2"/>
    <col min="17" max="17" width="11.75" style="2" bestFit="1" customWidth="1"/>
    <col min="18" max="18" width="12.875" style="2" bestFit="1" customWidth="1"/>
    <col min="19" max="19" width="18.125" style="2" bestFit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538</v>
      </c>
      <c r="B1" s="1"/>
      <c r="C1" s="1"/>
      <c r="L1" s="2" t="s">
        <v>508</v>
      </c>
    </row>
    <row r="2" spans="1:19" ht="20.100000000000001" customHeight="1">
      <c r="A2" s="2" t="s">
        <v>509</v>
      </c>
    </row>
    <row r="3" spans="1:19" ht="20.100000000000001" customHeight="1">
      <c r="A3" s="4" t="s">
        <v>510</v>
      </c>
      <c r="B3" s="40"/>
      <c r="C3" s="40"/>
      <c r="L3" s="49" t="s">
        <v>539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431</v>
      </c>
      <c r="L4" s="839" t="s">
        <v>540</v>
      </c>
      <c r="M4" s="839"/>
      <c r="N4" s="291" t="s">
        <v>541</v>
      </c>
      <c r="O4" s="291" t="s">
        <v>542</v>
      </c>
      <c r="P4" s="291" t="s">
        <v>543</v>
      </c>
      <c r="Q4" s="291" t="s">
        <v>544</v>
      </c>
      <c r="R4" s="291" t="s">
        <v>545</v>
      </c>
      <c r="S4" s="291" t="s">
        <v>546</v>
      </c>
    </row>
    <row r="5" spans="1:19" ht="20.100000000000001" customHeight="1">
      <c r="H5" s="8"/>
      <c r="J5" s="8" t="s">
        <v>512</v>
      </c>
      <c r="L5" s="842" t="s">
        <v>582</v>
      </c>
      <c r="M5" s="53" t="s">
        <v>583</v>
      </c>
      <c r="N5" s="290" t="s">
        <v>584</v>
      </c>
      <c r="O5" s="290" t="s">
        <v>585</v>
      </c>
      <c r="P5" s="62">
        <f>ROUND(3*3*4.5,0)</f>
        <v>41</v>
      </c>
      <c r="Q5" s="55">
        <v>10231</v>
      </c>
      <c r="R5" s="55">
        <f>P5*Q5</f>
        <v>419471</v>
      </c>
      <c r="S5" s="61" t="s">
        <v>586</v>
      </c>
    </row>
    <row r="6" spans="1:19" ht="20.100000000000001" customHeight="1">
      <c r="A6" s="783" t="s">
        <v>435</v>
      </c>
      <c r="B6" s="787" t="s">
        <v>534</v>
      </c>
      <c r="C6" s="789" t="s">
        <v>436</v>
      </c>
      <c r="D6" s="781"/>
      <c r="E6" s="781" t="s">
        <v>437</v>
      </c>
      <c r="F6" s="781"/>
      <c r="G6" s="781" t="s">
        <v>438</v>
      </c>
      <c r="H6" s="781"/>
      <c r="I6" s="781" t="s">
        <v>439</v>
      </c>
      <c r="J6" s="782"/>
      <c r="L6" s="842"/>
      <c r="M6" s="53" t="s">
        <v>588</v>
      </c>
      <c r="N6" s="290" t="s">
        <v>589</v>
      </c>
      <c r="O6" s="290" t="s">
        <v>585</v>
      </c>
      <c r="P6" s="62">
        <f>ROUND(3*3*4.5-1.9*1.9*0.25*3.14*4,0)</f>
        <v>29</v>
      </c>
      <c r="Q6" s="55">
        <v>3936</v>
      </c>
      <c r="R6" s="55">
        <f>P6*Q6</f>
        <v>114144</v>
      </c>
      <c r="S6" s="61" t="s">
        <v>555</v>
      </c>
    </row>
    <row r="7" spans="1:19" ht="20.100000000000001" customHeight="1">
      <c r="A7" s="784"/>
      <c r="B7" s="788"/>
      <c r="C7" s="160" t="s">
        <v>535</v>
      </c>
      <c r="D7" s="273" t="s">
        <v>452</v>
      </c>
      <c r="E7" s="281" t="s">
        <v>535</v>
      </c>
      <c r="F7" s="273" t="s">
        <v>452</v>
      </c>
      <c r="G7" s="281" t="s">
        <v>535</v>
      </c>
      <c r="H7" s="273" t="s">
        <v>452</v>
      </c>
      <c r="I7" s="281" t="s">
        <v>535</v>
      </c>
      <c r="J7" s="274" t="s">
        <v>452</v>
      </c>
      <c r="L7" s="843" t="s">
        <v>556</v>
      </c>
      <c r="M7" s="53" t="s">
        <v>557</v>
      </c>
      <c r="N7" s="291" t="s">
        <v>558</v>
      </c>
      <c r="O7" s="290" t="s">
        <v>559</v>
      </c>
      <c r="P7" s="53">
        <v>1</v>
      </c>
      <c r="Q7" s="55">
        <v>3191400</v>
      </c>
      <c r="R7" s="55">
        <f>P7*Q7</f>
        <v>3191400</v>
      </c>
      <c r="S7" s="52" t="s">
        <v>560</v>
      </c>
    </row>
    <row r="8" spans="1:19" ht="20.100000000000001" customHeight="1">
      <c r="A8" s="279" t="s">
        <v>561</v>
      </c>
      <c r="B8" s="195">
        <v>5500753</v>
      </c>
      <c r="C8" s="196"/>
      <c r="D8" s="196">
        <f>+ROUND($B8*C8/1000000,0)</f>
        <v>0</v>
      </c>
      <c r="E8" s="280"/>
      <c r="F8" s="277"/>
      <c r="G8" s="280"/>
      <c r="H8" s="277"/>
      <c r="I8" s="280"/>
      <c r="J8" s="278"/>
      <c r="L8" s="842"/>
      <c r="M8" s="53" t="s">
        <v>562</v>
      </c>
      <c r="N8" s="290"/>
      <c r="O8" s="290" t="s">
        <v>559</v>
      </c>
      <c r="P8" s="53">
        <v>1</v>
      </c>
      <c r="Q8" s="55">
        <f>+Q7*0.2</f>
        <v>638280</v>
      </c>
      <c r="R8" s="55">
        <f>P8*Q8</f>
        <v>638280</v>
      </c>
      <c r="S8" s="52" t="s">
        <v>563</v>
      </c>
    </row>
    <row r="9" spans="1:19" ht="20.100000000000001" customHeight="1">
      <c r="A9" s="275" t="s">
        <v>564</v>
      </c>
      <c r="B9" s="197">
        <v>576917</v>
      </c>
      <c r="C9" s="197"/>
      <c r="D9" s="94">
        <f>+ROUND($B9*C9/1000000,0)</f>
        <v>0</v>
      </c>
      <c r="E9" s="198"/>
      <c r="F9" s="293"/>
      <c r="G9" s="198"/>
      <c r="H9" s="293"/>
      <c r="I9" s="198"/>
      <c r="J9" s="151"/>
      <c r="L9" s="53" t="s">
        <v>565</v>
      </c>
      <c r="M9" s="53" t="s">
        <v>566</v>
      </c>
      <c r="N9" s="290" t="s">
        <v>567</v>
      </c>
      <c r="O9" s="290" t="s">
        <v>568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570</v>
      </c>
      <c r="B10" s="197">
        <v>223017</v>
      </c>
      <c r="C10" s="197"/>
      <c r="D10" s="94">
        <f>+ROUND($B10*C10/1000000,0)</f>
        <v>0</v>
      </c>
      <c r="E10" s="198"/>
      <c r="F10" s="293"/>
      <c r="G10" s="198"/>
      <c r="H10" s="293"/>
      <c r="I10" s="198"/>
      <c r="J10" s="151"/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5181648</v>
      </c>
      <c r="S10" s="52" t="s">
        <v>572</v>
      </c>
    </row>
    <row r="11" spans="1:19" ht="20.100000000000001" customHeight="1">
      <c r="A11" s="275" t="s">
        <v>573</v>
      </c>
      <c r="B11" s="197">
        <v>6000</v>
      </c>
      <c r="C11" s="197"/>
      <c r="D11" s="94">
        <f>+ROUND($B11*C11/1000000,0)</f>
        <v>0</v>
      </c>
      <c r="E11" s="198"/>
      <c r="F11" s="293"/>
      <c r="G11" s="198"/>
      <c r="H11" s="293"/>
      <c r="I11" s="198"/>
      <c r="J11" s="151"/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15544943</v>
      </c>
      <c r="S11" s="52"/>
    </row>
    <row r="12" spans="1:19" ht="20.100000000000001" customHeight="1">
      <c r="A12" s="276" t="s">
        <v>406</v>
      </c>
      <c r="B12" s="164"/>
      <c r="C12" s="164">
        <v>0</v>
      </c>
      <c r="D12" s="164">
        <f>SUM(D8:D11)</f>
        <v>0</v>
      </c>
      <c r="E12" s="164">
        <f t="shared" ref="E12:J12" si="0">SUM(E8:E11)</f>
        <v>0</v>
      </c>
      <c r="F12" s="164">
        <f t="shared" si="0"/>
        <v>0</v>
      </c>
      <c r="G12" s="164">
        <f t="shared" si="0"/>
        <v>0</v>
      </c>
      <c r="H12" s="164">
        <f t="shared" si="0"/>
        <v>0</v>
      </c>
      <c r="I12" s="164">
        <f t="shared" si="0"/>
        <v>0</v>
      </c>
      <c r="J12" s="165">
        <f t="shared" si="0"/>
        <v>0</v>
      </c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5440730.0499999998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20986000</v>
      </c>
      <c r="S13" s="52"/>
    </row>
    <row r="14" spans="1:19" ht="20.100000000000001" customHeight="1">
      <c r="K14" s="9"/>
    </row>
    <row r="15" spans="1:19" ht="20.100000000000001" customHeight="1">
      <c r="K15" s="9"/>
      <c r="N15" s="3" t="s">
        <v>577</v>
      </c>
    </row>
    <row r="16" spans="1:19" ht="20.100000000000001" customHeight="1">
      <c r="K16" s="9"/>
      <c r="L16" s="2">
        <v>550</v>
      </c>
      <c r="M16" s="2" t="s">
        <v>578</v>
      </c>
      <c r="N16" s="63">
        <v>293900</v>
      </c>
      <c r="O16" s="13">
        <f>+N16</f>
        <v>293900</v>
      </c>
    </row>
    <row r="17" spans="11:15" ht="20.100000000000001" customHeight="1">
      <c r="K17" s="9"/>
      <c r="L17" s="2">
        <v>500</v>
      </c>
      <c r="M17" s="2" t="s">
        <v>579</v>
      </c>
      <c r="N17" s="2">
        <v>461900</v>
      </c>
      <c r="O17" s="2">
        <f>+N17*4</f>
        <v>1847600</v>
      </c>
    </row>
    <row r="18" spans="11:15" ht="20.100000000000001" customHeight="1">
      <c r="K18" s="9"/>
      <c r="L18" s="2">
        <v>1500</v>
      </c>
      <c r="M18" s="2" t="s">
        <v>580</v>
      </c>
      <c r="N18" s="2">
        <v>1049900</v>
      </c>
      <c r="O18" s="2">
        <f>+N18</f>
        <v>1049900</v>
      </c>
    </row>
    <row r="19" spans="11:15" ht="20.100000000000001" customHeight="1">
      <c r="K19" s="9"/>
      <c r="L19" s="2">
        <f>+L16+L18</f>
        <v>2050</v>
      </c>
      <c r="O19" s="13">
        <f>SUM(O16:O18)</f>
        <v>3191400</v>
      </c>
    </row>
    <row r="20" spans="11:15" ht="20.100000000000001" customHeight="1">
      <c r="K20" s="9"/>
      <c r="L20" s="2">
        <v>4000</v>
      </c>
    </row>
    <row r="21" spans="11:15" ht="20.100000000000001" customHeight="1">
      <c r="K21" s="9"/>
      <c r="L21" s="2">
        <f>+L20-L19</f>
        <v>1950</v>
      </c>
    </row>
    <row r="22" spans="11:15" ht="20.100000000000001" customHeight="1">
      <c r="K22" s="9"/>
      <c r="L22" s="2">
        <f>+L21/L17</f>
        <v>3.9</v>
      </c>
    </row>
    <row r="23" spans="11:15" ht="20.100000000000001" customHeight="1">
      <c r="K23" s="9"/>
    </row>
    <row r="24" spans="11:15" ht="20.100000000000001" customHeight="1">
      <c r="K24" s="9"/>
    </row>
    <row r="25" spans="11:15" ht="20.100000000000001" customHeight="1">
      <c r="K25" s="9"/>
    </row>
    <row r="26" spans="11:15" ht="20.100000000000001" customHeight="1">
      <c r="K26" s="9"/>
    </row>
    <row r="27" spans="11:15" ht="20.100000000000001" customHeight="1">
      <c r="K27" s="9"/>
    </row>
    <row r="28" spans="11:15" ht="20.100000000000001" customHeight="1"/>
    <row r="29" spans="11:15" ht="20.100000000000001" customHeight="1"/>
    <row r="30" spans="11:15" ht="20.100000000000001" customHeight="1"/>
    <row r="31" spans="11:15" ht="20.100000000000001" customHeight="1">
      <c r="K31" s="9"/>
    </row>
    <row r="32" spans="11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workbookViewId="0"/>
    <sheetView workbookViewId="1"/>
  </sheetViews>
  <sheetFormatPr defaultRowHeight="12"/>
  <cols>
    <col min="1" max="1" width="5.875" style="2" customWidth="1"/>
    <col min="2" max="2" width="12.75" style="2" customWidth="1"/>
    <col min="3" max="10" width="7.75" style="2" customWidth="1"/>
    <col min="11" max="11" width="12.125" style="2" customWidth="1"/>
    <col min="12" max="12" width="26.625" style="2" hidden="1" customWidth="1"/>
    <col min="13" max="13" width="19" style="2" hidden="1" customWidth="1"/>
    <col min="14" max="14" width="17.375" style="2" hidden="1" customWidth="1"/>
    <col min="15" max="15" width="9.625" style="2" hidden="1" customWidth="1"/>
    <col min="16" max="16" width="0" style="2" hidden="1" customWidth="1"/>
    <col min="17" max="17" width="11.75" style="2" hidden="1" customWidth="1"/>
    <col min="18" max="18" width="12.875" style="2" hidden="1" customWidth="1"/>
    <col min="19" max="19" width="18.125" style="2" hidden="1" customWidth="1"/>
    <col min="20" max="229" width="9" style="2"/>
    <col min="230" max="231" width="3.75" style="2" customWidth="1"/>
    <col min="232" max="232" width="15" style="2" customWidth="1"/>
    <col min="233" max="236" width="12.875" style="2" customWidth="1"/>
    <col min="237" max="237" width="12.125" style="2" customWidth="1"/>
    <col min="238" max="238" width="9" style="2"/>
    <col min="239" max="239" width="12.25" style="2" customWidth="1"/>
    <col min="240" max="240" width="9.625" style="2" customWidth="1"/>
    <col min="241" max="242" width="9.75" style="2" customWidth="1"/>
    <col min="243" max="243" width="9.375" style="2" customWidth="1"/>
    <col min="244" max="485" width="9" style="2"/>
    <col min="486" max="487" width="3.75" style="2" customWidth="1"/>
    <col min="488" max="488" width="15" style="2" customWidth="1"/>
    <col min="489" max="492" width="12.875" style="2" customWidth="1"/>
    <col min="493" max="493" width="12.125" style="2" customWidth="1"/>
    <col min="494" max="494" width="9" style="2"/>
    <col min="495" max="495" width="12.25" style="2" customWidth="1"/>
    <col min="496" max="496" width="9.625" style="2" customWidth="1"/>
    <col min="497" max="498" width="9.75" style="2" customWidth="1"/>
    <col min="499" max="499" width="9.375" style="2" customWidth="1"/>
    <col min="500" max="741" width="9" style="2"/>
    <col min="742" max="743" width="3.75" style="2" customWidth="1"/>
    <col min="744" max="744" width="15" style="2" customWidth="1"/>
    <col min="745" max="748" width="12.875" style="2" customWidth="1"/>
    <col min="749" max="749" width="12.125" style="2" customWidth="1"/>
    <col min="750" max="750" width="9" style="2"/>
    <col min="751" max="751" width="12.25" style="2" customWidth="1"/>
    <col min="752" max="752" width="9.625" style="2" customWidth="1"/>
    <col min="753" max="754" width="9.75" style="2" customWidth="1"/>
    <col min="755" max="755" width="9.375" style="2" customWidth="1"/>
    <col min="756" max="997" width="9" style="2"/>
    <col min="998" max="999" width="3.75" style="2" customWidth="1"/>
    <col min="1000" max="1000" width="15" style="2" customWidth="1"/>
    <col min="1001" max="1004" width="12.875" style="2" customWidth="1"/>
    <col min="1005" max="1005" width="12.125" style="2" customWidth="1"/>
    <col min="1006" max="1006" width="9" style="2"/>
    <col min="1007" max="1007" width="12.25" style="2" customWidth="1"/>
    <col min="1008" max="1008" width="9.625" style="2" customWidth="1"/>
    <col min="1009" max="1010" width="9.75" style="2" customWidth="1"/>
    <col min="1011" max="1011" width="9.375" style="2" customWidth="1"/>
    <col min="1012" max="1253" width="9" style="2"/>
    <col min="1254" max="1255" width="3.75" style="2" customWidth="1"/>
    <col min="1256" max="1256" width="15" style="2" customWidth="1"/>
    <col min="1257" max="1260" width="12.875" style="2" customWidth="1"/>
    <col min="1261" max="1261" width="12.125" style="2" customWidth="1"/>
    <col min="1262" max="1262" width="9" style="2"/>
    <col min="1263" max="1263" width="12.25" style="2" customWidth="1"/>
    <col min="1264" max="1264" width="9.625" style="2" customWidth="1"/>
    <col min="1265" max="1266" width="9.75" style="2" customWidth="1"/>
    <col min="1267" max="1267" width="9.375" style="2" customWidth="1"/>
    <col min="1268" max="1509" width="9" style="2"/>
    <col min="1510" max="1511" width="3.75" style="2" customWidth="1"/>
    <col min="1512" max="1512" width="15" style="2" customWidth="1"/>
    <col min="1513" max="1516" width="12.875" style="2" customWidth="1"/>
    <col min="1517" max="1517" width="12.125" style="2" customWidth="1"/>
    <col min="1518" max="1518" width="9" style="2"/>
    <col min="1519" max="1519" width="12.25" style="2" customWidth="1"/>
    <col min="1520" max="1520" width="9.625" style="2" customWidth="1"/>
    <col min="1521" max="1522" width="9.75" style="2" customWidth="1"/>
    <col min="1523" max="1523" width="9.375" style="2" customWidth="1"/>
    <col min="1524" max="1765" width="9" style="2"/>
    <col min="1766" max="1767" width="3.75" style="2" customWidth="1"/>
    <col min="1768" max="1768" width="15" style="2" customWidth="1"/>
    <col min="1769" max="1772" width="12.875" style="2" customWidth="1"/>
    <col min="1773" max="1773" width="12.125" style="2" customWidth="1"/>
    <col min="1774" max="1774" width="9" style="2"/>
    <col min="1775" max="1775" width="12.25" style="2" customWidth="1"/>
    <col min="1776" max="1776" width="9.625" style="2" customWidth="1"/>
    <col min="1777" max="1778" width="9.75" style="2" customWidth="1"/>
    <col min="1779" max="1779" width="9.375" style="2" customWidth="1"/>
    <col min="1780" max="2021" width="9" style="2"/>
    <col min="2022" max="2023" width="3.75" style="2" customWidth="1"/>
    <col min="2024" max="2024" width="15" style="2" customWidth="1"/>
    <col min="2025" max="2028" width="12.875" style="2" customWidth="1"/>
    <col min="2029" max="2029" width="12.125" style="2" customWidth="1"/>
    <col min="2030" max="2030" width="9" style="2"/>
    <col min="2031" max="2031" width="12.25" style="2" customWidth="1"/>
    <col min="2032" max="2032" width="9.625" style="2" customWidth="1"/>
    <col min="2033" max="2034" width="9.75" style="2" customWidth="1"/>
    <col min="2035" max="2035" width="9.375" style="2" customWidth="1"/>
    <col min="2036" max="2277" width="9" style="2"/>
    <col min="2278" max="2279" width="3.75" style="2" customWidth="1"/>
    <col min="2280" max="2280" width="15" style="2" customWidth="1"/>
    <col min="2281" max="2284" width="12.875" style="2" customWidth="1"/>
    <col min="2285" max="2285" width="12.125" style="2" customWidth="1"/>
    <col min="2286" max="2286" width="9" style="2"/>
    <col min="2287" max="2287" width="12.25" style="2" customWidth="1"/>
    <col min="2288" max="2288" width="9.625" style="2" customWidth="1"/>
    <col min="2289" max="2290" width="9.75" style="2" customWidth="1"/>
    <col min="2291" max="2291" width="9.375" style="2" customWidth="1"/>
    <col min="2292" max="2533" width="9" style="2"/>
    <col min="2534" max="2535" width="3.75" style="2" customWidth="1"/>
    <col min="2536" max="2536" width="15" style="2" customWidth="1"/>
    <col min="2537" max="2540" width="12.875" style="2" customWidth="1"/>
    <col min="2541" max="2541" width="12.125" style="2" customWidth="1"/>
    <col min="2542" max="2542" width="9" style="2"/>
    <col min="2543" max="2543" width="12.25" style="2" customWidth="1"/>
    <col min="2544" max="2544" width="9.625" style="2" customWidth="1"/>
    <col min="2545" max="2546" width="9.75" style="2" customWidth="1"/>
    <col min="2547" max="2547" width="9.375" style="2" customWidth="1"/>
    <col min="2548" max="2789" width="9" style="2"/>
    <col min="2790" max="2791" width="3.75" style="2" customWidth="1"/>
    <col min="2792" max="2792" width="15" style="2" customWidth="1"/>
    <col min="2793" max="2796" width="12.875" style="2" customWidth="1"/>
    <col min="2797" max="2797" width="12.125" style="2" customWidth="1"/>
    <col min="2798" max="2798" width="9" style="2"/>
    <col min="2799" max="2799" width="12.25" style="2" customWidth="1"/>
    <col min="2800" max="2800" width="9.625" style="2" customWidth="1"/>
    <col min="2801" max="2802" width="9.75" style="2" customWidth="1"/>
    <col min="2803" max="2803" width="9.375" style="2" customWidth="1"/>
    <col min="2804" max="3045" width="9" style="2"/>
    <col min="3046" max="3047" width="3.75" style="2" customWidth="1"/>
    <col min="3048" max="3048" width="15" style="2" customWidth="1"/>
    <col min="3049" max="3052" width="12.875" style="2" customWidth="1"/>
    <col min="3053" max="3053" width="12.125" style="2" customWidth="1"/>
    <col min="3054" max="3054" width="9" style="2"/>
    <col min="3055" max="3055" width="12.25" style="2" customWidth="1"/>
    <col min="3056" max="3056" width="9.625" style="2" customWidth="1"/>
    <col min="3057" max="3058" width="9.75" style="2" customWidth="1"/>
    <col min="3059" max="3059" width="9.375" style="2" customWidth="1"/>
    <col min="3060" max="3301" width="9" style="2"/>
    <col min="3302" max="3303" width="3.75" style="2" customWidth="1"/>
    <col min="3304" max="3304" width="15" style="2" customWidth="1"/>
    <col min="3305" max="3308" width="12.875" style="2" customWidth="1"/>
    <col min="3309" max="3309" width="12.125" style="2" customWidth="1"/>
    <col min="3310" max="3310" width="9" style="2"/>
    <col min="3311" max="3311" width="12.25" style="2" customWidth="1"/>
    <col min="3312" max="3312" width="9.625" style="2" customWidth="1"/>
    <col min="3313" max="3314" width="9.75" style="2" customWidth="1"/>
    <col min="3315" max="3315" width="9.375" style="2" customWidth="1"/>
    <col min="3316" max="3557" width="9" style="2"/>
    <col min="3558" max="3559" width="3.75" style="2" customWidth="1"/>
    <col min="3560" max="3560" width="15" style="2" customWidth="1"/>
    <col min="3561" max="3564" width="12.875" style="2" customWidth="1"/>
    <col min="3565" max="3565" width="12.125" style="2" customWidth="1"/>
    <col min="3566" max="3566" width="9" style="2"/>
    <col min="3567" max="3567" width="12.25" style="2" customWidth="1"/>
    <col min="3568" max="3568" width="9.625" style="2" customWidth="1"/>
    <col min="3569" max="3570" width="9.75" style="2" customWidth="1"/>
    <col min="3571" max="3571" width="9.375" style="2" customWidth="1"/>
    <col min="3572" max="3813" width="9" style="2"/>
    <col min="3814" max="3815" width="3.75" style="2" customWidth="1"/>
    <col min="3816" max="3816" width="15" style="2" customWidth="1"/>
    <col min="3817" max="3820" width="12.875" style="2" customWidth="1"/>
    <col min="3821" max="3821" width="12.125" style="2" customWidth="1"/>
    <col min="3822" max="3822" width="9" style="2"/>
    <col min="3823" max="3823" width="12.25" style="2" customWidth="1"/>
    <col min="3824" max="3824" width="9.625" style="2" customWidth="1"/>
    <col min="3825" max="3826" width="9.75" style="2" customWidth="1"/>
    <col min="3827" max="3827" width="9.375" style="2" customWidth="1"/>
    <col min="3828" max="4069" width="9" style="2"/>
    <col min="4070" max="4071" width="3.75" style="2" customWidth="1"/>
    <col min="4072" max="4072" width="15" style="2" customWidth="1"/>
    <col min="4073" max="4076" width="12.875" style="2" customWidth="1"/>
    <col min="4077" max="4077" width="12.125" style="2" customWidth="1"/>
    <col min="4078" max="4078" width="9" style="2"/>
    <col min="4079" max="4079" width="12.25" style="2" customWidth="1"/>
    <col min="4080" max="4080" width="9.625" style="2" customWidth="1"/>
    <col min="4081" max="4082" width="9.75" style="2" customWidth="1"/>
    <col min="4083" max="4083" width="9.375" style="2" customWidth="1"/>
    <col min="4084" max="4325" width="9" style="2"/>
    <col min="4326" max="4327" width="3.75" style="2" customWidth="1"/>
    <col min="4328" max="4328" width="15" style="2" customWidth="1"/>
    <col min="4329" max="4332" width="12.875" style="2" customWidth="1"/>
    <col min="4333" max="4333" width="12.125" style="2" customWidth="1"/>
    <col min="4334" max="4334" width="9" style="2"/>
    <col min="4335" max="4335" width="12.25" style="2" customWidth="1"/>
    <col min="4336" max="4336" width="9.625" style="2" customWidth="1"/>
    <col min="4337" max="4338" width="9.75" style="2" customWidth="1"/>
    <col min="4339" max="4339" width="9.375" style="2" customWidth="1"/>
    <col min="4340" max="4581" width="9" style="2"/>
    <col min="4582" max="4583" width="3.75" style="2" customWidth="1"/>
    <col min="4584" max="4584" width="15" style="2" customWidth="1"/>
    <col min="4585" max="4588" width="12.875" style="2" customWidth="1"/>
    <col min="4589" max="4589" width="12.125" style="2" customWidth="1"/>
    <col min="4590" max="4590" width="9" style="2"/>
    <col min="4591" max="4591" width="12.25" style="2" customWidth="1"/>
    <col min="4592" max="4592" width="9.625" style="2" customWidth="1"/>
    <col min="4593" max="4594" width="9.75" style="2" customWidth="1"/>
    <col min="4595" max="4595" width="9.375" style="2" customWidth="1"/>
    <col min="4596" max="4837" width="9" style="2"/>
    <col min="4838" max="4839" width="3.75" style="2" customWidth="1"/>
    <col min="4840" max="4840" width="15" style="2" customWidth="1"/>
    <col min="4841" max="4844" width="12.875" style="2" customWidth="1"/>
    <col min="4845" max="4845" width="12.125" style="2" customWidth="1"/>
    <col min="4846" max="4846" width="9" style="2"/>
    <col min="4847" max="4847" width="12.25" style="2" customWidth="1"/>
    <col min="4848" max="4848" width="9.625" style="2" customWidth="1"/>
    <col min="4849" max="4850" width="9.75" style="2" customWidth="1"/>
    <col min="4851" max="4851" width="9.375" style="2" customWidth="1"/>
    <col min="4852" max="5093" width="9" style="2"/>
    <col min="5094" max="5095" width="3.75" style="2" customWidth="1"/>
    <col min="5096" max="5096" width="15" style="2" customWidth="1"/>
    <col min="5097" max="5100" width="12.875" style="2" customWidth="1"/>
    <col min="5101" max="5101" width="12.125" style="2" customWidth="1"/>
    <col min="5102" max="5102" width="9" style="2"/>
    <col min="5103" max="5103" width="12.25" style="2" customWidth="1"/>
    <col min="5104" max="5104" width="9.625" style="2" customWidth="1"/>
    <col min="5105" max="5106" width="9.75" style="2" customWidth="1"/>
    <col min="5107" max="5107" width="9.375" style="2" customWidth="1"/>
    <col min="5108" max="5349" width="9" style="2"/>
    <col min="5350" max="5351" width="3.75" style="2" customWidth="1"/>
    <col min="5352" max="5352" width="15" style="2" customWidth="1"/>
    <col min="5353" max="5356" width="12.875" style="2" customWidth="1"/>
    <col min="5357" max="5357" width="12.125" style="2" customWidth="1"/>
    <col min="5358" max="5358" width="9" style="2"/>
    <col min="5359" max="5359" width="12.25" style="2" customWidth="1"/>
    <col min="5360" max="5360" width="9.625" style="2" customWidth="1"/>
    <col min="5361" max="5362" width="9.75" style="2" customWidth="1"/>
    <col min="5363" max="5363" width="9.375" style="2" customWidth="1"/>
    <col min="5364" max="5605" width="9" style="2"/>
    <col min="5606" max="5607" width="3.75" style="2" customWidth="1"/>
    <col min="5608" max="5608" width="15" style="2" customWidth="1"/>
    <col min="5609" max="5612" width="12.875" style="2" customWidth="1"/>
    <col min="5613" max="5613" width="12.125" style="2" customWidth="1"/>
    <col min="5614" max="5614" width="9" style="2"/>
    <col min="5615" max="5615" width="12.25" style="2" customWidth="1"/>
    <col min="5616" max="5616" width="9.625" style="2" customWidth="1"/>
    <col min="5617" max="5618" width="9.75" style="2" customWidth="1"/>
    <col min="5619" max="5619" width="9.375" style="2" customWidth="1"/>
    <col min="5620" max="5861" width="9" style="2"/>
    <col min="5862" max="5863" width="3.75" style="2" customWidth="1"/>
    <col min="5864" max="5864" width="15" style="2" customWidth="1"/>
    <col min="5865" max="5868" width="12.875" style="2" customWidth="1"/>
    <col min="5869" max="5869" width="12.125" style="2" customWidth="1"/>
    <col min="5870" max="5870" width="9" style="2"/>
    <col min="5871" max="5871" width="12.25" style="2" customWidth="1"/>
    <col min="5872" max="5872" width="9.625" style="2" customWidth="1"/>
    <col min="5873" max="5874" width="9.75" style="2" customWidth="1"/>
    <col min="5875" max="5875" width="9.375" style="2" customWidth="1"/>
    <col min="5876" max="6117" width="9" style="2"/>
    <col min="6118" max="6119" width="3.75" style="2" customWidth="1"/>
    <col min="6120" max="6120" width="15" style="2" customWidth="1"/>
    <col min="6121" max="6124" width="12.875" style="2" customWidth="1"/>
    <col min="6125" max="6125" width="12.125" style="2" customWidth="1"/>
    <col min="6126" max="6126" width="9" style="2"/>
    <col min="6127" max="6127" width="12.25" style="2" customWidth="1"/>
    <col min="6128" max="6128" width="9.625" style="2" customWidth="1"/>
    <col min="6129" max="6130" width="9.75" style="2" customWidth="1"/>
    <col min="6131" max="6131" width="9.375" style="2" customWidth="1"/>
    <col min="6132" max="6373" width="9" style="2"/>
    <col min="6374" max="6375" width="3.75" style="2" customWidth="1"/>
    <col min="6376" max="6376" width="15" style="2" customWidth="1"/>
    <col min="6377" max="6380" width="12.875" style="2" customWidth="1"/>
    <col min="6381" max="6381" width="12.125" style="2" customWidth="1"/>
    <col min="6382" max="6382" width="9" style="2"/>
    <col min="6383" max="6383" width="12.25" style="2" customWidth="1"/>
    <col min="6384" max="6384" width="9.625" style="2" customWidth="1"/>
    <col min="6385" max="6386" width="9.75" style="2" customWidth="1"/>
    <col min="6387" max="6387" width="9.375" style="2" customWidth="1"/>
    <col min="6388" max="6629" width="9" style="2"/>
    <col min="6630" max="6631" width="3.75" style="2" customWidth="1"/>
    <col min="6632" max="6632" width="15" style="2" customWidth="1"/>
    <col min="6633" max="6636" width="12.875" style="2" customWidth="1"/>
    <col min="6637" max="6637" width="12.125" style="2" customWidth="1"/>
    <col min="6638" max="6638" width="9" style="2"/>
    <col min="6639" max="6639" width="12.25" style="2" customWidth="1"/>
    <col min="6640" max="6640" width="9.625" style="2" customWidth="1"/>
    <col min="6641" max="6642" width="9.75" style="2" customWidth="1"/>
    <col min="6643" max="6643" width="9.375" style="2" customWidth="1"/>
    <col min="6644" max="6885" width="9" style="2"/>
    <col min="6886" max="6887" width="3.75" style="2" customWidth="1"/>
    <col min="6888" max="6888" width="15" style="2" customWidth="1"/>
    <col min="6889" max="6892" width="12.875" style="2" customWidth="1"/>
    <col min="6893" max="6893" width="12.125" style="2" customWidth="1"/>
    <col min="6894" max="6894" width="9" style="2"/>
    <col min="6895" max="6895" width="12.25" style="2" customWidth="1"/>
    <col min="6896" max="6896" width="9.625" style="2" customWidth="1"/>
    <col min="6897" max="6898" width="9.75" style="2" customWidth="1"/>
    <col min="6899" max="6899" width="9.375" style="2" customWidth="1"/>
    <col min="6900" max="7141" width="9" style="2"/>
    <col min="7142" max="7143" width="3.75" style="2" customWidth="1"/>
    <col min="7144" max="7144" width="15" style="2" customWidth="1"/>
    <col min="7145" max="7148" width="12.875" style="2" customWidth="1"/>
    <col min="7149" max="7149" width="12.125" style="2" customWidth="1"/>
    <col min="7150" max="7150" width="9" style="2"/>
    <col min="7151" max="7151" width="12.25" style="2" customWidth="1"/>
    <col min="7152" max="7152" width="9.625" style="2" customWidth="1"/>
    <col min="7153" max="7154" width="9.75" style="2" customWidth="1"/>
    <col min="7155" max="7155" width="9.375" style="2" customWidth="1"/>
    <col min="7156" max="7397" width="9" style="2"/>
    <col min="7398" max="7399" width="3.75" style="2" customWidth="1"/>
    <col min="7400" max="7400" width="15" style="2" customWidth="1"/>
    <col min="7401" max="7404" width="12.875" style="2" customWidth="1"/>
    <col min="7405" max="7405" width="12.125" style="2" customWidth="1"/>
    <col min="7406" max="7406" width="9" style="2"/>
    <col min="7407" max="7407" width="12.25" style="2" customWidth="1"/>
    <col min="7408" max="7408" width="9.625" style="2" customWidth="1"/>
    <col min="7409" max="7410" width="9.75" style="2" customWidth="1"/>
    <col min="7411" max="7411" width="9.375" style="2" customWidth="1"/>
    <col min="7412" max="7653" width="9" style="2"/>
    <col min="7654" max="7655" width="3.75" style="2" customWidth="1"/>
    <col min="7656" max="7656" width="15" style="2" customWidth="1"/>
    <col min="7657" max="7660" width="12.875" style="2" customWidth="1"/>
    <col min="7661" max="7661" width="12.125" style="2" customWidth="1"/>
    <col min="7662" max="7662" width="9" style="2"/>
    <col min="7663" max="7663" width="12.25" style="2" customWidth="1"/>
    <col min="7664" max="7664" width="9.625" style="2" customWidth="1"/>
    <col min="7665" max="7666" width="9.75" style="2" customWidth="1"/>
    <col min="7667" max="7667" width="9.375" style="2" customWidth="1"/>
    <col min="7668" max="7909" width="9" style="2"/>
    <col min="7910" max="7911" width="3.75" style="2" customWidth="1"/>
    <col min="7912" max="7912" width="15" style="2" customWidth="1"/>
    <col min="7913" max="7916" width="12.875" style="2" customWidth="1"/>
    <col min="7917" max="7917" width="12.125" style="2" customWidth="1"/>
    <col min="7918" max="7918" width="9" style="2"/>
    <col min="7919" max="7919" width="12.25" style="2" customWidth="1"/>
    <col min="7920" max="7920" width="9.625" style="2" customWidth="1"/>
    <col min="7921" max="7922" width="9.75" style="2" customWidth="1"/>
    <col min="7923" max="7923" width="9.375" style="2" customWidth="1"/>
    <col min="7924" max="8165" width="9" style="2"/>
    <col min="8166" max="8167" width="3.75" style="2" customWidth="1"/>
    <col min="8168" max="8168" width="15" style="2" customWidth="1"/>
    <col min="8169" max="8172" width="12.875" style="2" customWidth="1"/>
    <col min="8173" max="8173" width="12.125" style="2" customWidth="1"/>
    <col min="8174" max="8174" width="9" style="2"/>
    <col min="8175" max="8175" width="12.25" style="2" customWidth="1"/>
    <col min="8176" max="8176" width="9.625" style="2" customWidth="1"/>
    <col min="8177" max="8178" width="9.75" style="2" customWidth="1"/>
    <col min="8179" max="8179" width="9.375" style="2" customWidth="1"/>
    <col min="8180" max="8421" width="9" style="2"/>
    <col min="8422" max="8423" width="3.75" style="2" customWidth="1"/>
    <col min="8424" max="8424" width="15" style="2" customWidth="1"/>
    <col min="8425" max="8428" width="12.875" style="2" customWidth="1"/>
    <col min="8429" max="8429" width="12.125" style="2" customWidth="1"/>
    <col min="8430" max="8430" width="9" style="2"/>
    <col min="8431" max="8431" width="12.25" style="2" customWidth="1"/>
    <col min="8432" max="8432" width="9.625" style="2" customWidth="1"/>
    <col min="8433" max="8434" width="9.75" style="2" customWidth="1"/>
    <col min="8435" max="8435" width="9.375" style="2" customWidth="1"/>
    <col min="8436" max="8677" width="9" style="2"/>
    <col min="8678" max="8679" width="3.75" style="2" customWidth="1"/>
    <col min="8680" max="8680" width="15" style="2" customWidth="1"/>
    <col min="8681" max="8684" width="12.875" style="2" customWidth="1"/>
    <col min="8685" max="8685" width="12.125" style="2" customWidth="1"/>
    <col min="8686" max="8686" width="9" style="2"/>
    <col min="8687" max="8687" width="12.25" style="2" customWidth="1"/>
    <col min="8688" max="8688" width="9.625" style="2" customWidth="1"/>
    <col min="8689" max="8690" width="9.75" style="2" customWidth="1"/>
    <col min="8691" max="8691" width="9.375" style="2" customWidth="1"/>
    <col min="8692" max="8933" width="9" style="2"/>
    <col min="8934" max="8935" width="3.75" style="2" customWidth="1"/>
    <col min="8936" max="8936" width="15" style="2" customWidth="1"/>
    <col min="8937" max="8940" width="12.875" style="2" customWidth="1"/>
    <col min="8941" max="8941" width="12.125" style="2" customWidth="1"/>
    <col min="8942" max="8942" width="9" style="2"/>
    <col min="8943" max="8943" width="12.25" style="2" customWidth="1"/>
    <col min="8944" max="8944" width="9.625" style="2" customWidth="1"/>
    <col min="8945" max="8946" width="9.75" style="2" customWidth="1"/>
    <col min="8947" max="8947" width="9.375" style="2" customWidth="1"/>
    <col min="8948" max="9189" width="9" style="2"/>
    <col min="9190" max="9191" width="3.75" style="2" customWidth="1"/>
    <col min="9192" max="9192" width="15" style="2" customWidth="1"/>
    <col min="9193" max="9196" width="12.875" style="2" customWidth="1"/>
    <col min="9197" max="9197" width="12.125" style="2" customWidth="1"/>
    <col min="9198" max="9198" width="9" style="2"/>
    <col min="9199" max="9199" width="12.25" style="2" customWidth="1"/>
    <col min="9200" max="9200" width="9.625" style="2" customWidth="1"/>
    <col min="9201" max="9202" width="9.75" style="2" customWidth="1"/>
    <col min="9203" max="9203" width="9.375" style="2" customWidth="1"/>
    <col min="9204" max="9445" width="9" style="2"/>
    <col min="9446" max="9447" width="3.75" style="2" customWidth="1"/>
    <col min="9448" max="9448" width="15" style="2" customWidth="1"/>
    <col min="9449" max="9452" width="12.875" style="2" customWidth="1"/>
    <col min="9453" max="9453" width="12.125" style="2" customWidth="1"/>
    <col min="9454" max="9454" width="9" style="2"/>
    <col min="9455" max="9455" width="12.25" style="2" customWidth="1"/>
    <col min="9456" max="9456" width="9.625" style="2" customWidth="1"/>
    <col min="9457" max="9458" width="9.75" style="2" customWidth="1"/>
    <col min="9459" max="9459" width="9.375" style="2" customWidth="1"/>
    <col min="9460" max="9701" width="9" style="2"/>
    <col min="9702" max="9703" width="3.75" style="2" customWidth="1"/>
    <col min="9704" max="9704" width="15" style="2" customWidth="1"/>
    <col min="9705" max="9708" width="12.875" style="2" customWidth="1"/>
    <col min="9709" max="9709" width="12.125" style="2" customWidth="1"/>
    <col min="9710" max="9710" width="9" style="2"/>
    <col min="9711" max="9711" width="12.25" style="2" customWidth="1"/>
    <col min="9712" max="9712" width="9.625" style="2" customWidth="1"/>
    <col min="9713" max="9714" width="9.75" style="2" customWidth="1"/>
    <col min="9715" max="9715" width="9.375" style="2" customWidth="1"/>
    <col min="9716" max="9957" width="9" style="2"/>
    <col min="9958" max="9959" width="3.75" style="2" customWidth="1"/>
    <col min="9960" max="9960" width="15" style="2" customWidth="1"/>
    <col min="9961" max="9964" width="12.875" style="2" customWidth="1"/>
    <col min="9965" max="9965" width="12.125" style="2" customWidth="1"/>
    <col min="9966" max="9966" width="9" style="2"/>
    <col min="9967" max="9967" width="12.25" style="2" customWidth="1"/>
    <col min="9968" max="9968" width="9.625" style="2" customWidth="1"/>
    <col min="9969" max="9970" width="9.75" style="2" customWidth="1"/>
    <col min="9971" max="9971" width="9.375" style="2" customWidth="1"/>
    <col min="9972" max="10213" width="9" style="2"/>
    <col min="10214" max="10215" width="3.75" style="2" customWidth="1"/>
    <col min="10216" max="10216" width="15" style="2" customWidth="1"/>
    <col min="10217" max="10220" width="12.875" style="2" customWidth="1"/>
    <col min="10221" max="10221" width="12.125" style="2" customWidth="1"/>
    <col min="10222" max="10222" width="9" style="2"/>
    <col min="10223" max="10223" width="12.25" style="2" customWidth="1"/>
    <col min="10224" max="10224" width="9.625" style="2" customWidth="1"/>
    <col min="10225" max="10226" width="9.75" style="2" customWidth="1"/>
    <col min="10227" max="10227" width="9.375" style="2" customWidth="1"/>
    <col min="10228" max="10469" width="9" style="2"/>
    <col min="10470" max="10471" width="3.75" style="2" customWidth="1"/>
    <col min="10472" max="10472" width="15" style="2" customWidth="1"/>
    <col min="10473" max="10476" width="12.875" style="2" customWidth="1"/>
    <col min="10477" max="10477" width="12.125" style="2" customWidth="1"/>
    <col min="10478" max="10478" width="9" style="2"/>
    <col min="10479" max="10479" width="12.25" style="2" customWidth="1"/>
    <col min="10480" max="10480" width="9.625" style="2" customWidth="1"/>
    <col min="10481" max="10482" width="9.75" style="2" customWidth="1"/>
    <col min="10483" max="10483" width="9.375" style="2" customWidth="1"/>
    <col min="10484" max="10725" width="9" style="2"/>
    <col min="10726" max="10727" width="3.75" style="2" customWidth="1"/>
    <col min="10728" max="10728" width="15" style="2" customWidth="1"/>
    <col min="10729" max="10732" width="12.875" style="2" customWidth="1"/>
    <col min="10733" max="10733" width="12.125" style="2" customWidth="1"/>
    <col min="10734" max="10734" width="9" style="2"/>
    <col min="10735" max="10735" width="12.25" style="2" customWidth="1"/>
    <col min="10736" max="10736" width="9.625" style="2" customWidth="1"/>
    <col min="10737" max="10738" width="9.75" style="2" customWidth="1"/>
    <col min="10739" max="10739" width="9.375" style="2" customWidth="1"/>
    <col min="10740" max="10981" width="9" style="2"/>
    <col min="10982" max="10983" width="3.75" style="2" customWidth="1"/>
    <col min="10984" max="10984" width="15" style="2" customWidth="1"/>
    <col min="10985" max="10988" width="12.875" style="2" customWidth="1"/>
    <col min="10989" max="10989" width="12.125" style="2" customWidth="1"/>
    <col min="10990" max="10990" width="9" style="2"/>
    <col min="10991" max="10991" width="12.25" style="2" customWidth="1"/>
    <col min="10992" max="10992" width="9.625" style="2" customWidth="1"/>
    <col min="10993" max="10994" width="9.75" style="2" customWidth="1"/>
    <col min="10995" max="10995" width="9.375" style="2" customWidth="1"/>
    <col min="10996" max="11237" width="9" style="2"/>
    <col min="11238" max="11239" width="3.75" style="2" customWidth="1"/>
    <col min="11240" max="11240" width="15" style="2" customWidth="1"/>
    <col min="11241" max="11244" width="12.875" style="2" customWidth="1"/>
    <col min="11245" max="11245" width="12.125" style="2" customWidth="1"/>
    <col min="11246" max="11246" width="9" style="2"/>
    <col min="11247" max="11247" width="12.25" style="2" customWidth="1"/>
    <col min="11248" max="11248" width="9.625" style="2" customWidth="1"/>
    <col min="11249" max="11250" width="9.75" style="2" customWidth="1"/>
    <col min="11251" max="11251" width="9.375" style="2" customWidth="1"/>
    <col min="11252" max="11493" width="9" style="2"/>
    <col min="11494" max="11495" width="3.75" style="2" customWidth="1"/>
    <col min="11496" max="11496" width="15" style="2" customWidth="1"/>
    <col min="11497" max="11500" width="12.875" style="2" customWidth="1"/>
    <col min="11501" max="11501" width="12.125" style="2" customWidth="1"/>
    <col min="11502" max="11502" width="9" style="2"/>
    <col min="11503" max="11503" width="12.25" style="2" customWidth="1"/>
    <col min="11504" max="11504" width="9.625" style="2" customWidth="1"/>
    <col min="11505" max="11506" width="9.75" style="2" customWidth="1"/>
    <col min="11507" max="11507" width="9.375" style="2" customWidth="1"/>
    <col min="11508" max="11749" width="9" style="2"/>
    <col min="11750" max="11751" width="3.75" style="2" customWidth="1"/>
    <col min="11752" max="11752" width="15" style="2" customWidth="1"/>
    <col min="11753" max="11756" width="12.875" style="2" customWidth="1"/>
    <col min="11757" max="11757" width="12.125" style="2" customWidth="1"/>
    <col min="11758" max="11758" width="9" style="2"/>
    <col min="11759" max="11759" width="12.25" style="2" customWidth="1"/>
    <col min="11760" max="11760" width="9.625" style="2" customWidth="1"/>
    <col min="11761" max="11762" width="9.75" style="2" customWidth="1"/>
    <col min="11763" max="11763" width="9.375" style="2" customWidth="1"/>
    <col min="11764" max="12005" width="9" style="2"/>
    <col min="12006" max="12007" width="3.75" style="2" customWidth="1"/>
    <col min="12008" max="12008" width="15" style="2" customWidth="1"/>
    <col min="12009" max="12012" width="12.875" style="2" customWidth="1"/>
    <col min="12013" max="12013" width="12.125" style="2" customWidth="1"/>
    <col min="12014" max="12014" width="9" style="2"/>
    <col min="12015" max="12015" width="12.25" style="2" customWidth="1"/>
    <col min="12016" max="12016" width="9.625" style="2" customWidth="1"/>
    <col min="12017" max="12018" width="9.75" style="2" customWidth="1"/>
    <col min="12019" max="12019" width="9.375" style="2" customWidth="1"/>
    <col min="12020" max="12261" width="9" style="2"/>
    <col min="12262" max="12263" width="3.75" style="2" customWidth="1"/>
    <col min="12264" max="12264" width="15" style="2" customWidth="1"/>
    <col min="12265" max="12268" width="12.875" style="2" customWidth="1"/>
    <col min="12269" max="12269" width="12.125" style="2" customWidth="1"/>
    <col min="12270" max="12270" width="9" style="2"/>
    <col min="12271" max="12271" width="12.25" style="2" customWidth="1"/>
    <col min="12272" max="12272" width="9.625" style="2" customWidth="1"/>
    <col min="12273" max="12274" width="9.75" style="2" customWidth="1"/>
    <col min="12275" max="12275" width="9.375" style="2" customWidth="1"/>
    <col min="12276" max="12517" width="9" style="2"/>
    <col min="12518" max="12519" width="3.75" style="2" customWidth="1"/>
    <col min="12520" max="12520" width="15" style="2" customWidth="1"/>
    <col min="12521" max="12524" width="12.875" style="2" customWidth="1"/>
    <col min="12525" max="12525" width="12.125" style="2" customWidth="1"/>
    <col min="12526" max="12526" width="9" style="2"/>
    <col min="12527" max="12527" width="12.25" style="2" customWidth="1"/>
    <col min="12528" max="12528" width="9.625" style="2" customWidth="1"/>
    <col min="12529" max="12530" width="9.75" style="2" customWidth="1"/>
    <col min="12531" max="12531" width="9.375" style="2" customWidth="1"/>
    <col min="12532" max="12773" width="9" style="2"/>
    <col min="12774" max="12775" width="3.75" style="2" customWidth="1"/>
    <col min="12776" max="12776" width="15" style="2" customWidth="1"/>
    <col min="12777" max="12780" width="12.875" style="2" customWidth="1"/>
    <col min="12781" max="12781" width="12.125" style="2" customWidth="1"/>
    <col min="12782" max="12782" width="9" style="2"/>
    <col min="12783" max="12783" width="12.25" style="2" customWidth="1"/>
    <col min="12784" max="12784" width="9.625" style="2" customWidth="1"/>
    <col min="12785" max="12786" width="9.75" style="2" customWidth="1"/>
    <col min="12787" max="12787" width="9.375" style="2" customWidth="1"/>
    <col min="12788" max="13029" width="9" style="2"/>
    <col min="13030" max="13031" width="3.75" style="2" customWidth="1"/>
    <col min="13032" max="13032" width="15" style="2" customWidth="1"/>
    <col min="13033" max="13036" width="12.875" style="2" customWidth="1"/>
    <col min="13037" max="13037" width="12.125" style="2" customWidth="1"/>
    <col min="13038" max="13038" width="9" style="2"/>
    <col min="13039" max="13039" width="12.25" style="2" customWidth="1"/>
    <col min="13040" max="13040" width="9.625" style="2" customWidth="1"/>
    <col min="13041" max="13042" width="9.75" style="2" customWidth="1"/>
    <col min="13043" max="13043" width="9.375" style="2" customWidth="1"/>
    <col min="13044" max="13285" width="9" style="2"/>
    <col min="13286" max="13287" width="3.75" style="2" customWidth="1"/>
    <col min="13288" max="13288" width="15" style="2" customWidth="1"/>
    <col min="13289" max="13292" width="12.875" style="2" customWidth="1"/>
    <col min="13293" max="13293" width="12.125" style="2" customWidth="1"/>
    <col min="13294" max="13294" width="9" style="2"/>
    <col min="13295" max="13295" width="12.25" style="2" customWidth="1"/>
    <col min="13296" max="13296" width="9.625" style="2" customWidth="1"/>
    <col min="13297" max="13298" width="9.75" style="2" customWidth="1"/>
    <col min="13299" max="13299" width="9.375" style="2" customWidth="1"/>
    <col min="13300" max="13541" width="9" style="2"/>
    <col min="13542" max="13543" width="3.75" style="2" customWidth="1"/>
    <col min="13544" max="13544" width="15" style="2" customWidth="1"/>
    <col min="13545" max="13548" width="12.875" style="2" customWidth="1"/>
    <col min="13549" max="13549" width="12.125" style="2" customWidth="1"/>
    <col min="13550" max="13550" width="9" style="2"/>
    <col min="13551" max="13551" width="12.25" style="2" customWidth="1"/>
    <col min="13552" max="13552" width="9.625" style="2" customWidth="1"/>
    <col min="13553" max="13554" width="9.75" style="2" customWidth="1"/>
    <col min="13555" max="13555" width="9.375" style="2" customWidth="1"/>
    <col min="13556" max="13797" width="9" style="2"/>
    <col min="13798" max="13799" width="3.75" style="2" customWidth="1"/>
    <col min="13800" max="13800" width="15" style="2" customWidth="1"/>
    <col min="13801" max="13804" width="12.875" style="2" customWidth="1"/>
    <col min="13805" max="13805" width="12.125" style="2" customWidth="1"/>
    <col min="13806" max="13806" width="9" style="2"/>
    <col min="13807" max="13807" width="12.25" style="2" customWidth="1"/>
    <col min="13808" max="13808" width="9.625" style="2" customWidth="1"/>
    <col min="13809" max="13810" width="9.75" style="2" customWidth="1"/>
    <col min="13811" max="13811" width="9.375" style="2" customWidth="1"/>
    <col min="13812" max="14053" width="9" style="2"/>
    <col min="14054" max="14055" width="3.75" style="2" customWidth="1"/>
    <col min="14056" max="14056" width="15" style="2" customWidth="1"/>
    <col min="14057" max="14060" width="12.875" style="2" customWidth="1"/>
    <col min="14061" max="14061" width="12.125" style="2" customWidth="1"/>
    <col min="14062" max="14062" width="9" style="2"/>
    <col min="14063" max="14063" width="12.25" style="2" customWidth="1"/>
    <col min="14064" max="14064" width="9.625" style="2" customWidth="1"/>
    <col min="14065" max="14066" width="9.75" style="2" customWidth="1"/>
    <col min="14067" max="14067" width="9.375" style="2" customWidth="1"/>
    <col min="14068" max="14309" width="9" style="2"/>
    <col min="14310" max="14311" width="3.75" style="2" customWidth="1"/>
    <col min="14312" max="14312" width="15" style="2" customWidth="1"/>
    <col min="14313" max="14316" width="12.875" style="2" customWidth="1"/>
    <col min="14317" max="14317" width="12.125" style="2" customWidth="1"/>
    <col min="14318" max="14318" width="9" style="2"/>
    <col min="14319" max="14319" width="12.25" style="2" customWidth="1"/>
    <col min="14320" max="14320" width="9.625" style="2" customWidth="1"/>
    <col min="14321" max="14322" width="9.75" style="2" customWidth="1"/>
    <col min="14323" max="14323" width="9.375" style="2" customWidth="1"/>
    <col min="14324" max="14565" width="9" style="2"/>
    <col min="14566" max="14567" width="3.75" style="2" customWidth="1"/>
    <col min="14568" max="14568" width="15" style="2" customWidth="1"/>
    <col min="14569" max="14572" width="12.875" style="2" customWidth="1"/>
    <col min="14573" max="14573" width="12.125" style="2" customWidth="1"/>
    <col min="14574" max="14574" width="9" style="2"/>
    <col min="14575" max="14575" width="12.25" style="2" customWidth="1"/>
    <col min="14576" max="14576" width="9.625" style="2" customWidth="1"/>
    <col min="14577" max="14578" width="9.75" style="2" customWidth="1"/>
    <col min="14579" max="14579" width="9.375" style="2" customWidth="1"/>
    <col min="14580" max="14821" width="9" style="2"/>
    <col min="14822" max="14823" width="3.75" style="2" customWidth="1"/>
    <col min="14824" max="14824" width="15" style="2" customWidth="1"/>
    <col min="14825" max="14828" width="12.875" style="2" customWidth="1"/>
    <col min="14829" max="14829" width="12.125" style="2" customWidth="1"/>
    <col min="14830" max="14830" width="9" style="2"/>
    <col min="14831" max="14831" width="12.25" style="2" customWidth="1"/>
    <col min="14832" max="14832" width="9.625" style="2" customWidth="1"/>
    <col min="14833" max="14834" width="9.75" style="2" customWidth="1"/>
    <col min="14835" max="14835" width="9.375" style="2" customWidth="1"/>
    <col min="14836" max="15077" width="9" style="2"/>
    <col min="15078" max="15079" width="3.75" style="2" customWidth="1"/>
    <col min="15080" max="15080" width="15" style="2" customWidth="1"/>
    <col min="15081" max="15084" width="12.875" style="2" customWidth="1"/>
    <col min="15085" max="15085" width="12.125" style="2" customWidth="1"/>
    <col min="15086" max="15086" width="9" style="2"/>
    <col min="15087" max="15087" width="12.25" style="2" customWidth="1"/>
    <col min="15088" max="15088" width="9.625" style="2" customWidth="1"/>
    <col min="15089" max="15090" width="9.75" style="2" customWidth="1"/>
    <col min="15091" max="15091" width="9.375" style="2" customWidth="1"/>
    <col min="15092" max="15333" width="9" style="2"/>
    <col min="15334" max="15335" width="3.75" style="2" customWidth="1"/>
    <col min="15336" max="15336" width="15" style="2" customWidth="1"/>
    <col min="15337" max="15340" width="12.875" style="2" customWidth="1"/>
    <col min="15341" max="15341" width="12.125" style="2" customWidth="1"/>
    <col min="15342" max="15342" width="9" style="2"/>
    <col min="15343" max="15343" width="12.25" style="2" customWidth="1"/>
    <col min="15344" max="15344" width="9.625" style="2" customWidth="1"/>
    <col min="15345" max="15346" width="9.75" style="2" customWidth="1"/>
    <col min="15347" max="15347" width="9.375" style="2" customWidth="1"/>
    <col min="15348" max="15589" width="9" style="2"/>
    <col min="15590" max="15591" width="3.75" style="2" customWidth="1"/>
    <col min="15592" max="15592" width="15" style="2" customWidth="1"/>
    <col min="15593" max="15596" width="12.875" style="2" customWidth="1"/>
    <col min="15597" max="15597" width="12.125" style="2" customWidth="1"/>
    <col min="15598" max="15598" width="9" style="2"/>
    <col min="15599" max="15599" width="12.25" style="2" customWidth="1"/>
    <col min="15600" max="15600" width="9.625" style="2" customWidth="1"/>
    <col min="15601" max="15602" width="9.75" style="2" customWidth="1"/>
    <col min="15603" max="15603" width="9.375" style="2" customWidth="1"/>
    <col min="15604" max="15845" width="9" style="2"/>
    <col min="15846" max="15847" width="3.75" style="2" customWidth="1"/>
    <col min="15848" max="15848" width="15" style="2" customWidth="1"/>
    <col min="15849" max="15852" width="12.875" style="2" customWidth="1"/>
    <col min="15853" max="15853" width="12.125" style="2" customWidth="1"/>
    <col min="15854" max="15854" width="9" style="2"/>
    <col min="15855" max="15855" width="12.25" style="2" customWidth="1"/>
    <col min="15856" max="15856" width="9.625" style="2" customWidth="1"/>
    <col min="15857" max="15858" width="9.75" style="2" customWidth="1"/>
    <col min="15859" max="15859" width="9.375" style="2" customWidth="1"/>
    <col min="15860" max="16101" width="9" style="2"/>
    <col min="16102" max="16103" width="3.75" style="2" customWidth="1"/>
    <col min="16104" max="16104" width="15" style="2" customWidth="1"/>
    <col min="16105" max="16108" width="12.875" style="2" customWidth="1"/>
    <col min="16109" max="16109" width="12.125" style="2" customWidth="1"/>
    <col min="16110" max="16110" width="9" style="2"/>
    <col min="16111" max="16111" width="12.25" style="2" customWidth="1"/>
    <col min="16112" max="16112" width="9.625" style="2" customWidth="1"/>
    <col min="16113" max="16114" width="9.75" style="2" customWidth="1"/>
    <col min="16115" max="16115" width="9.375" style="2" customWidth="1"/>
    <col min="16116" max="16384" width="9" style="2"/>
  </cols>
  <sheetData>
    <row r="1" spans="1:19" ht="20.100000000000001" customHeight="1">
      <c r="A1" s="1" t="s">
        <v>752</v>
      </c>
      <c r="B1" s="1"/>
      <c r="C1" s="1"/>
      <c r="L1" s="2" t="s">
        <v>753</v>
      </c>
    </row>
    <row r="2" spans="1:19" ht="20.100000000000001" customHeight="1">
      <c r="A2" s="2" t="s">
        <v>754</v>
      </c>
    </row>
    <row r="3" spans="1:19" ht="20.100000000000001" customHeight="1">
      <c r="A3" s="4" t="s">
        <v>755</v>
      </c>
      <c r="B3" s="40"/>
      <c r="C3" s="40"/>
      <c r="L3" s="49" t="s">
        <v>756</v>
      </c>
      <c r="M3" s="50"/>
      <c r="N3" s="51"/>
      <c r="O3" s="51"/>
      <c r="P3" s="51"/>
      <c r="Q3" s="51"/>
      <c r="R3" s="51"/>
      <c r="S3" s="51"/>
    </row>
    <row r="4" spans="1:19" ht="20.100000000000001" customHeight="1">
      <c r="A4" s="2" t="s">
        <v>757</v>
      </c>
      <c r="L4" s="839" t="s">
        <v>758</v>
      </c>
      <c r="M4" s="839"/>
      <c r="N4" s="291" t="s">
        <v>759</v>
      </c>
      <c r="O4" s="291" t="s">
        <v>760</v>
      </c>
      <c r="P4" s="291" t="s">
        <v>761</v>
      </c>
      <c r="Q4" s="291" t="s">
        <v>762</v>
      </c>
      <c r="R4" s="291" t="s">
        <v>763</v>
      </c>
      <c r="S4" s="291" t="s">
        <v>764</v>
      </c>
    </row>
    <row r="5" spans="1:19" ht="20.100000000000001" customHeight="1">
      <c r="H5" s="8"/>
      <c r="J5" s="8" t="s">
        <v>765</v>
      </c>
      <c r="L5" s="842" t="s">
        <v>766</v>
      </c>
      <c r="M5" s="53" t="s">
        <v>767</v>
      </c>
      <c r="N5" s="290" t="s">
        <v>768</v>
      </c>
      <c r="O5" s="290" t="s">
        <v>769</v>
      </c>
      <c r="P5" s="62">
        <f>ROUND(3*3*4.5,0)</f>
        <v>41</v>
      </c>
      <c r="Q5" s="55">
        <v>9963</v>
      </c>
      <c r="R5" s="55">
        <f>P5*Q5</f>
        <v>408483</v>
      </c>
      <c r="S5" s="61" t="s">
        <v>770</v>
      </c>
    </row>
    <row r="6" spans="1:19" ht="20.100000000000001" customHeight="1">
      <c r="A6" s="783" t="s">
        <v>771</v>
      </c>
      <c r="B6" s="787" t="s">
        <v>772</v>
      </c>
      <c r="C6" s="789" t="s">
        <v>773</v>
      </c>
      <c r="D6" s="781"/>
      <c r="E6" s="781" t="s">
        <v>774</v>
      </c>
      <c r="F6" s="781"/>
      <c r="G6" s="781" t="s">
        <v>775</v>
      </c>
      <c r="H6" s="781"/>
      <c r="I6" s="781" t="s">
        <v>776</v>
      </c>
      <c r="J6" s="782"/>
      <c r="L6" s="842"/>
      <c r="M6" s="53" t="s">
        <v>777</v>
      </c>
      <c r="N6" s="290" t="s">
        <v>778</v>
      </c>
      <c r="O6" s="290" t="s">
        <v>769</v>
      </c>
      <c r="P6" s="62">
        <f>ROUND(3*3*4.5-1.9*1.9*0.25*3.14*4,0)</f>
        <v>29</v>
      </c>
      <c r="Q6" s="55">
        <v>3861</v>
      </c>
      <c r="R6" s="55">
        <f>P6*Q6</f>
        <v>111969</v>
      </c>
      <c r="S6" s="61" t="s">
        <v>779</v>
      </c>
    </row>
    <row r="7" spans="1:19" ht="20.100000000000001" customHeight="1">
      <c r="A7" s="784"/>
      <c r="B7" s="788"/>
      <c r="C7" s="160" t="s">
        <v>780</v>
      </c>
      <c r="D7" s="273" t="s">
        <v>781</v>
      </c>
      <c r="E7" s="281" t="s">
        <v>780</v>
      </c>
      <c r="F7" s="273" t="s">
        <v>781</v>
      </c>
      <c r="G7" s="281" t="s">
        <v>780</v>
      </c>
      <c r="H7" s="273" t="s">
        <v>781</v>
      </c>
      <c r="I7" s="281" t="s">
        <v>780</v>
      </c>
      <c r="J7" s="274" t="s">
        <v>781</v>
      </c>
      <c r="L7" s="843" t="s">
        <v>782</v>
      </c>
      <c r="M7" s="53" t="s">
        <v>783</v>
      </c>
      <c r="N7" s="291" t="s">
        <v>784</v>
      </c>
      <c r="O7" s="290" t="s">
        <v>785</v>
      </c>
      <c r="P7" s="53">
        <v>1</v>
      </c>
      <c r="Q7" s="55">
        <v>3043500</v>
      </c>
      <c r="R7" s="55">
        <f>P7*Q7</f>
        <v>3043500</v>
      </c>
      <c r="S7" s="52" t="s">
        <v>786</v>
      </c>
    </row>
    <row r="8" spans="1:19" ht="20.100000000000001" customHeight="1">
      <c r="A8" s="292" t="s">
        <v>715</v>
      </c>
      <c r="B8" s="156">
        <v>54718426</v>
      </c>
      <c r="C8" s="106"/>
      <c r="D8" s="101">
        <f>+ROUND($B8*C8/1000000,0)</f>
        <v>0</v>
      </c>
      <c r="E8" s="101"/>
      <c r="F8" s="101">
        <f>+ROUND($B8*E8/1000000,0)</f>
        <v>0</v>
      </c>
      <c r="G8" s="101"/>
      <c r="H8" s="101">
        <f>+ROUND($B8*G8/1000000,0)</f>
        <v>0</v>
      </c>
      <c r="I8" s="101"/>
      <c r="J8" s="156">
        <f>+ROUND($B8*I8/1000000,0)</f>
        <v>0</v>
      </c>
      <c r="L8" s="842"/>
      <c r="M8" s="53" t="s">
        <v>787</v>
      </c>
      <c r="N8" s="290"/>
      <c r="O8" s="290" t="s">
        <v>785</v>
      </c>
      <c r="P8" s="53">
        <v>1</v>
      </c>
      <c r="Q8" s="55">
        <f>+Q7*0.2</f>
        <v>608700</v>
      </c>
      <c r="R8" s="55">
        <f>P8*Q8</f>
        <v>608700</v>
      </c>
      <c r="S8" s="52" t="s">
        <v>788</v>
      </c>
    </row>
    <row r="9" spans="1:19" ht="20.100000000000001" customHeight="1">
      <c r="A9" s="275"/>
      <c r="B9" s="153">
        <f>+B8</f>
        <v>54718426</v>
      </c>
      <c r="C9" s="139"/>
      <c r="D9" s="94">
        <f t="shared" ref="D9:F10" si="0">+ROUND($B9*C9/1000000,0)</f>
        <v>0</v>
      </c>
      <c r="E9" s="94"/>
      <c r="F9" s="94">
        <f t="shared" si="0"/>
        <v>0</v>
      </c>
      <c r="G9" s="94"/>
      <c r="H9" s="94">
        <f>+ROUND($B9*G9/1000000,0)</f>
        <v>0</v>
      </c>
      <c r="I9" s="94"/>
      <c r="J9" s="153">
        <f>+ROUND($B9*I9/1000000,0)</f>
        <v>0</v>
      </c>
      <c r="L9" s="53" t="s">
        <v>789</v>
      </c>
      <c r="M9" s="53" t="s">
        <v>790</v>
      </c>
      <c r="N9" s="290" t="s">
        <v>791</v>
      </c>
      <c r="O9" s="290" t="s">
        <v>792</v>
      </c>
      <c r="P9" s="57">
        <f>3*4</f>
        <v>12</v>
      </c>
      <c r="Q9" s="55">
        <v>500000</v>
      </c>
      <c r="R9" s="55">
        <f>P9*Q9</f>
        <v>6000000</v>
      </c>
      <c r="S9" s="52" t="s">
        <v>569</v>
      </c>
    </row>
    <row r="10" spans="1:19" ht="20.100000000000001" customHeight="1">
      <c r="A10" s="275" t="s">
        <v>717</v>
      </c>
      <c r="B10" s="153">
        <v>2399000000</v>
      </c>
      <c r="C10" s="139"/>
      <c r="D10" s="94">
        <f t="shared" si="0"/>
        <v>0</v>
      </c>
      <c r="E10" s="94"/>
      <c r="F10" s="94">
        <f t="shared" si="0"/>
        <v>0</v>
      </c>
      <c r="G10" s="94"/>
      <c r="H10" s="94">
        <f>+ROUND($B10*G10/1000000,0)</f>
        <v>0</v>
      </c>
      <c r="I10" s="94"/>
      <c r="J10" s="153">
        <f>+ROUND($B10*I10/1000000,0)</f>
        <v>0</v>
      </c>
      <c r="K10" s="9"/>
      <c r="L10" s="842" t="s">
        <v>571</v>
      </c>
      <c r="M10" s="842"/>
      <c r="N10" s="842"/>
      <c r="O10" s="290"/>
      <c r="P10" s="58"/>
      <c r="Q10" s="55"/>
      <c r="R10" s="55">
        <f>+ROUND(SUM(R5:R9)*0.5,0)</f>
        <v>5086326</v>
      </c>
      <c r="S10" s="52" t="s">
        <v>572</v>
      </c>
    </row>
    <row r="11" spans="1:19" ht="20.100000000000001" customHeight="1">
      <c r="A11" s="276" t="s">
        <v>406</v>
      </c>
      <c r="B11" s="165"/>
      <c r="C11" s="166">
        <f>SUM(C8:C10)</f>
        <v>0</v>
      </c>
      <c r="D11" s="164">
        <f t="shared" ref="D11:J11" si="1">SUM(D8:D10)</f>
        <v>0</v>
      </c>
      <c r="E11" s="164">
        <f t="shared" si="1"/>
        <v>0</v>
      </c>
      <c r="F11" s="164">
        <f t="shared" si="1"/>
        <v>0</v>
      </c>
      <c r="G11" s="164">
        <f t="shared" si="1"/>
        <v>0</v>
      </c>
      <c r="H11" s="164">
        <f t="shared" si="1"/>
        <v>0</v>
      </c>
      <c r="I11" s="164">
        <f t="shared" si="1"/>
        <v>0</v>
      </c>
      <c r="J11" s="165">
        <f t="shared" si="1"/>
        <v>0</v>
      </c>
      <c r="K11" s="9"/>
      <c r="L11" s="838" t="s">
        <v>574</v>
      </c>
      <c r="M11" s="838"/>
      <c r="N11" s="838"/>
      <c r="O11" s="290"/>
      <c r="P11" s="53"/>
      <c r="Q11" s="55"/>
      <c r="R11" s="55">
        <f>SUM(R5:R10)</f>
        <v>15258978</v>
      </c>
      <c r="S11" s="52"/>
    </row>
    <row r="12" spans="1:19" ht="20.100000000000001" customHeight="1">
      <c r="K12" s="9"/>
      <c r="L12" s="838" t="s">
        <v>575</v>
      </c>
      <c r="M12" s="838"/>
      <c r="N12" s="838"/>
      <c r="O12" s="290"/>
      <c r="P12" s="53"/>
      <c r="Q12" s="55"/>
      <c r="R12" s="55">
        <f>R11*0.35</f>
        <v>5340642.3</v>
      </c>
      <c r="S12" s="52"/>
    </row>
    <row r="13" spans="1:19" ht="20.100000000000001" customHeight="1">
      <c r="K13" s="9"/>
      <c r="L13" s="839" t="s">
        <v>576</v>
      </c>
      <c r="M13" s="839"/>
      <c r="N13" s="839"/>
      <c r="O13" s="291"/>
      <c r="P13" s="59"/>
      <c r="Q13" s="60"/>
      <c r="R13" s="60">
        <f>ROUND(R12+R11,-3)</f>
        <v>20600000</v>
      </c>
      <c r="S13" s="52"/>
    </row>
    <row r="14" spans="1:19" ht="20.100000000000001" hidden="1" customHeight="1">
      <c r="K14" s="9"/>
    </row>
    <row r="15" spans="1:19" ht="20.100000000000001" hidden="1" customHeight="1">
      <c r="K15" s="9"/>
      <c r="N15" s="3" t="s">
        <v>577</v>
      </c>
    </row>
    <row r="16" spans="1:19" ht="20.100000000000001" hidden="1" customHeight="1">
      <c r="K16" s="9"/>
      <c r="L16" s="2">
        <v>550</v>
      </c>
      <c r="M16" s="2" t="s">
        <v>578</v>
      </c>
      <c r="N16" s="63">
        <v>547700</v>
      </c>
      <c r="O16" s="13">
        <f>+N16</f>
        <v>547700</v>
      </c>
    </row>
    <row r="17" spans="6:15" ht="20.100000000000001" hidden="1" customHeight="1">
      <c r="K17" s="9"/>
      <c r="L17" s="2">
        <v>500</v>
      </c>
      <c r="M17" s="2" t="s">
        <v>579</v>
      </c>
      <c r="N17" s="2">
        <v>312400</v>
      </c>
      <c r="O17" s="2">
        <f>+N17*4</f>
        <v>1249600</v>
      </c>
    </row>
    <row r="18" spans="6:15" ht="20.100000000000001" hidden="1" customHeight="1">
      <c r="K18" s="9"/>
      <c r="L18" s="2">
        <v>1500</v>
      </c>
      <c r="M18" s="2" t="s">
        <v>580</v>
      </c>
      <c r="N18" s="2">
        <v>1246200</v>
      </c>
      <c r="O18" s="2">
        <f>+N18</f>
        <v>1246200</v>
      </c>
    </row>
    <row r="19" spans="6:15" ht="20.100000000000001" hidden="1" customHeight="1">
      <c r="F19" s="199">
        <v>4718426</v>
      </c>
      <c r="G19" s="199">
        <v>2262656722</v>
      </c>
      <c r="H19" s="199">
        <v>81856087</v>
      </c>
      <c r="K19" s="9"/>
      <c r="L19" s="2">
        <f>+L16+L18</f>
        <v>2050</v>
      </c>
      <c r="O19" s="13">
        <f>SUM(O16:O18)</f>
        <v>3043500</v>
      </c>
    </row>
    <row r="20" spans="6:15" ht="20.100000000000001" hidden="1" customHeight="1">
      <c r="K20" s="9"/>
      <c r="L20" s="2">
        <v>4000</v>
      </c>
    </row>
    <row r="21" spans="6:15" ht="20.100000000000001" customHeight="1">
      <c r="K21" s="9"/>
      <c r="L21" s="2">
        <f>+L20-L19</f>
        <v>1950</v>
      </c>
    </row>
    <row r="22" spans="6:15" ht="20.100000000000001" customHeight="1">
      <c r="K22" s="9"/>
      <c r="L22" s="2">
        <f>+L21/L17</f>
        <v>3.9</v>
      </c>
    </row>
    <row r="23" spans="6:15" ht="20.100000000000001" customHeight="1">
      <c r="K23" s="9"/>
    </row>
    <row r="24" spans="6:15" ht="20.100000000000001" customHeight="1">
      <c r="K24" s="9"/>
    </row>
    <row r="25" spans="6:15" ht="20.100000000000001" customHeight="1">
      <c r="K25" s="9"/>
    </row>
    <row r="26" spans="6:15" ht="20.100000000000001" customHeight="1">
      <c r="K26" s="9"/>
    </row>
    <row r="27" spans="6:15" ht="20.100000000000001" customHeight="1">
      <c r="K27" s="9"/>
    </row>
    <row r="28" spans="6:15" ht="20.100000000000001" customHeight="1"/>
    <row r="29" spans="6:15" ht="20.100000000000001" customHeight="1"/>
    <row r="30" spans="6:15" ht="20.100000000000001" customHeight="1"/>
    <row r="31" spans="6:15" ht="20.100000000000001" customHeight="1">
      <c r="K31" s="9"/>
    </row>
    <row r="32" spans="6:15" ht="20.100000000000001" customHeight="1">
      <c r="K32" s="29"/>
    </row>
    <row r="33" spans="11:11" ht="20.100000000000001" customHeight="1">
      <c r="K33" s="45"/>
    </row>
    <row r="34" spans="11:11" ht="20.100000000000001" customHeight="1">
      <c r="K34" s="45"/>
    </row>
    <row r="35" spans="11:11" ht="20.100000000000001" customHeight="1">
      <c r="K35" s="35"/>
    </row>
    <row r="36" spans="11:11" ht="20.100000000000001" customHeight="1">
      <c r="K36" s="35"/>
    </row>
    <row r="37" spans="11:11" ht="20.100000000000001" customHeight="1">
      <c r="K37" s="36"/>
    </row>
    <row r="38" spans="11:11" ht="20.100000000000001" customHeight="1">
      <c r="K38" s="35"/>
    </row>
    <row r="39" spans="11:11" ht="20.100000000000001" customHeight="1">
      <c r="K39" s="35"/>
    </row>
    <row r="40" spans="11:11" ht="20.100000000000001" customHeight="1">
      <c r="K40" s="35"/>
    </row>
    <row r="41" spans="11:11" ht="20.100000000000001" customHeight="1">
      <c r="K41" s="35"/>
    </row>
    <row r="42" spans="11:11" ht="20.100000000000001" customHeight="1">
      <c r="K42" s="35"/>
    </row>
    <row r="43" spans="11:11" ht="20.100000000000001" customHeight="1">
      <c r="K43" s="35"/>
    </row>
    <row r="44" spans="11:11" ht="20.100000000000001" customHeight="1">
      <c r="K44" s="35"/>
    </row>
    <row r="45" spans="11:11" ht="20.100000000000001" customHeight="1">
      <c r="K45" s="35"/>
    </row>
    <row r="46" spans="11:11" ht="20.100000000000001" customHeight="1">
      <c r="K46" s="36"/>
    </row>
    <row r="47" spans="11:11" ht="20.100000000000001" customHeight="1">
      <c r="K47" s="9"/>
    </row>
    <row r="48" spans="11:11" ht="20.100000000000001" customHeight="1">
      <c r="K48" s="37"/>
    </row>
    <row r="49" spans="11:11" ht="20.100000000000001" customHeight="1">
      <c r="K49" s="9"/>
    </row>
    <row r="50" spans="11:11" ht="20.100000000000001" customHeight="1"/>
    <row r="51" spans="11:11" ht="20.100000000000001" customHeight="1"/>
    <row r="52" spans="11:11" ht="20.100000000000001" customHeight="1"/>
    <row r="53" spans="11:11" ht="20.100000000000001" customHeight="1"/>
    <row r="54" spans="11:11" ht="20.100000000000001" customHeight="1"/>
    <row r="55" spans="11:11" ht="20.100000000000001" customHeight="1"/>
    <row r="56" spans="11:11" ht="20.100000000000001" customHeight="1"/>
    <row r="57" spans="11:11" ht="20.100000000000001" customHeight="1"/>
    <row r="58" spans="11:11" ht="20.100000000000001" customHeight="1"/>
    <row r="59" spans="11:11" ht="20.100000000000001" customHeight="1"/>
    <row r="60" spans="11:11" ht="20.100000000000001" customHeight="1"/>
    <row r="61" spans="11:11" ht="20.100000000000001" customHeight="1"/>
    <row r="62" spans="11:11" ht="20.100000000000001" customHeight="1"/>
    <row r="63" spans="11:11" ht="20.100000000000001" customHeight="1"/>
    <row r="64" spans="11:11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13">
    <mergeCell ref="I6:J6"/>
    <mergeCell ref="L7:L8"/>
    <mergeCell ref="A6:A7"/>
    <mergeCell ref="B6:B7"/>
    <mergeCell ref="C6:D6"/>
    <mergeCell ref="E6:F6"/>
    <mergeCell ref="G6:H6"/>
    <mergeCell ref="L10:N10"/>
    <mergeCell ref="L11:N11"/>
    <mergeCell ref="L12:N12"/>
    <mergeCell ref="L13:N13"/>
    <mergeCell ref="L4:M4"/>
    <mergeCell ref="L5:L6"/>
  </mergeCells>
  <phoneticPr fontId="4" type="noConversion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5"/>
  <sheetViews>
    <sheetView view="pageBreakPreview" topLeftCell="A31" zoomScaleNormal="100" zoomScaleSheetLayoutView="100" workbookViewId="0"/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954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494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592</v>
      </c>
      <c r="B5" s="106">
        <f>'가.관로신설(감곡-오수지선)'!E20</f>
        <v>4839</v>
      </c>
      <c r="C5" s="101">
        <f>'가.관로신설(감곡-오수지선)'!G20</f>
        <v>425</v>
      </c>
      <c r="D5" s="101">
        <f>'가.관로신설(감곡-오수지선)'!I20</f>
        <v>1584</v>
      </c>
      <c r="E5" s="101">
        <f>+'가.관로신설(감곡-오수지선)'!K20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593</v>
      </c>
      <c r="B6" s="139">
        <f>'나.배수설비(감곡)'!E23</f>
        <v>810</v>
      </c>
      <c r="C6" s="94">
        <f>'나.배수설비(감곡)'!G23</f>
        <v>83</v>
      </c>
      <c r="D6" s="94">
        <f>'나.배수설비(감곡)'!I23</f>
        <v>61</v>
      </c>
      <c r="E6" s="94">
        <f>+'나.배수설비(감곡)'!K23</f>
        <v>0</v>
      </c>
      <c r="F6" s="95"/>
      <c r="G6" s="5"/>
      <c r="H6" s="7" t="s">
        <v>594</v>
      </c>
      <c r="I6" s="70" t="e">
        <f>('가.관로신설(감곡-오수지선)'!#REF!+'나.배수설비(감곡)'!E18/'나.배수설비(감곡)'!D18+'다.맨홀펌프장(감곡)'!#REF!)/'1.6.5 오수관로신설'!B8</f>
        <v>#REF!</v>
      </c>
      <c r="J6" s="70" t="e">
        <f t="shared" ref="J6:L7" si="0">+C6/C11</f>
        <v>#DIV/0!</v>
      </c>
      <c r="K6" s="70" t="e">
        <f t="shared" si="0"/>
        <v>#DIV/0!</v>
      </c>
      <c r="L6" s="70" t="e">
        <f t="shared" si="0"/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10" t="s">
        <v>595</v>
      </c>
      <c r="B7" s="107">
        <f>'다.맨홀펌프장(감곡)'!D15</f>
        <v>96</v>
      </c>
      <c r="C7" s="96">
        <f>+'다.맨홀펌프장(감곡)'!F15</f>
        <v>0</v>
      </c>
      <c r="D7" s="96">
        <f>+'다.맨홀펌프장(감곡)'!H15</f>
        <v>0</v>
      </c>
      <c r="E7" s="96">
        <f>+'다.맨홀펌프장(감곡)'!J15</f>
        <v>0</v>
      </c>
      <c r="F7" s="95"/>
      <c r="G7" s="5"/>
      <c r="H7" s="7" t="s">
        <v>596</v>
      </c>
      <c r="I7" s="77" t="e">
        <f>+ROUND(B55*I6,0)</f>
        <v>#REF!</v>
      </c>
      <c r="J7" s="70" t="e">
        <f t="shared" si="0"/>
        <v>#VALUE!</v>
      </c>
      <c r="K7" s="70" t="e">
        <f t="shared" si="0"/>
        <v>#VALUE!</v>
      </c>
      <c r="L7" s="70" t="e">
        <f t="shared" si="0"/>
        <v>#VALUE!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111" t="s">
        <v>452</v>
      </c>
      <c r="B8" s="108">
        <f>SUM(B5:B7)</f>
        <v>5745</v>
      </c>
      <c r="C8" s="97">
        <f>SUM(C5:C7)</f>
        <v>508</v>
      </c>
      <c r="D8" s="97">
        <f>SUM(D5:D7)</f>
        <v>1645</v>
      </c>
      <c r="E8" s="97">
        <f>SUM(E5:E7)</f>
        <v>0</v>
      </c>
      <c r="F8" s="99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38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2" t="s">
        <v>456</v>
      </c>
      <c r="D10" s="12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14"/>
      <c r="B11" s="15"/>
      <c r="C11" s="15"/>
      <c r="D11" s="15"/>
      <c r="E11" s="15"/>
      <c r="F11" s="8" t="s">
        <v>457</v>
      </c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282" t="s">
        <v>435</v>
      </c>
      <c r="B12" s="297" t="s">
        <v>436</v>
      </c>
      <c r="C12" s="298" t="s">
        <v>437</v>
      </c>
      <c r="D12" s="298" t="s">
        <v>438</v>
      </c>
      <c r="E12" s="298" t="s">
        <v>439</v>
      </c>
      <c r="F12" s="299" t="s">
        <v>440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120" t="s">
        <v>461</v>
      </c>
      <c r="B13" s="117">
        <f>+B8</f>
        <v>5745</v>
      </c>
      <c r="C13" s="117">
        <f>+C8</f>
        <v>508</v>
      </c>
      <c r="D13" s="117">
        <f>+D8</f>
        <v>1645</v>
      </c>
      <c r="E13" s="101">
        <v>0</v>
      </c>
      <c r="F13" s="116"/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10" t="s">
        <v>450</v>
      </c>
      <c r="B14" s="118">
        <f>IFERROR(INDEX($H$17:$L$33,MATCH(B13,$H$17:$H$33,1),1),0)</f>
        <v>5000</v>
      </c>
      <c r="C14" s="118">
        <f>IFERROR(INDEX($H$17:$L$33,MATCH(C13,$H$17:$H$33,1),1),0)</f>
        <v>500</v>
      </c>
      <c r="D14" s="118">
        <f>IFERROR(INDEX($H$17:$L$33,MATCH(D13,$H$17:$H$33,1),1),0)</f>
        <v>1000</v>
      </c>
      <c r="E14" s="118">
        <f>IFERROR(INDEX($H$17:$L$33,MATCH(E13,$H$17:$H$33,1),1),0)</f>
        <v>0</v>
      </c>
      <c r="F14" s="113"/>
      <c r="G14" s="5"/>
      <c r="H14" s="16"/>
      <c r="I14" s="9"/>
      <c r="J14" s="9"/>
      <c r="K14" s="9"/>
      <c r="L14" s="9"/>
      <c r="M14" s="39"/>
      <c r="N14" s="9"/>
      <c r="O14" s="9"/>
      <c r="P14" s="39"/>
      <c r="Q14" s="39"/>
      <c r="R14" s="9"/>
      <c r="S14" s="9"/>
      <c r="T14" s="9"/>
    </row>
    <row r="15" spans="1:20" ht="20.100000000000001" customHeight="1">
      <c r="A15" s="110" t="s">
        <v>448</v>
      </c>
      <c r="B15" s="118">
        <f>IFERROR(INDEX($H$17:$L$33,MATCH(B13,$H$17:$H$33,1)+1,1),0)</f>
        <v>10000</v>
      </c>
      <c r="C15" s="118">
        <f>IFERROR(INDEX($H$17:$L$33,MATCH(C13,$H$17:$H$33,1)+1,1),0)</f>
        <v>1000</v>
      </c>
      <c r="D15" s="118">
        <f>IFERROR(INDEX($H$17:$L$33,MATCH(D13,$H$17:$H$33,1)+1,1),0)</f>
        <v>2000</v>
      </c>
      <c r="E15" s="118">
        <f>IFERROR(INDEX($H$17:$L$33,MATCH(E13,$H$17:$H$33,1)+1,1),0)</f>
        <v>0</v>
      </c>
      <c r="F15" s="113"/>
      <c r="G15" s="16"/>
      <c r="H15" s="16" t="s">
        <v>458</v>
      </c>
    </row>
    <row r="16" spans="1:20" ht="20.100000000000001" customHeight="1">
      <c r="A16" s="110" t="s">
        <v>462</v>
      </c>
      <c r="B16" s="141">
        <f>IFERROR(INDEX($H$17:$L$33,MATCH(B13,$H$17:$H$33,1),2)+INDEX($H$17:$L$33,MATCH(B13,$H$17:$H$33,1),3),0)</f>
        <v>4.6299999999999994E-2</v>
      </c>
      <c r="C16" s="141">
        <f>IFERROR(INDEX($H$17:$L$33,MATCH(C13,$H$17:$H$33,1),2)+INDEX($H$17:$L$33,MATCH(C13,$H$17:$H$33,1),3),0)</f>
        <v>6.0399999999999995E-2</v>
      </c>
      <c r="D16" s="141">
        <f>IFERROR(INDEX($H$17:$L$33,MATCH(D13,$H$17:$H$33,1),2)+INDEX($H$17:$L$33,MATCH(D13,$H$17:$H$33,1),3),0)</f>
        <v>5.3199999999999997E-2</v>
      </c>
      <c r="E16" s="141">
        <f>IFERROR(INDEX($H$17:$L$33,MATCH(E13,$H$17:$H$33,1),2)+INDEX($H$17:$L$33,MATCH(E13,$H$17:$H$33,1),3),0)</f>
        <v>0</v>
      </c>
      <c r="F16" s="113"/>
      <c r="G16" s="16"/>
      <c r="H16" s="17" t="s">
        <v>459</v>
      </c>
      <c r="I16" s="17" t="s">
        <v>38</v>
      </c>
      <c r="J16" s="17" t="s">
        <v>39</v>
      </c>
      <c r="K16" s="17" t="s">
        <v>460</v>
      </c>
      <c r="L16" s="17" t="s">
        <v>41</v>
      </c>
    </row>
    <row r="17" spans="1:16" ht="20.100000000000001" customHeight="1">
      <c r="A17" s="110" t="s">
        <v>463</v>
      </c>
      <c r="B17" s="141">
        <f>IFERROR(INDEX($H$17:$L$33,MATCH(B13,$H$17:$H$33,1)+1,2)+INDEX($H$17:$L$33,MATCH(B13,$H$17:$H$33,1)+1,3),0)</f>
        <v>4.5199999999999997E-2</v>
      </c>
      <c r="C17" s="141">
        <f>IFERROR(INDEX($H$17:$L$33,MATCH(C13,$H$17:$H$33,1)+1,2)+INDEX($H$17:$L$33,MATCH(C13,$H$17:$H$33,1)+1,3),0)</f>
        <v>5.3199999999999997E-2</v>
      </c>
      <c r="D17" s="141">
        <f>IFERROR(INDEX($H$17:$L$33,MATCH(D13,$H$17:$H$33,1)+1,2)+INDEX($H$17:$L$33,MATCH(D13,$H$17:$H$33,1)+1,3),0)</f>
        <v>4.9000000000000002E-2</v>
      </c>
      <c r="E17" s="141">
        <f>IFERROR(INDEX($H$17:$L$33,MATCH(E13,$H$17:$H$33,1)+1,2)+INDEX($H$17:$L$33,MATCH(E13,$H$17:$H$33,1)+1,3),0)</f>
        <v>0</v>
      </c>
      <c r="F17" s="113"/>
      <c r="G17" s="16"/>
      <c r="H17" s="18">
        <v>50</v>
      </c>
      <c r="I17" s="19">
        <v>3.2400000000000005E-2</v>
      </c>
      <c r="J17" s="19">
        <v>6.4899999999999999E-2</v>
      </c>
      <c r="K17" s="19">
        <v>3.0200000000000001E-2</v>
      </c>
      <c r="L17" s="19">
        <v>1.0800000000000001E-2</v>
      </c>
      <c r="M17" s="20"/>
      <c r="N17" s="20"/>
      <c r="O17" s="20"/>
      <c r="P17" s="20"/>
    </row>
    <row r="18" spans="1:16" ht="20.100000000000001" customHeight="1">
      <c r="A18" s="110" t="s">
        <v>464</v>
      </c>
      <c r="B18" s="141">
        <f>IFERROR(B16+((B17-B16)/(B15-B14))*(B13-B14),0)</f>
        <v>4.6136099999999992E-2</v>
      </c>
      <c r="C18" s="141">
        <f>IFERROR(C16+((C17-C16)/(C15-C14))*(C13-C14),0)</f>
        <v>6.0284799999999993E-2</v>
      </c>
      <c r="D18" s="141">
        <f>IFERROR(D16+((D17-D16)/(D15-D14))*(D13-D14),0)</f>
        <v>5.0491000000000001E-2</v>
      </c>
      <c r="E18" s="141">
        <f>IFERROR(E16+((E17-E16)/(E15-E14))*(E13-E14),0)</f>
        <v>0</v>
      </c>
      <c r="F18" s="113"/>
      <c r="G18" s="16"/>
      <c r="H18" s="18">
        <v>100</v>
      </c>
      <c r="I18" s="19">
        <v>3.04E-2</v>
      </c>
      <c r="J18" s="19">
        <v>6.0700000000000004E-2</v>
      </c>
      <c r="K18" s="19">
        <v>2.8500000000000001E-2</v>
      </c>
      <c r="L18" s="19">
        <v>9.0000000000000011E-3</v>
      </c>
      <c r="M18" s="20"/>
      <c r="N18" s="20"/>
      <c r="O18" s="20"/>
      <c r="P18" s="20"/>
    </row>
    <row r="19" spans="1:16" ht="20.100000000000001" customHeight="1">
      <c r="A19" s="111" t="s">
        <v>480</v>
      </c>
      <c r="B19" s="108">
        <f>+ROUND(B13*B18,0)</f>
        <v>265</v>
      </c>
      <c r="C19" s="97">
        <f>+ROUND(C13*C18,0)</f>
        <v>31</v>
      </c>
      <c r="D19" s="97">
        <f>+ROUND(D13*D18,0)</f>
        <v>83</v>
      </c>
      <c r="E19" s="98">
        <v>0</v>
      </c>
      <c r="F19" s="114"/>
      <c r="G19" s="16"/>
      <c r="H19" s="18">
        <v>200</v>
      </c>
      <c r="I19" s="19">
        <v>2.4199999999999999E-2</v>
      </c>
      <c r="J19" s="19">
        <v>4.8499999999999995E-2</v>
      </c>
      <c r="K19" s="19">
        <v>2.2599999999999999E-2</v>
      </c>
      <c r="L19" s="19">
        <v>7.1999999999999998E-3</v>
      </c>
      <c r="M19" s="20"/>
      <c r="N19" s="20"/>
      <c r="O19" s="20"/>
      <c r="P19" s="20"/>
    </row>
    <row r="20" spans="1:16" ht="20.100000000000001" customHeight="1">
      <c r="A20" s="21"/>
      <c r="B20" s="22"/>
      <c r="C20" s="22"/>
      <c r="D20" s="23"/>
      <c r="E20" s="23"/>
      <c r="F20" s="24"/>
      <c r="G20" s="16"/>
      <c r="H20" s="18">
        <v>300</v>
      </c>
      <c r="I20" s="19">
        <v>2.2200000000000001E-2</v>
      </c>
      <c r="J20" s="19">
        <v>4.4299999999999999E-2</v>
      </c>
      <c r="K20" s="19">
        <v>2.06E-2</v>
      </c>
      <c r="L20" s="19">
        <v>7.1999999999999998E-3</v>
      </c>
      <c r="M20" s="20"/>
      <c r="N20" s="20"/>
      <c r="O20" s="20"/>
      <c r="P20" s="20"/>
    </row>
    <row r="21" spans="1:16" ht="20.100000000000001" customHeight="1">
      <c r="A21" s="2" t="s">
        <v>485</v>
      </c>
      <c r="G21" s="16"/>
      <c r="H21" s="18">
        <v>500</v>
      </c>
      <c r="I21" s="19">
        <v>2.0099999999999996E-2</v>
      </c>
      <c r="J21" s="19">
        <v>4.0300000000000002E-2</v>
      </c>
      <c r="K21" s="19">
        <v>1.89E-2</v>
      </c>
      <c r="L21" s="19">
        <v>7.1999999999999998E-3</v>
      </c>
      <c r="M21" s="20"/>
      <c r="N21" s="20"/>
      <c r="O21" s="20"/>
      <c r="P21" s="20"/>
    </row>
    <row r="22" spans="1:16" ht="20.100000000000001" customHeight="1">
      <c r="A22" s="14"/>
      <c r="B22" s="15"/>
      <c r="C22" s="15"/>
      <c r="D22" s="15"/>
      <c r="E22" s="15"/>
      <c r="F22" s="8" t="s">
        <v>457</v>
      </c>
      <c r="G22" s="16"/>
      <c r="H22" s="18">
        <v>1000</v>
      </c>
      <c r="I22" s="19">
        <v>1.77E-2</v>
      </c>
      <c r="J22" s="19">
        <v>3.5499999999999997E-2</v>
      </c>
      <c r="K22" s="19">
        <v>1.66E-2</v>
      </c>
      <c r="L22" s="19">
        <v>6.3E-3</v>
      </c>
      <c r="M22" s="20"/>
      <c r="N22" s="20"/>
      <c r="O22" s="20"/>
      <c r="P22" s="20"/>
    </row>
    <row r="23" spans="1:16" ht="20.100000000000001" customHeight="1">
      <c r="A23" s="282" t="s">
        <v>435</v>
      </c>
      <c r="B23" s="297" t="s">
        <v>436</v>
      </c>
      <c r="C23" s="298" t="s">
        <v>437</v>
      </c>
      <c r="D23" s="298" t="s">
        <v>438</v>
      </c>
      <c r="E23" s="298" t="s">
        <v>439</v>
      </c>
      <c r="F23" s="299" t="s">
        <v>440</v>
      </c>
      <c r="G23" s="16"/>
      <c r="H23" s="18">
        <v>2000</v>
      </c>
      <c r="I23" s="19">
        <v>1.6299999999999999E-2</v>
      </c>
      <c r="J23" s="19">
        <v>3.27E-2</v>
      </c>
      <c r="K23" s="19">
        <v>1.5300000000000001E-2</v>
      </c>
      <c r="L23" s="19">
        <v>3.5999999999999999E-3</v>
      </c>
      <c r="M23" s="20"/>
      <c r="N23" s="20"/>
      <c r="O23" s="20"/>
      <c r="P23" s="20"/>
    </row>
    <row r="24" spans="1:16" ht="20.100000000000001" customHeight="1">
      <c r="A24" s="120" t="s">
        <v>461</v>
      </c>
      <c r="B24" s="117">
        <f>+B13</f>
        <v>5745</v>
      </c>
      <c r="C24" s="115">
        <f>+C13</f>
        <v>508</v>
      </c>
      <c r="D24" s="115">
        <f>+D13</f>
        <v>1645</v>
      </c>
      <c r="E24" s="101">
        <v>0</v>
      </c>
      <c r="F24" s="116"/>
      <c r="G24" s="16"/>
      <c r="H24" s="18">
        <v>3000</v>
      </c>
      <c r="I24" s="19">
        <v>1.5700000000000002E-2</v>
      </c>
      <c r="J24" s="19">
        <v>3.15E-2</v>
      </c>
      <c r="K24" s="19">
        <v>1.4800000000000001E-2</v>
      </c>
      <c r="L24" s="19">
        <v>3.5999999999999999E-3</v>
      </c>
      <c r="M24" s="20"/>
      <c r="N24" s="20"/>
      <c r="O24" s="20"/>
      <c r="P24" s="20"/>
    </row>
    <row r="25" spans="1:16" ht="20.100000000000001" customHeight="1">
      <c r="A25" s="110" t="s">
        <v>450</v>
      </c>
      <c r="B25" s="118">
        <f>I35</f>
        <v>10000</v>
      </c>
      <c r="C25" s="118">
        <f>I35</f>
        <v>10000</v>
      </c>
      <c r="D25" s="118">
        <f>I35</f>
        <v>10000</v>
      </c>
      <c r="E25" s="96">
        <v>0</v>
      </c>
      <c r="F25" s="113"/>
      <c r="G25" s="16"/>
      <c r="H25" s="18">
        <v>5000</v>
      </c>
      <c r="I25" s="19">
        <v>1.54E-2</v>
      </c>
      <c r="J25" s="19">
        <v>3.0899999999999997E-2</v>
      </c>
      <c r="K25" s="19">
        <v>1.4499999999999999E-2</v>
      </c>
      <c r="L25" s="19">
        <v>2.7000000000000001E-3</v>
      </c>
      <c r="M25" s="20"/>
      <c r="N25" s="20"/>
      <c r="O25" s="20"/>
      <c r="P25" s="20"/>
    </row>
    <row r="26" spans="1:16" ht="20.100000000000001" customHeight="1">
      <c r="A26" s="110" t="s">
        <v>448</v>
      </c>
      <c r="B26" s="118">
        <f>I35</f>
        <v>10000</v>
      </c>
      <c r="C26" s="118">
        <f>I35</f>
        <v>10000</v>
      </c>
      <c r="D26" s="118">
        <f>I35</f>
        <v>10000</v>
      </c>
      <c r="E26" s="96">
        <v>0</v>
      </c>
      <c r="F26" s="113"/>
      <c r="G26" s="16"/>
      <c r="H26" s="18">
        <v>10000</v>
      </c>
      <c r="I26" s="19">
        <v>1.5100000000000001E-2</v>
      </c>
      <c r="J26" s="19">
        <v>3.0099999999999998E-2</v>
      </c>
      <c r="K26" s="19">
        <v>1.41E-2</v>
      </c>
      <c r="L26" s="19">
        <v>2.5000000000000001E-3</v>
      </c>
      <c r="M26" s="20"/>
      <c r="N26" s="20"/>
      <c r="O26" s="20"/>
      <c r="P26" s="20"/>
    </row>
    <row r="27" spans="1:16" ht="20.100000000000001" customHeight="1">
      <c r="A27" s="110" t="s">
        <v>462</v>
      </c>
      <c r="B27" s="141">
        <f>I36</f>
        <v>9.3699999999999992E-2</v>
      </c>
      <c r="C27" s="141">
        <f>I36</f>
        <v>9.3699999999999992E-2</v>
      </c>
      <c r="D27" s="141">
        <f>I36</f>
        <v>9.3699999999999992E-2</v>
      </c>
      <c r="E27" s="96">
        <v>0</v>
      </c>
      <c r="F27" s="113"/>
      <c r="G27" s="16"/>
      <c r="H27" s="18">
        <v>20000</v>
      </c>
      <c r="I27" s="19">
        <v>1.46E-2</v>
      </c>
      <c r="J27" s="19">
        <v>2.9100000000000001E-2</v>
      </c>
      <c r="K27" s="19">
        <v>1.37E-2</v>
      </c>
      <c r="L27" s="19">
        <v>2.3E-3</v>
      </c>
      <c r="M27" s="20"/>
      <c r="N27" s="20"/>
      <c r="O27" s="20"/>
      <c r="P27" s="20"/>
    </row>
    <row r="28" spans="1:16" ht="20.100000000000001" customHeight="1">
      <c r="A28" s="110" t="s">
        <v>463</v>
      </c>
      <c r="B28" s="141">
        <f>I36</f>
        <v>9.3699999999999992E-2</v>
      </c>
      <c r="C28" s="141">
        <f>I36</f>
        <v>9.3699999999999992E-2</v>
      </c>
      <c r="D28" s="141">
        <f>I36</f>
        <v>9.3699999999999992E-2</v>
      </c>
      <c r="E28" s="96">
        <v>0</v>
      </c>
      <c r="F28" s="113"/>
      <c r="G28" s="16"/>
      <c r="H28" s="18">
        <v>30000</v>
      </c>
      <c r="I28" s="19">
        <v>1.4499999999999999E-2</v>
      </c>
      <c r="J28" s="19">
        <v>2.8999999999999998E-2</v>
      </c>
      <c r="K28" s="19">
        <v>1.3500000000000002E-2</v>
      </c>
      <c r="L28" s="19">
        <v>2.3E-3</v>
      </c>
      <c r="M28" s="20"/>
      <c r="N28" s="20"/>
      <c r="O28" s="20"/>
      <c r="P28" s="20"/>
    </row>
    <row r="29" spans="1:16" ht="20.100000000000001" customHeight="1">
      <c r="A29" s="110" t="s">
        <v>464</v>
      </c>
      <c r="B29" s="141">
        <f>I36</f>
        <v>9.3699999999999992E-2</v>
      </c>
      <c r="C29" s="141">
        <f>I36</f>
        <v>9.3699999999999992E-2</v>
      </c>
      <c r="D29" s="141">
        <f>I36</f>
        <v>9.3699999999999992E-2</v>
      </c>
      <c r="E29" s="96">
        <v>0</v>
      </c>
      <c r="F29" s="113"/>
      <c r="G29" s="16"/>
      <c r="H29" s="18">
        <v>50000</v>
      </c>
      <c r="I29" s="19">
        <v>1.41E-2</v>
      </c>
      <c r="J29" s="19">
        <v>2.8399999999999998E-2</v>
      </c>
      <c r="K29" s="19">
        <v>1.3300000000000001E-2</v>
      </c>
      <c r="L29" s="19">
        <v>2.3E-3</v>
      </c>
      <c r="M29" s="20"/>
      <c r="N29" s="20"/>
      <c r="O29" s="20"/>
      <c r="P29" s="20"/>
    </row>
    <row r="30" spans="1:16" ht="20.100000000000001" customHeight="1">
      <c r="A30" s="111" t="s">
        <v>475</v>
      </c>
      <c r="B30" s="108">
        <f>+ROUND(B24*B29,0)</f>
        <v>538</v>
      </c>
      <c r="C30" s="108">
        <f>+ROUND(C24*C29,0)</f>
        <v>48</v>
      </c>
      <c r="D30" s="108">
        <f>+ROUND(D24*D29,0)</f>
        <v>154</v>
      </c>
      <c r="E30" s="98">
        <v>0</v>
      </c>
      <c r="F30" s="114"/>
      <c r="G30" s="25"/>
      <c r="H30" s="18">
        <v>100000</v>
      </c>
      <c r="I30" s="19">
        <v>1.3999999999999999E-2</v>
      </c>
      <c r="J30" s="19">
        <v>2.7900000000000001E-2</v>
      </c>
      <c r="K30" s="19">
        <v>1.3000000000000001E-2</v>
      </c>
      <c r="L30" s="19">
        <v>2.3E-3</v>
      </c>
      <c r="M30" s="20"/>
      <c r="N30" s="20"/>
      <c r="O30" s="20"/>
      <c r="P30" s="20"/>
    </row>
    <row r="31" spans="1:16" ht="20.100000000000001" customHeight="1">
      <c r="A31" s="30"/>
      <c r="B31" s="31"/>
      <c r="C31" s="31"/>
      <c r="D31" s="32"/>
      <c r="E31" s="28"/>
      <c r="F31" s="33"/>
      <c r="G31" s="26"/>
      <c r="H31" s="18">
        <v>200000</v>
      </c>
      <c r="I31" s="19">
        <v>1.38E-2</v>
      </c>
      <c r="J31" s="19">
        <v>2.76E-2</v>
      </c>
      <c r="K31" s="19">
        <v>1.2800000000000001E-2</v>
      </c>
      <c r="L31" s="19">
        <v>2.0999999999999999E-3</v>
      </c>
      <c r="M31" s="20"/>
      <c r="N31" s="20"/>
      <c r="O31" s="20"/>
      <c r="P31" s="20"/>
    </row>
    <row r="32" spans="1:16" ht="20.100000000000001" customHeight="1">
      <c r="A32" s="30"/>
      <c r="B32" s="31"/>
      <c r="C32" s="31"/>
      <c r="D32" s="32"/>
      <c r="E32" s="28"/>
      <c r="F32" s="33"/>
      <c r="G32" s="27"/>
      <c r="H32" s="18">
        <v>300000</v>
      </c>
      <c r="I32" s="19">
        <v>1.37E-2</v>
      </c>
      <c r="J32" s="19">
        <v>2.7200000000000002E-2</v>
      </c>
      <c r="K32" s="19">
        <v>1.2500000000000001E-2</v>
      </c>
      <c r="L32" s="19">
        <v>1.9E-3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9"/>
      <c r="H33" s="18">
        <v>500000</v>
      </c>
      <c r="I33" s="19">
        <v>1.34E-2</v>
      </c>
      <c r="J33" s="19">
        <v>2.7000000000000003E-2</v>
      </c>
      <c r="K33" s="19">
        <v>1.23E-2</v>
      </c>
      <c r="L33" s="19">
        <v>1.7000000000000001E-3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9"/>
      <c r="H34" s="9" t="s">
        <v>476</v>
      </c>
    </row>
    <row r="35" spans="1:17" ht="20.100000000000001" customHeight="1">
      <c r="A35" s="30"/>
      <c r="B35" s="31"/>
      <c r="C35" s="31"/>
      <c r="D35" s="32"/>
      <c r="E35" s="28"/>
      <c r="F35" s="33"/>
      <c r="G35" s="9"/>
      <c r="H35" s="17" t="s">
        <v>459</v>
      </c>
      <c r="I35" s="34">
        <v>10000</v>
      </c>
      <c r="J35" s="34">
        <v>20000</v>
      </c>
      <c r="K35" s="34">
        <v>30000</v>
      </c>
      <c r="L35" s="34">
        <v>40000</v>
      </c>
      <c r="M35" s="34">
        <v>50000</v>
      </c>
      <c r="N35" s="34">
        <v>70000</v>
      </c>
      <c r="O35" s="34">
        <v>100000</v>
      </c>
      <c r="P35" s="34">
        <v>150000</v>
      </c>
      <c r="Q35" s="34">
        <v>200000</v>
      </c>
    </row>
    <row r="36" spans="1:17" ht="20.100000000000001" customHeight="1">
      <c r="A36" s="30"/>
      <c r="B36" s="31"/>
      <c r="C36" s="31"/>
      <c r="D36" s="32"/>
      <c r="E36" s="28"/>
      <c r="F36" s="33"/>
      <c r="G36" s="9"/>
      <c r="H36" s="17" t="s">
        <v>53</v>
      </c>
      <c r="I36" s="19">
        <v>9.3699999999999992E-2</v>
      </c>
      <c r="J36" s="19">
        <v>7.4999999999999997E-2</v>
      </c>
      <c r="K36" s="19">
        <v>6.5199999999999994E-2</v>
      </c>
      <c r="L36" s="19">
        <v>5.8799999999999998E-2</v>
      </c>
      <c r="M36" s="19">
        <v>5.4299999999999994E-2</v>
      </c>
      <c r="N36" s="19">
        <v>4.9100000000000005E-2</v>
      </c>
      <c r="O36" s="19">
        <v>4.4600000000000001E-2</v>
      </c>
      <c r="P36" s="19">
        <v>3.9199999999999999E-2</v>
      </c>
      <c r="Q36" s="19">
        <v>3.5299999999999998E-2</v>
      </c>
    </row>
    <row r="37" spans="1:17" ht="20.100000000000001" customHeight="1">
      <c r="A37" s="2" t="s">
        <v>477</v>
      </c>
      <c r="D37" s="12"/>
      <c r="G37" s="9"/>
      <c r="H37" s="9"/>
      <c r="I37" s="20"/>
      <c r="J37" s="20"/>
      <c r="K37" s="20"/>
      <c r="L37" s="20"/>
      <c r="M37" s="20"/>
      <c r="N37" s="20"/>
      <c r="O37" s="20"/>
      <c r="P37" s="20"/>
      <c r="Q37" s="20"/>
    </row>
    <row r="38" spans="1:17" ht="20.100000000000001" customHeight="1">
      <c r="A38" s="14"/>
      <c r="B38" s="15"/>
      <c r="C38" s="15"/>
      <c r="D38" s="15"/>
      <c r="E38" s="15"/>
      <c r="F38" s="8" t="s">
        <v>457</v>
      </c>
      <c r="G38" s="9"/>
      <c r="H38" s="9"/>
    </row>
    <row r="39" spans="1:17" ht="20.100000000000001" customHeight="1">
      <c r="A39" s="282" t="s">
        <v>435</v>
      </c>
      <c r="B39" s="297" t="s">
        <v>436</v>
      </c>
      <c r="C39" s="298" t="s">
        <v>437</v>
      </c>
      <c r="D39" s="298" t="s">
        <v>438</v>
      </c>
      <c r="E39" s="298" t="s">
        <v>439</v>
      </c>
      <c r="F39" s="299" t="s">
        <v>440</v>
      </c>
      <c r="G39" s="9"/>
      <c r="H39" s="9"/>
    </row>
    <row r="40" spans="1:17" ht="20.100000000000001" customHeight="1">
      <c r="A40" s="120" t="s">
        <v>461</v>
      </c>
      <c r="B40" s="117">
        <f>+B13</f>
        <v>5745</v>
      </c>
      <c r="C40" s="115">
        <f>+C13</f>
        <v>508</v>
      </c>
      <c r="D40" s="115">
        <f>+D13</f>
        <v>1645</v>
      </c>
      <c r="E40" s="101">
        <v>0</v>
      </c>
      <c r="F40" s="116"/>
      <c r="G40" s="9"/>
    </row>
    <row r="41" spans="1:17" ht="20.100000000000001" customHeight="1">
      <c r="A41" s="110" t="s">
        <v>450</v>
      </c>
      <c r="B41" s="118">
        <f>IFERROR(INDEX($H$17:$L$33,MATCH(B8,$H$17:$H$33,1),1),0)</f>
        <v>5000</v>
      </c>
      <c r="C41" s="118">
        <f>IFERROR(INDEX($H$17:$L$33,MATCH(C8,$H$17:$H$33,1),1),0)</f>
        <v>500</v>
      </c>
      <c r="D41" s="118">
        <f>IFERROR(INDEX($H$17:$L$33,MATCH(D8,$H$17:$H$33,1),1),0)</f>
        <v>1000</v>
      </c>
      <c r="E41" s="118">
        <f>IFERROR(INDEX($H$17:$L$33,MATCH(E8,$H$17:$H$33,1),1),0)</f>
        <v>0</v>
      </c>
      <c r="F41" s="113"/>
    </row>
    <row r="42" spans="1:17" ht="20.100000000000001" customHeight="1">
      <c r="A42" s="110" t="s">
        <v>448</v>
      </c>
      <c r="B42" s="118">
        <f>IFERROR(INDEX($H$17:$L$33,MATCH(B8,$H$17:$H$33,1)+1,1),0)</f>
        <v>10000</v>
      </c>
      <c r="C42" s="118">
        <f>IFERROR(INDEX($H$17:$L$33,MATCH(C8,$H$17:$H$33,1)+1,1),0)</f>
        <v>1000</v>
      </c>
      <c r="D42" s="118">
        <f>IFERROR(INDEX($H$17:$L$33,MATCH(D8,$H$17:$H$33,1)+1,1),0)</f>
        <v>2000</v>
      </c>
      <c r="E42" s="118">
        <f>IFERROR(INDEX($H$17:$L$33,MATCH(E8,$H$17:$H$33,1)+1,1),0)</f>
        <v>0</v>
      </c>
      <c r="F42" s="113"/>
    </row>
    <row r="43" spans="1:17" ht="20.100000000000001" customHeight="1">
      <c r="A43" s="110" t="s">
        <v>462</v>
      </c>
      <c r="B43" s="141">
        <f>IFERROR(INDEX($H$17:$L$33,MATCH(B8,$H$17:$H$33,1),5),0)</f>
        <v>2.7000000000000001E-3</v>
      </c>
      <c r="C43" s="141">
        <f>IFERROR(INDEX($H$17:$L$33,MATCH(C8,$H$17:$H$33,1),5),0)</f>
        <v>7.1999999999999998E-3</v>
      </c>
      <c r="D43" s="141">
        <f>IFERROR(INDEX($H$17:$L$33,MATCH(D8,$H$17:$H$33,1),5),0)</f>
        <v>6.3E-3</v>
      </c>
      <c r="E43" s="141">
        <f>IFERROR(INDEX($H$17:$L$33,MATCH(E8,$H$17:$H$33,1),5),0)</f>
        <v>0</v>
      </c>
      <c r="F43" s="113"/>
    </row>
    <row r="44" spans="1:17" ht="20.100000000000001" customHeight="1">
      <c r="A44" s="110" t="s">
        <v>463</v>
      </c>
      <c r="B44" s="141">
        <f>IFERROR(INDEX($H$17:$L$33,MATCH(B8,$H$17:$H$33,1)+1,5),0)</f>
        <v>2.5000000000000001E-3</v>
      </c>
      <c r="C44" s="141">
        <f>IFERROR(INDEX($H$17:$L$33,MATCH(C8,$H$17:$H$33,1)+1,5),0)</f>
        <v>6.3E-3</v>
      </c>
      <c r="D44" s="141">
        <f>IFERROR(INDEX($H$17:$L$33,MATCH(D8,$H$17:$H$33,1)+1,5),0)</f>
        <v>3.5999999999999999E-3</v>
      </c>
      <c r="E44" s="141">
        <f>IFERROR(INDEX($H$17:$L$33,MATCH(E8,$H$17:$H$33,1)+1,5),0)</f>
        <v>0</v>
      </c>
      <c r="F44" s="113"/>
    </row>
    <row r="45" spans="1:17" ht="20.100000000000001" customHeight="1">
      <c r="A45" s="110" t="s">
        <v>464</v>
      </c>
      <c r="B45" s="141">
        <f>IFERROR(B43+((B44-B43)/(B42-B41))*(B40-B41),0)</f>
        <v>2.6702000000000002E-3</v>
      </c>
      <c r="C45" s="141">
        <f>IFERROR(C43+((C44-C43)/(C42-C41))*(C40-C41),0)</f>
        <v>7.1855999999999995E-3</v>
      </c>
      <c r="D45" s="141">
        <f>IFERROR(D43+((D44-D43)/(D42-D41))*(D40-D41),0)</f>
        <v>4.5585000000000001E-3</v>
      </c>
      <c r="E45" s="141">
        <f>IFERROR(E43+((E44-E43)/(E42-E41))*(E40-E41),0)</f>
        <v>0</v>
      </c>
      <c r="F45" s="113"/>
    </row>
    <row r="46" spans="1:17" ht="20.100000000000001" customHeight="1">
      <c r="A46" s="111" t="s">
        <v>478</v>
      </c>
      <c r="B46" s="108">
        <f>+ROUND(B40*B45,0)</f>
        <v>15</v>
      </c>
      <c r="C46" s="97">
        <f>+ROUND(C40*C45,0)</f>
        <v>4</v>
      </c>
      <c r="D46" s="97">
        <f>+ROUND(D40*D45,0)</f>
        <v>7</v>
      </c>
      <c r="E46" s="98">
        <v>0</v>
      </c>
      <c r="F46" s="114"/>
    </row>
    <row r="47" spans="1:17" ht="20.100000000000001" customHeight="1"/>
    <row r="48" spans="1:17" ht="20.100000000000001" customHeight="1">
      <c r="A48" s="2" t="s">
        <v>479</v>
      </c>
      <c r="D48" s="12"/>
    </row>
    <row r="49" spans="1:6" ht="20.100000000000001" customHeight="1">
      <c r="A49" s="14"/>
      <c r="B49" s="15"/>
      <c r="C49" s="15"/>
      <c r="D49" s="15"/>
      <c r="E49" s="15"/>
      <c r="F49" s="8" t="s">
        <v>457</v>
      </c>
    </row>
    <row r="50" spans="1:6" ht="20.100000000000001" customHeight="1">
      <c r="A50" s="282" t="s">
        <v>435</v>
      </c>
      <c r="B50" s="297" t="s">
        <v>436</v>
      </c>
      <c r="C50" s="298" t="s">
        <v>437</v>
      </c>
      <c r="D50" s="298" t="s">
        <v>438</v>
      </c>
      <c r="E50" s="298" t="s">
        <v>439</v>
      </c>
      <c r="F50" s="299" t="s">
        <v>440</v>
      </c>
    </row>
    <row r="51" spans="1:6" ht="20.100000000000001" customHeight="1">
      <c r="A51" s="131" t="s">
        <v>452</v>
      </c>
      <c r="B51" s="128">
        <f>+B8</f>
        <v>5745</v>
      </c>
      <c r="C51" s="126">
        <f>+C8</f>
        <v>508</v>
      </c>
      <c r="D51" s="126">
        <f>+D8</f>
        <v>1645</v>
      </c>
      <c r="E51" s="126">
        <f>+E8</f>
        <v>0</v>
      </c>
      <c r="F51" s="127"/>
    </row>
    <row r="52" spans="1:6" ht="20.100000000000001" customHeight="1">
      <c r="A52" s="132" t="s">
        <v>48</v>
      </c>
      <c r="B52" s="129">
        <f>+B19</f>
        <v>265</v>
      </c>
      <c r="C52" s="121">
        <f>+C19</f>
        <v>31</v>
      </c>
      <c r="D52" s="121">
        <f>+D19</f>
        <v>83</v>
      </c>
      <c r="E52" s="121">
        <f>+E19</f>
        <v>0</v>
      </c>
      <c r="F52" s="122"/>
    </row>
    <row r="53" spans="1:6" ht="20.100000000000001" customHeight="1">
      <c r="A53" s="132" t="s">
        <v>50</v>
      </c>
      <c r="B53" s="129">
        <f>+B30</f>
        <v>538</v>
      </c>
      <c r="C53" s="121">
        <f>+C30</f>
        <v>48</v>
      </c>
      <c r="D53" s="121">
        <f>+D30</f>
        <v>154</v>
      </c>
      <c r="E53" s="121">
        <f>+E30</f>
        <v>0</v>
      </c>
      <c r="F53" s="122"/>
    </row>
    <row r="54" spans="1:6" ht="20.100000000000001" customHeight="1">
      <c r="A54" s="132" t="s">
        <v>793</v>
      </c>
      <c r="B54" s="129">
        <f>+B46</f>
        <v>15</v>
      </c>
      <c r="C54" s="121">
        <f>+C46</f>
        <v>4</v>
      </c>
      <c r="D54" s="121">
        <f>+D46</f>
        <v>7</v>
      </c>
      <c r="E54" s="121">
        <f>+E46</f>
        <v>0</v>
      </c>
      <c r="F54" s="122"/>
    </row>
    <row r="55" spans="1:6" ht="20.100000000000001" customHeight="1">
      <c r="A55" s="133" t="s">
        <v>794</v>
      </c>
      <c r="B55" s="130">
        <f>SUM(B51:B54)</f>
        <v>6563</v>
      </c>
      <c r="C55" s="123">
        <f>SUM(C51:C54)</f>
        <v>591</v>
      </c>
      <c r="D55" s="123">
        <f>SUM(D51:D54)</f>
        <v>1889</v>
      </c>
      <c r="E55" s="123">
        <f>SUM(E51:E54)</f>
        <v>0</v>
      </c>
      <c r="F55" s="125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view="pageBreakPreview" zoomScaleNormal="100" zoomScaleSheetLayoutView="100" workbookViewId="0"/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5" width="9" style="2"/>
    <col min="236" max="237" width="3.75" style="2" customWidth="1"/>
    <col min="238" max="238" width="15" style="2" customWidth="1"/>
    <col min="239" max="242" width="12.875" style="2" customWidth="1"/>
    <col min="243" max="243" width="12.125" style="2" customWidth="1"/>
    <col min="244" max="244" width="9" style="2"/>
    <col min="245" max="245" width="12.25" style="2" customWidth="1"/>
    <col min="246" max="246" width="9.625" style="2" customWidth="1"/>
    <col min="247" max="248" width="9.75" style="2" customWidth="1"/>
    <col min="249" max="249" width="9.375" style="2" customWidth="1"/>
    <col min="250" max="491" width="9" style="2"/>
    <col min="492" max="493" width="3.75" style="2" customWidth="1"/>
    <col min="494" max="494" width="15" style="2" customWidth="1"/>
    <col min="495" max="498" width="12.875" style="2" customWidth="1"/>
    <col min="499" max="499" width="12.125" style="2" customWidth="1"/>
    <col min="500" max="500" width="9" style="2"/>
    <col min="501" max="501" width="12.25" style="2" customWidth="1"/>
    <col min="502" max="502" width="9.625" style="2" customWidth="1"/>
    <col min="503" max="504" width="9.75" style="2" customWidth="1"/>
    <col min="505" max="505" width="9.375" style="2" customWidth="1"/>
    <col min="506" max="747" width="9" style="2"/>
    <col min="748" max="749" width="3.75" style="2" customWidth="1"/>
    <col min="750" max="750" width="15" style="2" customWidth="1"/>
    <col min="751" max="754" width="12.875" style="2" customWidth="1"/>
    <col min="755" max="755" width="12.125" style="2" customWidth="1"/>
    <col min="756" max="756" width="9" style="2"/>
    <col min="757" max="757" width="12.25" style="2" customWidth="1"/>
    <col min="758" max="758" width="9.625" style="2" customWidth="1"/>
    <col min="759" max="760" width="9.75" style="2" customWidth="1"/>
    <col min="761" max="761" width="9.375" style="2" customWidth="1"/>
    <col min="762" max="1003" width="9" style="2"/>
    <col min="1004" max="1005" width="3.75" style="2" customWidth="1"/>
    <col min="1006" max="1006" width="15" style="2" customWidth="1"/>
    <col min="1007" max="1010" width="12.875" style="2" customWidth="1"/>
    <col min="1011" max="1011" width="12.125" style="2" customWidth="1"/>
    <col min="1012" max="1012" width="9" style="2"/>
    <col min="1013" max="1013" width="12.25" style="2" customWidth="1"/>
    <col min="1014" max="1014" width="9.625" style="2" customWidth="1"/>
    <col min="1015" max="1016" width="9.75" style="2" customWidth="1"/>
    <col min="1017" max="1017" width="9.375" style="2" customWidth="1"/>
    <col min="1018" max="1259" width="9" style="2"/>
    <col min="1260" max="1261" width="3.75" style="2" customWidth="1"/>
    <col min="1262" max="1262" width="15" style="2" customWidth="1"/>
    <col min="1263" max="1266" width="12.875" style="2" customWidth="1"/>
    <col min="1267" max="1267" width="12.125" style="2" customWidth="1"/>
    <col min="1268" max="1268" width="9" style="2"/>
    <col min="1269" max="1269" width="12.25" style="2" customWidth="1"/>
    <col min="1270" max="1270" width="9.625" style="2" customWidth="1"/>
    <col min="1271" max="1272" width="9.75" style="2" customWidth="1"/>
    <col min="1273" max="1273" width="9.375" style="2" customWidth="1"/>
    <col min="1274" max="1515" width="9" style="2"/>
    <col min="1516" max="1517" width="3.75" style="2" customWidth="1"/>
    <col min="1518" max="1518" width="15" style="2" customWidth="1"/>
    <col min="1519" max="1522" width="12.875" style="2" customWidth="1"/>
    <col min="1523" max="1523" width="12.125" style="2" customWidth="1"/>
    <col min="1524" max="1524" width="9" style="2"/>
    <col min="1525" max="1525" width="12.25" style="2" customWidth="1"/>
    <col min="1526" max="1526" width="9.625" style="2" customWidth="1"/>
    <col min="1527" max="1528" width="9.75" style="2" customWidth="1"/>
    <col min="1529" max="1529" width="9.375" style="2" customWidth="1"/>
    <col min="1530" max="1771" width="9" style="2"/>
    <col min="1772" max="1773" width="3.75" style="2" customWidth="1"/>
    <col min="1774" max="1774" width="15" style="2" customWidth="1"/>
    <col min="1775" max="1778" width="12.875" style="2" customWidth="1"/>
    <col min="1779" max="1779" width="12.125" style="2" customWidth="1"/>
    <col min="1780" max="1780" width="9" style="2"/>
    <col min="1781" max="1781" width="12.25" style="2" customWidth="1"/>
    <col min="1782" max="1782" width="9.625" style="2" customWidth="1"/>
    <col min="1783" max="1784" width="9.75" style="2" customWidth="1"/>
    <col min="1785" max="1785" width="9.375" style="2" customWidth="1"/>
    <col min="1786" max="2027" width="9" style="2"/>
    <col min="2028" max="2029" width="3.75" style="2" customWidth="1"/>
    <col min="2030" max="2030" width="15" style="2" customWidth="1"/>
    <col min="2031" max="2034" width="12.875" style="2" customWidth="1"/>
    <col min="2035" max="2035" width="12.125" style="2" customWidth="1"/>
    <col min="2036" max="2036" width="9" style="2"/>
    <col min="2037" max="2037" width="12.25" style="2" customWidth="1"/>
    <col min="2038" max="2038" width="9.625" style="2" customWidth="1"/>
    <col min="2039" max="2040" width="9.75" style="2" customWidth="1"/>
    <col min="2041" max="2041" width="9.375" style="2" customWidth="1"/>
    <col min="2042" max="2283" width="9" style="2"/>
    <col min="2284" max="2285" width="3.75" style="2" customWidth="1"/>
    <col min="2286" max="2286" width="15" style="2" customWidth="1"/>
    <col min="2287" max="2290" width="12.875" style="2" customWidth="1"/>
    <col min="2291" max="2291" width="12.125" style="2" customWidth="1"/>
    <col min="2292" max="2292" width="9" style="2"/>
    <col min="2293" max="2293" width="12.25" style="2" customWidth="1"/>
    <col min="2294" max="2294" width="9.625" style="2" customWidth="1"/>
    <col min="2295" max="2296" width="9.75" style="2" customWidth="1"/>
    <col min="2297" max="2297" width="9.375" style="2" customWidth="1"/>
    <col min="2298" max="2539" width="9" style="2"/>
    <col min="2540" max="2541" width="3.75" style="2" customWidth="1"/>
    <col min="2542" max="2542" width="15" style="2" customWidth="1"/>
    <col min="2543" max="2546" width="12.875" style="2" customWidth="1"/>
    <col min="2547" max="2547" width="12.125" style="2" customWidth="1"/>
    <col min="2548" max="2548" width="9" style="2"/>
    <col min="2549" max="2549" width="12.25" style="2" customWidth="1"/>
    <col min="2550" max="2550" width="9.625" style="2" customWidth="1"/>
    <col min="2551" max="2552" width="9.75" style="2" customWidth="1"/>
    <col min="2553" max="2553" width="9.375" style="2" customWidth="1"/>
    <col min="2554" max="2795" width="9" style="2"/>
    <col min="2796" max="2797" width="3.75" style="2" customWidth="1"/>
    <col min="2798" max="2798" width="15" style="2" customWidth="1"/>
    <col min="2799" max="2802" width="12.875" style="2" customWidth="1"/>
    <col min="2803" max="2803" width="12.125" style="2" customWidth="1"/>
    <col min="2804" max="2804" width="9" style="2"/>
    <col min="2805" max="2805" width="12.25" style="2" customWidth="1"/>
    <col min="2806" max="2806" width="9.625" style="2" customWidth="1"/>
    <col min="2807" max="2808" width="9.75" style="2" customWidth="1"/>
    <col min="2809" max="2809" width="9.375" style="2" customWidth="1"/>
    <col min="2810" max="3051" width="9" style="2"/>
    <col min="3052" max="3053" width="3.75" style="2" customWidth="1"/>
    <col min="3054" max="3054" width="15" style="2" customWidth="1"/>
    <col min="3055" max="3058" width="12.875" style="2" customWidth="1"/>
    <col min="3059" max="3059" width="12.125" style="2" customWidth="1"/>
    <col min="3060" max="3060" width="9" style="2"/>
    <col min="3061" max="3061" width="12.25" style="2" customWidth="1"/>
    <col min="3062" max="3062" width="9.625" style="2" customWidth="1"/>
    <col min="3063" max="3064" width="9.75" style="2" customWidth="1"/>
    <col min="3065" max="3065" width="9.375" style="2" customWidth="1"/>
    <col min="3066" max="3307" width="9" style="2"/>
    <col min="3308" max="3309" width="3.75" style="2" customWidth="1"/>
    <col min="3310" max="3310" width="15" style="2" customWidth="1"/>
    <col min="3311" max="3314" width="12.875" style="2" customWidth="1"/>
    <col min="3315" max="3315" width="12.125" style="2" customWidth="1"/>
    <col min="3316" max="3316" width="9" style="2"/>
    <col min="3317" max="3317" width="12.25" style="2" customWidth="1"/>
    <col min="3318" max="3318" width="9.625" style="2" customWidth="1"/>
    <col min="3319" max="3320" width="9.75" style="2" customWidth="1"/>
    <col min="3321" max="3321" width="9.375" style="2" customWidth="1"/>
    <col min="3322" max="3563" width="9" style="2"/>
    <col min="3564" max="3565" width="3.75" style="2" customWidth="1"/>
    <col min="3566" max="3566" width="15" style="2" customWidth="1"/>
    <col min="3567" max="3570" width="12.875" style="2" customWidth="1"/>
    <col min="3571" max="3571" width="12.125" style="2" customWidth="1"/>
    <col min="3572" max="3572" width="9" style="2"/>
    <col min="3573" max="3573" width="12.25" style="2" customWidth="1"/>
    <col min="3574" max="3574" width="9.625" style="2" customWidth="1"/>
    <col min="3575" max="3576" width="9.75" style="2" customWidth="1"/>
    <col min="3577" max="3577" width="9.375" style="2" customWidth="1"/>
    <col min="3578" max="3819" width="9" style="2"/>
    <col min="3820" max="3821" width="3.75" style="2" customWidth="1"/>
    <col min="3822" max="3822" width="15" style="2" customWidth="1"/>
    <col min="3823" max="3826" width="12.875" style="2" customWidth="1"/>
    <col min="3827" max="3827" width="12.125" style="2" customWidth="1"/>
    <col min="3828" max="3828" width="9" style="2"/>
    <col min="3829" max="3829" width="12.25" style="2" customWidth="1"/>
    <col min="3830" max="3830" width="9.625" style="2" customWidth="1"/>
    <col min="3831" max="3832" width="9.75" style="2" customWidth="1"/>
    <col min="3833" max="3833" width="9.375" style="2" customWidth="1"/>
    <col min="3834" max="4075" width="9" style="2"/>
    <col min="4076" max="4077" width="3.75" style="2" customWidth="1"/>
    <col min="4078" max="4078" width="15" style="2" customWidth="1"/>
    <col min="4079" max="4082" width="12.875" style="2" customWidth="1"/>
    <col min="4083" max="4083" width="12.125" style="2" customWidth="1"/>
    <col min="4084" max="4084" width="9" style="2"/>
    <col min="4085" max="4085" width="12.25" style="2" customWidth="1"/>
    <col min="4086" max="4086" width="9.625" style="2" customWidth="1"/>
    <col min="4087" max="4088" width="9.75" style="2" customWidth="1"/>
    <col min="4089" max="4089" width="9.375" style="2" customWidth="1"/>
    <col min="4090" max="4331" width="9" style="2"/>
    <col min="4332" max="4333" width="3.75" style="2" customWidth="1"/>
    <col min="4334" max="4334" width="15" style="2" customWidth="1"/>
    <col min="4335" max="4338" width="12.875" style="2" customWidth="1"/>
    <col min="4339" max="4339" width="12.125" style="2" customWidth="1"/>
    <col min="4340" max="4340" width="9" style="2"/>
    <col min="4341" max="4341" width="12.25" style="2" customWidth="1"/>
    <col min="4342" max="4342" width="9.625" style="2" customWidth="1"/>
    <col min="4343" max="4344" width="9.75" style="2" customWidth="1"/>
    <col min="4345" max="4345" width="9.375" style="2" customWidth="1"/>
    <col min="4346" max="4587" width="9" style="2"/>
    <col min="4588" max="4589" width="3.75" style="2" customWidth="1"/>
    <col min="4590" max="4590" width="15" style="2" customWidth="1"/>
    <col min="4591" max="4594" width="12.875" style="2" customWidth="1"/>
    <col min="4595" max="4595" width="12.125" style="2" customWidth="1"/>
    <col min="4596" max="4596" width="9" style="2"/>
    <col min="4597" max="4597" width="12.25" style="2" customWidth="1"/>
    <col min="4598" max="4598" width="9.625" style="2" customWidth="1"/>
    <col min="4599" max="4600" width="9.75" style="2" customWidth="1"/>
    <col min="4601" max="4601" width="9.375" style="2" customWidth="1"/>
    <col min="4602" max="4843" width="9" style="2"/>
    <col min="4844" max="4845" width="3.75" style="2" customWidth="1"/>
    <col min="4846" max="4846" width="15" style="2" customWidth="1"/>
    <col min="4847" max="4850" width="12.875" style="2" customWidth="1"/>
    <col min="4851" max="4851" width="12.125" style="2" customWidth="1"/>
    <col min="4852" max="4852" width="9" style="2"/>
    <col min="4853" max="4853" width="12.25" style="2" customWidth="1"/>
    <col min="4854" max="4854" width="9.625" style="2" customWidth="1"/>
    <col min="4855" max="4856" width="9.75" style="2" customWidth="1"/>
    <col min="4857" max="4857" width="9.375" style="2" customWidth="1"/>
    <col min="4858" max="5099" width="9" style="2"/>
    <col min="5100" max="5101" width="3.75" style="2" customWidth="1"/>
    <col min="5102" max="5102" width="15" style="2" customWidth="1"/>
    <col min="5103" max="5106" width="12.875" style="2" customWidth="1"/>
    <col min="5107" max="5107" width="12.125" style="2" customWidth="1"/>
    <col min="5108" max="5108" width="9" style="2"/>
    <col min="5109" max="5109" width="12.25" style="2" customWidth="1"/>
    <col min="5110" max="5110" width="9.625" style="2" customWidth="1"/>
    <col min="5111" max="5112" width="9.75" style="2" customWidth="1"/>
    <col min="5113" max="5113" width="9.375" style="2" customWidth="1"/>
    <col min="5114" max="5355" width="9" style="2"/>
    <col min="5356" max="5357" width="3.75" style="2" customWidth="1"/>
    <col min="5358" max="5358" width="15" style="2" customWidth="1"/>
    <col min="5359" max="5362" width="12.875" style="2" customWidth="1"/>
    <col min="5363" max="5363" width="12.125" style="2" customWidth="1"/>
    <col min="5364" max="5364" width="9" style="2"/>
    <col min="5365" max="5365" width="12.25" style="2" customWidth="1"/>
    <col min="5366" max="5366" width="9.625" style="2" customWidth="1"/>
    <col min="5367" max="5368" width="9.75" style="2" customWidth="1"/>
    <col min="5369" max="5369" width="9.375" style="2" customWidth="1"/>
    <col min="5370" max="5611" width="9" style="2"/>
    <col min="5612" max="5613" width="3.75" style="2" customWidth="1"/>
    <col min="5614" max="5614" width="15" style="2" customWidth="1"/>
    <col min="5615" max="5618" width="12.875" style="2" customWidth="1"/>
    <col min="5619" max="5619" width="12.125" style="2" customWidth="1"/>
    <col min="5620" max="5620" width="9" style="2"/>
    <col min="5621" max="5621" width="12.25" style="2" customWidth="1"/>
    <col min="5622" max="5622" width="9.625" style="2" customWidth="1"/>
    <col min="5623" max="5624" width="9.75" style="2" customWidth="1"/>
    <col min="5625" max="5625" width="9.375" style="2" customWidth="1"/>
    <col min="5626" max="5867" width="9" style="2"/>
    <col min="5868" max="5869" width="3.75" style="2" customWidth="1"/>
    <col min="5870" max="5870" width="15" style="2" customWidth="1"/>
    <col min="5871" max="5874" width="12.875" style="2" customWidth="1"/>
    <col min="5875" max="5875" width="12.125" style="2" customWidth="1"/>
    <col min="5876" max="5876" width="9" style="2"/>
    <col min="5877" max="5877" width="12.25" style="2" customWidth="1"/>
    <col min="5878" max="5878" width="9.625" style="2" customWidth="1"/>
    <col min="5879" max="5880" width="9.75" style="2" customWidth="1"/>
    <col min="5881" max="5881" width="9.375" style="2" customWidth="1"/>
    <col min="5882" max="6123" width="9" style="2"/>
    <col min="6124" max="6125" width="3.75" style="2" customWidth="1"/>
    <col min="6126" max="6126" width="15" style="2" customWidth="1"/>
    <col min="6127" max="6130" width="12.875" style="2" customWidth="1"/>
    <col min="6131" max="6131" width="12.125" style="2" customWidth="1"/>
    <col min="6132" max="6132" width="9" style="2"/>
    <col min="6133" max="6133" width="12.25" style="2" customWidth="1"/>
    <col min="6134" max="6134" width="9.625" style="2" customWidth="1"/>
    <col min="6135" max="6136" width="9.75" style="2" customWidth="1"/>
    <col min="6137" max="6137" width="9.375" style="2" customWidth="1"/>
    <col min="6138" max="6379" width="9" style="2"/>
    <col min="6380" max="6381" width="3.75" style="2" customWidth="1"/>
    <col min="6382" max="6382" width="15" style="2" customWidth="1"/>
    <col min="6383" max="6386" width="12.875" style="2" customWidth="1"/>
    <col min="6387" max="6387" width="12.125" style="2" customWidth="1"/>
    <col min="6388" max="6388" width="9" style="2"/>
    <col min="6389" max="6389" width="12.25" style="2" customWidth="1"/>
    <col min="6390" max="6390" width="9.625" style="2" customWidth="1"/>
    <col min="6391" max="6392" width="9.75" style="2" customWidth="1"/>
    <col min="6393" max="6393" width="9.375" style="2" customWidth="1"/>
    <col min="6394" max="6635" width="9" style="2"/>
    <col min="6636" max="6637" width="3.75" style="2" customWidth="1"/>
    <col min="6638" max="6638" width="15" style="2" customWidth="1"/>
    <col min="6639" max="6642" width="12.875" style="2" customWidth="1"/>
    <col min="6643" max="6643" width="12.125" style="2" customWidth="1"/>
    <col min="6644" max="6644" width="9" style="2"/>
    <col min="6645" max="6645" width="12.25" style="2" customWidth="1"/>
    <col min="6646" max="6646" width="9.625" style="2" customWidth="1"/>
    <col min="6647" max="6648" width="9.75" style="2" customWidth="1"/>
    <col min="6649" max="6649" width="9.375" style="2" customWidth="1"/>
    <col min="6650" max="6891" width="9" style="2"/>
    <col min="6892" max="6893" width="3.75" style="2" customWidth="1"/>
    <col min="6894" max="6894" width="15" style="2" customWidth="1"/>
    <col min="6895" max="6898" width="12.875" style="2" customWidth="1"/>
    <col min="6899" max="6899" width="12.125" style="2" customWidth="1"/>
    <col min="6900" max="6900" width="9" style="2"/>
    <col min="6901" max="6901" width="12.25" style="2" customWidth="1"/>
    <col min="6902" max="6902" width="9.625" style="2" customWidth="1"/>
    <col min="6903" max="6904" width="9.75" style="2" customWidth="1"/>
    <col min="6905" max="6905" width="9.375" style="2" customWidth="1"/>
    <col min="6906" max="7147" width="9" style="2"/>
    <col min="7148" max="7149" width="3.75" style="2" customWidth="1"/>
    <col min="7150" max="7150" width="15" style="2" customWidth="1"/>
    <col min="7151" max="7154" width="12.875" style="2" customWidth="1"/>
    <col min="7155" max="7155" width="12.125" style="2" customWidth="1"/>
    <col min="7156" max="7156" width="9" style="2"/>
    <col min="7157" max="7157" width="12.25" style="2" customWidth="1"/>
    <col min="7158" max="7158" width="9.625" style="2" customWidth="1"/>
    <col min="7159" max="7160" width="9.75" style="2" customWidth="1"/>
    <col min="7161" max="7161" width="9.375" style="2" customWidth="1"/>
    <col min="7162" max="7403" width="9" style="2"/>
    <col min="7404" max="7405" width="3.75" style="2" customWidth="1"/>
    <col min="7406" max="7406" width="15" style="2" customWidth="1"/>
    <col min="7407" max="7410" width="12.875" style="2" customWidth="1"/>
    <col min="7411" max="7411" width="12.125" style="2" customWidth="1"/>
    <col min="7412" max="7412" width="9" style="2"/>
    <col min="7413" max="7413" width="12.25" style="2" customWidth="1"/>
    <col min="7414" max="7414" width="9.625" style="2" customWidth="1"/>
    <col min="7415" max="7416" width="9.75" style="2" customWidth="1"/>
    <col min="7417" max="7417" width="9.375" style="2" customWidth="1"/>
    <col min="7418" max="7659" width="9" style="2"/>
    <col min="7660" max="7661" width="3.75" style="2" customWidth="1"/>
    <col min="7662" max="7662" width="15" style="2" customWidth="1"/>
    <col min="7663" max="7666" width="12.875" style="2" customWidth="1"/>
    <col min="7667" max="7667" width="12.125" style="2" customWidth="1"/>
    <col min="7668" max="7668" width="9" style="2"/>
    <col min="7669" max="7669" width="12.25" style="2" customWidth="1"/>
    <col min="7670" max="7670" width="9.625" style="2" customWidth="1"/>
    <col min="7671" max="7672" width="9.75" style="2" customWidth="1"/>
    <col min="7673" max="7673" width="9.375" style="2" customWidth="1"/>
    <col min="7674" max="7915" width="9" style="2"/>
    <col min="7916" max="7917" width="3.75" style="2" customWidth="1"/>
    <col min="7918" max="7918" width="15" style="2" customWidth="1"/>
    <col min="7919" max="7922" width="12.875" style="2" customWidth="1"/>
    <col min="7923" max="7923" width="12.125" style="2" customWidth="1"/>
    <col min="7924" max="7924" width="9" style="2"/>
    <col min="7925" max="7925" width="12.25" style="2" customWidth="1"/>
    <col min="7926" max="7926" width="9.625" style="2" customWidth="1"/>
    <col min="7927" max="7928" width="9.75" style="2" customWidth="1"/>
    <col min="7929" max="7929" width="9.375" style="2" customWidth="1"/>
    <col min="7930" max="8171" width="9" style="2"/>
    <col min="8172" max="8173" width="3.75" style="2" customWidth="1"/>
    <col min="8174" max="8174" width="15" style="2" customWidth="1"/>
    <col min="8175" max="8178" width="12.875" style="2" customWidth="1"/>
    <col min="8179" max="8179" width="12.125" style="2" customWidth="1"/>
    <col min="8180" max="8180" width="9" style="2"/>
    <col min="8181" max="8181" width="12.25" style="2" customWidth="1"/>
    <col min="8182" max="8182" width="9.625" style="2" customWidth="1"/>
    <col min="8183" max="8184" width="9.75" style="2" customWidth="1"/>
    <col min="8185" max="8185" width="9.375" style="2" customWidth="1"/>
    <col min="8186" max="8427" width="9" style="2"/>
    <col min="8428" max="8429" width="3.75" style="2" customWidth="1"/>
    <col min="8430" max="8430" width="15" style="2" customWidth="1"/>
    <col min="8431" max="8434" width="12.875" style="2" customWidth="1"/>
    <col min="8435" max="8435" width="12.125" style="2" customWidth="1"/>
    <col min="8436" max="8436" width="9" style="2"/>
    <col min="8437" max="8437" width="12.25" style="2" customWidth="1"/>
    <col min="8438" max="8438" width="9.625" style="2" customWidth="1"/>
    <col min="8439" max="8440" width="9.75" style="2" customWidth="1"/>
    <col min="8441" max="8441" width="9.375" style="2" customWidth="1"/>
    <col min="8442" max="8683" width="9" style="2"/>
    <col min="8684" max="8685" width="3.75" style="2" customWidth="1"/>
    <col min="8686" max="8686" width="15" style="2" customWidth="1"/>
    <col min="8687" max="8690" width="12.875" style="2" customWidth="1"/>
    <col min="8691" max="8691" width="12.125" style="2" customWidth="1"/>
    <col min="8692" max="8692" width="9" style="2"/>
    <col min="8693" max="8693" width="12.25" style="2" customWidth="1"/>
    <col min="8694" max="8694" width="9.625" style="2" customWidth="1"/>
    <col min="8695" max="8696" width="9.75" style="2" customWidth="1"/>
    <col min="8697" max="8697" width="9.375" style="2" customWidth="1"/>
    <col min="8698" max="8939" width="9" style="2"/>
    <col min="8940" max="8941" width="3.75" style="2" customWidth="1"/>
    <col min="8942" max="8942" width="15" style="2" customWidth="1"/>
    <col min="8943" max="8946" width="12.875" style="2" customWidth="1"/>
    <col min="8947" max="8947" width="12.125" style="2" customWidth="1"/>
    <col min="8948" max="8948" width="9" style="2"/>
    <col min="8949" max="8949" width="12.25" style="2" customWidth="1"/>
    <col min="8950" max="8950" width="9.625" style="2" customWidth="1"/>
    <col min="8951" max="8952" width="9.75" style="2" customWidth="1"/>
    <col min="8953" max="8953" width="9.375" style="2" customWidth="1"/>
    <col min="8954" max="9195" width="9" style="2"/>
    <col min="9196" max="9197" width="3.75" style="2" customWidth="1"/>
    <col min="9198" max="9198" width="15" style="2" customWidth="1"/>
    <col min="9199" max="9202" width="12.875" style="2" customWidth="1"/>
    <col min="9203" max="9203" width="12.125" style="2" customWidth="1"/>
    <col min="9204" max="9204" width="9" style="2"/>
    <col min="9205" max="9205" width="12.25" style="2" customWidth="1"/>
    <col min="9206" max="9206" width="9.625" style="2" customWidth="1"/>
    <col min="9207" max="9208" width="9.75" style="2" customWidth="1"/>
    <col min="9209" max="9209" width="9.375" style="2" customWidth="1"/>
    <col min="9210" max="9451" width="9" style="2"/>
    <col min="9452" max="9453" width="3.75" style="2" customWidth="1"/>
    <col min="9454" max="9454" width="15" style="2" customWidth="1"/>
    <col min="9455" max="9458" width="12.875" style="2" customWidth="1"/>
    <col min="9459" max="9459" width="12.125" style="2" customWidth="1"/>
    <col min="9460" max="9460" width="9" style="2"/>
    <col min="9461" max="9461" width="12.25" style="2" customWidth="1"/>
    <col min="9462" max="9462" width="9.625" style="2" customWidth="1"/>
    <col min="9463" max="9464" width="9.75" style="2" customWidth="1"/>
    <col min="9465" max="9465" width="9.375" style="2" customWidth="1"/>
    <col min="9466" max="9707" width="9" style="2"/>
    <col min="9708" max="9709" width="3.75" style="2" customWidth="1"/>
    <col min="9710" max="9710" width="15" style="2" customWidth="1"/>
    <col min="9711" max="9714" width="12.875" style="2" customWidth="1"/>
    <col min="9715" max="9715" width="12.125" style="2" customWidth="1"/>
    <col min="9716" max="9716" width="9" style="2"/>
    <col min="9717" max="9717" width="12.25" style="2" customWidth="1"/>
    <col min="9718" max="9718" width="9.625" style="2" customWidth="1"/>
    <col min="9719" max="9720" width="9.75" style="2" customWidth="1"/>
    <col min="9721" max="9721" width="9.375" style="2" customWidth="1"/>
    <col min="9722" max="9963" width="9" style="2"/>
    <col min="9964" max="9965" width="3.75" style="2" customWidth="1"/>
    <col min="9966" max="9966" width="15" style="2" customWidth="1"/>
    <col min="9967" max="9970" width="12.875" style="2" customWidth="1"/>
    <col min="9971" max="9971" width="12.125" style="2" customWidth="1"/>
    <col min="9972" max="9972" width="9" style="2"/>
    <col min="9973" max="9973" width="12.25" style="2" customWidth="1"/>
    <col min="9974" max="9974" width="9.625" style="2" customWidth="1"/>
    <col min="9975" max="9976" width="9.75" style="2" customWidth="1"/>
    <col min="9977" max="9977" width="9.375" style="2" customWidth="1"/>
    <col min="9978" max="10219" width="9" style="2"/>
    <col min="10220" max="10221" width="3.75" style="2" customWidth="1"/>
    <col min="10222" max="10222" width="15" style="2" customWidth="1"/>
    <col min="10223" max="10226" width="12.875" style="2" customWidth="1"/>
    <col min="10227" max="10227" width="12.125" style="2" customWidth="1"/>
    <col min="10228" max="10228" width="9" style="2"/>
    <col min="10229" max="10229" width="12.25" style="2" customWidth="1"/>
    <col min="10230" max="10230" width="9.625" style="2" customWidth="1"/>
    <col min="10231" max="10232" width="9.75" style="2" customWidth="1"/>
    <col min="10233" max="10233" width="9.375" style="2" customWidth="1"/>
    <col min="10234" max="10475" width="9" style="2"/>
    <col min="10476" max="10477" width="3.75" style="2" customWidth="1"/>
    <col min="10478" max="10478" width="15" style="2" customWidth="1"/>
    <col min="10479" max="10482" width="12.875" style="2" customWidth="1"/>
    <col min="10483" max="10483" width="12.125" style="2" customWidth="1"/>
    <col min="10484" max="10484" width="9" style="2"/>
    <col min="10485" max="10485" width="12.25" style="2" customWidth="1"/>
    <col min="10486" max="10486" width="9.625" style="2" customWidth="1"/>
    <col min="10487" max="10488" width="9.75" style="2" customWidth="1"/>
    <col min="10489" max="10489" width="9.375" style="2" customWidth="1"/>
    <col min="10490" max="10731" width="9" style="2"/>
    <col min="10732" max="10733" width="3.75" style="2" customWidth="1"/>
    <col min="10734" max="10734" width="15" style="2" customWidth="1"/>
    <col min="10735" max="10738" width="12.875" style="2" customWidth="1"/>
    <col min="10739" max="10739" width="12.125" style="2" customWidth="1"/>
    <col min="10740" max="10740" width="9" style="2"/>
    <col min="10741" max="10741" width="12.25" style="2" customWidth="1"/>
    <col min="10742" max="10742" width="9.625" style="2" customWidth="1"/>
    <col min="10743" max="10744" width="9.75" style="2" customWidth="1"/>
    <col min="10745" max="10745" width="9.375" style="2" customWidth="1"/>
    <col min="10746" max="10987" width="9" style="2"/>
    <col min="10988" max="10989" width="3.75" style="2" customWidth="1"/>
    <col min="10990" max="10990" width="15" style="2" customWidth="1"/>
    <col min="10991" max="10994" width="12.875" style="2" customWidth="1"/>
    <col min="10995" max="10995" width="12.125" style="2" customWidth="1"/>
    <col min="10996" max="10996" width="9" style="2"/>
    <col min="10997" max="10997" width="12.25" style="2" customWidth="1"/>
    <col min="10998" max="10998" width="9.625" style="2" customWidth="1"/>
    <col min="10999" max="11000" width="9.75" style="2" customWidth="1"/>
    <col min="11001" max="11001" width="9.375" style="2" customWidth="1"/>
    <col min="11002" max="11243" width="9" style="2"/>
    <col min="11244" max="11245" width="3.75" style="2" customWidth="1"/>
    <col min="11246" max="11246" width="15" style="2" customWidth="1"/>
    <col min="11247" max="11250" width="12.875" style="2" customWidth="1"/>
    <col min="11251" max="11251" width="12.125" style="2" customWidth="1"/>
    <col min="11252" max="11252" width="9" style="2"/>
    <col min="11253" max="11253" width="12.25" style="2" customWidth="1"/>
    <col min="11254" max="11254" width="9.625" style="2" customWidth="1"/>
    <col min="11255" max="11256" width="9.75" style="2" customWidth="1"/>
    <col min="11257" max="11257" width="9.375" style="2" customWidth="1"/>
    <col min="11258" max="11499" width="9" style="2"/>
    <col min="11500" max="11501" width="3.75" style="2" customWidth="1"/>
    <col min="11502" max="11502" width="15" style="2" customWidth="1"/>
    <col min="11503" max="11506" width="12.875" style="2" customWidth="1"/>
    <col min="11507" max="11507" width="12.125" style="2" customWidth="1"/>
    <col min="11508" max="11508" width="9" style="2"/>
    <col min="11509" max="11509" width="12.25" style="2" customWidth="1"/>
    <col min="11510" max="11510" width="9.625" style="2" customWidth="1"/>
    <col min="11511" max="11512" width="9.75" style="2" customWidth="1"/>
    <col min="11513" max="11513" width="9.375" style="2" customWidth="1"/>
    <col min="11514" max="11755" width="9" style="2"/>
    <col min="11756" max="11757" width="3.75" style="2" customWidth="1"/>
    <col min="11758" max="11758" width="15" style="2" customWidth="1"/>
    <col min="11759" max="11762" width="12.875" style="2" customWidth="1"/>
    <col min="11763" max="11763" width="12.125" style="2" customWidth="1"/>
    <col min="11764" max="11764" width="9" style="2"/>
    <col min="11765" max="11765" width="12.25" style="2" customWidth="1"/>
    <col min="11766" max="11766" width="9.625" style="2" customWidth="1"/>
    <col min="11767" max="11768" width="9.75" style="2" customWidth="1"/>
    <col min="11769" max="11769" width="9.375" style="2" customWidth="1"/>
    <col min="11770" max="12011" width="9" style="2"/>
    <col min="12012" max="12013" width="3.75" style="2" customWidth="1"/>
    <col min="12014" max="12014" width="15" style="2" customWidth="1"/>
    <col min="12015" max="12018" width="12.875" style="2" customWidth="1"/>
    <col min="12019" max="12019" width="12.125" style="2" customWidth="1"/>
    <col min="12020" max="12020" width="9" style="2"/>
    <col min="12021" max="12021" width="12.25" style="2" customWidth="1"/>
    <col min="12022" max="12022" width="9.625" style="2" customWidth="1"/>
    <col min="12023" max="12024" width="9.75" style="2" customWidth="1"/>
    <col min="12025" max="12025" width="9.375" style="2" customWidth="1"/>
    <col min="12026" max="12267" width="9" style="2"/>
    <col min="12268" max="12269" width="3.75" style="2" customWidth="1"/>
    <col min="12270" max="12270" width="15" style="2" customWidth="1"/>
    <col min="12271" max="12274" width="12.875" style="2" customWidth="1"/>
    <col min="12275" max="12275" width="12.125" style="2" customWidth="1"/>
    <col min="12276" max="12276" width="9" style="2"/>
    <col min="12277" max="12277" width="12.25" style="2" customWidth="1"/>
    <col min="12278" max="12278" width="9.625" style="2" customWidth="1"/>
    <col min="12279" max="12280" width="9.75" style="2" customWidth="1"/>
    <col min="12281" max="12281" width="9.375" style="2" customWidth="1"/>
    <col min="12282" max="12523" width="9" style="2"/>
    <col min="12524" max="12525" width="3.75" style="2" customWidth="1"/>
    <col min="12526" max="12526" width="15" style="2" customWidth="1"/>
    <col min="12527" max="12530" width="12.875" style="2" customWidth="1"/>
    <col min="12531" max="12531" width="12.125" style="2" customWidth="1"/>
    <col min="12532" max="12532" width="9" style="2"/>
    <col min="12533" max="12533" width="12.25" style="2" customWidth="1"/>
    <col min="12534" max="12534" width="9.625" style="2" customWidth="1"/>
    <col min="12535" max="12536" width="9.75" style="2" customWidth="1"/>
    <col min="12537" max="12537" width="9.375" style="2" customWidth="1"/>
    <col min="12538" max="12779" width="9" style="2"/>
    <col min="12780" max="12781" width="3.75" style="2" customWidth="1"/>
    <col min="12782" max="12782" width="15" style="2" customWidth="1"/>
    <col min="12783" max="12786" width="12.875" style="2" customWidth="1"/>
    <col min="12787" max="12787" width="12.125" style="2" customWidth="1"/>
    <col min="12788" max="12788" width="9" style="2"/>
    <col min="12789" max="12789" width="12.25" style="2" customWidth="1"/>
    <col min="12790" max="12790" width="9.625" style="2" customWidth="1"/>
    <col min="12791" max="12792" width="9.75" style="2" customWidth="1"/>
    <col min="12793" max="12793" width="9.375" style="2" customWidth="1"/>
    <col min="12794" max="13035" width="9" style="2"/>
    <col min="13036" max="13037" width="3.75" style="2" customWidth="1"/>
    <col min="13038" max="13038" width="15" style="2" customWidth="1"/>
    <col min="13039" max="13042" width="12.875" style="2" customWidth="1"/>
    <col min="13043" max="13043" width="12.125" style="2" customWidth="1"/>
    <col min="13044" max="13044" width="9" style="2"/>
    <col min="13045" max="13045" width="12.25" style="2" customWidth="1"/>
    <col min="13046" max="13046" width="9.625" style="2" customWidth="1"/>
    <col min="13047" max="13048" width="9.75" style="2" customWidth="1"/>
    <col min="13049" max="13049" width="9.375" style="2" customWidth="1"/>
    <col min="13050" max="13291" width="9" style="2"/>
    <col min="13292" max="13293" width="3.75" style="2" customWidth="1"/>
    <col min="13294" max="13294" width="15" style="2" customWidth="1"/>
    <col min="13295" max="13298" width="12.875" style="2" customWidth="1"/>
    <col min="13299" max="13299" width="12.125" style="2" customWidth="1"/>
    <col min="13300" max="13300" width="9" style="2"/>
    <col min="13301" max="13301" width="12.25" style="2" customWidth="1"/>
    <col min="13302" max="13302" width="9.625" style="2" customWidth="1"/>
    <col min="13303" max="13304" width="9.75" style="2" customWidth="1"/>
    <col min="13305" max="13305" width="9.375" style="2" customWidth="1"/>
    <col min="13306" max="13547" width="9" style="2"/>
    <col min="13548" max="13549" width="3.75" style="2" customWidth="1"/>
    <col min="13550" max="13550" width="15" style="2" customWidth="1"/>
    <col min="13551" max="13554" width="12.875" style="2" customWidth="1"/>
    <col min="13555" max="13555" width="12.125" style="2" customWidth="1"/>
    <col min="13556" max="13556" width="9" style="2"/>
    <col min="13557" max="13557" width="12.25" style="2" customWidth="1"/>
    <col min="13558" max="13558" width="9.625" style="2" customWidth="1"/>
    <col min="13559" max="13560" width="9.75" style="2" customWidth="1"/>
    <col min="13561" max="13561" width="9.375" style="2" customWidth="1"/>
    <col min="13562" max="13803" width="9" style="2"/>
    <col min="13804" max="13805" width="3.75" style="2" customWidth="1"/>
    <col min="13806" max="13806" width="15" style="2" customWidth="1"/>
    <col min="13807" max="13810" width="12.875" style="2" customWidth="1"/>
    <col min="13811" max="13811" width="12.125" style="2" customWidth="1"/>
    <col min="13812" max="13812" width="9" style="2"/>
    <col min="13813" max="13813" width="12.25" style="2" customWidth="1"/>
    <col min="13814" max="13814" width="9.625" style="2" customWidth="1"/>
    <col min="13815" max="13816" width="9.75" style="2" customWidth="1"/>
    <col min="13817" max="13817" width="9.375" style="2" customWidth="1"/>
    <col min="13818" max="14059" width="9" style="2"/>
    <col min="14060" max="14061" width="3.75" style="2" customWidth="1"/>
    <col min="14062" max="14062" width="15" style="2" customWidth="1"/>
    <col min="14063" max="14066" width="12.875" style="2" customWidth="1"/>
    <col min="14067" max="14067" width="12.125" style="2" customWidth="1"/>
    <col min="14068" max="14068" width="9" style="2"/>
    <col min="14069" max="14069" width="12.25" style="2" customWidth="1"/>
    <col min="14070" max="14070" width="9.625" style="2" customWidth="1"/>
    <col min="14071" max="14072" width="9.75" style="2" customWidth="1"/>
    <col min="14073" max="14073" width="9.375" style="2" customWidth="1"/>
    <col min="14074" max="14315" width="9" style="2"/>
    <col min="14316" max="14317" width="3.75" style="2" customWidth="1"/>
    <col min="14318" max="14318" width="15" style="2" customWidth="1"/>
    <col min="14319" max="14322" width="12.875" style="2" customWidth="1"/>
    <col min="14323" max="14323" width="12.125" style="2" customWidth="1"/>
    <col min="14324" max="14324" width="9" style="2"/>
    <col min="14325" max="14325" width="12.25" style="2" customWidth="1"/>
    <col min="14326" max="14326" width="9.625" style="2" customWidth="1"/>
    <col min="14327" max="14328" width="9.75" style="2" customWidth="1"/>
    <col min="14329" max="14329" width="9.375" style="2" customWidth="1"/>
    <col min="14330" max="14571" width="9" style="2"/>
    <col min="14572" max="14573" width="3.75" style="2" customWidth="1"/>
    <col min="14574" max="14574" width="15" style="2" customWidth="1"/>
    <col min="14575" max="14578" width="12.875" style="2" customWidth="1"/>
    <col min="14579" max="14579" width="12.125" style="2" customWidth="1"/>
    <col min="14580" max="14580" width="9" style="2"/>
    <col min="14581" max="14581" width="12.25" style="2" customWidth="1"/>
    <col min="14582" max="14582" width="9.625" style="2" customWidth="1"/>
    <col min="14583" max="14584" width="9.75" style="2" customWidth="1"/>
    <col min="14585" max="14585" width="9.375" style="2" customWidth="1"/>
    <col min="14586" max="14827" width="9" style="2"/>
    <col min="14828" max="14829" width="3.75" style="2" customWidth="1"/>
    <col min="14830" max="14830" width="15" style="2" customWidth="1"/>
    <col min="14831" max="14834" width="12.875" style="2" customWidth="1"/>
    <col min="14835" max="14835" width="12.125" style="2" customWidth="1"/>
    <col min="14836" max="14836" width="9" style="2"/>
    <col min="14837" max="14837" width="12.25" style="2" customWidth="1"/>
    <col min="14838" max="14838" width="9.625" style="2" customWidth="1"/>
    <col min="14839" max="14840" width="9.75" style="2" customWidth="1"/>
    <col min="14841" max="14841" width="9.375" style="2" customWidth="1"/>
    <col min="14842" max="15083" width="9" style="2"/>
    <col min="15084" max="15085" width="3.75" style="2" customWidth="1"/>
    <col min="15086" max="15086" width="15" style="2" customWidth="1"/>
    <col min="15087" max="15090" width="12.875" style="2" customWidth="1"/>
    <col min="15091" max="15091" width="12.125" style="2" customWidth="1"/>
    <col min="15092" max="15092" width="9" style="2"/>
    <col min="15093" max="15093" width="12.25" style="2" customWidth="1"/>
    <col min="15094" max="15094" width="9.625" style="2" customWidth="1"/>
    <col min="15095" max="15096" width="9.75" style="2" customWidth="1"/>
    <col min="15097" max="15097" width="9.375" style="2" customWidth="1"/>
    <col min="15098" max="15339" width="9" style="2"/>
    <col min="15340" max="15341" width="3.75" style="2" customWidth="1"/>
    <col min="15342" max="15342" width="15" style="2" customWidth="1"/>
    <col min="15343" max="15346" width="12.875" style="2" customWidth="1"/>
    <col min="15347" max="15347" width="12.125" style="2" customWidth="1"/>
    <col min="15348" max="15348" width="9" style="2"/>
    <col min="15349" max="15349" width="12.25" style="2" customWidth="1"/>
    <col min="15350" max="15350" width="9.625" style="2" customWidth="1"/>
    <col min="15351" max="15352" width="9.75" style="2" customWidth="1"/>
    <col min="15353" max="15353" width="9.375" style="2" customWidth="1"/>
    <col min="15354" max="15595" width="9" style="2"/>
    <col min="15596" max="15597" width="3.75" style="2" customWidth="1"/>
    <col min="15598" max="15598" width="15" style="2" customWidth="1"/>
    <col min="15599" max="15602" width="12.875" style="2" customWidth="1"/>
    <col min="15603" max="15603" width="12.125" style="2" customWidth="1"/>
    <col min="15604" max="15604" width="9" style="2"/>
    <col min="15605" max="15605" width="12.25" style="2" customWidth="1"/>
    <col min="15606" max="15606" width="9.625" style="2" customWidth="1"/>
    <col min="15607" max="15608" width="9.75" style="2" customWidth="1"/>
    <col min="15609" max="15609" width="9.375" style="2" customWidth="1"/>
    <col min="15610" max="15851" width="9" style="2"/>
    <col min="15852" max="15853" width="3.75" style="2" customWidth="1"/>
    <col min="15854" max="15854" width="15" style="2" customWidth="1"/>
    <col min="15855" max="15858" width="12.875" style="2" customWidth="1"/>
    <col min="15859" max="15859" width="12.125" style="2" customWidth="1"/>
    <col min="15860" max="15860" width="9" style="2"/>
    <col min="15861" max="15861" width="12.25" style="2" customWidth="1"/>
    <col min="15862" max="15862" width="9.625" style="2" customWidth="1"/>
    <col min="15863" max="15864" width="9.75" style="2" customWidth="1"/>
    <col min="15865" max="15865" width="9.375" style="2" customWidth="1"/>
    <col min="15866" max="16107" width="9" style="2"/>
    <col min="16108" max="16109" width="3.75" style="2" customWidth="1"/>
    <col min="16110" max="16110" width="15" style="2" customWidth="1"/>
    <col min="16111" max="16114" width="12.875" style="2" customWidth="1"/>
    <col min="16115" max="16115" width="12.125" style="2" customWidth="1"/>
    <col min="16116" max="16116" width="9" style="2"/>
    <col min="16117" max="16117" width="12.25" style="2" customWidth="1"/>
    <col min="16118" max="16118" width="9.625" style="2" customWidth="1"/>
    <col min="16119" max="16120" width="9.75" style="2" customWidth="1"/>
    <col min="16121" max="16121" width="9.375" style="2" customWidth="1"/>
    <col min="16122" max="16384" width="9" style="2"/>
  </cols>
  <sheetData>
    <row r="1" spans="1:20" ht="20.100000000000001" customHeight="1">
      <c r="A1" s="1" t="s">
        <v>795</v>
      </c>
      <c r="B1" s="1"/>
      <c r="C1" s="1"/>
      <c r="D1" s="1"/>
    </row>
    <row r="2" spans="1:20" ht="20.100000000000001" customHeight="1">
      <c r="A2" s="2" t="s">
        <v>754</v>
      </c>
    </row>
    <row r="3" spans="1:20" ht="20.100000000000001" customHeight="1">
      <c r="A3" s="40" t="s">
        <v>1060</v>
      </c>
      <c r="B3" s="40"/>
      <c r="C3" s="40"/>
      <c r="D3" s="40"/>
      <c r="M3" s="776" t="s">
        <v>64</v>
      </c>
      <c r="N3" s="776" t="s">
        <v>796</v>
      </c>
      <c r="O3" s="776" t="s">
        <v>66</v>
      </c>
      <c r="P3" s="776"/>
      <c r="Q3" s="844" t="s">
        <v>64</v>
      </c>
      <c r="R3" s="776" t="s">
        <v>796</v>
      </c>
      <c r="S3" s="776" t="s">
        <v>66</v>
      </c>
      <c r="T3" s="776"/>
    </row>
    <row r="4" spans="1:20" ht="20.100000000000001" customHeight="1">
      <c r="A4" s="40" t="s">
        <v>797</v>
      </c>
      <c r="B4" s="40"/>
      <c r="C4" s="40"/>
      <c r="D4" s="40"/>
      <c r="M4" s="776"/>
      <c r="N4" s="776"/>
      <c r="O4" s="272" t="s">
        <v>67</v>
      </c>
      <c r="P4" s="272" t="s">
        <v>68</v>
      </c>
      <c r="Q4" s="844"/>
      <c r="R4" s="776"/>
      <c r="S4" s="272" t="s">
        <v>67</v>
      </c>
      <c r="T4" s="272" t="s">
        <v>68</v>
      </c>
    </row>
    <row r="5" spans="1:20" ht="20.100000000000001" customHeight="1">
      <c r="A5" s="2" t="s">
        <v>757</v>
      </c>
      <c r="M5" s="169" t="s">
        <v>69</v>
      </c>
      <c r="N5" s="272">
        <v>300</v>
      </c>
      <c r="O5" s="44">
        <v>512740</v>
      </c>
      <c r="P5" s="44">
        <v>782541</v>
      </c>
      <c r="Q5" s="845" t="s">
        <v>70</v>
      </c>
      <c r="R5" s="272">
        <v>80</v>
      </c>
      <c r="S5" s="44">
        <v>91404</v>
      </c>
      <c r="T5" s="44">
        <v>309684</v>
      </c>
    </row>
    <row r="6" spans="1:20" ht="20.100000000000001" customHeight="1">
      <c r="I6" s="8"/>
      <c r="K6" s="8" t="s">
        <v>765</v>
      </c>
      <c r="M6" s="169"/>
      <c r="N6" s="272">
        <v>400</v>
      </c>
      <c r="O6" s="44">
        <v>580188</v>
      </c>
      <c r="P6" s="44">
        <v>859007</v>
      </c>
      <c r="Q6" s="846"/>
      <c r="R6" s="272">
        <v>100</v>
      </c>
      <c r="S6" s="44">
        <v>102960</v>
      </c>
      <c r="T6" s="44">
        <v>323665</v>
      </c>
    </row>
    <row r="7" spans="1:20" ht="20.100000000000001" customHeight="1">
      <c r="A7" s="783" t="s">
        <v>798</v>
      </c>
      <c r="B7" s="785" t="s">
        <v>799</v>
      </c>
      <c r="C7" s="787" t="s">
        <v>800</v>
      </c>
      <c r="D7" s="789" t="s">
        <v>773</v>
      </c>
      <c r="E7" s="781"/>
      <c r="F7" s="781" t="s">
        <v>774</v>
      </c>
      <c r="G7" s="781"/>
      <c r="H7" s="781" t="s">
        <v>775</v>
      </c>
      <c r="I7" s="781"/>
      <c r="J7" s="781" t="s">
        <v>776</v>
      </c>
      <c r="K7" s="782"/>
      <c r="M7" s="169"/>
      <c r="N7" s="272">
        <v>500</v>
      </c>
      <c r="O7" s="44">
        <v>624861</v>
      </c>
      <c r="P7" s="44">
        <v>912820</v>
      </c>
      <c r="Q7" s="846"/>
      <c r="R7" s="272">
        <v>150</v>
      </c>
      <c r="S7" s="44">
        <v>139786</v>
      </c>
      <c r="T7" s="44">
        <v>366708</v>
      </c>
    </row>
    <row r="8" spans="1:20" ht="20.100000000000001" customHeight="1">
      <c r="A8" s="784"/>
      <c r="B8" s="786"/>
      <c r="C8" s="788"/>
      <c r="D8" s="160" t="s">
        <v>801</v>
      </c>
      <c r="E8" s="273" t="s">
        <v>781</v>
      </c>
      <c r="F8" s="281" t="s">
        <v>801</v>
      </c>
      <c r="G8" s="273" t="s">
        <v>781</v>
      </c>
      <c r="H8" s="281" t="s">
        <v>801</v>
      </c>
      <c r="I8" s="273" t="s">
        <v>781</v>
      </c>
      <c r="J8" s="281" t="s">
        <v>801</v>
      </c>
      <c r="K8" s="274" t="s">
        <v>781</v>
      </c>
      <c r="M8" s="169"/>
      <c r="N8" s="272">
        <v>600</v>
      </c>
      <c r="O8" s="44">
        <v>705821</v>
      </c>
      <c r="P8" s="44">
        <v>1016585</v>
      </c>
      <c r="Q8" s="846"/>
      <c r="R8" s="272">
        <v>200</v>
      </c>
      <c r="S8" s="44">
        <v>172293</v>
      </c>
      <c r="T8" s="44">
        <v>405664</v>
      </c>
    </row>
    <row r="9" spans="1:20" ht="20.100000000000001" customHeight="1">
      <c r="A9" s="848" t="s">
        <v>947</v>
      </c>
      <c r="B9" s="155">
        <v>80</v>
      </c>
      <c r="C9" s="156">
        <f>+T5</f>
        <v>309684</v>
      </c>
      <c r="D9" s="106">
        <v>0</v>
      </c>
      <c r="E9" s="101">
        <f>+ROUND($C9*D9/1000000,0)</f>
        <v>0</v>
      </c>
      <c r="F9" s="101"/>
      <c r="G9" s="101">
        <f>+ROUND($C9*F9/1000000,0)</f>
        <v>0</v>
      </c>
      <c r="H9" s="101"/>
      <c r="I9" s="101">
        <f>+ROUND($C9*H9/1000000,0)</f>
        <v>0</v>
      </c>
      <c r="J9" s="101"/>
      <c r="K9" s="156">
        <f>+ROUND($C9*J9/1000000,0)</f>
        <v>0</v>
      </c>
      <c r="M9" s="169"/>
      <c r="N9" s="272">
        <v>700</v>
      </c>
      <c r="O9" s="44">
        <v>782918</v>
      </c>
      <c r="P9" s="44">
        <v>1102578</v>
      </c>
      <c r="Q9" s="846"/>
      <c r="R9" s="272">
        <v>300</v>
      </c>
      <c r="S9" s="44">
        <v>248738</v>
      </c>
      <c r="T9" s="44">
        <v>494561</v>
      </c>
    </row>
    <row r="10" spans="1:20" ht="20.100000000000001" customHeight="1">
      <c r="A10" s="780"/>
      <c r="B10" s="152">
        <v>200</v>
      </c>
      <c r="C10" s="153">
        <f>+P26</f>
        <v>737848</v>
      </c>
      <c r="D10" s="139">
        <v>2664</v>
      </c>
      <c r="E10" s="94">
        <f t="shared" ref="E10:G11" si="0">+ROUND($C10*D10/1000000,0)</f>
        <v>1966</v>
      </c>
      <c r="F10" s="94">
        <v>88</v>
      </c>
      <c r="G10" s="94">
        <f t="shared" si="0"/>
        <v>65</v>
      </c>
      <c r="H10" s="94">
        <v>273</v>
      </c>
      <c r="I10" s="94">
        <f>+ROUND($C10*H10/1000000,0)</f>
        <v>201</v>
      </c>
      <c r="J10" s="94"/>
      <c r="K10" s="153">
        <f>+ROUND($C10*J10/1000000,0)</f>
        <v>0</v>
      </c>
      <c r="L10" s="9"/>
      <c r="M10" s="169"/>
      <c r="N10" s="272">
        <v>800</v>
      </c>
      <c r="O10" s="44">
        <v>854676</v>
      </c>
      <c r="P10" s="44">
        <v>1183365</v>
      </c>
      <c r="Q10" s="846"/>
      <c r="R10" s="272">
        <v>400</v>
      </c>
      <c r="S10" s="44">
        <v>348039</v>
      </c>
      <c r="T10" s="44">
        <v>606519</v>
      </c>
    </row>
    <row r="11" spans="1:20" ht="20.100000000000001" customHeight="1">
      <c r="A11" s="780"/>
      <c r="B11" s="152">
        <v>300</v>
      </c>
      <c r="C11" s="153">
        <f>+P27</f>
        <v>794902</v>
      </c>
      <c r="D11" s="139">
        <v>537</v>
      </c>
      <c r="E11" s="94">
        <f t="shared" si="0"/>
        <v>427</v>
      </c>
      <c r="F11" s="94">
        <v>0</v>
      </c>
      <c r="G11" s="94">
        <f t="shared" si="0"/>
        <v>0</v>
      </c>
      <c r="H11" s="94">
        <v>0</v>
      </c>
      <c r="I11" s="94">
        <f>+ROUND($C11*H11/1000000,0)</f>
        <v>0</v>
      </c>
      <c r="J11" s="94"/>
      <c r="K11" s="153">
        <f>+ROUND($C11*J11/1000000,0)</f>
        <v>0</v>
      </c>
      <c r="L11" s="9"/>
      <c r="M11" s="169"/>
      <c r="N11" s="272">
        <v>900</v>
      </c>
      <c r="O11" s="44">
        <v>945775</v>
      </c>
      <c r="P11" s="44">
        <v>1283451</v>
      </c>
      <c r="Q11" s="846"/>
      <c r="R11" s="272">
        <v>500</v>
      </c>
      <c r="S11" s="44">
        <v>453129</v>
      </c>
      <c r="T11" s="44">
        <v>724142</v>
      </c>
    </row>
    <row r="12" spans="1:20" ht="20.100000000000001" customHeight="1">
      <c r="A12" s="780"/>
      <c r="B12" s="152" t="s">
        <v>802</v>
      </c>
      <c r="C12" s="153"/>
      <c r="D12" s="139">
        <f>SUM(D9:D11)</f>
        <v>3201</v>
      </c>
      <c r="E12" s="94">
        <f t="shared" ref="E12:K12" si="1">SUM(E9:E11)</f>
        <v>2393</v>
      </c>
      <c r="F12" s="94">
        <f t="shared" si="1"/>
        <v>88</v>
      </c>
      <c r="G12" s="94">
        <f t="shared" si="1"/>
        <v>65</v>
      </c>
      <c r="H12" s="94">
        <f t="shared" si="1"/>
        <v>273</v>
      </c>
      <c r="I12" s="94">
        <f t="shared" si="1"/>
        <v>201</v>
      </c>
      <c r="J12" s="94">
        <f t="shared" si="1"/>
        <v>0</v>
      </c>
      <c r="K12" s="153">
        <f t="shared" si="1"/>
        <v>0</v>
      </c>
      <c r="L12" s="9"/>
      <c r="M12" s="169"/>
      <c r="N12" s="272">
        <v>1000</v>
      </c>
      <c r="O12" s="44">
        <v>1051853</v>
      </c>
      <c r="P12" s="44">
        <v>1398649</v>
      </c>
      <c r="Q12" s="846"/>
      <c r="R12" s="272">
        <v>600</v>
      </c>
      <c r="S12" s="44">
        <v>563069</v>
      </c>
      <c r="T12" s="44">
        <v>846789</v>
      </c>
    </row>
    <row r="13" spans="1:20" ht="20.100000000000001" customHeight="1">
      <c r="A13" s="848" t="s">
        <v>948</v>
      </c>
      <c r="B13" s="152">
        <v>80</v>
      </c>
      <c r="C13" s="153">
        <f>+C9</f>
        <v>309684</v>
      </c>
      <c r="D13" s="139">
        <v>734</v>
      </c>
      <c r="E13" s="94">
        <f>+ROUND($C13*D13/1000000,0)</f>
        <v>227</v>
      </c>
      <c r="F13" s="139">
        <v>0</v>
      </c>
      <c r="G13" s="94">
        <f>+ROUND($C13*F13/1000000,0)</f>
        <v>0</v>
      </c>
      <c r="H13" s="139">
        <v>0</v>
      </c>
      <c r="I13" s="94">
        <f>+ROUND($C13*H13/1000000,0)</f>
        <v>0</v>
      </c>
      <c r="J13" s="94"/>
      <c r="K13" s="153">
        <f>+ROUND($C13*J13/1000000,0)</f>
        <v>0</v>
      </c>
      <c r="L13" s="9"/>
      <c r="M13" s="169"/>
      <c r="N13" s="272">
        <v>1100</v>
      </c>
      <c r="O13" s="44">
        <v>1188358</v>
      </c>
      <c r="P13" s="44">
        <v>1557399</v>
      </c>
      <c r="Q13" s="846"/>
      <c r="R13" s="272">
        <v>700</v>
      </c>
      <c r="S13" s="44">
        <v>708878</v>
      </c>
      <c r="T13" s="44">
        <v>1005274</v>
      </c>
    </row>
    <row r="14" spans="1:20" ht="20.100000000000001" customHeight="1">
      <c r="A14" s="780"/>
      <c r="B14" s="152">
        <v>200</v>
      </c>
      <c r="C14" s="153">
        <f>+C10</f>
        <v>737848</v>
      </c>
      <c r="D14" s="139">
        <v>3007</v>
      </c>
      <c r="E14" s="94">
        <f>+ROUND($C14*D14/1000000,0)</f>
        <v>2219</v>
      </c>
      <c r="F14" s="139">
        <v>488</v>
      </c>
      <c r="G14" s="94">
        <f>+ROUND($C14*F14/1000000,0)</f>
        <v>360</v>
      </c>
      <c r="H14" s="139">
        <v>1874</v>
      </c>
      <c r="I14" s="94">
        <f>+ROUND($C14*H14/1000000,0)</f>
        <v>1383</v>
      </c>
      <c r="J14" s="94"/>
      <c r="K14" s="153">
        <f>+ROUND($C14*J14/1000000,0)</f>
        <v>0</v>
      </c>
      <c r="L14" s="9"/>
      <c r="M14" s="169"/>
      <c r="N14" s="272">
        <v>1200</v>
      </c>
      <c r="O14" s="44">
        <v>1313909</v>
      </c>
      <c r="P14" s="44">
        <v>1691805</v>
      </c>
      <c r="Q14" s="847"/>
      <c r="R14" s="272">
        <v>800</v>
      </c>
      <c r="S14" s="44">
        <v>860005</v>
      </c>
      <c r="T14" s="44">
        <v>1169007</v>
      </c>
    </row>
    <row r="15" spans="1:20" ht="20.100000000000001" customHeight="1">
      <c r="A15" s="780"/>
      <c r="B15" s="152">
        <v>300</v>
      </c>
      <c r="C15" s="153">
        <f>+C11</f>
        <v>794902</v>
      </c>
      <c r="D15" s="139">
        <v>0</v>
      </c>
      <c r="E15" s="94">
        <f>+ROUND($C15*D15/1000000,0)</f>
        <v>0</v>
      </c>
      <c r="F15" s="94"/>
      <c r="G15" s="94">
        <f>+ROUND($C15*F15/1000000,0)</f>
        <v>0</v>
      </c>
      <c r="H15" s="94"/>
      <c r="I15" s="94">
        <f>+ROUND($C15*H15/1000000,0)</f>
        <v>0</v>
      </c>
      <c r="J15" s="94"/>
      <c r="K15" s="153">
        <f>+ROUND($C15*J15/1000000,0)</f>
        <v>0</v>
      </c>
      <c r="L15" s="9"/>
      <c r="M15" s="169"/>
      <c r="N15" s="272">
        <v>1350</v>
      </c>
      <c r="O15" s="44">
        <v>1519849</v>
      </c>
      <c r="P15" s="44">
        <v>1910605</v>
      </c>
    </row>
    <row r="16" spans="1:20" ht="20.100000000000001" customHeight="1">
      <c r="A16" s="780"/>
      <c r="B16" s="152" t="s">
        <v>802</v>
      </c>
      <c r="C16" s="153"/>
      <c r="D16" s="139">
        <f>SUM(D13:D15)</f>
        <v>3741</v>
      </c>
      <c r="E16" s="94">
        <f t="shared" ref="E16:K16" si="2">SUM(E13:E15)</f>
        <v>2446</v>
      </c>
      <c r="F16" s="94">
        <f t="shared" si="2"/>
        <v>488</v>
      </c>
      <c r="G16" s="94">
        <f t="shared" si="2"/>
        <v>360</v>
      </c>
      <c r="H16" s="94">
        <f t="shared" si="2"/>
        <v>1874</v>
      </c>
      <c r="I16" s="94">
        <f t="shared" si="2"/>
        <v>1383</v>
      </c>
      <c r="J16" s="94">
        <f t="shared" si="2"/>
        <v>0</v>
      </c>
      <c r="K16" s="153">
        <f t="shared" si="2"/>
        <v>0</v>
      </c>
      <c r="L16" s="9"/>
      <c r="M16" s="813" t="s">
        <v>76</v>
      </c>
      <c r="N16" s="272">
        <v>300</v>
      </c>
      <c r="O16" s="44">
        <v>707247</v>
      </c>
      <c r="P16" s="44">
        <v>977038</v>
      </c>
    </row>
    <row r="17" spans="1:16" ht="20.100000000000001" customHeight="1">
      <c r="A17" s="780" t="s">
        <v>56</v>
      </c>
      <c r="B17" s="152">
        <v>80</v>
      </c>
      <c r="C17" s="153">
        <f>C9</f>
        <v>309684</v>
      </c>
      <c r="D17" s="168">
        <f>ROUND(D9+D13,0)</f>
        <v>734</v>
      </c>
      <c r="E17" s="94">
        <f t="shared" ref="E17:K17" si="3">ROUND(E9+E13,0)</f>
        <v>227</v>
      </c>
      <c r="F17" s="94">
        <f t="shared" si="3"/>
        <v>0</v>
      </c>
      <c r="G17" s="94">
        <f t="shared" si="3"/>
        <v>0</v>
      </c>
      <c r="H17" s="94">
        <f t="shared" si="3"/>
        <v>0</v>
      </c>
      <c r="I17" s="94">
        <f t="shared" si="3"/>
        <v>0</v>
      </c>
      <c r="J17" s="94">
        <f t="shared" si="3"/>
        <v>0</v>
      </c>
      <c r="K17" s="153">
        <f t="shared" si="3"/>
        <v>0</v>
      </c>
      <c r="L17" s="9"/>
      <c r="M17" s="814"/>
      <c r="N17" s="272">
        <v>400</v>
      </c>
      <c r="O17" s="44">
        <v>827275</v>
      </c>
      <c r="P17" s="44">
        <v>1106094</v>
      </c>
    </row>
    <row r="18" spans="1:16" ht="20.100000000000001" customHeight="1">
      <c r="A18" s="780"/>
      <c r="B18" s="152">
        <v>200</v>
      </c>
      <c r="C18" s="153">
        <f>C10</f>
        <v>737848</v>
      </c>
      <c r="D18" s="168">
        <f t="shared" ref="D18:K18" si="4">ROUND(D10+D14,0)</f>
        <v>5671</v>
      </c>
      <c r="E18" s="94">
        <f t="shared" si="4"/>
        <v>4185</v>
      </c>
      <c r="F18" s="94">
        <f t="shared" si="4"/>
        <v>576</v>
      </c>
      <c r="G18" s="94">
        <f t="shared" si="4"/>
        <v>425</v>
      </c>
      <c r="H18" s="94">
        <f t="shared" si="4"/>
        <v>2147</v>
      </c>
      <c r="I18" s="94">
        <f t="shared" si="4"/>
        <v>1584</v>
      </c>
      <c r="J18" s="94">
        <f t="shared" si="4"/>
        <v>0</v>
      </c>
      <c r="K18" s="153">
        <f t="shared" si="4"/>
        <v>0</v>
      </c>
      <c r="L18" s="9"/>
      <c r="M18" s="814"/>
      <c r="N18" s="272">
        <v>500</v>
      </c>
      <c r="O18" s="44">
        <v>935411</v>
      </c>
      <c r="P18" s="44">
        <v>1223371</v>
      </c>
    </row>
    <row r="19" spans="1:16" ht="20.100000000000001" customHeight="1">
      <c r="A19" s="780"/>
      <c r="B19" s="152">
        <v>300</v>
      </c>
      <c r="C19" s="153">
        <f>C11</f>
        <v>794902</v>
      </c>
      <c r="D19" s="168">
        <f t="shared" ref="D19:K19" si="5">ROUND(D11+D15,0)</f>
        <v>537</v>
      </c>
      <c r="E19" s="94">
        <f t="shared" si="5"/>
        <v>427</v>
      </c>
      <c r="F19" s="94">
        <f t="shared" si="5"/>
        <v>0</v>
      </c>
      <c r="G19" s="94">
        <f t="shared" si="5"/>
        <v>0</v>
      </c>
      <c r="H19" s="94">
        <f t="shared" si="5"/>
        <v>0</v>
      </c>
      <c r="I19" s="94">
        <f t="shared" si="5"/>
        <v>0</v>
      </c>
      <c r="J19" s="94">
        <f t="shared" si="5"/>
        <v>0</v>
      </c>
      <c r="K19" s="153">
        <f t="shared" si="5"/>
        <v>0</v>
      </c>
      <c r="L19" s="9"/>
      <c r="M19" s="814"/>
      <c r="N19" s="272">
        <v>600</v>
      </c>
      <c r="O19" s="44">
        <v>1068860</v>
      </c>
      <c r="P19" s="44">
        <v>1379624</v>
      </c>
    </row>
    <row r="20" spans="1:16" ht="20.100000000000001" customHeight="1">
      <c r="A20" s="784"/>
      <c r="B20" s="167" t="s">
        <v>406</v>
      </c>
      <c r="C20" s="165"/>
      <c r="D20" s="166">
        <f t="shared" ref="D20:K20" si="6">ROUND(D12+D16,0)</f>
        <v>6942</v>
      </c>
      <c r="E20" s="164">
        <f t="shared" si="6"/>
        <v>4839</v>
      </c>
      <c r="F20" s="164">
        <f t="shared" si="6"/>
        <v>576</v>
      </c>
      <c r="G20" s="164">
        <f t="shared" si="6"/>
        <v>425</v>
      </c>
      <c r="H20" s="164">
        <f t="shared" si="6"/>
        <v>2147</v>
      </c>
      <c r="I20" s="164">
        <f t="shared" si="6"/>
        <v>1584</v>
      </c>
      <c r="J20" s="164">
        <f t="shared" si="6"/>
        <v>0</v>
      </c>
      <c r="K20" s="165">
        <f t="shared" si="6"/>
        <v>0</v>
      </c>
      <c r="L20" s="9"/>
      <c r="M20" s="814"/>
      <c r="N20" s="272">
        <v>700</v>
      </c>
      <c r="O20" s="44">
        <v>1206659</v>
      </c>
      <c r="P20" s="44">
        <v>1526319</v>
      </c>
    </row>
    <row r="21" spans="1:16" ht="20.100000000000001" customHeight="1">
      <c r="L21" s="9"/>
      <c r="M21" s="814"/>
      <c r="N21" s="272">
        <v>800</v>
      </c>
      <c r="O21" s="44">
        <v>1373571</v>
      </c>
      <c r="P21" s="44">
        <v>1702260</v>
      </c>
    </row>
    <row r="22" spans="1:16" ht="20.100000000000001" customHeight="1">
      <c r="D22" s="2">
        <v>56391</v>
      </c>
      <c r="L22" s="9"/>
      <c r="M22" s="814"/>
      <c r="N22" s="272">
        <v>900</v>
      </c>
      <c r="O22" s="44">
        <v>1509424</v>
      </c>
      <c r="P22" s="44">
        <v>1847090</v>
      </c>
    </row>
    <row r="23" spans="1:16" ht="20.100000000000001" customHeight="1">
      <c r="L23" s="9"/>
      <c r="M23" s="814"/>
      <c r="N23" s="272">
        <v>1000</v>
      </c>
      <c r="O23" s="44">
        <v>1730822</v>
      </c>
      <c r="P23" s="44">
        <v>2077609</v>
      </c>
    </row>
    <row r="24" spans="1:16" ht="20.100000000000001" customHeight="1">
      <c r="L24" s="9"/>
      <c r="M24" s="814"/>
      <c r="N24" s="272">
        <v>1100</v>
      </c>
      <c r="O24" s="44">
        <v>1990647</v>
      </c>
      <c r="P24" s="44">
        <v>2359688</v>
      </c>
    </row>
    <row r="25" spans="1:16" ht="20.100000000000001" customHeight="1">
      <c r="L25" s="9"/>
      <c r="M25" s="815"/>
      <c r="N25" s="272">
        <v>1200</v>
      </c>
      <c r="O25" s="44">
        <v>2234280</v>
      </c>
      <c r="P25" s="44">
        <v>2612176</v>
      </c>
    </row>
    <row r="26" spans="1:16" ht="20.100000000000001" customHeight="1">
      <c r="L26" s="9"/>
      <c r="M26" s="776" t="s">
        <v>77</v>
      </c>
      <c r="N26" s="272">
        <v>200</v>
      </c>
      <c r="O26" s="44">
        <v>476678</v>
      </c>
      <c r="P26" s="44">
        <v>737848</v>
      </c>
    </row>
    <row r="27" spans="1:16" ht="20.100000000000001" customHeight="1">
      <c r="L27" s="9"/>
      <c r="M27" s="776"/>
      <c r="N27" s="272">
        <v>300</v>
      </c>
      <c r="O27" s="44">
        <v>525101</v>
      </c>
      <c r="P27" s="44">
        <v>794902</v>
      </c>
    </row>
    <row r="28" spans="1:16" ht="20.100000000000001" customHeight="1">
      <c r="M28" s="776"/>
      <c r="N28" s="272">
        <v>400</v>
      </c>
      <c r="O28" s="44">
        <v>625778</v>
      </c>
      <c r="P28" s="44">
        <v>904597</v>
      </c>
    </row>
    <row r="29" spans="1:16" ht="20.100000000000001" customHeight="1">
      <c r="M29" s="776"/>
      <c r="N29" s="272">
        <v>500</v>
      </c>
      <c r="O29" s="44">
        <v>711507</v>
      </c>
      <c r="P29" s="44">
        <v>999476</v>
      </c>
    </row>
    <row r="30" spans="1:16" ht="20.100000000000001" customHeight="1">
      <c r="M30" s="776"/>
      <c r="N30" s="272">
        <v>600</v>
      </c>
      <c r="O30" s="44">
        <v>810869</v>
      </c>
      <c r="P30" s="44">
        <v>1121644</v>
      </c>
    </row>
    <row r="31" spans="1:16" ht="20.100000000000001" customHeight="1">
      <c r="L31" s="9"/>
      <c r="M31" s="776"/>
      <c r="N31" s="272">
        <v>700</v>
      </c>
      <c r="O31" s="44">
        <v>919311</v>
      </c>
      <c r="P31" s="44">
        <v>1238972</v>
      </c>
    </row>
    <row r="32" spans="1:16" ht="20.100000000000001" customHeight="1">
      <c r="L32" s="29"/>
      <c r="M32" s="776"/>
      <c r="N32" s="272">
        <v>800</v>
      </c>
      <c r="O32" s="44">
        <v>1030780</v>
      </c>
      <c r="P32" s="44">
        <v>1359468</v>
      </c>
    </row>
    <row r="33" spans="12:16" ht="20.100000000000001" customHeight="1">
      <c r="L33" s="45"/>
      <c r="M33" s="776"/>
      <c r="N33" s="272">
        <v>900</v>
      </c>
      <c r="O33" s="44">
        <v>1120686</v>
      </c>
      <c r="P33" s="44">
        <v>1458352</v>
      </c>
    </row>
    <row r="34" spans="12:16" ht="20.100000000000001" customHeight="1">
      <c r="L34" s="45"/>
      <c r="M34" s="776"/>
      <c r="N34" s="272">
        <v>1000</v>
      </c>
      <c r="O34" s="44">
        <v>1252157</v>
      </c>
      <c r="P34" s="44">
        <v>1598943</v>
      </c>
    </row>
    <row r="35" spans="12:16" ht="20.100000000000001" customHeight="1">
      <c r="L35" s="35"/>
      <c r="M35" s="776"/>
      <c r="N35" s="272">
        <v>1200</v>
      </c>
      <c r="O35" s="44">
        <v>1519329</v>
      </c>
      <c r="P35" s="44">
        <v>1897235</v>
      </c>
    </row>
    <row r="36" spans="12:16" ht="20.100000000000001" customHeight="1">
      <c r="L36" s="35"/>
      <c r="M36" s="776" t="s">
        <v>78</v>
      </c>
      <c r="N36" s="272" t="s">
        <v>79</v>
      </c>
      <c r="O36" s="44">
        <v>1813280</v>
      </c>
      <c r="P36" s="44">
        <v>2098936</v>
      </c>
    </row>
    <row r="37" spans="12:16" ht="20.100000000000001" customHeight="1">
      <c r="L37" s="36"/>
      <c r="M37" s="776"/>
      <c r="N37" s="272" t="s">
        <v>80</v>
      </c>
      <c r="O37" s="44">
        <v>1980997</v>
      </c>
      <c r="P37" s="44">
        <v>2266643</v>
      </c>
    </row>
    <row r="38" spans="12:16" ht="20.100000000000001" customHeight="1">
      <c r="L38" s="35"/>
      <c r="M38" s="776"/>
      <c r="N38" s="272" t="s">
        <v>81</v>
      </c>
      <c r="O38" s="44">
        <v>2008266</v>
      </c>
      <c r="P38" s="44">
        <v>2293922</v>
      </c>
    </row>
    <row r="39" spans="12:16" ht="20.100000000000001" customHeight="1">
      <c r="L39" s="35"/>
      <c r="M39" s="776"/>
      <c r="N39" s="272" t="s">
        <v>82</v>
      </c>
      <c r="O39" s="44">
        <v>2087044</v>
      </c>
      <c r="P39" s="44">
        <v>2432231</v>
      </c>
    </row>
    <row r="40" spans="12:16" ht="20.100000000000001" customHeight="1">
      <c r="L40" s="35"/>
      <c r="M40" s="776"/>
      <c r="N40" s="272" t="s">
        <v>83</v>
      </c>
      <c r="O40" s="44">
        <v>2235747</v>
      </c>
      <c r="P40" s="44">
        <v>2580933</v>
      </c>
    </row>
    <row r="41" spans="12:16" ht="20.100000000000001" customHeight="1">
      <c r="L41" s="35"/>
      <c r="M41" s="776"/>
      <c r="N41" s="272" t="s">
        <v>84</v>
      </c>
      <c r="O41" s="44">
        <v>2493065</v>
      </c>
      <c r="P41" s="44">
        <v>2838251</v>
      </c>
    </row>
    <row r="42" spans="12:16" ht="20.100000000000001" customHeight="1">
      <c r="L42" s="35"/>
      <c r="M42" s="776"/>
      <c r="N42" s="272" t="s">
        <v>85</v>
      </c>
      <c r="O42" s="44">
        <v>2688377</v>
      </c>
      <c r="P42" s="44">
        <v>3033563</v>
      </c>
    </row>
    <row r="43" spans="12:16" ht="20.100000000000001" customHeight="1">
      <c r="L43" s="35"/>
      <c r="M43" s="776"/>
      <c r="N43" s="272" t="s">
        <v>86</v>
      </c>
      <c r="O43" s="44">
        <v>2712639</v>
      </c>
      <c r="P43" s="44">
        <v>3057825</v>
      </c>
    </row>
    <row r="44" spans="12:16" ht="20.100000000000001" customHeight="1">
      <c r="L44" s="35"/>
      <c r="M44" s="776"/>
      <c r="N44" s="272" t="s">
        <v>87</v>
      </c>
      <c r="O44" s="44">
        <v>3180065</v>
      </c>
      <c r="P44" s="44">
        <v>3525251</v>
      </c>
    </row>
    <row r="45" spans="12:16" ht="20.100000000000001" customHeight="1">
      <c r="L45" s="35"/>
      <c r="M45" s="776"/>
      <c r="N45" s="272" t="s">
        <v>88</v>
      </c>
      <c r="O45" s="44">
        <v>3443537</v>
      </c>
      <c r="P45" s="44">
        <v>3966580</v>
      </c>
    </row>
    <row r="46" spans="12:16" ht="20.100000000000001" customHeight="1">
      <c r="L46" s="36"/>
      <c r="M46" s="776"/>
      <c r="N46" s="272" t="s">
        <v>89</v>
      </c>
      <c r="O46" s="44">
        <v>3790171</v>
      </c>
      <c r="P46" s="44">
        <v>4313203</v>
      </c>
    </row>
    <row r="47" spans="12:16" ht="20.100000000000001" customHeight="1">
      <c r="L47" s="9"/>
      <c r="M47" s="776"/>
      <c r="N47" s="272" t="s">
        <v>90</v>
      </c>
      <c r="O47" s="44">
        <v>4445958</v>
      </c>
      <c r="P47" s="44">
        <v>4968990</v>
      </c>
    </row>
    <row r="48" spans="12:16" ht="20.100000000000001" customHeight="1">
      <c r="L48" s="37"/>
      <c r="M48" s="776"/>
      <c r="N48" s="272" t="s">
        <v>91</v>
      </c>
      <c r="O48" s="44">
        <v>4058779</v>
      </c>
      <c r="P48" s="44">
        <v>4581821</v>
      </c>
    </row>
    <row r="49" spans="12:16" ht="20.100000000000001" customHeight="1">
      <c r="L49" s="9"/>
      <c r="M49" s="776"/>
      <c r="N49" s="272" t="s">
        <v>92</v>
      </c>
      <c r="O49" s="44">
        <v>4541703</v>
      </c>
      <c r="P49" s="44">
        <v>5064746</v>
      </c>
    </row>
    <row r="50" spans="12:16" ht="20.100000000000001" customHeight="1">
      <c r="M50" s="776"/>
      <c r="N50" s="272" t="s">
        <v>93</v>
      </c>
      <c r="O50" s="44">
        <v>5297975</v>
      </c>
      <c r="P50" s="44">
        <v>5821007</v>
      </c>
    </row>
    <row r="51" spans="12:16" ht="20.100000000000001" customHeight="1">
      <c r="M51" s="776"/>
      <c r="N51" s="272" t="s">
        <v>94</v>
      </c>
      <c r="O51" s="44">
        <v>5625868</v>
      </c>
      <c r="P51" s="44">
        <v>6148911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</sheetData>
  <mergeCells count="20">
    <mergeCell ref="S3:T3"/>
    <mergeCell ref="M3:M4"/>
    <mergeCell ref="N3:N4"/>
    <mergeCell ref="O3:P3"/>
    <mergeCell ref="Q3:Q4"/>
    <mergeCell ref="R3:R4"/>
    <mergeCell ref="A17:A20"/>
    <mergeCell ref="M16:M25"/>
    <mergeCell ref="M26:M35"/>
    <mergeCell ref="M36:M51"/>
    <mergeCell ref="Q5:Q14"/>
    <mergeCell ref="A7:A8"/>
    <mergeCell ref="B7:B8"/>
    <mergeCell ref="C7:C8"/>
    <mergeCell ref="D7:E7"/>
    <mergeCell ref="F7:G7"/>
    <mergeCell ref="H7:I7"/>
    <mergeCell ref="J7:K7"/>
    <mergeCell ref="A9:A12"/>
    <mergeCell ref="A13:A16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3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3" width="11.125" style="2" customWidth="1"/>
    <col min="4" max="11" width="7.25" style="2" customWidth="1"/>
    <col min="12" max="12" width="9" style="2"/>
    <col min="13" max="13" width="13.25" style="2" bestFit="1" customWidth="1"/>
    <col min="14" max="14" width="13.25" style="63" bestFit="1" customWidth="1"/>
    <col min="15" max="15" width="11.75" style="63" customWidth="1"/>
    <col min="16" max="16" width="13.25" style="2" bestFit="1" customWidth="1"/>
    <col min="17" max="17" width="9.125" style="2" bestFit="1" customWidth="1"/>
    <col min="18" max="18" width="9.875" style="2" bestFit="1" customWidth="1"/>
    <col min="19" max="19" width="9" style="2"/>
    <col min="20" max="20" width="9.875" style="2" customWidth="1"/>
    <col min="21" max="231" width="9" style="2"/>
    <col min="232" max="233" width="3.75" style="2" customWidth="1"/>
    <col min="234" max="234" width="15" style="2" customWidth="1"/>
    <col min="235" max="238" width="12.875" style="2" customWidth="1"/>
    <col min="239" max="239" width="12.125" style="2" customWidth="1"/>
    <col min="240" max="240" width="9" style="2"/>
    <col min="241" max="241" width="12.25" style="2" customWidth="1"/>
    <col min="242" max="242" width="9.625" style="2" customWidth="1"/>
    <col min="243" max="244" width="9.75" style="2" customWidth="1"/>
    <col min="245" max="245" width="9.375" style="2" customWidth="1"/>
    <col min="246" max="487" width="9" style="2"/>
    <col min="488" max="489" width="3.75" style="2" customWidth="1"/>
    <col min="490" max="490" width="15" style="2" customWidth="1"/>
    <col min="491" max="494" width="12.875" style="2" customWidth="1"/>
    <col min="495" max="495" width="12.125" style="2" customWidth="1"/>
    <col min="496" max="496" width="9" style="2"/>
    <col min="497" max="497" width="12.25" style="2" customWidth="1"/>
    <col min="498" max="498" width="9.625" style="2" customWidth="1"/>
    <col min="499" max="500" width="9.75" style="2" customWidth="1"/>
    <col min="501" max="501" width="9.375" style="2" customWidth="1"/>
    <col min="502" max="743" width="9" style="2"/>
    <col min="744" max="745" width="3.75" style="2" customWidth="1"/>
    <col min="746" max="746" width="15" style="2" customWidth="1"/>
    <col min="747" max="750" width="12.875" style="2" customWidth="1"/>
    <col min="751" max="751" width="12.125" style="2" customWidth="1"/>
    <col min="752" max="752" width="9" style="2"/>
    <col min="753" max="753" width="12.25" style="2" customWidth="1"/>
    <col min="754" max="754" width="9.625" style="2" customWidth="1"/>
    <col min="755" max="756" width="9.75" style="2" customWidth="1"/>
    <col min="757" max="757" width="9.375" style="2" customWidth="1"/>
    <col min="758" max="999" width="9" style="2"/>
    <col min="1000" max="1001" width="3.75" style="2" customWidth="1"/>
    <col min="1002" max="1002" width="15" style="2" customWidth="1"/>
    <col min="1003" max="1006" width="12.875" style="2" customWidth="1"/>
    <col min="1007" max="1007" width="12.125" style="2" customWidth="1"/>
    <col min="1008" max="1008" width="9" style="2"/>
    <col min="1009" max="1009" width="12.25" style="2" customWidth="1"/>
    <col min="1010" max="1010" width="9.625" style="2" customWidth="1"/>
    <col min="1011" max="1012" width="9.75" style="2" customWidth="1"/>
    <col min="1013" max="1013" width="9.375" style="2" customWidth="1"/>
    <col min="1014" max="1255" width="9" style="2"/>
    <col min="1256" max="1257" width="3.75" style="2" customWidth="1"/>
    <col min="1258" max="1258" width="15" style="2" customWidth="1"/>
    <col min="1259" max="1262" width="12.875" style="2" customWidth="1"/>
    <col min="1263" max="1263" width="12.125" style="2" customWidth="1"/>
    <col min="1264" max="1264" width="9" style="2"/>
    <col min="1265" max="1265" width="12.25" style="2" customWidth="1"/>
    <col min="1266" max="1266" width="9.625" style="2" customWidth="1"/>
    <col min="1267" max="1268" width="9.75" style="2" customWidth="1"/>
    <col min="1269" max="1269" width="9.375" style="2" customWidth="1"/>
    <col min="1270" max="1511" width="9" style="2"/>
    <col min="1512" max="1513" width="3.75" style="2" customWidth="1"/>
    <col min="1514" max="1514" width="15" style="2" customWidth="1"/>
    <col min="1515" max="1518" width="12.875" style="2" customWidth="1"/>
    <col min="1519" max="1519" width="12.125" style="2" customWidth="1"/>
    <col min="1520" max="1520" width="9" style="2"/>
    <col min="1521" max="1521" width="12.25" style="2" customWidth="1"/>
    <col min="1522" max="1522" width="9.625" style="2" customWidth="1"/>
    <col min="1523" max="1524" width="9.75" style="2" customWidth="1"/>
    <col min="1525" max="1525" width="9.375" style="2" customWidth="1"/>
    <col min="1526" max="1767" width="9" style="2"/>
    <col min="1768" max="1769" width="3.75" style="2" customWidth="1"/>
    <col min="1770" max="1770" width="15" style="2" customWidth="1"/>
    <col min="1771" max="1774" width="12.875" style="2" customWidth="1"/>
    <col min="1775" max="1775" width="12.125" style="2" customWidth="1"/>
    <col min="1776" max="1776" width="9" style="2"/>
    <col min="1777" max="1777" width="12.25" style="2" customWidth="1"/>
    <col min="1778" max="1778" width="9.625" style="2" customWidth="1"/>
    <col min="1779" max="1780" width="9.75" style="2" customWidth="1"/>
    <col min="1781" max="1781" width="9.375" style="2" customWidth="1"/>
    <col min="1782" max="2023" width="9" style="2"/>
    <col min="2024" max="2025" width="3.75" style="2" customWidth="1"/>
    <col min="2026" max="2026" width="15" style="2" customWidth="1"/>
    <col min="2027" max="2030" width="12.875" style="2" customWidth="1"/>
    <col min="2031" max="2031" width="12.125" style="2" customWidth="1"/>
    <col min="2032" max="2032" width="9" style="2"/>
    <col min="2033" max="2033" width="12.25" style="2" customWidth="1"/>
    <col min="2034" max="2034" width="9.625" style="2" customWidth="1"/>
    <col min="2035" max="2036" width="9.75" style="2" customWidth="1"/>
    <col min="2037" max="2037" width="9.375" style="2" customWidth="1"/>
    <col min="2038" max="2279" width="9" style="2"/>
    <col min="2280" max="2281" width="3.75" style="2" customWidth="1"/>
    <col min="2282" max="2282" width="15" style="2" customWidth="1"/>
    <col min="2283" max="2286" width="12.875" style="2" customWidth="1"/>
    <col min="2287" max="2287" width="12.125" style="2" customWidth="1"/>
    <col min="2288" max="2288" width="9" style="2"/>
    <col min="2289" max="2289" width="12.25" style="2" customWidth="1"/>
    <col min="2290" max="2290" width="9.625" style="2" customWidth="1"/>
    <col min="2291" max="2292" width="9.75" style="2" customWidth="1"/>
    <col min="2293" max="2293" width="9.375" style="2" customWidth="1"/>
    <col min="2294" max="2535" width="9" style="2"/>
    <col min="2536" max="2537" width="3.75" style="2" customWidth="1"/>
    <col min="2538" max="2538" width="15" style="2" customWidth="1"/>
    <col min="2539" max="2542" width="12.875" style="2" customWidth="1"/>
    <col min="2543" max="2543" width="12.125" style="2" customWidth="1"/>
    <col min="2544" max="2544" width="9" style="2"/>
    <col min="2545" max="2545" width="12.25" style="2" customWidth="1"/>
    <col min="2546" max="2546" width="9.625" style="2" customWidth="1"/>
    <col min="2547" max="2548" width="9.75" style="2" customWidth="1"/>
    <col min="2549" max="2549" width="9.375" style="2" customWidth="1"/>
    <col min="2550" max="2791" width="9" style="2"/>
    <col min="2792" max="2793" width="3.75" style="2" customWidth="1"/>
    <col min="2794" max="2794" width="15" style="2" customWidth="1"/>
    <col min="2795" max="2798" width="12.875" style="2" customWidth="1"/>
    <col min="2799" max="2799" width="12.125" style="2" customWidth="1"/>
    <col min="2800" max="2800" width="9" style="2"/>
    <col min="2801" max="2801" width="12.25" style="2" customWidth="1"/>
    <col min="2802" max="2802" width="9.625" style="2" customWidth="1"/>
    <col min="2803" max="2804" width="9.75" style="2" customWidth="1"/>
    <col min="2805" max="2805" width="9.375" style="2" customWidth="1"/>
    <col min="2806" max="3047" width="9" style="2"/>
    <col min="3048" max="3049" width="3.75" style="2" customWidth="1"/>
    <col min="3050" max="3050" width="15" style="2" customWidth="1"/>
    <col min="3051" max="3054" width="12.875" style="2" customWidth="1"/>
    <col min="3055" max="3055" width="12.125" style="2" customWidth="1"/>
    <col min="3056" max="3056" width="9" style="2"/>
    <col min="3057" max="3057" width="12.25" style="2" customWidth="1"/>
    <col min="3058" max="3058" width="9.625" style="2" customWidth="1"/>
    <col min="3059" max="3060" width="9.75" style="2" customWidth="1"/>
    <col min="3061" max="3061" width="9.375" style="2" customWidth="1"/>
    <col min="3062" max="3303" width="9" style="2"/>
    <col min="3304" max="3305" width="3.75" style="2" customWidth="1"/>
    <col min="3306" max="3306" width="15" style="2" customWidth="1"/>
    <col min="3307" max="3310" width="12.875" style="2" customWidth="1"/>
    <col min="3311" max="3311" width="12.125" style="2" customWidth="1"/>
    <col min="3312" max="3312" width="9" style="2"/>
    <col min="3313" max="3313" width="12.25" style="2" customWidth="1"/>
    <col min="3314" max="3314" width="9.625" style="2" customWidth="1"/>
    <col min="3315" max="3316" width="9.75" style="2" customWidth="1"/>
    <col min="3317" max="3317" width="9.375" style="2" customWidth="1"/>
    <col min="3318" max="3559" width="9" style="2"/>
    <col min="3560" max="3561" width="3.75" style="2" customWidth="1"/>
    <col min="3562" max="3562" width="15" style="2" customWidth="1"/>
    <col min="3563" max="3566" width="12.875" style="2" customWidth="1"/>
    <col min="3567" max="3567" width="12.125" style="2" customWidth="1"/>
    <col min="3568" max="3568" width="9" style="2"/>
    <col min="3569" max="3569" width="12.25" style="2" customWidth="1"/>
    <col min="3570" max="3570" width="9.625" style="2" customWidth="1"/>
    <col min="3571" max="3572" width="9.75" style="2" customWidth="1"/>
    <col min="3573" max="3573" width="9.375" style="2" customWidth="1"/>
    <col min="3574" max="3815" width="9" style="2"/>
    <col min="3816" max="3817" width="3.75" style="2" customWidth="1"/>
    <col min="3818" max="3818" width="15" style="2" customWidth="1"/>
    <col min="3819" max="3822" width="12.875" style="2" customWidth="1"/>
    <col min="3823" max="3823" width="12.125" style="2" customWidth="1"/>
    <col min="3824" max="3824" width="9" style="2"/>
    <col min="3825" max="3825" width="12.25" style="2" customWidth="1"/>
    <col min="3826" max="3826" width="9.625" style="2" customWidth="1"/>
    <col min="3827" max="3828" width="9.75" style="2" customWidth="1"/>
    <col min="3829" max="3829" width="9.375" style="2" customWidth="1"/>
    <col min="3830" max="4071" width="9" style="2"/>
    <col min="4072" max="4073" width="3.75" style="2" customWidth="1"/>
    <col min="4074" max="4074" width="15" style="2" customWidth="1"/>
    <col min="4075" max="4078" width="12.875" style="2" customWidth="1"/>
    <col min="4079" max="4079" width="12.125" style="2" customWidth="1"/>
    <col min="4080" max="4080" width="9" style="2"/>
    <col min="4081" max="4081" width="12.25" style="2" customWidth="1"/>
    <col min="4082" max="4082" width="9.625" style="2" customWidth="1"/>
    <col min="4083" max="4084" width="9.75" style="2" customWidth="1"/>
    <col min="4085" max="4085" width="9.375" style="2" customWidth="1"/>
    <col min="4086" max="4327" width="9" style="2"/>
    <col min="4328" max="4329" width="3.75" style="2" customWidth="1"/>
    <col min="4330" max="4330" width="15" style="2" customWidth="1"/>
    <col min="4331" max="4334" width="12.875" style="2" customWidth="1"/>
    <col min="4335" max="4335" width="12.125" style="2" customWidth="1"/>
    <col min="4336" max="4336" width="9" style="2"/>
    <col min="4337" max="4337" width="12.25" style="2" customWidth="1"/>
    <col min="4338" max="4338" width="9.625" style="2" customWidth="1"/>
    <col min="4339" max="4340" width="9.75" style="2" customWidth="1"/>
    <col min="4341" max="4341" width="9.375" style="2" customWidth="1"/>
    <col min="4342" max="4583" width="9" style="2"/>
    <col min="4584" max="4585" width="3.75" style="2" customWidth="1"/>
    <col min="4586" max="4586" width="15" style="2" customWidth="1"/>
    <col min="4587" max="4590" width="12.875" style="2" customWidth="1"/>
    <col min="4591" max="4591" width="12.125" style="2" customWidth="1"/>
    <col min="4592" max="4592" width="9" style="2"/>
    <col min="4593" max="4593" width="12.25" style="2" customWidth="1"/>
    <col min="4594" max="4594" width="9.625" style="2" customWidth="1"/>
    <col min="4595" max="4596" width="9.75" style="2" customWidth="1"/>
    <col min="4597" max="4597" width="9.375" style="2" customWidth="1"/>
    <col min="4598" max="4839" width="9" style="2"/>
    <col min="4840" max="4841" width="3.75" style="2" customWidth="1"/>
    <col min="4842" max="4842" width="15" style="2" customWidth="1"/>
    <col min="4843" max="4846" width="12.875" style="2" customWidth="1"/>
    <col min="4847" max="4847" width="12.125" style="2" customWidth="1"/>
    <col min="4848" max="4848" width="9" style="2"/>
    <col min="4849" max="4849" width="12.25" style="2" customWidth="1"/>
    <col min="4850" max="4850" width="9.625" style="2" customWidth="1"/>
    <col min="4851" max="4852" width="9.75" style="2" customWidth="1"/>
    <col min="4853" max="4853" width="9.375" style="2" customWidth="1"/>
    <col min="4854" max="5095" width="9" style="2"/>
    <col min="5096" max="5097" width="3.75" style="2" customWidth="1"/>
    <col min="5098" max="5098" width="15" style="2" customWidth="1"/>
    <col min="5099" max="5102" width="12.875" style="2" customWidth="1"/>
    <col min="5103" max="5103" width="12.125" style="2" customWidth="1"/>
    <col min="5104" max="5104" width="9" style="2"/>
    <col min="5105" max="5105" width="12.25" style="2" customWidth="1"/>
    <col min="5106" max="5106" width="9.625" style="2" customWidth="1"/>
    <col min="5107" max="5108" width="9.75" style="2" customWidth="1"/>
    <col min="5109" max="5109" width="9.375" style="2" customWidth="1"/>
    <col min="5110" max="5351" width="9" style="2"/>
    <col min="5352" max="5353" width="3.75" style="2" customWidth="1"/>
    <col min="5354" max="5354" width="15" style="2" customWidth="1"/>
    <col min="5355" max="5358" width="12.875" style="2" customWidth="1"/>
    <col min="5359" max="5359" width="12.125" style="2" customWidth="1"/>
    <col min="5360" max="5360" width="9" style="2"/>
    <col min="5361" max="5361" width="12.25" style="2" customWidth="1"/>
    <col min="5362" max="5362" width="9.625" style="2" customWidth="1"/>
    <col min="5363" max="5364" width="9.75" style="2" customWidth="1"/>
    <col min="5365" max="5365" width="9.375" style="2" customWidth="1"/>
    <col min="5366" max="5607" width="9" style="2"/>
    <col min="5608" max="5609" width="3.75" style="2" customWidth="1"/>
    <col min="5610" max="5610" width="15" style="2" customWidth="1"/>
    <col min="5611" max="5614" width="12.875" style="2" customWidth="1"/>
    <col min="5615" max="5615" width="12.125" style="2" customWidth="1"/>
    <col min="5616" max="5616" width="9" style="2"/>
    <col min="5617" max="5617" width="12.25" style="2" customWidth="1"/>
    <col min="5618" max="5618" width="9.625" style="2" customWidth="1"/>
    <col min="5619" max="5620" width="9.75" style="2" customWidth="1"/>
    <col min="5621" max="5621" width="9.375" style="2" customWidth="1"/>
    <col min="5622" max="5863" width="9" style="2"/>
    <col min="5864" max="5865" width="3.75" style="2" customWidth="1"/>
    <col min="5866" max="5866" width="15" style="2" customWidth="1"/>
    <col min="5867" max="5870" width="12.875" style="2" customWidth="1"/>
    <col min="5871" max="5871" width="12.125" style="2" customWidth="1"/>
    <col min="5872" max="5872" width="9" style="2"/>
    <col min="5873" max="5873" width="12.25" style="2" customWidth="1"/>
    <col min="5874" max="5874" width="9.625" style="2" customWidth="1"/>
    <col min="5875" max="5876" width="9.75" style="2" customWidth="1"/>
    <col min="5877" max="5877" width="9.375" style="2" customWidth="1"/>
    <col min="5878" max="6119" width="9" style="2"/>
    <col min="6120" max="6121" width="3.75" style="2" customWidth="1"/>
    <col min="6122" max="6122" width="15" style="2" customWidth="1"/>
    <col min="6123" max="6126" width="12.875" style="2" customWidth="1"/>
    <col min="6127" max="6127" width="12.125" style="2" customWidth="1"/>
    <col min="6128" max="6128" width="9" style="2"/>
    <col min="6129" max="6129" width="12.25" style="2" customWidth="1"/>
    <col min="6130" max="6130" width="9.625" style="2" customWidth="1"/>
    <col min="6131" max="6132" width="9.75" style="2" customWidth="1"/>
    <col min="6133" max="6133" width="9.375" style="2" customWidth="1"/>
    <col min="6134" max="6375" width="9" style="2"/>
    <col min="6376" max="6377" width="3.75" style="2" customWidth="1"/>
    <col min="6378" max="6378" width="15" style="2" customWidth="1"/>
    <col min="6379" max="6382" width="12.875" style="2" customWidth="1"/>
    <col min="6383" max="6383" width="12.125" style="2" customWidth="1"/>
    <col min="6384" max="6384" width="9" style="2"/>
    <col min="6385" max="6385" width="12.25" style="2" customWidth="1"/>
    <col min="6386" max="6386" width="9.625" style="2" customWidth="1"/>
    <col min="6387" max="6388" width="9.75" style="2" customWidth="1"/>
    <col min="6389" max="6389" width="9.375" style="2" customWidth="1"/>
    <col min="6390" max="6631" width="9" style="2"/>
    <col min="6632" max="6633" width="3.75" style="2" customWidth="1"/>
    <col min="6634" max="6634" width="15" style="2" customWidth="1"/>
    <col min="6635" max="6638" width="12.875" style="2" customWidth="1"/>
    <col min="6639" max="6639" width="12.125" style="2" customWidth="1"/>
    <col min="6640" max="6640" width="9" style="2"/>
    <col min="6641" max="6641" width="12.25" style="2" customWidth="1"/>
    <col min="6642" max="6642" width="9.625" style="2" customWidth="1"/>
    <col min="6643" max="6644" width="9.75" style="2" customWidth="1"/>
    <col min="6645" max="6645" width="9.375" style="2" customWidth="1"/>
    <col min="6646" max="6887" width="9" style="2"/>
    <col min="6888" max="6889" width="3.75" style="2" customWidth="1"/>
    <col min="6890" max="6890" width="15" style="2" customWidth="1"/>
    <col min="6891" max="6894" width="12.875" style="2" customWidth="1"/>
    <col min="6895" max="6895" width="12.125" style="2" customWidth="1"/>
    <col min="6896" max="6896" width="9" style="2"/>
    <col min="6897" max="6897" width="12.25" style="2" customWidth="1"/>
    <col min="6898" max="6898" width="9.625" style="2" customWidth="1"/>
    <col min="6899" max="6900" width="9.75" style="2" customWidth="1"/>
    <col min="6901" max="6901" width="9.375" style="2" customWidth="1"/>
    <col min="6902" max="7143" width="9" style="2"/>
    <col min="7144" max="7145" width="3.75" style="2" customWidth="1"/>
    <col min="7146" max="7146" width="15" style="2" customWidth="1"/>
    <col min="7147" max="7150" width="12.875" style="2" customWidth="1"/>
    <col min="7151" max="7151" width="12.125" style="2" customWidth="1"/>
    <col min="7152" max="7152" width="9" style="2"/>
    <col min="7153" max="7153" width="12.25" style="2" customWidth="1"/>
    <col min="7154" max="7154" width="9.625" style="2" customWidth="1"/>
    <col min="7155" max="7156" width="9.75" style="2" customWidth="1"/>
    <col min="7157" max="7157" width="9.375" style="2" customWidth="1"/>
    <col min="7158" max="7399" width="9" style="2"/>
    <col min="7400" max="7401" width="3.75" style="2" customWidth="1"/>
    <col min="7402" max="7402" width="15" style="2" customWidth="1"/>
    <col min="7403" max="7406" width="12.875" style="2" customWidth="1"/>
    <col min="7407" max="7407" width="12.125" style="2" customWidth="1"/>
    <col min="7408" max="7408" width="9" style="2"/>
    <col min="7409" max="7409" width="12.25" style="2" customWidth="1"/>
    <col min="7410" max="7410" width="9.625" style="2" customWidth="1"/>
    <col min="7411" max="7412" width="9.75" style="2" customWidth="1"/>
    <col min="7413" max="7413" width="9.375" style="2" customWidth="1"/>
    <col min="7414" max="7655" width="9" style="2"/>
    <col min="7656" max="7657" width="3.75" style="2" customWidth="1"/>
    <col min="7658" max="7658" width="15" style="2" customWidth="1"/>
    <col min="7659" max="7662" width="12.875" style="2" customWidth="1"/>
    <col min="7663" max="7663" width="12.125" style="2" customWidth="1"/>
    <col min="7664" max="7664" width="9" style="2"/>
    <col min="7665" max="7665" width="12.25" style="2" customWidth="1"/>
    <col min="7666" max="7666" width="9.625" style="2" customWidth="1"/>
    <col min="7667" max="7668" width="9.75" style="2" customWidth="1"/>
    <col min="7669" max="7669" width="9.375" style="2" customWidth="1"/>
    <col min="7670" max="7911" width="9" style="2"/>
    <col min="7912" max="7913" width="3.75" style="2" customWidth="1"/>
    <col min="7914" max="7914" width="15" style="2" customWidth="1"/>
    <col min="7915" max="7918" width="12.875" style="2" customWidth="1"/>
    <col min="7919" max="7919" width="12.125" style="2" customWidth="1"/>
    <col min="7920" max="7920" width="9" style="2"/>
    <col min="7921" max="7921" width="12.25" style="2" customWidth="1"/>
    <col min="7922" max="7922" width="9.625" style="2" customWidth="1"/>
    <col min="7923" max="7924" width="9.75" style="2" customWidth="1"/>
    <col min="7925" max="7925" width="9.375" style="2" customWidth="1"/>
    <col min="7926" max="8167" width="9" style="2"/>
    <col min="8168" max="8169" width="3.75" style="2" customWidth="1"/>
    <col min="8170" max="8170" width="15" style="2" customWidth="1"/>
    <col min="8171" max="8174" width="12.875" style="2" customWidth="1"/>
    <col min="8175" max="8175" width="12.125" style="2" customWidth="1"/>
    <col min="8176" max="8176" width="9" style="2"/>
    <col min="8177" max="8177" width="12.25" style="2" customWidth="1"/>
    <col min="8178" max="8178" width="9.625" style="2" customWidth="1"/>
    <col min="8179" max="8180" width="9.75" style="2" customWidth="1"/>
    <col min="8181" max="8181" width="9.375" style="2" customWidth="1"/>
    <col min="8182" max="8423" width="9" style="2"/>
    <col min="8424" max="8425" width="3.75" style="2" customWidth="1"/>
    <col min="8426" max="8426" width="15" style="2" customWidth="1"/>
    <col min="8427" max="8430" width="12.875" style="2" customWidth="1"/>
    <col min="8431" max="8431" width="12.125" style="2" customWidth="1"/>
    <col min="8432" max="8432" width="9" style="2"/>
    <col min="8433" max="8433" width="12.25" style="2" customWidth="1"/>
    <col min="8434" max="8434" width="9.625" style="2" customWidth="1"/>
    <col min="8435" max="8436" width="9.75" style="2" customWidth="1"/>
    <col min="8437" max="8437" width="9.375" style="2" customWidth="1"/>
    <col min="8438" max="8679" width="9" style="2"/>
    <col min="8680" max="8681" width="3.75" style="2" customWidth="1"/>
    <col min="8682" max="8682" width="15" style="2" customWidth="1"/>
    <col min="8683" max="8686" width="12.875" style="2" customWidth="1"/>
    <col min="8687" max="8687" width="12.125" style="2" customWidth="1"/>
    <col min="8688" max="8688" width="9" style="2"/>
    <col min="8689" max="8689" width="12.25" style="2" customWidth="1"/>
    <col min="8690" max="8690" width="9.625" style="2" customWidth="1"/>
    <col min="8691" max="8692" width="9.75" style="2" customWidth="1"/>
    <col min="8693" max="8693" width="9.375" style="2" customWidth="1"/>
    <col min="8694" max="8935" width="9" style="2"/>
    <col min="8936" max="8937" width="3.75" style="2" customWidth="1"/>
    <col min="8938" max="8938" width="15" style="2" customWidth="1"/>
    <col min="8939" max="8942" width="12.875" style="2" customWidth="1"/>
    <col min="8943" max="8943" width="12.125" style="2" customWidth="1"/>
    <col min="8944" max="8944" width="9" style="2"/>
    <col min="8945" max="8945" width="12.25" style="2" customWidth="1"/>
    <col min="8946" max="8946" width="9.625" style="2" customWidth="1"/>
    <col min="8947" max="8948" width="9.75" style="2" customWidth="1"/>
    <col min="8949" max="8949" width="9.375" style="2" customWidth="1"/>
    <col min="8950" max="9191" width="9" style="2"/>
    <col min="9192" max="9193" width="3.75" style="2" customWidth="1"/>
    <col min="9194" max="9194" width="15" style="2" customWidth="1"/>
    <col min="9195" max="9198" width="12.875" style="2" customWidth="1"/>
    <col min="9199" max="9199" width="12.125" style="2" customWidth="1"/>
    <col min="9200" max="9200" width="9" style="2"/>
    <col min="9201" max="9201" width="12.25" style="2" customWidth="1"/>
    <col min="9202" max="9202" width="9.625" style="2" customWidth="1"/>
    <col min="9203" max="9204" width="9.75" style="2" customWidth="1"/>
    <col min="9205" max="9205" width="9.375" style="2" customWidth="1"/>
    <col min="9206" max="9447" width="9" style="2"/>
    <col min="9448" max="9449" width="3.75" style="2" customWidth="1"/>
    <col min="9450" max="9450" width="15" style="2" customWidth="1"/>
    <col min="9451" max="9454" width="12.875" style="2" customWidth="1"/>
    <col min="9455" max="9455" width="12.125" style="2" customWidth="1"/>
    <col min="9456" max="9456" width="9" style="2"/>
    <col min="9457" max="9457" width="12.25" style="2" customWidth="1"/>
    <col min="9458" max="9458" width="9.625" style="2" customWidth="1"/>
    <col min="9459" max="9460" width="9.75" style="2" customWidth="1"/>
    <col min="9461" max="9461" width="9.375" style="2" customWidth="1"/>
    <col min="9462" max="9703" width="9" style="2"/>
    <col min="9704" max="9705" width="3.75" style="2" customWidth="1"/>
    <col min="9706" max="9706" width="15" style="2" customWidth="1"/>
    <col min="9707" max="9710" width="12.875" style="2" customWidth="1"/>
    <col min="9711" max="9711" width="12.125" style="2" customWidth="1"/>
    <col min="9712" max="9712" width="9" style="2"/>
    <col min="9713" max="9713" width="12.25" style="2" customWidth="1"/>
    <col min="9714" max="9714" width="9.625" style="2" customWidth="1"/>
    <col min="9715" max="9716" width="9.75" style="2" customWidth="1"/>
    <col min="9717" max="9717" width="9.375" style="2" customWidth="1"/>
    <col min="9718" max="9959" width="9" style="2"/>
    <col min="9960" max="9961" width="3.75" style="2" customWidth="1"/>
    <col min="9962" max="9962" width="15" style="2" customWidth="1"/>
    <col min="9963" max="9966" width="12.875" style="2" customWidth="1"/>
    <col min="9967" max="9967" width="12.125" style="2" customWidth="1"/>
    <col min="9968" max="9968" width="9" style="2"/>
    <col min="9969" max="9969" width="12.25" style="2" customWidth="1"/>
    <col min="9970" max="9970" width="9.625" style="2" customWidth="1"/>
    <col min="9971" max="9972" width="9.75" style="2" customWidth="1"/>
    <col min="9973" max="9973" width="9.375" style="2" customWidth="1"/>
    <col min="9974" max="10215" width="9" style="2"/>
    <col min="10216" max="10217" width="3.75" style="2" customWidth="1"/>
    <col min="10218" max="10218" width="15" style="2" customWidth="1"/>
    <col min="10219" max="10222" width="12.875" style="2" customWidth="1"/>
    <col min="10223" max="10223" width="12.125" style="2" customWidth="1"/>
    <col min="10224" max="10224" width="9" style="2"/>
    <col min="10225" max="10225" width="12.25" style="2" customWidth="1"/>
    <col min="10226" max="10226" width="9.625" style="2" customWidth="1"/>
    <col min="10227" max="10228" width="9.75" style="2" customWidth="1"/>
    <col min="10229" max="10229" width="9.375" style="2" customWidth="1"/>
    <col min="10230" max="10471" width="9" style="2"/>
    <col min="10472" max="10473" width="3.75" style="2" customWidth="1"/>
    <col min="10474" max="10474" width="15" style="2" customWidth="1"/>
    <col min="10475" max="10478" width="12.875" style="2" customWidth="1"/>
    <col min="10479" max="10479" width="12.125" style="2" customWidth="1"/>
    <col min="10480" max="10480" width="9" style="2"/>
    <col min="10481" max="10481" width="12.25" style="2" customWidth="1"/>
    <col min="10482" max="10482" width="9.625" style="2" customWidth="1"/>
    <col min="10483" max="10484" width="9.75" style="2" customWidth="1"/>
    <col min="10485" max="10485" width="9.375" style="2" customWidth="1"/>
    <col min="10486" max="10727" width="9" style="2"/>
    <col min="10728" max="10729" width="3.75" style="2" customWidth="1"/>
    <col min="10730" max="10730" width="15" style="2" customWidth="1"/>
    <col min="10731" max="10734" width="12.875" style="2" customWidth="1"/>
    <col min="10735" max="10735" width="12.125" style="2" customWidth="1"/>
    <col min="10736" max="10736" width="9" style="2"/>
    <col min="10737" max="10737" width="12.25" style="2" customWidth="1"/>
    <col min="10738" max="10738" width="9.625" style="2" customWidth="1"/>
    <col min="10739" max="10740" width="9.75" style="2" customWidth="1"/>
    <col min="10741" max="10741" width="9.375" style="2" customWidth="1"/>
    <col min="10742" max="10983" width="9" style="2"/>
    <col min="10984" max="10985" width="3.75" style="2" customWidth="1"/>
    <col min="10986" max="10986" width="15" style="2" customWidth="1"/>
    <col min="10987" max="10990" width="12.875" style="2" customWidth="1"/>
    <col min="10991" max="10991" width="12.125" style="2" customWidth="1"/>
    <col min="10992" max="10992" width="9" style="2"/>
    <col min="10993" max="10993" width="12.25" style="2" customWidth="1"/>
    <col min="10994" max="10994" width="9.625" style="2" customWidth="1"/>
    <col min="10995" max="10996" width="9.75" style="2" customWidth="1"/>
    <col min="10997" max="10997" width="9.375" style="2" customWidth="1"/>
    <col min="10998" max="11239" width="9" style="2"/>
    <col min="11240" max="11241" width="3.75" style="2" customWidth="1"/>
    <col min="11242" max="11242" width="15" style="2" customWidth="1"/>
    <col min="11243" max="11246" width="12.875" style="2" customWidth="1"/>
    <col min="11247" max="11247" width="12.125" style="2" customWidth="1"/>
    <col min="11248" max="11248" width="9" style="2"/>
    <col min="11249" max="11249" width="12.25" style="2" customWidth="1"/>
    <col min="11250" max="11250" width="9.625" style="2" customWidth="1"/>
    <col min="11251" max="11252" width="9.75" style="2" customWidth="1"/>
    <col min="11253" max="11253" width="9.375" style="2" customWidth="1"/>
    <col min="11254" max="11495" width="9" style="2"/>
    <col min="11496" max="11497" width="3.75" style="2" customWidth="1"/>
    <col min="11498" max="11498" width="15" style="2" customWidth="1"/>
    <col min="11499" max="11502" width="12.875" style="2" customWidth="1"/>
    <col min="11503" max="11503" width="12.125" style="2" customWidth="1"/>
    <col min="11504" max="11504" width="9" style="2"/>
    <col min="11505" max="11505" width="12.25" style="2" customWidth="1"/>
    <col min="11506" max="11506" width="9.625" style="2" customWidth="1"/>
    <col min="11507" max="11508" width="9.75" style="2" customWidth="1"/>
    <col min="11509" max="11509" width="9.375" style="2" customWidth="1"/>
    <col min="11510" max="11751" width="9" style="2"/>
    <col min="11752" max="11753" width="3.75" style="2" customWidth="1"/>
    <col min="11754" max="11754" width="15" style="2" customWidth="1"/>
    <col min="11755" max="11758" width="12.875" style="2" customWidth="1"/>
    <col min="11759" max="11759" width="12.125" style="2" customWidth="1"/>
    <col min="11760" max="11760" width="9" style="2"/>
    <col min="11761" max="11761" width="12.25" style="2" customWidth="1"/>
    <col min="11762" max="11762" width="9.625" style="2" customWidth="1"/>
    <col min="11763" max="11764" width="9.75" style="2" customWidth="1"/>
    <col min="11765" max="11765" width="9.375" style="2" customWidth="1"/>
    <col min="11766" max="12007" width="9" style="2"/>
    <col min="12008" max="12009" width="3.75" style="2" customWidth="1"/>
    <col min="12010" max="12010" width="15" style="2" customWidth="1"/>
    <col min="12011" max="12014" width="12.875" style="2" customWidth="1"/>
    <col min="12015" max="12015" width="12.125" style="2" customWidth="1"/>
    <col min="12016" max="12016" width="9" style="2"/>
    <col min="12017" max="12017" width="12.25" style="2" customWidth="1"/>
    <col min="12018" max="12018" width="9.625" style="2" customWidth="1"/>
    <col min="12019" max="12020" width="9.75" style="2" customWidth="1"/>
    <col min="12021" max="12021" width="9.375" style="2" customWidth="1"/>
    <col min="12022" max="12263" width="9" style="2"/>
    <col min="12264" max="12265" width="3.75" style="2" customWidth="1"/>
    <col min="12266" max="12266" width="15" style="2" customWidth="1"/>
    <col min="12267" max="12270" width="12.875" style="2" customWidth="1"/>
    <col min="12271" max="12271" width="12.125" style="2" customWidth="1"/>
    <col min="12272" max="12272" width="9" style="2"/>
    <col min="12273" max="12273" width="12.25" style="2" customWidth="1"/>
    <col min="12274" max="12274" width="9.625" style="2" customWidth="1"/>
    <col min="12275" max="12276" width="9.75" style="2" customWidth="1"/>
    <col min="12277" max="12277" width="9.375" style="2" customWidth="1"/>
    <col min="12278" max="12519" width="9" style="2"/>
    <col min="12520" max="12521" width="3.75" style="2" customWidth="1"/>
    <col min="12522" max="12522" width="15" style="2" customWidth="1"/>
    <col min="12523" max="12526" width="12.875" style="2" customWidth="1"/>
    <col min="12527" max="12527" width="12.125" style="2" customWidth="1"/>
    <col min="12528" max="12528" width="9" style="2"/>
    <col min="12529" max="12529" width="12.25" style="2" customWidth="1"/>
    <col min="12530" max="12530" width="9.625" style="2" customWidth="1"/>
    <col min="12531" max="12532" width="9.75" style="2" customWidth="1"/>
    <col min="12533" max="12533" width="9.375" style="2" customWidth="1"/>
    <col min="12534" max="12775" width="9" style="2"/>
    <col min="12776" max="12777" width="3.75" style="2" customWidth="1"/>
    <col min="12778" max="12778" width="15" style="2" customWidth="1"/>
    <col min="12779" max="12782" width="12.875" style="2" customWidth="1"/>
    <col min="12783" max="12783" width="12.125" style="2" customWidth="1"/>
    <col min="12784" max="12784" width="9" style="2"/>
    <col min="12785" max="12785" width="12.25" style="2" customWidth="1"/>
    <col min="12786" max="12786" width="9.625" style="2" customWidth="1"/>
    <col min="12787" max="12788" width="9.75" style="2" customWidth="1"/>
    <col min="12789" max="12789" width="9.375" style="2" customWidth="1"/>
    <col min="12790" max="13031" width="9" style="2"/>
    <col min="13032" max="13033" width="3.75" style="2" customWidth="1"/>
    <col min="13034" max="13034" width="15" style="2" customWidth="1"/>
    <col min="13035" max="13038" width="12.875" style="2" customWidth="1"/>
    <col min="13039" max="13039" width="12.125" style="2" customWidth="1"/>
    <col min="13040" max="13040" width="9" style="2"/>
    <col min="13041" max="13041" width="12.25" style="2" customWidth="1"/>
    <col min="13042" max="13042" width="9.625" style="2" customWidth="1"/>
    <col min="13043" max="13044" width="9.75" style="2" customWidth="1"/>
    <col min="13045" max="13045" width="9.375" style="2" customWidth="1"/>
    <col min="13046" max="13287" width="9" style="2"/>
    <col min="13288" max="13289" width="3.75" style="2" customWidth="1"/>
    <col min="13290" max="13290" width="15" style="2" customWidth="1"/>
    <col min="13291" max="13294" width="12.875" style="2" customWidth="1"/>
    <col min="13295" max="13295" width="12.125" style="2" customWidth="1"/>
    <col min="13296" max="13296" width="9" style="2"/>
    <col min="13297" max="13297" width="12.25" style="2" customWidth="1"/>
    <col min="13298" max="13298" width="9.625" style="2" customWidth="1"/>
    <col min="13299" max="13300" width="9.75" style="2" customWidth="1"/>
    <col min="13301" max="13301" width="9.375" style="2" customWidth="1"/>
    <col min="13302" max="13543" width="9" style="2"/>
    <col min="13544" max="13545" width="3.75" style="2" customWidth="1"/>
    <col min="13546" max="13546" width="15" style="2" customWidth="1"/>
    <col min="13547" max="13550" width="12.875" style="2" customWidth="1"/>
    <col min="13551" max="13551" width="12.125" style="2" customWidth="1"/>
    <col min="13552" max="13552" width="9" style="2"/>
    <col min="13553" max="13553" width="12.25" style="2" customWidth="1"/>
    <col min="13554" max="13554" width="9.625" style="2" customWidth="1"/>
    <col min="13555" max="13556" width="9.75" style="2" customWidth="1"/>
    <col min="13557" max="13557" width="9.375" style="2" customWidth="1"/>
    <col min="13558" max="13799" width="9" style="2"/>
    <col min="13800" max="13801" width="3.75" style="2" customWidth="1"/>
    <col min="13802" max="13802" width="15" style="2" customWidth="1"/>
    <col min="13803" max="13806" width="12.875" style="2" customWidth="1"/>
    <col min="13807" max="13807" width="12.125" style="2" customWidth="1"/>
    <col min="13808" max="13808" width="9" style="2"/>
    <col min="13809" max="13809" width="12.25" style="2" customWidth="1"/>
    <col min="13810" max="13810" width="9.625" style="2" customWidth="1"/>
    <col min="13811" max="13812" width="9.75" style="2" customWidth="1"/>
    <col min="13813" max="13813" width="9.375" style="2" customWidth="1"/>
    <col min="13814" max="14055" width="9" style="2"/>
    <col min="14056" max="14057" width="3.75" style="2" customWidth="1"/>
    <col min="14058" max="14058" width="15" style="2" customWidth="1"/>
    <col min="14059" max="14062" width="12.875" style="2" customWidth="1"/>
    <col min="14063" max="14063" width="12.125" style="2" customWidth="1"/>
    <col min="14064" max="14064" width="9" style="2"/>
    <col min="14065" max="14065" width="12.25" style="2" customWidth="1"/>
    <col min="14066" max="14066" width="9.625" style="2" customWidth="1"/>
    <col min="14067" max="14068" width="9.75" style="2" customWidth="1"/>
    <col min="14069" max="14069" width="9.375" style="2" customWidth="1"/>
    <col min="14070" max="14311" width="9" style="2"/>
    <col min="14312" max="14313" width="3.75" style="2" customWidth="1"/>
    <col min="14314" max="14314" width="15" style="2" customWidth="1"/>
    <col min="14315" max="14318" width="12.875" style="2" customWidth="1"/>
    <col min="14319" max="14319" width="12.125" style="2" customWidth="1"/>
    <col min="14320" max="14320" width="9" style="2"/>
    <col min="14321" max="14321" width="12.25" style="2" customWidth="1"/>
    <col min="14322" max="14322" width="9.625" style="2" customWidth="1"/>
    <col min="14323" max="14324" width="9.75" style="2" customWidth="1"/>
    <col min="14325" max="14325" width="9.375" style="2" customWidth="1"/>
    <col min="14326" max="14567" width="9" style="2"/>
    <col min="14568" max="14569" width="3.75" style="2" customWidth="1"/>
    <col min="14570" max="14570" width="15" style="2" customWidth="1"/>
    <col min="14571" max="14574" width="12.875" style="2" customWidth="1"/>
    <col min="14575" max="14575" width="12.125" style="2" customWidth="1"/>
    <col min="14576" max="14576" width="9" style="2"/>
    <col min="14577" max="14577" width="12.25" style="2" customWidth="1"/>
    <col min="14578" max="14578" width="9.625" style="2" customWidth="1"/>
    <col min="14579" max="14580" width="9.75" style="2" customWidth="1"/>
    <col min="14581" max="14581" width="9.375" style="2" customWidth="1"/>
    <col min="14582" max="14823" width="9" style="2"/>
    <col min="14824" max="14825" width="3.75" style="2" customWidth="1"/>
    <col min="14826" max="14826" width="15" style="2" customWidth="1"/>
    <col min="14827" max="14830" width="12.875" style="2" customWidth="1"/>
    <col min="14831" max="14831" width="12.125" style="2" customWidth="1"/>
    <col min="14832" max="14832" width="9" style="2"/>
    <col min="14833" max="14833" width="12.25" style="2" customWidth="1"/>
    <col min="14834" max="14834" width="9.625" style="2" customWidth="1"/>
    <col min="14835" max="14836" width="9.75" style="2" customWidth="1"/>
    <col min="14837" max="14837" width="9.375" style="2" customWidth="1"/>
    <col min="14838" max="15079" width="9" style="2"/>
    <col min="15080" max="15081" width="3.75" style="2" customWidth="1"/>
    <col min="15082" max="15082" width="15" style="2" customWidth="1"/>
    <col min="15083" max="15086" width="12.875" style="2" customWidth="1"/>
    <col min="15087" max="15087" width="12.125" style="2" customWidth="1"/>
    <col min="15088" max="15088" width="9" style="2"/>
    <col min="15089" max="15089" width="12.25" style="2" customWidth="1"/>
    <col min="15090" max="15090" width="9.625" style="2" customWidth="1"/>
    <col min="15091" max="15092" width="9.75" style="2" customWidth="1"/>
    <col min="15093" max="15093" width="9.375" style="2" customWidth="1"/>
    <col min="15094" max="15335" width="9" style="2"/>
    <col min="15336" max="15337" width="3.75" style="2" customWidth="1"/>
    <col min="15338" max="15338" width="15" style="2" customWidth="1"/>
    <col min="15339" max="15342" width="12.875" style="2" customWidth="1"/>
    <col min="15343" max="15343" width="12.125" style="2" customWidth="1"/>
    <col min="15344" max="15344" width="9" style="2"/>
    <col min="15345" max="15345" width="12.25" style="2" customWidth="1"/>
    <col min="15346" max="15346" width="9.625" style="2" customWidth="1"/>
    <col min="15347" max="15348" width="9.75" style="2" customWidth="1"/>
    <col min="15349" max="15349" width="9.375" style="2" customWidth="1"/>
    <col min="15350" max="15591" width="9" style="2"/>
    <col min="15592" max="15593" width="3.75" style="2" customWidth="1"/>
    <col min="15594" max="15594" width="15" style="2" customWidth="1"/>
    <col min="15595" max="15598" width="12.875" style="2" customWidth="1"/>
    <col min="15599" max="15599" width="12.125" style="2" customWidth="1"/>
    <col min="15600" max="15600" width="9" style="2"/>
    <col min="15601" max="15601" width="12.25" style="2" customWidth="1"/>
    <col min="15602" max="15602" width="9.625" style="2" customWidth="1"/>
    <col min="15603" max="15604" width="9.75" style="2" customWidth="1"/>
    <col min="15605" max="15605" width="9.375" style="2" customWidth="1"/>
    <col min="15606" max="15847" width="9" style="2"/>
    <col min="15848" max="15849" width="3.75" style="2" customWidth="1"/>
    <col min="15850" max="15850" width="15" style="2" customWidth="1"/>
    <col min="15851" max="15854" width="12.875" style="2" customWidth="1"/>
    <col min="15855" max="15855" width="12.125" style="2" customWidth="1"/>
    <col min="15856" max="15856" width="9" style="2"/>
    <col min="15857" max="15857" width="12.25" style="2" customWidth="1"/>
    <col min="15858" max="15858" width="9.625" style="2" customWidth="1"/>
    <col min="15859" max="15860" width="9.75" style="2" customWidth="1"/>
    <col min="15861" max="15861" width="9.375" style="2" customWidth="1"/>
    <col min="15862" max="16103" width="9" style="2"/>
    <col min="16104" max="16105" width="3.75" style="2" customWidth="1"/>
    <col min="16106" max="16106" width="15" style="2" customWidth="1"/>
    <col min="16107" max="16110" width="12.875" style="2" customWidth="1"/>
    <col min="16111" max="16111" width="12.125" style="2" customWidth="1"/>
    <col min="16112" max="16112" width="9" style="2"/>
    <col min="16113" max="16113" width="12.25" style="2" customWidth="1"/>
    <col min="16114" max="16114" width="9.625" style="2" customWidth="1"/>
    <col min="16115" max="16116" width="9.75" style="2" customWidth="1"/>
    <col min="16117" max="16117" width="9.375" style="2" customWidth="1"/>
    <col min="16118" max="16384" width="9" style="2"/>
  </cols>
  <sheetData>
    <row r="1" spans="1:18" ht="20.100000000000001" customHeight="1">
      <c r="A1" s="1" t="s">
        <v>623</v>
      </c>
      <c r="B1" s="1"/>
      <c r="C1" s="1"/>
      <c r="D1" s="1"/>
    </row>
    <row r="2" spans="1:18" ht="20.100000000000001" customHeight="1">
      <c r="A2" s="2" t="s">
        <v>509</v>
      </c>
    </row>
    <row r="3" spans="1:18" ht="20.100000000000001" customHeight="1">
      <c r="A3" s="40" t="s">
        <v>974</v>
      </c>
      <c r="B3" s="40"/>
      <c r="C3" s="40"/>
      <c r="D3" s="40"/>
      <c r="M3" s="10" t="s">
        <v>624</v>
      </c>
      <c r="N3" s="10" t="s">
        <v>625</v>
      </c>
      <c r="O3" s="10"/>
      <c r="P3" s="282" t="s">
        <v>626</v>
      </c>
      <c r="Q3" s="282" t="s">
        <v>593</v>
      </c>
      <c r="R3" s="282" t="s">
        <v>627</v>
      </c>
    </row>
    <row r="4" spans="1:18" ht="20.100000000000001" customHeight="1">
      <c r="A4" s="40"/>
      <c r="B4" s="40"/>
      <c r="C4" s="40"/>
      <c r="D4" s="40"/>
      <c r="M4" s="10"/>
      <c r="N4" s="11" t="s">
        <v>626</v>
      </c>
      <c r="O4" s="11" t="s">
        <v>628</v>
      </c>
      <c r="P4" s="282"/>
      <c r="Q4" s="282"/>
      <c r="R4" s="282"/>
    </row>
    <row r="5" spans="1:18" ht="20.100000000000001" customHeight="1">
      <c r="A5" s="2" t="s">
        <v>431</v>
      </c>
      <c r="M5" s="11">
        <v>193305871</v>
      </c>
      <c r="N5" s="11">
        <v>203845142</v>
      </c>
      <c r="O5" s="11">
        <v>24575776</v>
      </c>
      <c r="P5" s="48">
        <f>SUM(M5:O5)</f>
        <v>421726789</v>
      </c>
      <c r="Q5" s="47">
        <v>107</v>
      </c>
      <c r="R5" s="11">
        <f>+ROUND(P5/Q5,0)</f>
        <v>3941372</v>
      </c>
    </row>
    <row r="6" spans="1:18" ht="20.100000000000001" customHeight="1">
      <c r="I6" s="8"/>
      <c r="K6" s="8" t="s">
        <v>512</v>
      </c>
      <c r="M6" s="11">
        <v>95734914</v>
      </c>
      <c r="N6" s="11">
        <v>100519736</v>
      </c>
      <c r="O6" s="11">
        <v>12523120</v>
      </c>
      <c r="P6" s="48">
        <f t="shared" ref="P6:P15" si="0">SUM(M6:O6)</f>
        <v>208777770</v>
      </c>
      <c r="Q6" s="47">
        <v>73</v>
      </c>
      <c r="R6" s="11">
        <f t="shared" ref="R6:R16" si="1">+ROUND(P6/Q6,0)</f>
        <v>2859969</v>
      </c>
    </row>
    <row r="7" spans="1:18" ht="20.100000000000001" customHeight="1">
      <c r="A7" s="783" t="s">
        <v>435</v>
      </c>
      <c r="B7" s="781"/>
      <c r="C7" s="787" t="s">
        <v>534</v>
      </c>
      <c r="D7" s="789" t="s">
        <v>436</v>
      </c>
      <c r="E7" s="781"/>
      <c r="F7" s="781" t="s">
        <v>437</v>
      </c>
      <c r="G7" s="781"/>
      <c r="H7" s="781" t="s">
        <v>438</v>
      </c>
      <c r="I7" s="781"/>
      <c r="J7" s="781" t="s">
        <v>439</v>
      </c>
      <c r="K7" s="782"/>
      <c r="M7" s="11">
        <v>89354702</v>
      </c>
      <c r="N7" s="11">
        <v>97903817</v>
      </c>
      <c r="O7" s="11">
        <v>7338888</v>
      </c>
      <c r="P7" s="48">
        <f t="shared" si="0"/>
        <v>194597407</v>
      </c>
      <c r="Q7" s="47">
        <v>52</v>
      </c>
      <c r="R7" s="11">
        <f t="shared" si="1"/>
        <v>3742258</v>
      </c>
    </row>
    <row r="8" spans="1:18" ht="20.100000000000001" customHeight="1">
      <c r="A8" s="784"/>
      <c r="B8" s="777"/>
      <c r="C8" s="788"/>
      <c r="D8" s="160" t="s">
        <v>535</v>
      </c>
      <c r="E8" s="273" t="s">
        <v>452</v>
      </c>
      <c r="F8" s="281" t="s">
        <v>535</v>
      </c>
      <c r="G8" s="273" t="s">
        <v>452</v>
      </c>
      <c r="H8" s="281" t="s">
        <v>535</v>
      </c>
      <c r="I8" s="273" t="s">
        <v>452</v>
      </c>
      <c r="J8" s="281" t="s">
        <v>535</v>
      </c>
      <c r="K8" s="274" t="s">
        <v>452</v>
      </c>
      <c r="M8" s="11">
        <v>129103381</v>
      </c>
      <c r="N8" s="11">
        <v>131957129</v>
      </c>
      <c r="O8" s="11">
        <v>14451552</v>
      </c>
      <c r="P8" s="48">
        <f t="shared" si="0"/>
        <v>275512062</v>
      </c>
      <c r="Q8" s="47">
        <v>116</v>
      </c>
      <c r="R8" s="11">
        <f t="shared" si="1"/>
        <v>2375104</v>
      </c>
    </row>
    <row r="9" spans="1:18" ht="20.100000000000001" customHeight="1">
      <c r="A9" s="783" t="s">
        <v>949</v>
      </c>
      <c r="B9" s="781"/>
      <c r="C9" s="156">
        <v>3600000</v>
      </c>
      <c r="D9" s="106">
        <v>118</v>
      </c>
      <c r="E9" s="101">
        <f t="shared" ref="E9:E22" si="2">+ROUND($C9*D9/1000000,0)</f>
        <v>425</v>
      </c>
      <c r="F9" s="101">
        <v>2</v>
      </c>
      <c r="G9" s="101">
        <f t="shared" ref="G9:G22" si="3">+ROUND($C9*F9/1000000,0)</f>
        <v>7</v>
      </c>
      <c r="H9" s="101">
        <v>2</v>
      </c>
      <c r="I9" s="101">
        <f t="shared" ref="I9:I22" si="4">+ROUND($C9*H9/1000000,0)</f>
        <v>7</v>
      </c>
      <c r="J9" s="101">
        <v>0</v>
      </c>
      <c r="K9" s="156">
        <f t="shared" ref="K9:K22" si="5">+ROUND($C9*J9/1000000,0)</f>
        <v>0</v>
      </c>
      <c r="M9" s="11">
        <v>21661400</v>
      </c>
      <c r="N9" s="11">
        <v>22533172</v>
      </c>
      <c r="O9" s="11">
        <v>2025766</v>
      </c>
      <c r="P9" s="48">
        <f t="shared" si="0"/>
        <v>46220338</v>
      </c>
      <c r="Q9" s="47">
        <v>19</v>
      </c>
      <c r="R9" s="11">
        <f t="shared" si="1"/>
        <v>2432649</v>
      </c>
    </row>
    <row r="10" spans="1:18" ht="20.100000000000001" customHeight="1">
      <c r="A10" s="780" t="s">
        <v>950</v>
      </c>
      <c r="B10" s="852"/>
      <c r="C10" s="153">
        <v>3600000</v>
      </c>
      <c r="D10" s="139">
        <v>107</v>
      </c>
      <c r="E10" s="94">
        <f t="shared" si="2"/>
        <v>385</v>
      </c>
      <c r="F10" s="94">
        <v>21</v>
      </c>
      <c r="G10" s="94">
        <f t="shared" si="3"/>
        <v>76</v>
      </c>
      <c r="H10" s="94">
        <v>15</v>
      </c>
      <c r="I10" s="94">
        <f t="shared" si="4"/>
        <v>54</v>
      </c>
      <c r="J10" s="94">
        <v>0</v>
      </c>
      <c r="K10" s="153">
        <f t="shared" si="5"/>
        <v>0</v>
      </c>
      <c r="M10" s="11">
        <v>321519096</v>
      </c>
      <c r="N10" s="11">
        <v>271581762</v>
      </c>
      <c r="O10" s="11">
        <v>53437600</v>
      </c>
      <c r="P10" s="48">
        <f t="shared" si="0"/>
        <v>646538458</v>
      </c>
      <c r="Q10" s="47">
        <v>252</v>
      </c>
      <c r="R10" s="11">
        <f t="shared" si="1"/>
        <v>2565629</v>
      </c>
    </row>
    <row r="11" spans="1:18" ht="20.100000000000001" customHeight="1">
      <c r="A11" s="780"/>
      <c r="B11" s="852"/>
      <c r="C11" s="153">
        <v>3600000</v>
      </c>
      <c r="D11" s="139"/>
      <c r="E11" s="94">
        <f t="shared" si="2"/>
        <v>0</v>
      </c>
      <c r="F11" s="94">
        <v>0</v>
      </c>
      <c r="G11" s="94">
        <f t="shared" si="3"/>
        <v>0</v>
      </c>
      <c r="H11" s="94">
        <v>0</v>
      </c>
      <c r="I11" s="94">
        <f t="shared" si="4"/>
        <v>0</v>
      </c>
      <c r="J11" s="94">
        <v>0</v>
      </c>
      <c r="K11" s="153">
        <f t="shared" si="5"/>
        <v>0</v>
      </c>
      <c r="M11" s="11">
        <v>508869614</v>
      </c>
      <c r="N11" s="11">
        <v>691056465</v>
      </c>
      <c r="O11" s="11">
        <v>66880104</v>
      </c>
      <c r="P11" s="48">
        <f t="shared" si="0"/>
        <v>1266806183</v>
      </c>
      <c r="Q11" s="47">
        <v>364</v>
      </c>
      <c r="R11" s="11">
        <f t="shared" si="1"/>
        <v>3480237</v>
      </c>
    </row>
    <row r="12" spans="1:18" ht="20.100000000000001" customHeight="1">
      <c r="A12" s="780"/>
      <c r="B12" s="852"/>
      <c r="C12" s="153">
        <v>3600000</v>
      </c>
      <c r="D12" s="139"/>
      <c r="E12" s="94">
        <f t="shared" si="2"/>
        <v>0</v>
      </c>
      <c r="F12" s="94">
        <v>0</v>
      </c>
      <c r="G12" s="94">
        <f t="shared" si="3"/>
        <v>0</v>
      </c>
      <c r="H12" s="94">
        <v>0</v>
      </c>
      <c r="I12" s="94">
        <f t="shared" si="4"/>
        <v>0</v>
      </c>
      <c r="J12" s="94">
        <v>0</v>
      </c>
      <c r="K12" s="153">
        <f t="shared" si="5"/>
        <v>0</v>
      </c>
      <c r="M12" s="11">
        <v>388284221</v>
      </c>
      <c r="N12" s="11">
        <v>446895877</v>
      </c>
      <c r="O12" s="11">
        <v>43100796</v>
      </c>
      <c r="P12" s="48">
        <f t="shared" si="0"/>
        <v>878280894</v>
      </c>
      <c r="Q12" s="47">
        <v>294</v>
      </c>
      <c r="R12" s="11">
        <f t="shared" si="1"/>
        <v>2987350</v>
      </c>
    </row>
    <row r="13" spans="1:18" ht="20.100000000000001" customHeight="1">
      <c r="A13" s="780"/>
      <c r="B13" s="852"/>
      <c r="C13" s="153">
        <v>3600000</v>
      </c>
      <c r="D13" s="139"/>
      <c r="E13" s="94">
        <f t="shared" si="2"/>
        <v>0</v>
      </c>
      <c r="F13" s="94">
        <v>0</v>
      </c>
      <c r="G13" s="94">
        <f t="shared" si="3"/>
        <v>0</v>
      </c>
      <c r="H13" s="94">
        <v>0</v>
      </c>
      <c r="I13" s="94">
        <f t="shared" si="4"/>
        <v>0</v>
      </c>
      <c r="J13" s="94">
        <v>0</v>
      </c>
      <c r="K13" s="153">
        <f t="shared" si="5"/>
        <v>0</v>
      </c>
      <c r="M13" s="11">
        <v>99787094</v>
      </c>
      <c r="N13" s="11">
        <v>108760799</v>
      </c>
      <c r="O13" s="11">
        <v>14516482</v>
      </c>
      <c r="P13" s="48">
        <f t="shared" si="0"/>
        <v>223064375</v>
      </c>
      <c r="Q13" s="47">
        <v>113</v>
      </c>
      <c r="R13" s="11">
        <f t="shared" si="1"/>
        <v>1974021</v>
      </c>
    </row>
    <row r="14" spans="1:18" ht="20.100000000000001" customHeight="1">
      <c r="A14" s="780"/>
      <c r="B14" s="852"/>
      <c r="C14" s="153">
        <v>3600000</v>
      </c>
      <c r="D14" s="139"/>
      <c r="E14" s="94">
        <f t="shared" si="2"/>
        <v>0</v>
      </c>
      <c r="F14" s="94">
        <v>0</v>
      </c>
      <c r="G14" s="94">
        <f t="shared" si="3"/>
        <v>0</v>
      </c>
      <c r="H14" s="94">
        <v>0</v>
      </c>
      <c r="I14" s="94">
        <f t="shared" si="4"/>
        <v>0</v>
      </c>
      <c r="J14" s="94">
        <v>0</v>
      </c>
      <c r="K14" s="153">
        <f t="shared" si="5"/>
        <v>0</v>
      </c>
      <c r="M14" s="11">
        <v>38001052</v>
      </c>
      <c r="N14" s="11">
        <v>34898329</v>
      </c>
      <c r="O14" s="11">
        <v>7583968</v>
      </c>
      <c r="P14" s="48">
        <f t="shared" si="0"/>
        <v>80483349</v>
      </c>
      <c r="Q14" s="47">
        <f>23+34</f>
        <v>57</v>
      </c>
      <c r="R14" s="11">
        <f t="shared" si="1"/>
        <v>1411989</v>
      </c>
    </row>
    <row r="15" spans="1:18" ht="20.100000000000001" customHeight="1">
      <c r="A15" s="780"/>
      <c r="B15" s="852"/>
      <c r="C15" s="153">
        <v>3600000</v>
      </c>
      <c r="D15" s="139"/>
      <c r="E15" s="94">
        <f t="shared" si="2"/>
        <v>0</v>
      </c>
      <c r="F15" s="94">
        <v>0</v>
      </c>
      <c r="G15" s="94">
        <f t="shared" si="3"/>
        <v>0</v>
      </c>
      <c r="H15" s="94">
        <v>0</v>
      </c>
      <c r="I15" s="94">
        <f t="shared" si="4"/>
        <v>0</v>
      </c>
      <c r="J15" s="94">
        <v>0</v>
      </c>
      <c r="K15" s="153">
        <f t="shared" si="5"/>
        <v>0</v>
      </c>
      <c r="M15" s="11">
        <v>40549116</v>
      </c>
      <c r="N15" s="11">
        <v>23501224</v>
      </c>
      <c r="O15" s="11">
        <v>4775574</v>
      </c>
      <c r="P15" s="48">
        <f t="shared" si="0"/>
        <v>68825914</v>
      </c>
      <c r="Q15" s="47">
        <v>32</v>
      </c>
      <c r="R15" s="11">
        <f t="shared" si="1"/>
        <v>2150810</v>
      </c>
    </row>
    <row r="16" spans="1:18" ht="20.100000000000001" customHeight="1">
      <c r="A16" s="780"/>
      <c r="B16" s="852"/>
      <c r="C16" s="153">
        <v>3600000</v>
      </c>
      <c r="D16" s="139"/>
      <c r="E16" s="94">
        <f t="shared" si="2"/>
        <v>0</v>
      </c>
      <c r="F16" s="94">
        <v>0</v>
      </c>
      <c r="G16" s="94">
        <f t="shared" si="3"/>
        <v>0</v>
      </c>
      <c r="H16" s="94">
        <v>0</v>
      </c>
      <c r="I16" s="94">
        <f t="shared" si="4"/>
        <v>0</v>
      </c>
      <c r="J16" s="94">
        <v>0</v>
      </c>
      <c r="K16" s="153">
        <f t="shared" si="5"/>
        <v>0</v>
      </c>
      <c r="M16" s="11">
        <f>SUM(M5:M15)</f>
        <v>1926170461</v>
      </c>
      <c r="N16" s="11">
        <f>SUM(N5:N15)</f>
        <v>2133453452</v>
      </c>
      <c r="O16" s="11">
        <f>SUM(O5:O15)</f>
        <v>251209626</v>
      </c>
      <c r="P16" s="48">
        <f>SUM(P5:P15)</f>
        <v>4310833539</v>
      </c>
      <c r="Q16" s="47">
        <f>SUM(Q5:Q15)</f>
        <v>1479</v>
      </c>
      <c r="R16" s="11">
        <f t="shared" si="1"/>
        <v>2914695</v>
      </c>
    </row>
    <row r="17" spans="1:22" ht="20.100000000000001" customHeight="1">
      <c r="A17" s="780"/>
      <c r="B17" s="852"/>
      <c r="C17" s="153">
        <v>3600000</v>
      </c>
      <c r="D17" s="139"/>
      <c r="E17" s="94">
        <f t="shared" si="2"/>
        <v>0</v>
      </c>
      <c r="F17" s="94">
        <v>0</v>
      </c>
      <c r="G17" s="94">
        <f t="shared" si="3"/>
        <v>0</v>
      </c>
      <c r="H17" s="94">
        <v>0</v>
      </c>
      <c r="I17" s="94">
        <f t="shared" si="4"/>
        <v>0</v>
      </c>
      <c r="J17" s="94">
        <v>0</v>
      </c>
      <c r="K17" s="153">
        <f t="shared" si="5"/>
        <v>0</v>
      </c>
    </row>
    <row r="18" spans="1:22" ht="20.100000000000001" customHeight="1">
      <c r="A18" s="780"/>
      <c r="B18" s="852"/>
      <c r="C18" s="153">
        <v>3600000</v>
      </c>
      <c r="D18" s="139"/>
      <c r="E18" s="94">
        <f t="shared" si="2"/>
        <v>0</v>
      </c>
      <c r="F18" s="94">
        <v>0</v>
      </c>
      <c r="G18" s="94">
        <f t="shared" si="3"/>
        <v>0</v>
      </c>
      <c r="H18" s="94">
        <v>0</v>
      </c>
      <c r="I18" s="94">
        <f t="shared" si="4"/>
        <v>0</v>
      </c>
      <c r="J18" s="94">
        <v>0</v>
      </c>
      <c r="K18" s="153">
        <f t="shared" si="5"/>
        <v>0</v>
      </c>
      <c r="M18" s="235" t="s">
        <v>346</v>
      </c>
      <c r="N18" s="249"/>
      <c r="O18" s="249"/>
      <c r="P18" s="249"/>
      <c r="Q18" s="249"/>
      <c r="R18" s="249"/>
      <c r="S18" s="249"/>
      <c r="T18" s="249"/>
      <c r="U18" s="249"/>
      <c r="V18" s="249"/>
    </row>
    <row r="19" spans="1:22" ht="20.100000000000001" customHeight="1">
      <c r="A19" s="780"/>
      <c r="B19" s="852"/>
      <c r="C19" s="153">
        <v>3600000</v>
      </c>
      <c r="D19" s="139"/>
      <c r="E19" s="94">
        <f t="shared" si="2"/>
        <v>0</v>
      </c>
      <c r="F19" s="94">
        <v>0</v>
      </c>
      <c r="G19" s="94">
        <f t="shared" si="3"/>
        <v>0</v>
      </c>
      <c r="H19" s="94">
        <v>0</v>
      </c>
      <c r="I19" s="94">
        <f t="shared" si="4"/>
        <v>0</v>
      </c>
      <c r="J19" s="94">
        <v>0</v>
      </c>
      <c r="K19" s="153">
        <f t="shared" si="5"/>
        <v>0</v>
      </c>
      <c r="M19" s="853" t="s">
        <v>347</v>
      </c>
      <c r="N19" s="854"/>
      <c r="O19" s="855"/>
      <c r="P19" s="250" t="s">
        <v>348</v>
      </c>
      <c r="Q19" s="250" t="s">
        <v>349</v>
      </c>
      <c r="R19" s="250" t="s">
        <v>350</v>
      </c>
      <c r="S19" s="250" t="s">
        <v>351</v>
      </c>
      <c r="T19" s="251" t="s">
        <v>352</v>
      </c>
      <c r="U19" s="250" t="s">
        <v>353</v>
      </c>
      <c r="V19" s="252" t="s">
        <v>354</v>
      </c>
    </row>
    <row r="20" spans="1:22" ht="20.100000000000001" customHeight="1">
      <c r="A20" s="780"/>
      <c r="B20" s="852"/>
      <c r="C20" s="153">
        <v>3600000</v>
      </c>
      <c r="D20" s="139"/>
      <c r="E20" s="94">
        <f t="shared" si="2"/>
        <v>0</v>
      </c>
      <c r="F20" s="94">
        <v>0</v>
      </c>
      <c r="G20" s="94">
        <f t="shared" si="3"/>
        <v>0</v>
      </c>
      <c r="H20" s="94">
        <v>0</v>
      </c>
      <c r="I20" s="94">
        <f t="shared" si="4"/>
        <v>0</v>
      </c>
      <c r="J20" s="94">
        <v>0</v>
      </c>
      <c r="K20" s="153">
        <f t="shared" si="5"/>
        <v>0</v>
      </c>
      <c r="M20" s="856" t="s">
        <v>355</v>
      </c>
      <c r="N20" s="859" t="s">
        <v>356</v>
      </c>
      <c r="O20" s="860"/>
      <c r="P20" s="253" t="s">
        <v>357</v>
      </c>
      <c r="Q20" s="254">
        <v>1.3</v>
      </c>
      <c r="R20" s="254">
        <v>0.8</v>
      </c>
      <c r="S20" s="254">
        <v>4.2</v>
      </c>
      <c r="T20" s="254">
        <v>3.7</v>
      </c>
      <c r="U20" s="254">
        <v>10</v>
      </c>
      <c r="V20" s="255"/>
    </row>
    <row r="21" spans="1:22" ht="20.100000000000001" customHeight="1">
      <c r="A21" s="780"/>
      <c r="B21" s="852"/>
      <c r="C21" s="153">
        <v>3600000</v>
      </c>
      <c r="D21" s="139"/>
      <c r="E21" s="94">
        <f t="shared" si="2"/>
        <v>0</v>
      </c>
      <c r="F21" s="94">
        <v>0</v>
      </c>
      <c r="G21" s="94">
        <f t="shared" si="3"/>
        <v>0</v>
      </c>
      <c r="H21" s="94">
        <v>0</v>
      </c>
      <c r="I21" s="94">
        <f t="shared" si="4"/>
        <v>0</v>
      </c>
      <c r="J21" s="94">
        <v>0</v>
      </c>
      <c r="K21" s="153">
        <f t="shared" si="5"/>
        <v>0</v>
      </c>
      <c r="M21" s="857"/>
      <c r="N21" s="861" t="s">
        <v>358</v>
      </c>
      <c r="O21" s="244" t="s">
        <v>359</v>
      </c>
      <c r="P21" s="253" t="s">
        <v>360</v>
      </c>
      <c r="Q21" s="256">
        <v>18886</v>
      </c>
      <c r="R21" s="256">
        <v>78744</v>
      </c>
      <c r="S21" s="256">
        <v>59951</v>
      </c>
      <c r="T21" s="256">
        <v>73895</v>
      </c>
      <c r="U21" s="257"/>
      <c r="V21" s="255"/>
    </row>
    <row r="22" spans="1:22" ht="20.100000000000001" customHeight="1">
      <c r="A22" s="780"/>
      <c r="B22" s="852"/>
      <c r="C22" s="153">
        <v>3600000</v>
      </c>
      <c r="D22" s="139"/>
      <c r="E22" s="94">
        <f t="shared" si="2"/>
        <v>0</v>
      </c>
      <c r="F22" s="94">
        <v>0</v>
      </c>
      <c r="G22" s="94">
        <f t="shared" si="3"/>
        <v>0</v>
      </c>
      <c r="H22" s="94">
        <v>0</v>
      </c>
      <c r="I22" s="94">
        <f t="shared" si="4"/>
        <v>0</v>
      </c>
      <c r="J22" s="94">
        <v>0</v>
      </c>
      <c r="K22" s="153">
        <f t="shared" si="5"/>
        <v>0</v>
      </c>
      <c r="M22" s="857"/>
      <c r="N22" s="862"/>
      <c r="O22" s="244" t="s">
        <v>361</v>
      </c>
      <c r="P22" s="253" t="s">
        <v>362</v>
      </c>
      <c r="Q22" s="256">
        <v>24551</v>
      </c>
      <c r="R22" s="256">
        <v>62995</v>
      </c>
      <c r="S22" s="256">
        <v>251794</v>
      </c>
      <c r="T22" s="256">
        <v>273411</v>
      </c>
      <c r="U22" s="256">
        <v>612751</v>
      </c>
      <c r="V22" s="255"/>
    </row>
    <row r="23" spans="1:22" ht="20.100000000000001" customHeight="1">
      <c r="A23" s="784" t="s">
        <v>481</v>
      </c>
      <c r="B23" s="777"/>
      <c r="C23" s="165">
        <f>+C20</f>
        <v>3600000</v>
      </c>
      <c r="D23" s="166">
        <f>SUM(D9:D22)</f>
        <v>225</v>
      </c>
      <c r="E23" s="164">
        <f>SUM(E9:E22)</f>
        <v>810</v>
      </c>
      <c r="F23" s="164">
        <f t="shared" ref="F23:K23" si="6">SUM(F9:F20)</f>
        <v>23</v>
      </c>
      <c r="G23" s="164">
        <f t="shared" si="6"/>
        <v>83</v>
      </c>
      <c r="H23" s="164">
        <f t="shared" si="6"/>
        <v>17</v>
      </c>
      <c r="I23" s="164">
        <f t="shared" si="6"/>
        <v>61</v>
      </c>
      <c r="J23" s="164">
        <f t="shared" si="6"/>
        <v>0</v>
      </c>
      <c r="K23" s="165">
        <f t="shared" si="6"/>
        <v>0</v>
      </c>
      <c r="M23" s="857"/>
      <c r="N23" s="861" t="s">
        <v>363</v>
      </c>
      <c r="O23" s="244" t="s">
        <v>359</v>
      </c>
      <c r="P23" s="253" t="s">
        <v>360</v>
      </c>
      <c r="Q23" s="804">
        <v>21944</v>
      </c>
      <c r="R23" s="863"/>
      <c r="S23" s="863"/>
      <c r="T23" s="805"/>
      <c r="U23" s="257"/>
      <c r="V23" s="255"/>
    </row>
    <row r="24" spans="1:22" ht="20.100000000000001" customHeight="1">
      <c r="C24" s="63"/>
      <c r="D24" s="63"/>
      <c r="M24" s="858"/>
      <c r="N24" s="862"/>
      <c r="O24" s="244" t="s">
        <v>361</v>
      </c>
      <c r="P24" s="253" t="s">
        <v>362</v>
      </c>
      <c r="Q24" s="256">
        <v>28527</v>
      </c>
      <c r="R24" s="256">
        <v>17555</v>
      </c>
      <c r="S24" s="256">
        <v>92164</v>
      </c>
      <c r="T24" s="256">
        <v>81192</v>
      </c>
      <c r="U24" s="256">
        <v>219438</v>
      </c>
      <c r="V24" s="255"/>
    </row>
    <row r="25" spans="1:22" ht="20.100000000000001" customHeight="1">
      <c r="C25" s="63"/>
      <c r="D25" s="63"/>
      <c r="M25" s="856" t="s">
        <v>364</v>
      </c>
      <c r="N25" s="859" t="s">
        <v>356</v>
      </c>
      <c r="O25" s="860"/>
      <c r="P25" s="253" t="s">
        <v>357</v>
      </c>
      <c r="Q25" s="258">
        <v>9.6</v>
      </c>
      <c r="R25" s="258">
        <v>0.3</v>
      </c>
      <c r="S25" s="258">
        <v>21.5</v>
      </c>
      <c r="T25" s="258">
        <v>1.7</v>
      </c>
      <c r="U25" s="254">
        <v>33</v>
      </c>
      <c r="V25" s="255"/>
    </row>
    <row r="26" spans="1:22" ht="20.100000000000001" customHeight="1">
      <c r="C26" s="63"/>
      <c r="D26" s="63"/>
      <c r="M26" s="857"/>
      <c r="N26" s="861" t="s">
        <v>358</v>
      </c>
      <c r="O26" s="244" t="s">
        <v>359</v>
      </c>
      <c r="P26" s="253" t="s">
        <v>360</v>
      </c>
      <c r="Q26" s="256">
        <v>18583</v>
      </c>
      <c r="R26" s="256">
        <v>62583</v>
      </c>
      <c r="S26" s="256">
        <v>51107</v>
      </c>
      <c r="T26" s="256">
        <v>55904</v>
      </c>
      <c r="U26" s="257"/>
      <c r="V26" s="255"/>
    </row>
    <row r="27" spans="1:22" ht="20.100000000000001" customHeight="1">
      <c r="M27" s="857"/>
      <c r="N27" s="862"/>
      <c r="O27" s="244" t="s">
        <v>361</v>
      </c>
      <c r="P27" s="253" t="s">
        <v>362</v>
      </c>
      <c r="Q27" s="256">
        <v>177839</v>
      </c>
      <c r="R27" s="256">
        <v>20652</v>
      </c>
      <c r="S27" s="256">
        <v>1096245</v>
      </c>
      <c r="T27" s="256">
        <v>92240</v>
      </c>
      <c r="U27" s="256">
        <v>1386976</v>
      </c>
      <c r="V27" s="255"/>
    </row>
    <row r="28" spans="1:22" ht="20.100000000000001" customHeight="1">
      <c r="M28" s="857"/>
      <c r="N28" s="861" t="s">
        <v>363</v>
      </c>
      <c r="O28" s="244" t="s">
        <v>359</v>
      </c>
      <c r="P28" s="253" t="s">
        <v>360</v>
      </c>
      <c r="Q28" s="804">
        <v>8449</v>
      </c>
      <c r="R28" s="863"/>
      <c r="S28" s="863"/>
      <c r="T28" s="805"/>
      <c r="U28" s="257"/>
      <c r="V28" s="255"/>
    </row>
    <row r="29" spans="1:22" ht="20.100000000000001" customHeight="1">
      <c r="M29" s="858"/>
      <c r="N29" s="862"/>
      <c r="O29" s="244" t="s">
        <v>361</v>
      </c>
      <c r="P29" s="253" t="s">
        <v>362</v>
      </c>
      <c r="Q29" s="256">
        <v>80856</v>
      </c>
      <c r="R29" s="256">
        <v>2788</v>
      </c>
      <c r="S29" s="256">
        <v>181231</v>
      </c>
      <c r="T29" s="256">
        <v>13940</v>
      </c>
      <c r="U29" s="256">
        <v>278815</v>
      </c>
      <c r="V29" s="255"/>
    </row>
    <row r="30" spans="1:22" ht="20.100000000000001" customHeight="1">
      <c r="M30" s="864" t="s">
        <v>365</v>
      </c>
      <c r="N30" s="865"/>
      <c r="O30" s="860"/>
      <c r="P30" s="253" t="s">
        <v>366</v>
      </c>
      <c r="Q30" s="866" t="s">
        <v>367</v>
      </c>
      <c r="R30" s="867"/>
      <c r="S30" s="867"/>
      <c r="T30" s="868"/>
      <c r="U30" s="256">
        <v>225000</v>
      </c>
      <c r="V30" s="255"/>
    </row>
    <row r="31" spans="1:22" ht="20.100000000000001" customHeight="1">
      <c r="M31" s="295" t="s">
        <v>368</v>
      </c>
      <c r="N31" s="260"/>
      <c r="O31" s="294" t="s">
        <v>369</v>
      </c>
      <c r="P31" s="253" t="s">
        <v>362</v>
      </c>
      <c r="Q31" s="804">
        <v>2722980</v>
      </c>
      <c r="R31" s="863"/>
      <c r="S31" s="863"/>
      <c r="T31" s="805"/>
      <c r="U31" s="256">
        <v>2722980</v>
      </c>
      <c r="V31" s="255"/>
    </row>
    <row r="32" spans="1:22" ht="20.100000000000001" customHeight="1">
      <c r="M32" s="869" t="s">
        <v>370</v>
      </c>
      <c r="N32" s="871" t="s">
        <v>371</v>
      </c>
      <c r="O32" s="873" t="s">
        <v>372</v>
      </c>
      <c r="P32" s="253" t="s">
        <v>373</v>
      </c>
      <c r="Q32" s="875">
        <v>0.05</v>
      </c>
      <c r="R32" s="876"/>
      <c r="S32" s="876"/>
      <c r="T32" s="877"/>
      <c r="U32" s="257"/>
      <c r="V32" s="255"/>
    </row>
    <row r="33" spans="13:22" ht="20.100000000000001" customHeight="1">
      <c r="M33" s="870"/>
      <c r="N33" s="872"/>
      <c r="O33" s="874"/>
      <c r="P33" s="253" t="s">
        <v>362</v>
      </c>
      <c r="Q33" s="804">
        <v>136149</v>
      </c>
      <c r="R33" s="863"/>
      <c r="S33" s="863"/>
      <c r="T33" s="805"/>
      <c r="U33" s="256">
        <v>136149</v>
      </c>
      <c r="V33" s="255"/>
    </row>
    <row r="34" spans="13:22" ht="20.100000000000001" customHeight="1">
      <c r="M34" s="869" t="s">
        <v>374</v>
      </c>
      <c r="N34" s="871" t="s">
        <v>375</v>
      </c>
      <c r="O34" s="873" t="s">
        <v>376</v>
      </c>
      <c r="P34" s="253" t="s">
        <v>373</v>
      </c>
      <c r="Q34" s="875">
        <v>0.35</v>
      </c>
      <c r="R34" s="876"/>
      <c r="S34" s="876"/>
      <c r="T34" s="877"/>
      <c r="U34" s="257"/>
      <c r="V34" s="255"/>
    </row>
    <row r="35" spans="13:22" ht="20.100000000000001" customHeight="1">
      <c r="M35" s="870"/>
      <c r="N35" s="872"/>
      <c r="O35" s="874"/>
      <c r="P35" s="253" t="s">
        <v>362</v>
      </c>
      <c r="Q35" s="804">
        <v>1000695</v>
      </c>
      <c r="R35" s="863"/>
      <c r="S35" s="863"/>
      <c r="T35" s="805"/>
      <c r="U35" s="256">
        <v>1000695</v>
      </c>
      <c r="V35" s="255"/>
    </row>
    <row r="36" spans="13:22" ht="20.100000000000001" customHeight="1">
      <c r="M36" s="262" t="s">
        <v>372</v>
      </c>
      <c r="N36" s="263" t="s">
        <v>377</v>
      </c>
      <c r="O36" s="264" t="s">
        <v>376</v>
      </c>
      <c r="P36" s="265" t="s">
        <v>378</v>
      </c>
      <c r="Q36" s="878">
        <v>3859824</v>
      </c>
      <c r="R36" s="879"/>
      <c r="S36" s="879"/>
      <c r="T36" s="879"/>
      <c r="U36" s="880"/>
      <c r="V36" s="266"/>
    </row>
    <row r="37" spans="13:22" ht="20.100000000000001" customHeight="1"/>
    <row r="38" spans="13:22" ht="20.100000000000001" customHeight="1"/>
    <row r="39" spans="13:22" ht="20.100000000000001" customHeight="1"/>
    <row r="40" spans="13:22" ht="20.100000000000001" customHeight="1"/>
    <row r="41" spans="13:22" ht="20.100000000000001" customHeight="1"/>
    <row r="42" spans="13:22" ht="20.100000000000001" customHeight="1"/>
    <row r="43" spans="13:22" ht="20.100000000000001" customHeight="1"/>
    <row r="44" spans="13:22" ht="20.100000000000001" customHeight="1"/>
    <row r="45" spans="13:22" ht="20.100000000000001" customHeight="1"/>
    <row r="46" spans="13:22" ht="20.100000000000001" customHeight="1"/>
    <row r="47" spans="13:22" ht="20.100000000000001" customHeight="1"/>
    <row r="48" spans="13:22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</sheetData>
  <mergeCells count="46">
    <mergeCell ref="J7:K7"/>
    <mergeCell ref="A7:B8"/>
    <mergeCell ref="C7:C8"/>
    <mergeCell ref="D7:E7"/>
    <mergeCell ref="F7:G7"/>
    <mergeCell ref="H7:I7"/>
    <mergeCell ref="M19:O19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M20:M24"/>
    <mergeCell ref="N20:O20"/>
    <mergeCell ref="A21:B21"/>
    <mergeCell ref="N21:N22"/>
    <mergeCell ref="A22:B22"/>
    <mergeCell ref="A23:B23"/>
    <mergeCell ref="N23:N24"/>
    <mergeCell ref="Q23:T23"/>
    <mergeCell ref="M25:M29"/>
    <mergeCell ref="N25:O25"/>
    <mergeCell ref="N26:N27"/>
    <mergeCell ref="N28:N29"/>
    <mergeCell ref="Q28:T28"/>
    <mergeCell ref="Q36:U36"/>
    <mergeCell ref="M30:O30"/>
    <mergeCell ref="Q30:T30"/>
    <mergeCell ref="Q31:T31"/>
    <mergeCell ref="M32:M33"/>
    <mergeCell ref="N32:N33"/>
    <mergeCell ref="O32:O33"/>
    <mergeCell ref="Q32:T32"/>
    <mergeCell ref="Q33:T33"/>
    <mergeCell ref="M34:M35"/>
    <mergeCell ref="N34:N35"/>
    <mergeCell ref="O34:O35"/>
    <mergeCell ref="Q34:T34"/>
    <mergeCell ref="Q35:T35"/>
  </mergeCells>
  <phoneticPr fontId="4" type="noConversion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view="pageBreakPreview" zoomScaleNormal="100" zoomScaleSheetLayoutView="100" workbookViewId="0"/>
    <sheetView workbookViewId="1"/>
  </sheetViews>
  <sheetFormatPr defaultRowHeight="12"/>
  <cols>
    <col min="1" max="1" width="5.75" style="2" customWidth="1"/>
    <col min="2" max="2" width="5.5" style="2" customWidth="1"/>
    <col min="3" max="10" width="8.625" style="2" customWidth="1"/>
    <col min="11" max="11" width="9" style="2"/>
    <col min="12" max="12" width="12.875" style="2" bestFit="1" customWidth="1"/>
    <col min="13" max="13" width="11.625" style="63" bestFit="1" customWidth="1"/>
    <col min="14" max="14" width="11.75" style="63" customWidth="1"/>
    <col min="15" max="15" width="12.875" style="2" bestFit="1" customWidth="1"/>
    <col min="16" max="16" width="9" style="2"/>
    <col min="17" max="17" width="9.625" style="2" bestFit="1" customWidth="1"/>
    <col min="18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14" ht="20.100000000000001" customHeight="1">
      <c r="A1" s="1" t="s">
        <v>629</v>
      </c>
      <c r="B1" s="1"/>
      <c r="C1" s="1"/>
    </row>
    <row r="2" spans="1:14" ht="20.100000000000001" customHeight="1">
      <c r="A2" s="2" t="s">
        <v>509</v>
      </c>
    </row>
    <row r="3" spans="1:14" ht="20.100000000000001" customHeight="1">
      <c r="A3" s="40" t="s">
        <v>1063</v>
      </c>
      <c r="B3" s="40"/>
      <c r="C3" s="40"/>
      <c r="M3" s="2"/>
      <c r="N3" s="2"/>
    </row>
    <row r="4" spans="1:14" ht="20.100000000000001" customHeight="1">
      <c r="A4" s="40" t="s">
        <v>630</v>
      </c>
      <c r="B4" s="40"/>
      <c r="C4" s="40"/>
      <c r="M4" s="2"/>
      <c r="N4" s="2"/>
    </row>
    <row r="5" spans="1:14" ht="20.100000000000001" customHeight="1">
      <c r="A5" s="2" t="s">
        <v>431</v>
      </c>
      <c r="M5" s="2"/>
      <c r="N5" s="2"/>
    </row>
    <row r="6" spans="1:14" ht="20.100000000000001" customHeight="1">
      <c r="H6" s="8"/>
      <c r="J6" s="8" t="s">
        <v>512</v>
      </c>
      <c r="M6" s="2"/>
      <c r="N6" s="2"/>
    </row>
    <row r="7" spans="1:14" ht="20.100000000000001" customHeight="1">
      <c r="A7" s="783" t="s">
        <v>435</v>
      </c>
      <c r="B7" s="782"/>
      <c r="C7" s="789" t="s">
        <v>436</v>
      </c>
      <c r="D7" s="781"/>
      <c r="E7" s="781" t="s">
        <v>437</v>
      </c>
      <c r="F7" s="781"/>
      <c r="G7" s="781" t="s">
        <v>438</v>
      </c>
      <c r="H7" s="781"/>
      <c r="I7" s="781" t="s">
        <v>439</v>
      </c>
      <c r="J7" s="782"/>
      <c r="M7" s="2"/>
      <c r="N7" s="2"/>
    </row>
    <row r="8" spans="1:14" ht="30" customHeight="1">
      <c r="A8" s="784"/>
      <c r="B8" s="778"/>
      <c r="C8" s="316" t="s">
        <v>631</v>
      </c>
      <c r="D8" s="458" t="s">
        <v>452</v>
      </c>
      <c r="E8" s="457" t="s">
        <v>631</v>
      </c>
      <c r="F8" s="458" t="s">
        <v>452</v>
      </c>
      <c r="G8" s="457" t="s">
        <v>631</v>
      </c>
      <c r="H8" s="458" t="s">
        <v>452</v>
      </c>
      <c r="I8" s="457" t="s">
        <v>631</v>
      </c>
      <c r="J8" s="319" t="s">
        <v>452</v>
      </c>
      <c r="M8" s="2"/>
      <c r="N8" s="2"/>
    </row>
    <row r="9" spans="1:14" ht="20.100000000000001" customHeight="1">
      <c r="A9" s="848" t="s">
        <v>833</v>
      </c>
      <c r="B9" s="478" t="s">
        <v>834</v>
      </c>
      <c r="C9" s="480">
        <v>0.3</v>
      </c>
      <c r="D9" s="353">
        <f>+ROUND(0.0292*(C9*60*24)+83.662,0)</f>
        <v>96</v>
      </c>
      <c r="E9" s="353">
        <v>0</v>
      </c>
      <c r="F9" s="353">
        <v>0</v>
      </c>
      <c r="G9" s="353">
        <v>0</v>
      </c>
      <c r="H9" s="353">
        <v>0</v>
      </c>
      <c r="I9" s="353">
        <v>0</v>
      </c>
      <c r="J9" s="394">
        <v>0</v>
      </c>
      <c r="K9" s="2">
        <v>5</v>
      </c>
      <c r="M9" s="2"/>
      <c r="N9" s="2"/>
    </row>
    <row r="10" spans="1:14" ht="20.100000000000001" customHeight="1">
      <c r="A10" s="780"/>
      <c r="B10" s="479"/>
      <c r="C10" s="481"/>
      <c r="D10" s="331"/>
      <c r="E10" s="331">
        <v>0</v>
      </c>
      <c r="F10" s="331">
        <v>0</v>
      </c>
      <c r="G10" s="331">
        <v>0</v>
      </c>
      <c r="H10" s="331">
        <v>0</v>
      </c>
      <c r="I10" s="331">
        <v>0</v>
      </c>
      <c r="J10" s="332">
        <v>0</v>
      </c>
      <c r="M10" s="2"/>
      <c r="N10" s="2"/>
    </row>
    <row r="11" spans="1:14" ht="20.100000000000001" customHeight="1">
      <c r="A11" s="780"/>
      <c r="B11" s="479"/>
      <c r="C11" s="481"/>
      <c r="D11" s="331"/>
      <c r="E11" s="331">
        <v>0</v>
      </c>
      <c r="F11" s="331">
        <v>0</v>
      </c>
      <c r="G11" s="331">
        <v>0</v>
      </c>
      <c r="H11" s="331">
        <v>0</v>
      </c>
      <c r="I11" s="331">
        <v>0</v>
      </c>
      <c r="J11" s="332">
        <v>0</v>
      </c>
      <c r="M11" s="2"/>
      <c r="N11" s="2"/>
    </row>
    <row r="12" spans="1:14" ht="20.100000000000001" customHeight="1">
      <c r="A12" s="780"/>
      <c r="B12" s="479"/>
      <c r="C12" s="481"/>
      <c r="D12" s="331"/>
      <c r="E12" s="331">
        <v>0</v>
      </c>
      <c r="F12" s="331">
        <v>0</v>
      </c>
      <c r="G12" s="331">
        <v>0</v>
      </c>
      <c r="H12" s="331">
        <v>0</v>
      </c>
      <c r="I12" s="331">
        <v>0</v>
      </c>
      <c r="J12" s="332">
        <v>0</v>
      </c>
      <c r="M12" s="2"/>
      <c r="N12" s="2"/>
    </row>
    <row r="13" spans="1:14" ht="20.100000000000001" customHeight="1">
      <c r="A13" s="780"/>
      <c r="B13" s="479"/>
      <c r="C13" s="481"/>
      <c r="D13" s="331"/>
      <c r="E13" s="331">
        <v>0</v>
      </c>
      <c r="F13" s="331">
        <v>0</v>
      </c>
      <c r="G13" s="331">
        <v>0</v>
      </c>
      <c r="H13" s="331">
        <v>0</v>
      </c>
      <c r="I13" s="331">
        <v>0</v>
      </c>
      <c r="J13" s="332">
        <v>0</v>
      </c>
      <c r="M13" s="2"/>
      <c r="N13" s="2"/>
    </row>
    <row r="14" spans="1:14" ht="20.100000000000001" customHeight="1">
      <c r="A14" s="780"/>
      <c r="B14" s="479" t="s">
        <v>633</v>
      </c>
      <c r="C14" s="481"/>
      <c r="D14" s="331">
        <f>SUM(D9:D13)</f>
        <v>96</v>
      </c>
      <c r="E14" s="331">
        <v>0</v>
      </c>
      <c r="F14" s="331">
        <v>0</v>
      </c>
      <c r="G14" s="331">
        <v>0</v>
      </c>
      <c r="H14" s="331">
        <v>0</v>
      </c>
      <c r="I14" s="331">
        <v>0</v>
      </c>
      <c r="J14" s="332">
        <v>0</v>
      </c>
      <c r="M14" s="2"/>
      <c r="N14" s="2"/>
    </row>
    <row r="15" spans="1:14" ht="20.100000000000001" customHeight="1">
      <c r="A15" s="784" t="s">
        <v>803</v>
      </c>
      <c r="B15" s="881"/>
      <c r="C15" s="482"/>
      <c r="D15" s="334">
        <f>+D14</f>
        <v>96</v>
      </c>
      <c r="E15" s="334">
        <f t="shared" ref="E15:J15" si="0">+E14</f>
        <v>0</v>
      </c>
      <c r="F15" s="334">
        <f t="shared" si="0"/>
        <v>0</v>
      </c>
      <c r="G15" s="334">
        <f t="shared" si="0"/>
        <v>0</v>
      </c>
      <c r="H15" s="334">
        <f t="shared" si="0"/>
        <v>0</v>
      </c>
      <c r="I15" s="334">
        <f t="shared" si="0"/>
        <v>0</v>
      </c>
      <c r="J15" s="335">
        <f t="shared" si="0"/>
        <v>0</v>
      </c>
      <c r="K15" s="2">
        <v>2</v>
      </c>
      <c r="M15" s="2"/>
      <c r="N15" s="2"/>
    </row>
    <row r="16" spans="1:14" ht="20.100000000000001" customHeight="1">
      <c r="C16" s="63"/>
      <c r="M16" s="2"/>
      <c r="N16" s="2"/>
    </row>
    <row r="17" spans="3:14" ht="20.100000000000001" customHeight="1">
      <c r="C17" s="63"/>
      <c r="K17" s="2">
        <v>8</v>
      </c>
      <c r="M17" s="2"/>
      <c r="N17" s="2"/>
    </row>
    <row r="18" spans="3:14" ht="20.100000000000001" customHeight="1">
      <c r="C18" s="63"/>
      <c r="M18" s="2"/>
      <c r="N18" s="2"/>
    </row>
    <row r="19" spans="3:14" ht="20.100000000000001" customHeight="1">
      <c r="M19" s="2"/>
      <c r="N19" s="2"/>
    </row>
    <row r="20" spans="3:14" ht="20.100000000000001" customHeight="1">
      <c r="M20" s="2"/>
      <c r="N20" s="2"/>
    </row>
    <row r="21" spans="3:14" ht="20.100000000000001" customHeight="1">
      <c r="M21" s="2"/>
      <c r="N21" s="2"/>
    </row>
    <row r="22" spans="3:14" ht="20.100000000000001" customHeight="1">
      <c r="M22" s="2"/>
      <c r="N22" s="2"/>
    </row>
    <row r="23" spans="3:14" ht="20.100000000000001" customHeight="1">
      <c r="M23" s="2"/>
      <c r="N23" s="2"/>
    </row>
    <row r="24" spans="3:14" ht="20.100000000000001" customHeight="1">
      <c r="M24" s="2"/>
      <c r="N24" s="2"/>
    </row>
    <row r="25" spans="3:14" ht="20.100000000000001" customHeight="1">
      <c r="M25" s="2"/>
      <c r="N25" s="2"/>
    </row>
    <row r="26" spans="3:14" ht="20.100000000000001" customHeight="1">
      <c r="M26" s="2"/>
      <c r="N26" s="2"/>
    </row>
    <row r="27" spans="3:14" ht="20.100000000000001" customHeight="1">
      <c r="K27" s="2">
        <v>2</v>
      </c>
      <c r="M27" s="2"/>
      <c r="N27" s="2"/>
    </row>
    <row r="28" spans="3:14" ht="20.100000000000001" customHeight="1">
      <c r="M28" s="2"/>
      <c r="N28" s="2"/>
    </row>
    <row r="29" spans="3:14" ht="20.100000000000001" customHeight="1">
      <c r="K29" s="2">
        <v>5</v>
      </c>
      <c r="M29" s="2"/>
      <c r="N29" s="2"/>
    </row>
    <row r="30" spans="3:14" ht="20.100000000000001" customHeight="1">
      <c r="M30" s="2"/>
      <c r="N30" s="2"/>
    </row>
    <row r="31" spans="3:14" ht="20.100000000000001" customHeight="1">
      <c r="M31" s="2"/>
      <c r="N31" s="2"/>
    </row>
    <row r="32" spans="3:14" ht="20.100000000000001" customHeight="1">
      <c r="M32" s="2"/>
      <c r="N32" s="2"/>
    </row>
    <row r="33" spans="11:14" ht="20.100000000000001" customHeight="1">
      <c r="M33" s="2"/>
      <c r="N33" s="2"/>
    </row>
    <row r="34" spans="11:14" ht="20.100000000000001" customHeight="1">
      <c r="M34" s="2"/>
      <c r="N34" s="2"/>
    </row>
    <row r="35" spans="11:14" ht="20.100000000000001" customHeight="1">
      <c r="M35" s="2"/>
      <c r="N35" s="2"/>
    </row>
    <row r="36" spans="11:14" ht="20.100000000000001" customHeight="1">
      <c r="K36" s="2">
        <v>3</v>
      </c>
      <c r="M36" s="2"/>
      <c r="N36" s="2"/>
    </row>
    <row r="37" spans="11:14" ht="20.100000000000001" customHeight="1"/>
    <row r="38" spans="11:14" ht="20.100000000000001" customHeight="1"/>
    <row r="39" spans="11:14" ht="20.100000000000001" customHeight="1"/>
    <row r="40" spans="11:14" ht="20.100000000000001" customHeight="1">
      <c r="M40" s="2"/>
      <c r="N40" s="2"/>
    </row>
    <row r="41" spans="11:14" ht="20.100000000000001" customHeight="1">
      <c r="M41" s="2"/>
      <c r="N41" s="2"/>
    </row>
    <row r="42" spans="11:14" ht="20.100000000000001" customHeight="1">
      <c r="M42" s="2"/>
      <c r="N42" s="2"/>
    </row>
    <row r="43" spans="11:14" ht="20.100000000000001" customHeight="1"/>
    <row r="44" spans="11:14" ht="20.100000000000001" customHeight="1"/>
    <row r="45" spans="11:14" ht="20.100000000000001" customHeight="1"/>
    <row r="46" spans="11:14" ht="20.100000000000001" customHeight="1"/>
    <row r="47" spans="11:14" ht="20.100000000000001" customHeight="1"/>
    <row r="48" spans="11:14" ht="20.100000000000001" customHeight="1"/>
    <row r="49" ht="20.100000000000001" customHeight="1"/>
    <row r="50" ht="20.100000000000001" customHeight="1"/>
    <row r="51" ht="20.100000000000001" customHeight="1"/>
    <row r="52" ht="20.100000000000001" customHeight="1"/>
    <row r="53" ht="20.100000000000001" customHeight="1"/>
    <row r="54" ht="20.100000000000001" customHeight="1"/>
    <row r="55" ht="20.100000000000001" customHeight="1"/>
    <row r="56" ht="20.100000000000001" customHeight="1"/>
    <row r="57" ht="20.100000000000001" customHeight="1"/>
    <row r="58" ht="20.100000000000001" customHeight="1"/>
    <row r="59" ht="20.100000000000001" customHeight="1"/>
    <row r="60" ht="20.100000000000001" customHeight="1"/>
    <row r="61" ht="20.100000000000001" customHeight="1"/>
    <row r="62" ht="20.100000000000001" customHeight="1"/>
    <row r="63" ht="20.100000000000001" customHeight="1"/>
    <row r="64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  <row r="87" ht="20.100000000000001" customHeight="1"/>
    <row r="88" ht="20.100000000000001" customHeight="1"/>
    <row r="89" ht="20.100000000000001" customHeight="1"/>
    <row r="90" ht="20.100000000000001" customHeight="1"/>
  </sheetData>
  <mergeCells count="7">
    <mergeCell ref="I7:J7"/>
    <mergeCell ref="A15:B15"/>
    <mergeCell ref="A9:A14"/>
    <mergeCell ref="A7:B8"/>
    <mergeCell ref="C7:D7"/>
    <mergeCell ref="E7:F7"/>
    <mergeCell ref="G7:H7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58"/>
  <sheetViews>
    <sheetView view="pageBreakPreview" zoomScaleNormal="100" zoomScaleSheetLayoutView="100" workbookViewId="0">
      <selection activeCell="I25" sqref="I25"/>
    </sheetView>
    <sheetView workbookViewId="1"/>
  </sheetViews>
  <sheetFormatPr defaultRowHeight="12"/>
  <cols>
    <col min="1" max="1" width="18.75" style="2" customWidth="1"/>
    <col min="2" max="6" width="12.125" style="2" customWidth="1"/>
    <col min="7" max="7" width="9" style="2"/>
    <col min="8" max="8" width="18" style="2" bestFit="1" customWidth="1"/>
    <col min="9" max="245" width="9" style="2"/>
    <col min="246" max="247" width="3.75" style="2" customWidth="1"/>
    <col min="248" max="248" width="15" style="2" customWidth="1"/>
    <col min="249" max="252" width="12.875" style="2" customWidth="1"/>
    <col min="253" max="253" width="12.125" style="2" customWidth="1"/>
    <col min="254" max="254" width="9" style="2"/>
    <col min="255" max="255" width="12.25" style="2" customWidth="1"/>
    <col min="256" max="256" width="9.625" style="2" customWidth="1"/>
    <col min="257" max="258" width="9.75" style="2" customWidth="1"/>
    <col min="259" max="259" width="9.375" style="2" customWidth="1"/>
    <col min="260" max="501" width="9" style="2"/>
    <col min="502" max="503" width="3.75" style="2" customWidth="1"/>
    <col min="504" max="504" width="15" style="2" customWidth="1"/>
    <col min="505" max="508" width="12.875" style="2" customWidth="1"/>
    <col min="509" max="509" width="12.125" style="2" customWidth="1"/>
    <col min="510" max="510" width="9" style="2"/>
    <col min="511" max="511" width="12.25" style="2" customWidth="1"/>
    <col min="512" max="512" width="9.625" style="2" customWidth="1"/>
    <col min="513" max="514" width="9.75" style="2" customWidth="1"/>
    <col min="515" max="515" width="9.375" style="2" customWidth="1"/>
    <col min="516" max="757" width="9" style="2"/>
    <col min="758" max="759" width="3.75" style="2" customWidth="1"/>
    <col min="760" max="760" width="15" style="2" customWidth="1"/>
    <col min="761" max="764" width="12.875" style="2" customWidth="1"/>
    <col min="765" max="765" width="12.125" style="2" customWidth="1"/>
    <col min="766" max="766" width="9" style="2"/>
    <col min="767" max="767" width="12.25" style="2" customWidth="1"/>
    <col min="768" max="768" width="9.625" style="2" customWidth="1"/>
    <col min="769" max="770" width="9.75" style="2" customWidth="1"/>
    <col min="771" max="771" width="9.375" style="2" customWidth="1"/>
    <col min="772" max="1013" width="9" style="2"/>
    <col min="1014" max="1015" width="3.75" style="2" customWidth="1"/>
    <col min="1016" max="1016" width="15" style="2" customWidth="1"/>
    <col min="1017" max="1020" width="12.875" style="2" customWidth="1"/>
    <col min="1021" max="1021" width="12.125" style="2" customWidth="1"/>
    <col min="1022" max="1022" width="9" style="2"/>
    <col min="1023" max="1023" width="12.25" style="2" customWidth="1"/>
    <col min="1024" max="1024" width="9.625" style="2" customWidth="1"/>
    <col min="1025" max="1026" width="9.75" style="2" customWidth="1"/>
    <col min="1027" max="1027" width="9.375" style="2" customWidth="1"/>
    <col min="1028" max="1269" width="9" style="2"/>
    <col min="1270" max="1271" width="3.75" style="2" customWidth="1"/>
    <col min="1272" max="1272" width="15" style="2" customWidth="1"/>
    <col min="1273" max="1276" width="12.875" style="2" customWidth="1"/>
    <col min="1277" max="1277" width="12.125" style="2" customWidth="1"/>
    <col min="1278" max="1278" width="9" style="2"/>
    <col min="1279" max="1279" width="12.25" style="2" customWidth="1"/>
    <col min="1280" max="1280" width="9.625" style="2" customWidth="1"/>
    <col min="1281" max="1282" width="9.75" style="2" customWidth="1"/>
    <col min="1283" max="1283" width="9.375" style="2" customWidth="1"/>
    <col min="1284" max="1525" width="9" style="2"/>
    <col min="1526" max="1527" width="3.75" style="2" customWidth="1"/>
    <col min="1528" max="1528" width="15" style="2" customWidth="1"/>
    <col min="1529" max="1532" width="12.875" style="2" customWidth="1"/>
    <col min="1533" max="1533" width="12.125" style="2" customWidth="1"/>
    <col min="1534" max="1534" width="9" style="2"/>
    <col min="1535" max="1535" width="12.25" style="2" customWidth="1"/>
    <col min="1536" max="1536" width="9.625" style="2" customWidth="1"/>
    <col min="1537" max="1538" width="9.75" style="2" customWidth="1"/>
    <col min="1539" max="1539" width="9.375" style="2" customWidth="1"/>
    <col min="1540" max="1781" width="9" style="2"/>
    <col min="1782" max="1783" width="3.75" style="2" customWidth="1"/>
    <col min="1784" max="1784" width="15" style="2" customWidth="1"/>
    <col min="1785" max="1788" width="12.875" style="2" customWidth="1"/>
    <col min="1789" max="1789" width="12.125" style="2" customWidth="1"/>
    <col min="1790" max="1790" width="9" style="2"/>
    <col min="1791" max="1791" width="12.25" style="2" customWidth="1"/>
    <col min="1792" max="1792" width="9.625" style="2" customWidth="1"/>
    <col min="1793" max="1794" width="9.75" style="2" customWidth="1"/>
    <col min="1795" max="1795" width="9.375" style="2" customWidth="1"/>
    <col min="1796" max="2037" width="9" style="2"/>
    <col min="2038" max="2039" width="3.75" style="2" customWidth="1"/>
    <col min="2040" max="2040" width="15" style="2" customWidth="1"/>
    <col min="2041" max="2044" width="12.875" style="2" customWidth="1"/>
    <col min="2045" max="2045" width="12.125" style="2" customWidth="1"/>
    <col min="2046" max="2046" width="9" style="2"/>
    <col min="2047" max="2047" width="12.25" style="2" customWidth="1"/>
    <col min="2048" max="2048" width="9.625" style="2" customWidth="1"/>
    <col min="2049" max="2050" width="9.75" style="2" customWidth="1"/>
    <col min="2051" max="2051" width="9.375" style="2" customWidth="1"/>
    <col min="2052" max="2293" width="9" style="2"/>
    <col min="2294" max="2295" width="3.75" style="2" customWidth="1"/>
    <col min="2296" max="2296" width="15" style="2" customWidth="1"/>
    <col min="2297" max="2300" width="12.875" style="2" customWidth="1"/>
    <col min="2301" max="2301" width="12.125" style="2" customWidth="1"/>
    <col min="2302" max="2302" width="9" style="2"/>
    <col min="2303" max="2303" width="12.25" style="2" customWidth="1"/>
    <col min="2304" max="2304" width="9.625" style="2" customWidth="1"/>
    <col min="2305" max="2306" width="9.75" style="2" customWidth="1"/>
    <col min="2307" max="2307" width="9.375" style="2" customWidth="1"/>
    <col min="2308" max="2549" width="9" style="2"/>
    <col min="2550" max="2551" width="3.75" style="2" customWidth="1"/>
    <col min="2552" max="2552" width="15" style="2" customWidth="1"/>
    <col min="2553" max="2556" width="12.875" style="2" customWidth="1"/>
    <col min="2557" max="2557" width="12.125" style="2" customWidth="1"/>
    <col min="2558" max="2558" width="9" style="2"/>
    <col min="2559" max="2559" width="12.25" style="2" customWidth="1"/>
    <col min="2560" max="2560" width="9.625" style="2" customWidth="1"/>
    <col min="2561" max="2562" width="9.75" style="2" customWidth="1"/>
    <col min="2563" max="2563" width="9.375" style="2" customWidth="1"/>
    <col min="2564" max="2805" width="9" style="2"/>
    <col min="2806" max="2807" width="3.75" style="2" customWidth="1"/>
    <col min="2808" max="2808" width="15" style="2" customWidth="1"/>
    <col min="2809" max="2812" width="12.875" style="2" customWidth="1"/>
    <col min="2813" max="2813" width="12.125" style="2" customWidth="1"/>
    <col min="2814" max="2814" width="9" style="2"/>
    <col min="2815" max="2815" width="12.25" style="2" customWidth="1"/>
    <col min="2816" max="2816" width="9.625" style="2" customWidth="1"/>
    <col min="2817" max="2818" width="9.75" style="2" customWidth="1"/>
    <col min="2819" max="2819" width="9.375" style="2" customWidth="1"/>
    <col min="2820" max="3061" width="9" style="2"/>
    <col min="3062" max="3063" width="3.75" style="2" customWidth="1"/>
    <col min="3064" max="3064" width="15" style="2" customWidth="1"/>
    <col min="3065" max="3068" width="12.875" style="2" customWidth="1"/>
    <col min="3069" max="3069" width="12.125" style="2" customWidth="1"/>
    <col min="3070" max="3070" width="9" style="2"/>
    <col min="3071" max="3071" width="12.25" style="2" customWidth="1"/>
    <col min="3072" max="3072" width="9.625" style="2" customWidth="1"/>
    <col min="3073" max="3074" width="9.75" style="2" customWidth="1"/>
    <col min="3075" max="3075" width="9.375" style="2" customWidth="1"/>
    <col min="3076" max="3317" width="9" style="2"/>
    <col min="3318" max="3319" width="3.75" style="2" customWidth="1"/>
    <col min="3320" max="3320" width="15" style="2" customWidth="1"/>
    <col min="3321" max="3324" width="12.875" style="2" customWidth="1"/>
    <col min="3325" max="3325" width="12.125" style="2" customWidth="1"/>
    <col min="3326" max="3326" width="9" style="2"/>
    <col min="3327" max="3327" width="12.25" style="2" customWidth="1"/>
    <col min="3328" max="3328" width="9.625" style="2" customWidth="1"/>
    <col min="3329" max="3330" width="9.75" style="2" customWidth="1"/>
    <col min="3331" max="3331" width="9.375" style="2" customWidth="1"/>
    <col min="3332" max="3573" width="9" style="2"/>
    <col min="3574" max="3575" width="3.75" style="2" customWidth="1"/>
    <col min="3576" max="3576" width="15" style="2" customWidth="1"/>
    <col min="3577" max="3580" width="12.875" style="2" customWidth="1"/>
    <col min="3581" max="3581" width="12.125" style="2" customWidth="1"/>
    <col min="3582" max="3582" width="9" style="2"/>
    <col min="3583" max="3583" width="12.25" style="2" customWidth="1"/>
    <col min="3584" max="3584" width="9.625" style="2" customWidth="1"/>
    <col min="3585" max="3586" width="9.75" style="2" customWidth="1"/>
    <col min="3587" max="3587" width="9.375" style="2" customWidth="1"/>
    <col min="3588" max="3829" width="9" style="2"/>
    <col min="3830" max="3831" width="3.75" style="2" customWidth="1"/>
    <col min="3832" max="3832" width="15" style="2" customWidth="1"/>
    <col min="3833" max="3836" width="12.875" style="2" customWidth="1"/>
    <col min="3837" max="3837" width="12.125" style="2" customWidth="1"/>
    <col min="3838" max="3838" width="9" style="2"/>
    <col min="3839" max="3839" width="12.25" style="2" customWidth="1"/>
    <col min="3840" max="3840" width="9.625" style="2" customWidth="1"/>
    <col min="3841" max="3842" width="9.75" style="2" customWidth="1"/>
    <col min="3843" max="3843" width="9.375" style="2" customWidth="1"/>
    <col min="3844" max="4085" width="9" style="2"/>
    <col min="4086" max="4087" width="3.75" style="2" customWidth="1"/>
    <col min="4088" max="4088" width="15" style="2" customWidth="1"/>
    <col min="4089" max="4092" width="12.875" style="2" customWidth="1"/>
    <col min="4093" max="4093" width="12.125" style="2" customWidth="1"/>
    <col min="4094" max="4094" width="9" style="2"/>
    <col min="4095" max="4095" width="12.25" style="2" customWidth="1"/>
    <col min="4096" max="4096" width="9.625" style="2" customWidth="1"/>
    <col min="4097" max="4098" width="9.75" style="2" customWidth="1"/>
    <col min="4099" max="4099" width="9.375" style="2" customWidth="1"/>
    <col min="4100" max="4341" width="9" style="2"/>
    <col min="4342" max="4343" width="3.75" style="2" customWidth="1"/>
    <col min="4344" max="4344" width="15" style="2" customWidth="1"/>
    <col min="4345" max="4348" width="12.875" style="2" customWidth="1"/>
    <col min="4349" max="4349" width="12.125" style="2" customWidth="1"/>
    <col min="4350" max="4350" width="9" style="2"/>
    <col min="4351" max="4351" width="12.25" style="2" customWidth="1"/>
    <col min="4352" max="4352" width="9.625" style="2" customWidth="1"/>
    <col min="4353" max="4354" width="9.75" style="2" customWidth="1"/>
    <col min="4355" max="4355" width="9.375" style="2" customWidth="1"/>
    <col min="4356" max="4597" width="9" style="2"/>
    <col min="4598" max="4599" width="3.75" style="2" customWidth="1"/>
    <col min="4600" max="4600" width="15" style="2" customWidth="1"/>
    <col min="4601" max="4604" width="12.875" style="2" customWidth="1"/>
    <col min="4605" max="4605" width="12.125" style="2" customWidth="1"/>
    <col min="4606" max="4606" width="9" style="2"/>
    <col min="4607" max="4607" width="12.25" style="2" customWidth="1"/>
    <col min="4608" max="4608" width="9.625" style="2" customWidth="1"/>
    <col min="4609" max="4610" width="9.75" style="2" customWidth="1"/>
    <col min="4611" max="4611" width="9.375" style="2" customWidth="1"/>
    <col min="4612" max="4853" width="9" style="2"/>
    <col min="4854" max="4855" width="3.75" style="2" customWidth="1"/>
    <col min="4856" max="4856" width="15" style="2" customWidth="1"/>
    <col min="4857" max="4860" width="12.875" style="2" customWidth="1"/>
    <col min="4861" max="4861" width="12.125" style="2" customWidth="1"/>
    <col min="4862" max="4862" width="9" style="2"/>
    <col min="4863" max="4863" width="12.25" style="2" customWidth="1"/>
    <col min="4864" max="4864" width="9.625" style="2" customWidth="1"/>
    <col min="4865" max="4866" width="9.75" style="2" customWidth="1"/>
    <col min="4867" max="4867" width="9.375" style="2" customWidth="1"/>
    <col min="4868" max="5109" width="9" style="2"/>
    <col min="5110" max="5111" width="3.75" style="2" customWidth="1"/>
    <col min="5112" max="5112" width="15" style="2" customWidth="1"/>
    <col min="5113" max="5116" width="12.875" style="2" customWidth="1"/>
    <col min="5117" max="5117" width="12.125" style="2" customWidth="1"/>
    <col min="5118" max="5118" width="9" style="2"/>
    <col min="5119" max="5119" width="12.25" style="2" customWidth="1"/>
    <col min="5120" max="5120" width="9.625" style="2" customWidth="1"/>
    <col min="5121" max="5122" width="9.75" style="2" customWidth="1"/>
    <col min="5123" max="5123" width="9.375" style="2" customWidth="1"/>
    <col min="5124" max="5365" width="9" style="2"/>
    <col min="5366" max="5367" width="3.75" style="2" customWidth="1"/>
    <col min="5368" max="5368" width="15" style="2" customWidth="1"/>
    <col min="5369" max="5372" width="12.875" style="2" customWidth="1"/>
    <col min="5373" max="5373" width="12.125" style="2" customWidth="1"/>
    <col min="5374" max="5374" width="9" style="2"/>
    <col min="5375" max="5375" width="12.25" style="2" customWidth="1"/>
    <col min="5376" max="5376" width="9.625" style="2" customWidth="1"/>
    <col min="5377" max="5378" width="9.75" style="2" customWidth="1"/>
    <col min="5379" max="5379" width="9.375" style="2" customWidth="1"/>
    <col min="5380" max="5621" width="9" style="2"/>
    <col min="5622" max="5623" width="3.75" style="2" customWidth="1"/>
    <col min="5624" max="5624" width="15" style="2" customWidth="1"/>
    <col min="5625" max="5628" width="12.875" style="2" customWidth="1"/>
    <col min="5629" max="5629" width="12.125" style="2" customWidth="1"/>
    <col min="5630" max="5630" width="9" style="2"/>
    <col min="5631" max="5631" width="12.25" style="2" customWidth="1"/>
    <col min="5632" max="5632" width="9.625" style="2" customWidth="1"/>
    <col min="5633" max="5634" width="9.75" style="2" customWidth="1"/>
    <col min="5635" max="5635" width="9.375" style="2" customWidth="1"/>
    <col min="5636" max="5877" width="9" style="2"/>
    <col min="5878" max="5879" width="3.75" style="2" customWidth="1"/>
    <col min="5880" max="5880" width="15" style="2" customWidth="1"/>
    <col min="5881" max="5884" width="12.875" style="2" customWidth="1"/>
    <col min="5885" max="5885" width="12.125" style="2" customWidth="1"/>
    <col min="5886" max="5886" width="9" style="2"/>
    <col min="5887" max="5887" width="12.25" style="2" customWidth="1"/>
    <col min="5888" max="5888" width="9.625" style="2" customWidth="1"/>
    <col min="5889" max="5890" width="9.75" style="2" customWidth="1"/>
    <col min="5891" max="5891" width="9.375" style="2" customWidth="1"/>
    <col min="5892" max="6133" width="9" style="2"/>
    <col min="6134" max="6135" width="3.75" style="2" customWidth="1"/>
    <col min="6136" max="6136" width="15" style="2" customWidth="1"/>
    <col min="6137" max="6140" width="12.875" style="2" customWidth="1"/>
    <col min="6141" max="6141" width="12.125" style="2" customWidth="1"/>
    <col min="6142" max="6142" width="9" style="2"/>
    <col min="6143" max="6143" width="12.25" style="2" customWidth="1"/>
    <col min="6144" max="6144" width="9.625" style="2" customWidth="1"/>
    <col min="6145" max="6146" width="9.75" style="2" customWidth="1"/>
    <col min="6147" max="6147" width="9.375" style="2" customWidth="1"/>
    <col min="6148" max="6389" width="9" style="2"/>
    <col min="6390" max="6391" width="3.75" style="2" customWidth="1"/>
    <col min="6392" max="6392" width="15" style="2" customWidth="1"/>
    <col min="6393" max="6396" width="12.875" style="2" customWidth="1"/>
    <col min="6397" max="6397" width="12.125" style="2" customWidth="1"/>
    <col min="6398" max="6398" width="9" style="2"/>
    <col min="6399" max="6399" width="12.25" style="2" customWidth="1"/>
    <col min="6400" max="6400" width="9.625" style="2" customWidth="1"/>
    <col min="6401" max="6402" width="9.75" style="2" customWidth="1"/>
    <col min="6403" max="6403" width="9.375" style="2" customWidth="1"/>
    <col min="6404" max="6645" width="9" style="2"/>
    <col min="6646" max="6647" width="3.75" style="2" customWidth="1"/>
    <col min="6648" max="6648" width="15" style="2" customWidth="1"/>
    <col min="6649" max="6652" width="12.875" style="2" customWidth="1"/>
    <col min="6653" max="6653" width="12.125" style="2" customWidth="1"/>
    <col min="6654" max="6654" width="9" style="2"/>
    <col min="6655" max="6655" width="12.25" style="2" customWidth="1"/>
    <col min="6656" max="6656" width="9.625" style="2" customWidth="1"/>
    <col min="6657" max="6658" width="9.75" style="2" customWidth="1"/>
    <col min="6659" max="6659" width="9.375" style="2" customWidth="1"/>
    <col min="6660" max="6901" width="9" style="2"/>
    <col min="6902" max="6903" width="3.75" style="2" customWidth="1"/>
    <col min="6904" max="6904" width="15" style="2" customWidth="1"/>
    <col min="6905" max="6908" width="12.875" style="2" customWidth="1"/>
    <col min="6909" max="6909" width="12.125" style="2" customWidth="1"/>
    <col min="6910" max="6910" width="9" style="2"/>
    <col min="6911" max="6911" width="12.25" style="2" customWidth="1"/>
    <col min="6912" max="6912" width="9.625" style="2" customWidth="1"/>
    <col min="6913" max="6914" width="9.75" style="2" customWidth="1"/>
    <col min="6915" max="6915" width="9.375" style="2" customWidth="1"/>
    <col min="6916" max="7157" width="9" style="2"/>
    <col min="7158" max="7159" width="3.75" style="2" customWidth="1"/>
    <col min="7160" max="7160" width="15" style="2" customWidth="1"/>
    <col min="7161" max="7164" width="12.875" style="2" customWidth="1"/>
    <col min="7165" max="7165" width="12.125" style="2" customWidth="1"/>
    <col min="7166" max="7166" width="9" style="2"/>
    <col min="7167" max="7167" width="12.25" style="2" customWidth="1"/>
    <col min="7168" max="7168" width="9.625" style="2" customWidth="1"/>
    <col min="7169" max="7170" width="9.75" style="2" customWidth="1"/>
    <col min="7171" max="7171" width="9.375" style="2" customWidth="1"/>
    <col min="7172" max="7413" width="9" style="2"/>
    <col min="7414" max="7415" width="3.75" style="2" customWidth="1"/>
    <col min="7416" max="7416" width="15" style="2" customWidth="1"/>
    <col min="7417" max="7420" width="12.875" style="2" customWidth="1"/>
    <col min="7421" max="7421" width="12.125" style="2" customWidth="1"/>
    <col min="7422" max="7422" width="9" style="2"/>
    <col min="7423" max="7423" width="12.25" style="2" customWidth="1"/>
    <col min="7424" max="7424" width="9.625" style="2" customWidth="1"/>
    <col min="7425" max="7426" width="9.75" style="2" customWidth="1"/>
    <col min="7427" max="7427" width="9.375" style="2" customWidth="1"/>
    <col min="7428" max="7669" width="9" style="2"/>
    <col min="7670" max="7671" width="3.75" style="2" customWidth="1"/>
    <col min="7672" max="7672" width="15" style="2" customWidth="1"/>
    <col min="7673" max="7676" width="12.875" style="2" customWidth="1"/>
    <col min="7677" max="7677" width="12.125" style="2" customWidth="1"/>
    <col min="7678" max="7678" width="9" style="2"/>
    <col min="7679" max="7679" width="12.25" style="2" customWidth="1"/>
    <col min="7680" max="7680" width="9.625" style="2" customWidth="1"/>
    <col min="7681" max="7682" width="9.75" style="2" customWidth="1"/>
    <col min="7683" max="7683" width="9.375" style="2" customWidth="1"/>
    <col min="7684" max="7925" width="9" style="2"/>
    <col min="7926" max="7927" width="3.75" style="2" customWidth="1"/>
    <col min="7928" max="7928" width="15" style="2" customWidth="1"/>
    <col min="7929" max="7932" width="12.875" style="2" customWidth="1"/>
    <col min="7933" max="7933" width="12.125" style="2" customWidth="1"/>
    <col min="7934" max="7934" width="9" style="2"/>
    <col min="7935" max="7935" width="12.25" style="2" customWidth="1"/>
    <col min="7936" max="7936" width="9.625" style="2" customWidth="1"/>
    <col min="7937" max="7938" width="9.75" style="2" customWidth="1"/>
    <col min="7939" max="7939" width="9.375" style="2" customWidth="1"/>
    <col min="7940" max="8181" width="9" style="2"/>
    <col min="8182" max="8183" width="3.75" style="2" customWidth="1"/>
    <col min="8184" max="8184" width="15" style="2" customWidth="1"/>
    <col min="8185" max="8188" width="12.875" style="2" customWidth="1"/>
    <col min="8189" max="8189" width="12.125" style="2" customWidth="1"/>
    <col min="8190" max="8190" width="9" style="2"/>
    <col min="8191" max="8191" width="12.25" style="2" customWidth="1"/>
    <col min="8192" max="8192" width="9.625" style="2" customWidth="1"/>
    <col min="8193" max="8194" width="9.75" style="2" customWidth="1"/>
    <col min="8195" max="8195" width="9.375" style="2" customWidth="1"/>
    <col min="8196" max="8437" width="9" style="2"/>
    <col min="8438" max="8439" width="3.75" style="2" customWidth="1"/>
    <col min="8440" max="8440" width="15" style="2" customWidth="1"/>
    <col min="8441" max="8444" width="12.875" style="2" customWidth="1"/>
    <col min="8445" max="8445" width="12.125" style="2" customWidth="1"/>
    <col min="8446" max="8446" width="9" style="2"/>
    <col min="8447" max="8447" width="12.25" style="2" customWidth="1"/>
    <col min="8448" max="8448" width="9.625" style="2" customWidth="1"/>
    <col min="8449" max="8450" width="9.75" style="2" customWidth="1"/>
    <col min="8451" max="8451" width="9.375" style="2" customWidth="1"/>
    <col min="8452" max="8693" width="9" style="2"/>
    <col min="8694" max="8695" width="3.75" style="2" customWidth="1"/>
    <col min="8696" max="8696" width="15" style="2" customWidth="1"/>
    <col min="8697" max="8700" width="12.875" style="2" customWidth="1"/>
    <col min="8701" max="8701" width="12.125" style="2" customWidth="1"/>
    <col min="8702" max="8702" width="9" style="2"/>
    <col min="8703" max="8703" width="12.25" style="2" customWidth="1"/>
    <col min="8704" max="8704" width="9.625" style="2" customWidth="1"/>
    <col min="8705" max="8706" width="9.75" style="2" customWidth="1"/>
    <col min="8707" max="8707" width="9.375" style="2" customWidth="1"/>
    <col min="8708" max="8949" width="9" style="2"/>
    <col min="8950" max="8951" width="3.75" style="2" customWidth="1"/>
    <col min="8952" max="8952" width="15" style="2" customWidth="1"/>
    <col min="8953" max="8956" width="12.875" style="2" customWidth="1"/>
    <col min="8957" max="8957" width="12.125" style="2" customWidth="1"/>
    <col min="8958" max="8958" width="9" style="2"/>
    <col min="8959" max="8959" width="12.25" style="2" customWidth="1"/>
    <col min="8960" max="8960" width="9.625" style="2" customWidth="1"/>
    <col min="8961" max="8962" width="9.75" style="2" customWidth="1"/>
    <col min="8963" max="8963" width="9.375" style="2" customWidth="1"/>
    <col min="8964" max="9205" width="9" style="2"/>
    <col min="9206" max="9207" width="3.75" style="2" customWidth="1"/>
    <col min="9208" max="9208" width="15" style="2" customWidth="1"/>
    <col min="9209" max="9212" width="12.875" style="2" customWidth="1"/>
    <col min="9213" max="9213" width="12.125" style="2" customWidth="1"/>
    <col min="9214" max="9214" width="9" style="2"/>
    <col min="9215" max="9215" width="12.25" style="2" customWidth="1"/>
    <col min="9216" max="9216" width="9.625" style="2" customWidth="1"/>
    <col min="9217" max="9218" width="9.75" style="2" customWidth="1"/>
    <col min="9219" max="9219" width="9.375" style="2" customWidth="1"/>
    <col min="9220" max="9461" width="9" style="2"/>
    <col min="9462" max="9463" width="3.75" style="2" customWidth="1"/>
    <col min="9464" max="9464" width="15" style="2" customWidth="1"/>
    <col min="9465" max="9468" width="12.875" style="2" customWidth="1"/>
    <col min="9469" max="9469" width="12.125" style="2" customWidth="1"/>
    <col min="9470" max="9470" width="9" style="2"/>
    <col min="9471" max="9471" width="12.25" style="2" customWidth="1"/>
    <col min="9472" max="9472" width="9.625" style="2" customWidth="1"/>
    <col min="9473" max="9474" width="9.75" style="2" customWidth="1"/>
    <col min="9475" max="9475" width="9.375" style="2" customWidth="1"/>
    <col min="9476" max="9717" width="9" style="2"/>
    <col min="9718" max="9719" width="3.75" style="2" customWidth="1"/>
    <col min="9720" max="9720" width="15" style="2" customWidth="1"/>
    <col min="9721" max="9724" width="12.875" style="2" customWidth="1"/>
    <col min="9725" max="9725" width="12.125" style="2" customWidth="1"/>
    <col min="9726" max="9726" width="9" style="2"/>
    <col min="9727" max="9727" width="12.25" style="2" customWidth="1"/>
    <col min="9728" max="9728" width="9.625" style="2" customWidth="1"/>
    <col min="9729" max="9730" width="9.75" style="2" customWidth="1"/>
    <col min="9731" max="9731" width="9.375" style="2" customWidth="1"/>
    <col min="9732" max="9973" width="9" style="2"/>
    <col min="9974" max="9975" width="3.75" style="2" customWidth="1"/>
    <col min="9976" max="9976" width="15" style="2" customWidth="1"/>
    <col min="9977" max="9980" width="12.875" style="2" customWidth="1"/>
    <col min="9981" max="9981" width="12.125" style="2" customWidth="1"/>
    <col min="9982" max="9982" width="9" style="2"/>
    <col min="9983" max="9983" width="12.25" style="2" customWidth="1"/>
    <col min="9984" max="9984" width="9.625" style="2" customWidth="1"/>
    <col min="9985" max="9986" width="9.75" style="2" customWidth="1"/>
    <col min="9987" max="9987" width="9.375" style="2" customWidth="1"/>
    <col min="9988" max="10229" width="9" style="2"/>
    <col min="10230" max="10231" width="3.75" style="2" customWidth="1"/>
    <col min="10232" max="10232" width="15" style="2" customWidth="1"/>
    <col min="10233" max="10236" width="12.875" style="2" customWidth="1"/>
    <col min="10237" max="10237" width="12.125" style="2" customWidth="1"/>
    <col min="10238" max="10238" width="9" style="2"/>
    <col min="10239" max="10239" width="12.25" style="2" customWidth="1"/>
    <col min="10240" max="10240" width="9.625" style="2" customWidth="1"/>
    <col min="10241" max="10242" width="9.75" style="2" customWidth="1"/>
    <col min="10243" max="10243" width="9.375" style="2" customWidth="1"/>
    <col min="10244" max="10485" width="9" style="2"/>
    <col min="10486" max="10487" width="3.75" style="2" customWidth="1"/>
    <col min="10488" max="10488" width="15" style="2" customWidth="1"/>
    <col min="10489" max="10492" width="12.875" style="2" customWidth="1"/>
    <col min="10493" max="10493" width="12.125" style="2" customWidth="1"/>
    <col min="10494" max="10494" width="9" style="2"/>
    <col min="10495" max="10495" width="12.25" style="2" customWidth="1"/>
    <col min="10496" max="10496" width="9.625" style="2" customWidth="1"/>
    <col min="10497" max="10498" width="9.75" style="2" customWidth="1"/>
    <col min="10499" max="10499" width="9.375" style="2" customWidth="1"/>
    <col min="10500" max="10741" width="9" style="2"/>
    <col min="10742" max="10743" width="3.75" style="2" customWidth="1"/>
    <col min="10744" max="10744" width="15" style="2" customWidth="1"/>
    <col min="10745" max="10748" width="12.875" style="2" customWidth="1"/>
    <col min="10749" max="10749" width="12.125" style="2" customWidth="1"/>
    <col min="10750" max="10750" width="9" style="2"/>
    <col min="10751" max="10751" width="12.25" style="2" customWidth="1"/>
    <col min="10752" max="10752" width="9.625" style="2" customWidth="1"/>
    <col min="10753" max="10754" width="9.75" style="2" customWidth="1"/>
    <col min="10755" max="10755" width="9.375" style="2" customWidth="1"/>
    <col min="10756" max="10997" width="9" style="2"/>
    <col min="10998" max="10999" width="3.75" style="2" customWidth="1"/>
    <col min="11000" max="11000" width="15" style="2" customWidth="1"/>
    <col min="11001" max="11004" width="12.875" style="2" customWidth="1"/>
    <col min="11005" max="11005" width="12.125" style="2" customWidth="1"/>
    <col min="11006" max="11006" width="9" style="2"/>
    <col min="11007" max="11007" width="12.25" style="2" customWidth="1"/>
    <col min="11008" max="11008" width="9.625" style="2" customWidth="1"/>
    <col min="11009" max="11010" width="9.75" style="2" customWidth="1"/>
    <col min="11011" max="11011" width="9.375" style="2" customWidth="1"/>
    <col min="11012" max="11253" width="9" style="2"/>
    <col min="11254" max="11255" width="3.75" style="2" customWidth="1"/>
    <col min="11256" max="11256" width="15" style="2" customWidth="1"/>
    <col min="11257" max="11260" width="12.875" style="2" customWidth="1"/>
    <col min="11261" max="11261" width="12.125" style="2" customWidth="1"/>
    <col min="11262" max="11262" width="9" style="2"/>
    <col min="11263" max="11263" width="12.25" style="2" customWidth="1"/>
    <col min="11264" max="11264" width="9.625" style="2" customWidth="1"/>
    <col min="11265" max="11266" width="9.75" style="2" customWidth="1"/>
    <col min="11267" max="11267" width="9.375" style="2" customWidth="1"/>
    <col min="11268" max="11509" width="9" style="2"/>
    <col min="11510" max="11511" width="3.75" style="2" customWidth="1"/>
    <col min="11512" max="11512" width="15" style="2" customWidth="1"/>
    <col min="11513" max="11516" width="12.875" style="2" customWidth="1"/>
    <col min="11517" max="11517" width="12.125" style="2" customWidth="1"/>
    <col min="11518" max="11518" width="9" style="2"/>
    <col min="11519" max="11519" width="12.25" style="2" customWidth="1"/>
    <col min="11520" max="11520" width="9.625" style="2" customWidth="1"/>
    <col min="11521" max="11522" width="9.75" style="2" customWidth="1"/>
    <col min="11523" max="11523" width="9.375" style="2" customWidth="1"/>
    <col min="11524" max="11765" width="9" style="2"/>
    <col min="11766" max="11767" width="3.75" style="2" customWidth="1"/>
    <col min="11768" max="11768" width="15" style="2" customWidth="1"/>
    <col min="11769" max="11772" width="12.875" style="2" customWidth="1"/>
    <col min="11773" max="11773" width="12.125" style="2" customWidth="1"/>
    <col min="11774" max="11774" width="9" style="2"/>
    <col min="11775" max="11775" width="12.25" style="2" customWidth="1"/>
    <col min="11776" max="11776" width="9.625" style="2" customWidth="1"/>
    <col min="11777" max="11778" width="9.75" style="2" customWidth="1"/>
    <col min="11779" max="11779" width="9.375" style="2" customWidth="1"/>
    <col min="11780" max="12021" width="9" style="2"/>
    <col min="12022" max="12023" width="3.75" style="2" customWidth="1"/>
    <col min="12024" max="12024" width="15" style="2" customWidth="1"/>
    <col min="12025" max="12028" width="12.875" style="2" customWidth="1"/>
    <col min="12029" max="12029" width="12.125" style="2" customWidth="1"/>
    <col min="12030" max="12030" width="9" style="2"/>
    <col min="12031" max="12031" width="12.25" style="2" customWidth="1"/>
    <col min="12032" max="12032" width="9.625" style="2" customWidth="1"/>
    <col min="12033" max="12034" width="9.75" style="2" customWidth="1"/>
    <col min="12035" max="12035" width="9.375" style="2" customWidth="1"/>
    <col min="12036" max="12277" width="9" style="2"/>
    <col min="12278" max="12279" width="3.75" style="2" customWidth="1"/>
    <col min="12280" max="12280" width="15" style="2" customWidth="1"/>
    <col min="12281" max="12284" width="12.875" style="2" customWidth="1"/>
    <col min="12285" max="12285" width="12.125" style="2" customWidth="1"/>
    <col min="12286" max="12286" width="9" style="2"/>
    <col min="12287" max="12287" width="12.25" style="2" customWidth="1"/>
    <col min="12288" max="12288" width="9.625" style="2" customWidth="1"/>
    <col min="12289" max="12290" width="9.75" style="2" customWidth="1"/>
    <col min="12291" max="12291" width="9.375" style="2" customWidth="1"/>
    <col min="12292" max="12533" width="9" style="2"/>
    <col min="12534" max="12535" width="3.75" style="2" customWidth="1"/>
    <col min="12536" max="12536" width="15" style="2" customWidth="1"/>
    <col min="12537" max="12540" width="12.875" style="2" customWidth="1"/>
    <col min="12541" max="12541" width="12.125" style="2" customWidth="1"/>
    <col min="12542" max="12542" width="9" style="2"/>
    <col min="12543" max="12543" width="12.25" style="2" customWidth="1"/>
    <col min="12544" max="12544" width="9.625" style="2" customWidth="1"/>
    <col min="12545" max="12546" width="9.75" style="2" customWidth="1"/>
    <col min="12547" max="12547" width="9.375" style="2" customWidth="1"/>
    <col min="12548" max="12789" width="9" style="2"/>
    <col min="12790" max="12791" width="3.75" style="2" customWidth="1"/>
    <col min="12792" max="12792" width="15" style="2" customWidth="1"/>
    <col min="12793" max="12796" width="12.875" style="2" customWidth="1"/>
    <col min="12797" max="12797" width="12.125" style="2" customWidth="1"/>
    <col min="12798" max="12798" width="9" style="2"/>
    <col min="12799" max="12799" width="12.25" style="2" customWidth="1"/>
    <col min="12800" max="12800" width="9.625" style="2" customWidth="1"/>
    <col min="12801" max="12802" width="9.75" style="2" customWidth="1"/>
    <col min="12803" max="12803" width="9.375" style="2" customWidth="1"/>
    <col min="12804" max="13045" width="9" style="2"/>
    <col min="13046" max="13047" width="3.75" style="2" customWidth="1"/>
    <col min="13048" max="13048" width="15" style="2" customWidth="1"/>
    <col min="13049" max="13052" width="12.875" style="2" customWidth="1"/>
    <col min="13053" max="13053" width="12.125" style="2" customWidth="1"/>
    <col min="13054" max="13054" width="9" style="2"/>
    <col min="13055" max="13055" width="12.25" style="2" customWidth="1"/>
    <col min="13056" max="13056" width="9.625" style="2" customWidth="1"/>
    <col min="13057" max="13058" width="9.75" style="2" customWidth="1"/>
    <col min="13059" max="13059" width="9.375" style="2" customWidth="1"/>
    <col min="13060" max="13301" width="9" style="2"/>
    <col min="13302" max="13303" width="3.75" style="2" customWidth="1"/>
    <col min="13304" max="13304" width="15" style="2" customWidth="1"/>
    <col min="13305" max="13308" width="12.875" style="2" customWidth="1"/>
    <col min="13309" max="13309" width="12.125" style="2" customWidth="1"/>
    <col min="13310" max="13310" width="9" style="2"/>
    <col min="13311" max="13311" width="12.25" style="2" customWidth="1"/>
    <col min="13312" max="13312" width="9.625" style="2" customWidth="1"/>
    <col min="13313" max="13314" width="9.75" style="2" customWidth="1"/>
    <col min="13315" max="13315" width="9.375" style="2" customWidth="1"/>
    <col min="13316" max="13557" width="9" style="2"/>
    <col min="13558" max="13559" width="3.75" style="2" customWidth="1"/>
    <col min="13560" max="13560" width="15" style="2" customWidth="1"/>
    <col min="13561" max="13564" width="12.875" style="2" customWidth="1"/>
    <col min="13565" max="13565" width="12.125" style="2" customWidth="1"/>
    <col min="13566" max="13566" width="9" style="2"/>
    <col min="13567" max="13567" width="12.25" style="2" customWidth="1"/>
    <col min="13568" max="13568" width="9.625" style="2" customWidth="1"/>
    <col min="13569" max="13570" width="9.75" style="2" customWidth="1"/>
    <col min="13571" max="13571" width="9.375" style="2" customWidth="1"/>
    <col min="13572" max="13813" width="9" style="2"/>
    <col min="13814" max="13815" width="3.75" style="2" customWidth="1"/>
    <col min="13816" max="13816" width="15" style="2" customWidth="1"/>
    <col min="13817" max="13820" width="12.875" style="2" customWidth="1"/>
    <col min="13821" max="13821" width="12.125" style="2" customWidth="1"/>
    <col min="13822" max="13822" width="9" style="2"/>
    <col min="13823" max="13823" width="12.25" style="2" customWidth="1"/>
    <col min="13824" max="13824" width="9.625" style="2" customWidth="1"/>
    <col min="13825" max="13826" width="9.75" style="2" customWidth="1"/>
    <col min="13827" max="13827" width="9.375" style="2" customWidth="1"/>
    <col min="13828" max="14069" width="9" style="2"/>
    <col min="14070" max="14071" width="3.75" style="2" customWidth="1"/>
    <col min="14072" max="14072" width="15" style="2" customWidth="1"/>
    <col min="14073" max="14076" width="12.875" style="2" customWidth="1"/>
    <col min="14077" max="14077" width="12.125" style="2" customWidth="1"/>
    <col min="14078" max="14078" width="9" style="2"/>
    <col min="14079" max="14079" width="12.25" style="2" customWidth="1"/>
    <col min="14080" max="14080" width="9.625" style="2" customWidth="1"/>
    <col min="14081" max="14082" width="9.75" style="2" customWidth="1"/>
    <col min="14083" max="14083" width="9.375" style="2" customWidth="1"/>
    <col min="14084" max="14325" width="9" style="2"/>
    <col min="14326" max="14327" width="3.75" style="2" customWidth="1"/>
    <col min="14328" max="14328" width="15" style="2" customWidth="1"/>
    <col min="14329" max="14332" width="12.875" style="2" customWidth="1"/>
    <col min="14333" max="14333" width="12.125" style="2" customWidth="1"/>
    <col min="14334" max="14334" width="9" style="2"/>
    <col min="14335" max="14335" width="12.25" style="2" customWidth="1"/>
    <col min="14336" max="14336" width="9.625" style="2" customWidth="1"/>
    <col min="14337" max="14338" width="9.75" style="2" customWidth="1"/>
    <col min="14339" max="14339" width="9.375" style="2" customWidth="1"/>
    <col min="14340" max="14581" width="9" style="2"/>
    <col min="14582" max="14583" width="3.75" style="2" customWidth="1"/>
    <col min="14584" max="14584" width="15" style="2" customWidth="1"/>
    <col min="14585" max="14588" width="12.875" style="2" customWidth="1"/>
    <col min="14589" max="14589" width="12.125" style="2" customWidth="1"/>
    <col min="14590" max="14590" width="9" style="2"/>
    <col min="14591" max="14591" width="12.25" style="2" customWidth="1"/>
    <col min="14592" max="14592" width="9.625" style="2" customWidth="1"/>
    <col min="14593" max="14594" width="9.75" style="2" customWidth="1"/>
    <col min="14595" max="14595" width="9.375" style="2" customWidth="1"/>
    <col min="14596" max="14837" width="9" style="2"/>
    <col min="14838" max="14839" width="3.75" style="2" customWidth="1"/>
    <col min="14840" max="14840" width="15" style="2" customWidth="1"/>
    <col min="14841" max="14844" width="12.875" style="2" customWidth="1"/>
    <col min="14845" max="14845" width="12.125" style="2" customWidth="1"/>
    <col min="14846" max="14846" width="9" style="2"/>
    <col min="14847" max="14847" width="12.25" style="2" customWidth="1"/>
    <col min="14848" max="14848" width="9.625" style="2" customWidth="1"/>
    <col min="14849" max="14850" width="9.75" style="2" customWidth="1"/>
    <col min="14851" max="14851" width="9.375" style="2" customWidth="1"/>
    <col min="14852" max="15093" width="9" style="2"/>
    <col min="15094" max="15095" width="3.75" style="2" customWidth="1"/>
    <col min="15096" max="15096" width="15" style="2" customWidth="1"/>
    <col min="15097" max="15100" width="12.875" style="2" customWidth="1"/>
    <col min="15101" max="15101" width="12.125" style="2" customWidth="1"/>
    <col min="15102" max="15102" width="9" style="2"/>
    <col min="15103" max="15103" width="12.25" style="2" customWidth="1"/>
    <col min="15104" max="15104" width="9.625" style="2" customWidth="1"/>
    <col min="15105" max="15106" width="9.75" style="2" customWidth="1"/>
    <col min="15107" max="15107" width="9.375" style="2" customWidth="1"/>
    <col min="15108" max="15349" width="9" style="2"/>
    <col min="15350" max="15351" width="3.75" style="2" customWidth="1"/>
    <col min="15352" max="15352" width="15" style="2" customWidth="1"/>
    <col min="15353" max="15356" width="12.875" style="2" customWidth="1"/>
    <col min="15357" max="15357" width="12.125" style="2" customWidth="1"/>
    <col min="15358" max="15358" width="9" style="2"/>
    <col min="15359" max="15359" width="12.25" style="2" customWidth="1"/>
    <col min="15360" max="15360" width="9.625" style="2" customWidth="1"/>
    <col min="15361" max="15362" width="9.75" style="2" customWidth="1"/>
    <col min="15363" max="15363" width="9.375" style="2" customWidth="1"/>
    <col min="15364" max="15605" width="9" style="2"/>
    <col min="15606" max="15607" width="3.75" style="2" customWidth="1"/>
    <col min="15608" max="15608" width="15" style="2" customWidth="1"/>
    <col min="15609" max="15612" width="12.875" style="2" customWidth="1"/>
    <col min="15613" max="15613" width="12.125" style="2" customWidth="1"/>
    <col min="15614" max="15614" width="9" style="2"/>
    <col min="15615" max="15615" width="12.25" style="2" customWidth="1"/>
    <col min="15616" max="15616" width="9.625" style="2" customWidth="1"/>
    <col min="15617" max="15618" width="9.75" style="2" customWidth="1"/>
    <col min="15619" max="15619" width="9.375" style="2" customWidth="1"/>
    <col min="15620" max="15861" width="9" style="2"/>
    <col min="15862" max="15863" width="3.75" style="2" customWidth="1"/>
    <col min="15864" max="15864" width="15" style="2" customWidth="1"/>
    <col min="15865" max="15868" width="12.875" style="2" customWidth="1"/>
    <col min="15869" max="15869" width="12.125" style="2" customWidth="1"/>
    <col min="15870" max="15870" width="9" style="2"/>
    <col min="15871" max="15871" width="12.25" style="2" customWidth="1"/>
    <col min="15872" max="15872" width="9.625" style="2" customWidth="1"/>
    <col min="15873" max="15874" width="9.75" style="2" customWidth="1"/>
    <col min="15875" max="15875" width="9.375" style="2" customWidth="1"/>
    <col min="15876" max="16117" width="9" style="2"/>
    <col min="16118" max="16119" width="3.75" style="2" customWidth="1"/>
    <col min="16120" max="16120" width="15" style="2" customWidth="1"/>
    <col min="16121" max="16124" width="12.875" style="2" customWidth="1"/>
    <col min="16125" max="16125" width="12.125" style="2" customWidth="1"/>
    <col min="16126" max="16126" width="9" style="2"/>
    <col min="16127" max="16127" width="12.25" style="2" customWidth="1"/>
    <col min="16128" max="16128" width="9.625" style="2" customWidth="1"/>
    <col min="16129" max="16130" width="9.75" style="2" customWidth="1"/>
    <col min="16131" max="16131" width="9.375" style="2" customWidth="1"/>
    <col min="16132" max="16384" width="9" style="2"/>
  </cols>
  <sheetData>
    <row r="1" spans="1:20" ht="20.100000000000001" customHeight="1">
      <c r="A1" s="1" t="s">
        <v>955</v>
      </c>
      <c r="G1" s="3"/>
      <c r="H1" s="3"/>
    </row>
    <row r="2" spans="1:20" ht="20.100000000000001" customHeight="1">
      <c r="A2" s="2" t="s">
        <v>487</v>
      </c>
      <c r="G2" s="3"/>
      <c r="H2" s="3"/>
    </row>
    <row r="3" spans="1:20" ht="20.100000000000001" customHeight="1">
      <c r="F3" s="8" t="s">
        <v>433</v>
      </c>
      <c r="G3" s="5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0.100000000000001" customHeight="1">
      <c r="A4" s="282" t="s">
        <v>435</v>
      </c>
      <c r="B4" s="297" t="s">
        <v>436</v>
      </c>
      <c r="C4" s="298" t="s">
        <v>437</v>
      </c>
      <c r="D4" s="298" t="s">
        <v>438</v>
      </c>
      <c r="E4" s="298" t="s">
        <v>439</v>
      </c>
      <c r="F4" s="299" t="s">
        <v>440</v>
      </c>
      <c r="G4" s="5"/>
      <c r="H4" s="21" t="s">
        <v>488</v>
      </c>
      <c r="I4" s="21"/>
      <c r="J4" s="22"/>
      <c r="K4" s="21"/>
      <c r="L4" s="21"/>
      <c r="M4" s="22"/>
      <c r="N4" s="22"/>
      <c r="O4" s="22"/>
      <c r="P4" s="22"/>
      <c r="Q4" s="22"/>
      <c r="R4" s="22"/>
      <c r="S4" s="22"/>
      <c r="T4" s="22"/>
    </row>
    <row r="5" spans="1:20" ht="20.100000000000001" customHeight="1">
      <c r="A5" s="109" t="s">
        <v>490</v>
      </c>
      <c r="B5" s="106">
        <f>+'가.굴착교체(감곡-오수지선)'!I17</f>
        <v>0</v>
      </c>
      <c r="C5" s="101">
        <f>+'가.굴착교체(감곡-오수지선)'!K17</f>
        <v>0</v>
      </c>
      <c r="D5" s="101">
        <f>+'가.굴착교체(감곡-오수지선)'!M17</f>
        <v>0</v>
      </c>
      <c r="E5" s="101">
        <f>+'가.굴착교체(감곡-오수지선)'!O17</f>
        <v>0</v>
      </c>
      <c r="F5" s="102"/>
      <c r="G5" s="5"/>
      <c r="H5" s="7" t="s">
        <v>405</v>
      </c>
      <c r="I5" s="282" t="s">
        <v>489</v>
      </c>
      <c r="J5" s="282" t="s">
        <v>171</v>
      </c>
      <c r="K5" s="282" t="s">
        <v>172</v>
      </c>
      <c r="L5" s="282" t="s">
        <v>173</v>
      </c>
      <c r="M5" s="22"/>
      <c r="N5" s="22"/>
      <c r="O5" s="22"/>
      <c r="P5" s="22"/>
      <c r="Q5" s="22"/>
      <c r="R5" s="22"/>
      <c r="S5" s="22"/>
      <c r="T5" s="22"/>
    </row>
    <row r="6" spans="1:20" ht="20.100000000000001" customHeight="1">
      <c r="A6" s="140" t="s">
        <v>491</v>
      </c>
      <c r="B6" s="139">
        <f>+'나.전체보수(감곡-오수지선)'!E14</f>
        <v>0</v>
      </c>
      <c r="C6" s="94">
        <f>+'나.전체보수(감곡-오수지선)'!G14</f>
        <v>0</v>
      </c>
      <c r="D6" s="94">
        <f>+'나.전체보수(감곡-오수지선)'!I14</f>
        <v>0</v>
      </c>
      <c r="E6" s="94">
        <f>+'나.전체보수(감곡-오수지선)'!K14</f>
        <v>0</v>
      </c>
      <c r="F6" s="95"/>
      <c r="G6" s="5"/>
      <c r="H6" s="7" t="s">
        <v>417</v>
      </c>
      <c r="I6" s="70" t="e">
        <f>+B5/B9</f>
        <v>#DIV/0!</v>
      </c>
      <c r="J6" s="70" t="e">
        <f>+C5/C9</f>
        <v>#DIV/0!</v>
      </c>
      <c r="K6" s="70" t="e">
        <f>+D5/D9</f>
        <v>#DIV/0!</v>
      </c>
      <c r="L6" s="70" t="e">
        <f>+E5/E9</f>
        <v>#DIV/0!</v>
      </c>
      <c r="M6" s="22"/>
      <c r="N6" s="22"/>
      <c r="O6" s="22"/>
      <c r="P6" s="22"/>
      <c r="Q6" s="22"/>
      <c r="R6" s="22"/>
      <c r="S6" s="22"/>
      <c r="T6" s="22"/>
    </row>
    <row r="7" spans="1:20" ht="20.100000000000001" customHeight="1">
      <c r="A7" s="140" t="s">
        <v>533</v>
      </c>
      <c r="B7" s="139">
        <f>+'다.부분보수(감곡-오수지선)'!E14</f>
        <v>0</v>
      </c>
      <c r="C7" s="94">
        <f>+'다.부분보수(감곡-오수지선)'!G14</f>
        <v>0</v>
      </c>
      <c r="D7" s="94">
        <f>+'다.부분보수(감곡-오수지선)'!I14</f>
        <v>0</v>
      </c>
      <c r="E7" s="94">
        <f>+'다.부분보수(감곡-오수지선)'!K14</f>
        <v>0</v>
      </c>
      <c r="F7" s="95"/>
      <c r="G7" s="5"/>
      <c r="H7" s="7" t="s">
        <v>413</v>
      </c>
      <c r="I7" s="71" t="e">
        <f>1-I6</f>
        <v>#DIV/0!</v>
      </c>
      <c r="J7" s="71" t="e">
        <f>1-J6</f>
        <v>#DIV/0!</v>
      </c>
      <c r="K7" s="71" t="e">
        <f>1-K6</f>
        <v>#DIV/0!</v>
      </c>
      <c r="L7" s="71">
        <v>0</v>
      </c>
      <c r="M7" s="22"/>
      <c r="N7" s="22"/>
      <c r="O7" s="22"/>
      <c r="P7" s="22"/>
      <c r="Q7" s="22"/>
      <c r="R7" s="22"/>
      <c r="S7" s="22"/>
      <c r="T7" s="22"/>
    </row>
    <row r="8" spans="1:20" ht="20.100000000000001" customHeight="1">
      <c r="A8" s="398" t="s">
        <v>836</v>
      </c>
      <c r="B8" s="399">
        <v>0</v>
      </c>
      <c r="C8" s="400">
        <f>ROUND('1.6.5 오수관로신설'!C7*0.03,0)</f>
        <v>0</v>
      </c>
      <c r="D8" s="400">
        <f>ROUND('1.6.5 오수관로신설'!D7*0.03,0)</f>
        <v>0</v>
      </c>
      <c r="E8" s="400">
        <f>ROUND('1.6.5 오수관로신설'!E7*0.03,0)</f>
        <v>0</v>
      </c>
      <c r="F8" s="401"/>
      <c r="G8" s="5"/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0.100000000000001" customHeight="1">
      <c r="A9" s="111" t="s">
        <v>452</v>
      </c>
      <c r="B9" s="108">
        <f>SUM(B5:B8)</f>
        <v>0</v>
      </c>
      <c r="C9" s="108">
        <f>SUM(C5:C8)</f>
        <v>0</v>
      </c>
      <c r="D9" s="108">
        <f>SUM(D5:D8)</f>
        <v>0</v>
      </c>
      <c r="E9" s="108">
        <f>SUM(E5:E8)</f>
        <v>0</v>
      </c>
      <c r="F9" s="99"/>
      <c r="G9" s="5"/>
      <c r="H9" s="21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20" ht="20.100000000000001" customHeight="1">
      <c r="A10" s="38"/>
      <c r="G10" s="5"/>
      <c r="H10" s="21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</row>
    <row r="11" spans="1:20" ht="20.100000000000001" customHeight="1">
      <c r="A11" s="2" t="s">
        <v>456</v>
      </c>
      <c r="D11" s="12"/>
      <c r="G11" s="5"/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</row>
    <row r="12" spans="1:20" ht="20.100000000000001" customHeight="1">
      <c r="A12" s="14"/>
      <c r="B12" s="15"/>
      <c r="C12" s="15"/>
      <c r="D12" s="15"/>
      <c r="E12" s="15"/>
      <c r="F12" s="8" t="s">
        <v>457</v>
      </c>
      <c r="G12" s="5"/>
      <c r="H12" s="21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</row>
    <row r="13" spans="1:20" ht="20.100000000000001" customHeight="1">
      <c r="A13" s="282" t="s">
        <v>435</v>
      </c>
      <c r="B13" s="297" t="s">
        <v>436</v>
      </c>
      <c r="C13" s="298" t="s">
        <v>437</v>
      </c>
      <c r="D13" s="298" t="s">
        <v>438</v>
      </c>
      <c r="E13" s="298" t="s">
        <v>439</v>
      </c>
      <c r="F13" s="299" t="s">
        <v>440</v>
      </c>
      <c r="G13" s="5"/>
      <c r="H13" s="21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</row>
    <row r="14" spans="1:20" ht="20.100000000000001" customHeight="1">
      <c r="A14" s="120" t="s">
        <v>461</v>
      </c>
      <c r="B14" s="117">
        <f>+B9</f>
        <v>0</v>
      </c>
      <c r="C14" s="115">
        <f>+C9</f>
        <v>0</v>
      </c>
      <c r="D14" s="115">
        <f>+D9</f>
        <v>0</v>
      </c>
      <c r="E14" s="115">
        <f>+E9</f>
        <v>0</v>
      </c>
      <c r="F14" s="116"/>
      <c r="G14" s="5"/>
      <c r="H14" s="21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</row>
    <row r="15" spans="1:20" ht="20.100000000000001" customHeight="1">
      <c r="A15" s="110" t="s">
        <v>450</v>
      </c>
      <c r="B15" s="118">
        <f>IFERROR(INDEX($H$21:$L$37,MATCH(B14,$H$21:$H$37,1),1),0)</f>
        <v>0</v>
      </c>
      <c r="C15" s="118">
        <f>IFERROR(INDEX($H$21:$L$37,MATCH(C14,$H$21:$H$37,1),1),0)</f>
        <v>0</v>
      </c>
      <c r="D15" s="118">
        <f>IFERROR(INDEX($H$21:$L$37,MATCH(D14,$H$21:$H$37,1),1),0)</f>
        <v>0</v>
      </c>
      <c r="E15" s="118">
        <f>IFERROR(INDEX($H$21:$L$37,MATCH(E14,$H$21:$H$37,1),1),0)</f>
        <v>0</v>
      </c>
      <c r="F15" s="113"/>
      <c r="G15" s="5"/>
      <c r="H15" s="21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</row>
    <row r="16" spans="1:20" ht="20.100000000000001" customHeight="1">
      <c r="A16" s="110" t="s">
        <v>448</v>
      </c>
      <c r="B16" s="118">
        <f>IFERROR(INDEX($H$21:$L$37,MATCH(B14,$H$21:$H$37,1)+1,1),0)</f>
        <v>0</v>
      </c>
      <c r="C16" s="118">
        <f>IFERROR(INDEX($H$21:$L$37,MATCH(C14,$H$21:$H$37,1)+1,1),0)</f>
        <v>0</v>
      </c>
      <c r="D16" s="118">
        <f>IFERROR(INDEX($H$21:$L$37,MATCH(D14,$H$21:$H$37,1)+1,1),0)</f>
        <v>0</v>
      </c>
      <c r="E16" s="118">
        <f>IFERROR(INDEX($H$21:$L$37,MATCH(E14,$H$21:$H$37,1)+1,1),0)</f>
        <v>0</v>
      </c>
      <c r="F16" s="113"/>
      <c r="G16" s="5"/>
      <c r="H16" s="21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</row>
    <row r="17" spans="1:20" ht="20.100000000000001" customHeight="1">
      <c r="A17" s="110" t="s">
        <v>462</v>
      </c>
      <c r="B17" s="141">
        <f>IFERROR(INDEX($H$21:$L$37,MATCH(B14,$H$21:$H$37,1),2)+INDEX($H$21:$L$37,MATCH(B14,$H$21:$H$37,1),3),0)</f>
        <v>0</v>
      </c>
      <c r="C17" s="141">
        <f>IFERROR(INDEX($H$21:$L$37,MATCH(C14,$H$21:$H$37,1),2)+INDEX($H$21:$L$37,MATCH(C14,$H$21:$H$37,1),3),0)</f>
        <v>0</v>
      </c>
      <c r="D17" s="141">
        <f>IFERROR(INDEX($H$21:$L$37,MATCH(D14,$H$21:$H$37,1),2)+INDEX($H$21:$L$37,MATCH(D14,$H$21:$H$37,1),3),0)</f>
        <v>0</v>
      </c>
      <c r="E17" s="141">
        <f>IFERROR(INDEX($H$21:$L$37,MATCH(E14,$H$21:$H$37,1),2)+INDEX($H$21:$L$37,MATCH(E14,$H$21:$H$37,1),3),0)</f>
        <v>0</v>
      </c>
      <c r="F17" s="113"/>
      <c r="G17" s="5"/>
      <c r="H17" s="21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</row>
    <row r="18" spans="1:20" ht="20.100000000000001" customHeight="1">
      <c r="A18" s="110" t="s">
        <v>463</v>
      </c>
      <c r="B18" s="141">
        <f>IFERROR(INDEX($H$21:$L$37,MATCH(B14,$H$21:$H$37,1)+1,2)+INDEX($H$21:$L$37,MATCH(B14,$H$21:$H$37,1)+1,3),0)</f>
        <v>0</v>
      </c>
      <c r="C18" s="141">
        <f>IFERROR(INDEX($H$21:$L$37,MATCH(C14,$H$21:$H$37,1)+1,2)+INDEX($H$21:$L$37,MATCH(C14,$H$21:$H$37,1)+1,3),0)</f>
        <v>0</v>
      </c>
      <c r="D18" s="141">
        <f>IFERROR(INDEX($H$21:$L$37,MATCH(D14,$H$21:$H$37,1)+1,2)+INDEX($H$21:$L$37,MATCH(D14,$H$21:$H$37,1)+1,3),0)</f>
        <v>0</v>
      </c>
      <c r="E18" s="141">
        <f>IFERROR(INDEX($H$21:$L$37,MATCH(E14,$H$21:$H$37,1)+1,2)+INDEX($H$21:$L$37,MATCH(E14,$H$21:$H$37,1)+1,3),0)</f>
        <v>0</v>
      </c>
      <c r="F18" s="113"/>
      <c r="G18" s="5"/>
      <c r="H18" s="16"/>
      <c r="I18" s="9"/>
      <c r="J18" s="9"/>
      <c r="K18" s="9"/>
      <c r="L18" s="9"/>
      <c r="M18" s="39"/>
      <c r="N18" s="9"/>
      <c r="O18" s="9"/>
      <c r="P18" s="39"/>
      <c r="Q18" s="39"/>
      <c r="R18" s="9"/>
      <c r="S18" s="9"/>
      <c r="T18" s="9"/>
    </row>
    <row r="19" spans="1:20" ht="20.100000000000001" customHeight="1">
      <c r="A19" s="110" t="s">
        <v>464</v>
      </c>
      <c r="B19" s="141">
        <f>IFERROR(B17+((B18-B17)/(B16-B15))*(B14-B15),0)</f>
        <v>0</v>
      </c>
      <c r="C19" s="141">
        <f>IFERROR(C17+((C18-C17)/(C16-C15))*(C14-C15),0)</f>
        <v>0</v>
      </c>
      <c r="D19" s="141">
        <f>IFERROR(D17+((D18-D17)/(D16-D15))*(D14-D15),0)</f>
        <v>0</v>
      </c>
      <c r="E19" s="141">
        <f>IFERROR(E17+((E18-E17)/(E16-E15))*(E14-E15),0)</f>
        <v>0</v>
      </c>
      <c r="F19" s="113"/>
      <c r="G19" s="16"/>
      <c r="H19" s="16" t="s">
        <v>458</v>
      </c>
    </row>
    <row r="20" spans="1:20" ht="20.100000000000001" customHeight="1">
      <c r="A20" s="111" t="s">
        <v>480</v>
      </c>
      <c r="B20" s="108">
        <f>+ROUND(B14*B19,0)</f>
        <v>0</v>
      </c>
      <c r="C20" s="97">
        <f>+ROUND(C14*C19,0)</f>
        <v>0</v>
      </c>
      <c r="D20" s="97">
        <f>+ROUND(D14*D19,0)</f>
        <v>0</v>
      </c>
      <c r="E20" s="97">
        <f>+ROUND(E14*E19,0)</f>
        <v>0</v>
      </c>
      <c r="F20" s="114"/>
      <c r="G20" s="16"/>
      <c r="H20" s="17" t="s">
        <v>459</v>
      </c>
      <c r="I20" s="17" t="s">
        <v>38</v>
      </c>
      <c r="J20" s="17" t="s">
        <v>39</v>
      </c>
      <c r="K20" s="17" t="s">
        <v>460</v>
      </c>
      <c r="L20" s="17" t="s">
        <v>41</v>
      </c>
    </row>
    <row r="21" spans="1:20" ht="20.100000000000001" customHeight="1">
      <c r="A21" s="21"/>
      <c r="B21" s="22"/>
      <c r="C21" s="22"/>
      <c r="D21" s="23"/>
      <c r="E21" s="23"/>
      <c r="F21" s="24"/>
      <c r="G21" s="16"/>
      <c r="H21" s="18">
        <v>50</v>
      </c>
      <c r="I21" s="19">
        <v>3.2400000000000005E-2</v>
      </c>
      <c r="J21" s="19">
        <v>6.4899999999999999E-2</v>
      </c>
      <c r="K21" s="19">
        <v>3.0200000000000001E-2</v>
      </c>
      <c r="L21" s="19">
        <v>1.0800000000000001E-2</v>
      </c>
      <c r="M21" s="20"/>
      <c r="N21" s="20"/>
      <c r="O21" s="20"/>
      <c r="P21" s="20"/>
    </row>
    <row r="22" spans="1:20" ht="20.100000000000001" customHeight="1">
      <c r="A22" s="2" t="s">
        <v>485</v>
      </c>
      <c r="G22" s="16"/>
      <c r="H22" s="18">
        <v>100</v>
      </c>
      <c r="I22" s="19">
        <v>3.04E-2</v>
      </c>
      <c r="J22" s="19">
        <v>6.0700000000000004E-2</v>
      </c>
      <c r="K22" s="19">
        <v>2.8500000000000001E-2</v>
      </c>
      <c r="L22" s="19">
        <v>9.0000000000000011E-3</v>
      </c>
      <c r="M22" s="20"/>
      <c r="N22" s="20"/>
      <c r="O22" s="20"/>
      <c r="P22" s="20"/>
    </row>
    <row r="23" spans="1:20" ht="20.100000000000001" customHeight="1">
      <c r="A23" s="14"/>
      <c r="B23" s="15"/>
      <c r="C23" s="15"/>
      <c r="D23" s="15"/>
      <c r="E23" s="15"/>
      <c r="F23" s="8" t="s">
        <v>457</v>
      </c>
      <c r="G23" s="16"/>
      <c r="H23" s="18">
        <v>200</v>
      </c>
      <c r="I23" s="19">
        <v>2.4199999999999999E-2</v>
      </c>
      <c r="J23" s="19">
        <v>4.8499999999999995E-2</v>
      </c>
      <c r="K23" s="19">
        <v>2.2599999999999999E-2</v>
      </c>
      <c r="L23" s="19">
        <v>7.1999999999999998E-3</v>
      </c>
      <c r="M23" s="20"/>
      <c r="N23" s="20"/>
      <c r="O23" s="20"/>
      <c r="P23" s="20"/>
    </row>
    <row r="24" spans="1:20" ht="20.100000000000001" customHeight="1">
      <c r="A24" s="282" t="s">
        <v>435</v>
      </c>
      <c r="B24" s="297" t="s">
        <v>436</v>
      </c>
      <c r="C24" s="298" t="s">
        <v>437</v>
      </c>
      <c r="D24" s="298" t="s">
        <v>438</v>
      </c>
      <c r="E24" s="298" t="s">
        <v>439</v>
      </c>
      <c r="F24" s="299" t="s">
        <v>440</v>
      </c>
      <c r="G24" s="16"/>
      <c r="H24" s="18">
        <v>300</v>
      </c>
      <c r="I24" s="19">
        <v>2.2200000000000001E-2</v>
      </c>
      <c r="J24" s="19">
        <v>4.4299999999999999E-2</v>
      </c>
      <c r="K24" s="19">
        <v>2.06E-2</v>
      </c>
      <c r="L24" s="19">
        <v>7.1999999999999998E-3</v>
      </c>
      <c r="M24" s="20"/>
      <c r="N24" s="20"/>
      <c r="O24" s="20"/>
      <c r="P24" s="20"/>
    </row>
    <row r="25" spans="1:20" ht="20.100000000000001" customHeight="1">
      <c r="A25" s="120" t="s">
        <v>461</v>
      </c>
      <c r="B25" s="117">
        <f>+B14</f>
        <v>0</v>
      </c>
      <c r="C25" s="115">
        <f>+C14</f>
        <v>0</v>
      </c>
      <c r="D25" s="115">
        <f>+D14</f>
        <v>0</v>
      </c>
      <c r="E25" s="115">
        <f>+E14</f>
        <v>0</v>
      </c>
      <c r="F25" s="116"/>
      <c r="G25" s="16"/>
      <c r="H25" s="18">
        <v>500</v>
      </c>
      <c r="I25" s="19">
        <v>2.0099999999999996E-2</v>
      </c>
      <c r="J25" s="19">
        <v>4.0300000000000002E-2</v>
      </c>
      <c r="K25" s="19">
        <v>1.89E-2</v>
      </c>
      <c r="L25" s="19">
        <v>7.1999999999999998E-3</v>
      </c>
      <c r="M25" s="20"/>
      <c r="N25" s="20"/>
      <c r="O25" s="20"/>
      <c r="P25" s="20"/>
    </row>
    <row r="26" spans="1:20" ht="20.100000000000001" customHeight="1">
      <c r="A26" s="110" t="s">
        <v>636</v>
      </c>
      <c r="B26" s="118">
        <f>+I39</f>
        <v>10000</v>
      </c>
      <c r="C26" s="112">
        <f>+I39</f>
        <v>10000</v>
      </c>
      <c r="D26" s="96">
        <f>+I39</f>
        <v>10000</v>
      </c>
      <c r="E26" s="96">
        <f>+I39</f>
        <v>10000</v>
      </c>
      <c r="F26" s="113"/>
      <c r="G26" s="16"/>
      <c r="H26" s="18">
        <v>1000</v>
      </c>
      <c r="I26" s="19">
        <v>1.77E-2</v>
      </c>
      <c r="J26" s="19">
        <v>3.5499999999999997E-2</v>
      </c>
      <c r="K26" s="19">
        <v>1.66E-2</v>
      </c>
      <c r="L26" s="19">
        <v>6.3E-3</v>
      </c>
      <c r="M26" s="20"/>
      <c r="N26" s="20"/>
      <c r="O26" s="20"/>
      <c r="P26" s="20"/>
    </row>
    <row r="27" spans="1:20" ht="20.100000000000001" customHeight="1">
      <c r="A27" s="110" t="s">
        <v>637</v>
      </c>
      <c r="B27" s="118">
        <f>+I39</f>
        <v>10000</v>
      </c>
      <c r="C27" s="112">
        <f>+I39</f>
        <v>10000</v>
      </c>
      <c r="D27" s="96">
        <f>+I39</f>
        <v>10000</v>
      </c>
      <c r="E27" s="96">
        <f>+I39</f>
        <v>10000</v>
      </c>
      <c r="F27" s="113"/>
      <c r="G27" s="16"/>
      <c r="H27" s="18">
        <v>2000</v>
      </c>
      <c r="I27" s="19">
        <v>1.6299999999999999E-2</v>
      </c>
      <c r="J27" s="19">
        <v>3.27E-2</v>
      </c>
      <c r="K27" s="19">
        <v>1.5300000000000001E-2</v>
      </c>
      <c r="L27" s="19">
        <v>3.5999999999999999E-3</v>
      </c>
      <c r="M27" s="20"/>
      <c r="N27" s="20"/>
      <c r="O27" s="20"/>
      <c r="P27" s="20"/>
    </row>
    <row r="28" spans="1:20" ht="20.100000000000001" customHeight="1">
      <c r="A28" s="110" t="s">
        <v>462</v>
      </c>
      <c r="B28" s="141">
        <f>+I40</f>
        <v>9.3699999999999992E-2</v>
      </c>
      <c r="C28" s="135">
        <f>+I40</f>
        <v>9.3699999999999992E-2</v>
      </c>
      <c r="D28" s="175">
        <f>+I40</f>
        <v>9.3699999999999992E-2</v>
      </c>
      <c r="E28" s="174">
        <f>+I40</f>
        <v>9.3699999999999992E-2</v>
      </c>
      <c r="F28" s="113"/>
      <c r="G28" s="16"/>
      <c r="H28" s="18">
        <v>3000</v>
      </c>
      <c r="I28" s="19">
        <v>1.5700000000000002E-2</v>
      </c>
      <c r="J28" s="19">
        <v>3.15E-2</v>
      </c>
      <c r="K28" s="19">
        <v>1.4800000000000001E-2</v>
      </c>
      <c r="L28" s="19">
        <v>3.5999999999999999E-3</v>
      </c>
      <c r="M28" s="20"/>
      <c r="N28" s="20"/>
      <c r="O28" s="20"/>
      <c r="P28" s="20"/>
    </row>
    <row r="29" spans="1:20" ht="20.100000000000001" customHeight="1">
      <c r="A29" s="110" t="s">
        <v>463</v>
      </c>
      <c r="B29" s="141">
        <f>+I40</f>
        <v>9.3699999999999992E-2</v>
      </c>
      <c r="C29" s="135">
        <f>+I40</f>
        <v>9.3699999999999992E-2</v>
      </c>
      <c r="D29" s="175">
        <f>+I40</f>
        <v>9.3699999999999992E-2</v>
      </c>
      <c r="E29" s="174">
        <f>+I40</f>
        <v>9.3699999999999992E-2</v>
      </c>
      <c r="F29" s="113"/>
      <c r="G29" s="16"/>
      <c r="H29" s="18">
        <v>5000</v>
      </c>
      <c r="I29" s="19">
        <v>1.54E-2</v>
      </c>
      <c r="J29" s="19">
        <v>3.0899999999999997E-2</v>
      </c>
      <c r="K29" s="19">
        <v>1.4499999999999999E-2</v>
      </c>
      <c r="L29" s="19">
        <v>2.7000000000000001E-3</v>
      </c>
      <c r="M29" s="20"/>
      <c r="N29" s="20"/>
      <c r="O29" s="20"/>
      <c r="P29" s="20"/>
    </row>
    <row r="30" spans="1:20" ht="20.100000000000001" customHeight="1">
      <c r="A30" s="110" t="s">
        <v>464</v>
      </c>
      <c r="B30" s="141">
        <f>+I40</f>
        <v>9.3699999999999992E-2</v>
      </c>
      <c r="C30" s="135">
        <f>+I40</f>
        <v>9.3699999999999992E-2</v>
      </c>
      <c r="D30" s="135">
        <f>+I40</f>
        <v>9.3699999999999992E-2</v>
      </c>
      <c r="E30" s="174">
        <f>+I40</f>
        <v>9.3699999999999992E-2</v>
      </c>
      <c r="F30" s="113"/>
      <c r="G30" s="16"/>
      <c r="H30" s="18">
        <v>10000</v>
      </c>
      <c r="I30" s="19">
        <v>1.5100000000000001E-2</v>
      </c>
      <c r="J30" s="19">
        <v>3.0099999999999998E-2</v>
      </c>
      <c r="K30" s="19">
        <v>1.41E-2</v>
      </c>
      <c r="L30" s="19">
        <v>2.5000000000000001E-3</v>
      </c>
      <c r="M30" s="20"/>
      <c r="N30" s="20"/>
      <c r="O30" s="20"/>
      <c r="P30" s="20"/>
    </row>
    <row r="31" spans="1:20" ht="20.100000000000001" customHeight="1">
      <c r="A31" s="111" t="s">
        <v>475</v>
      </c>
      <c r="B31" s="108">
        <f>+ROUND(B25*B30,0)</f>
        <v>0</v>
      </c>
      <c r="C31" s="97">
        <f>+ROUND(C25*C30,0)</f>
        <v>0</v>
      </c>
      <c r="D31" s="97">
        <f>+ROUND(D25*D30,0)</f>
        <v>0</v>
      </c>
      <c r="E31" s="97">
        <f>+ROUND(E25*E30,0)</f>
        <v>0</v>
      </c>
      <c r="F31" s="114"/>
      <c r="G31" s="16"/>
      <c r="H31" s="18">
        <v>20000</v>
      </c>
      <c r="I31" s="19">
        <v>1.46E-2</v>
      </c>
      <c r="J31" s="19">
        <v>2.9100000000000001E-2</v>
      </c>
      <c r="K31" s="19">
        <v>1.37E-2</v>
      </c>
      <c r="L31" s="19">
        <v>2.3E-3</v>
      </c>
      <c r="M31" s="20"/>
      <c r="N31" s="20"/>
      <c r="O31" s="20"/>
      <c r="P31" s="20"/>
    </row>
    <row r="32" spans="1:20" ht="20.100000000000001" customHeight="1">
      <c r="A32" s="30"/>
      <c r="B32" s="31"/>
      <c r="C32" s="31"/>
      <c r="D32" s="32"/>
      <c r="E32" s="28"/>
      <c r="F32" s="33"/>
      <c r="G32" s="16"/>
      <c r="H32" s="18">
        <v>30000</v>
      </c>
      <c r="I32" s="19">
        <v>1.4499999999999999E-2</v>
      </c>
      <c r="J32" s="19">
        <v>2.8999999999999998E-2</v>
      </c>
      <c r="K32" s="19">
        <v>1.3500000000000002E-2</v>
      </c>
      <c r="L32" s="19">
        <v>2.3E-3</v>
      </c>
      <c r="M32" s="20"/>
      <c r="N32" s="20"/>
      <c r="O32" s="20"/>
      <c r="P32" s="20"/>
    </row>
    <row r="33" spans="1:17" ht="20.100000000000001" customHeight="1">
      <c r="A33" s="30"/>
      <c r="B33" s="31"/>
      <c r="C33" s="31"/>
      <c r="D33" s="32"/>
      <c r="E33" s="28"/>
      <c r="F33" s="33"/>
      <c r="G33" s="16"/>
      <c r="H33" s="18">
        <v>50000</v>
      </c>
      <c r="I33" s="19">
        <v>1.41E-2</v>
      </c>
      <c r="J33" s="19">
        <v>2.8399999999999998E-2</v>
      </c>
      <c r="K33" s="19">
        <v>1.3300000000000001E-2</v>
      </c>
      <c r="L33" s="19">
        <v>2.3E-3</v>
      </c>
      <c r="M33" s="20"/>
      <c r="N33" s="20"/>
      <c r="O33" s="20"/>
      <c r="P33" s="20"/>
    </row>
    <row r="34" spans="1:17" ht="20.100000000000001" customHeight="1">
      <c r="A34" s="30"/>
      <c r="B34" s="31"/>
      <c r="C34" s="31"/>
      <c r="D34" s="32"/>
      <c r="E34" s="28"/>
      <c r="F34" s="33"/>
      <c r="G34" s="25"/>
      <c r="H34" s="18">
        <v>100000</v>
      </c>
      <c r="I34" s="19">
        <v>1.3999999999999999E-2</v>
      </c>
      <c r="J34" s="19">
        <v>2.7900000000000001E-2</v>
      </c>
      <c r="K34" s="19">
        <v>1.3000000000000001E-2</v>
      </c>
      <c r="L34" s="19">
        <v>2.3E-3</v>
      </c>
      <c r="M34" s="20"/>
      <c r="N34" s="20"/>
      <c r="O34" s="20"/>
      <c r="P34" s="20"/>
    </row>
    <row r="35" spans="1:17" ht="20.100000000000001" customHeight="1">
      <c r="A35" s="30"/>
      <c r="B35" s="31"/>
      <c r="C35" s="31"/>
      <c r="D35" s="32"/>
      <c r="E35" s="28"/>
      <c r="F35" s="33"/>
      <c r="G35" s="26"/>
      <c r="H35" s="18">
        <v>200000</v>
      </c>
      <c r="I35" s="19">
        <v>1.38E-2</v>
      </c>
      <c r="J35" s="19">
        <v>2.76E-2</v>
      </c>
      <c r="K35" s="19">
        <v>1.2800000000000001E-2</v>
      </c>
      <c r="L35" s="19">
        <v>2.0999999999999999E-3</v>
      </c>
      <c r="M35" s="20"/>
      <c r="N35" s="20"/>
      <c r="O35" s="20"/>
      <c r="P35" s="20"/>
    </row>
    <row r="36" spans="1:17" ht="20.100000000000001" customHeight="1">
      <c r="A36" s="30"/>
      <c r="B36" s="31"/>
      <c r="C36" s="31"/>
      <c r="D36" s="32"/>
      <c r="E36" s="28"/>
      <c r="F36" s="33"/>
      <c r="G36" s="27"/>
      <c r="H36" s="18">
        <v>300000</v>
      </c>
      <c r="I36" s="19">
        <v>1.37E-2</v>
      </c>
      <c r="J36" s="19">
        <v>2.7200000000000002E-2</v>
      </c>
      <c r="K36" s="19">
        <v>1.2500000000000001E-2</v>
      </c>
      <c r="L36" s="19">
        <v>1.9E-3</v>
      </c>
      <c r="M36" s="20"/>
      <c r="N36" s="20"/>
      <c r="O36" s="20"/>
      <c r="P36" s="20"/>
    </row>
    <row r="37" spans="1:17" ht="20.100000000000001" customHeight="1">
      <c r="A37" s="30"/>
      <c r="B37" s="31"/>
      <c r="C37" s="31"/>
      <c r="D37" s="32"/>
      <c r="E37" s="28"/>
      <c r="F37" s="33"/>
      <c r="G37" s="9"/>
      <c r="H37" s="18">
        <v>500000</v>
      </c>
      <c r="I37" s="19">
        <v>1.34E-2</v>
      </c>
      <c r="J37" s="19">
        <v>2.7000000000000003E-2</v>
      </c>
      <c r="K37" s="19">
        <v>1.23E-2</v>
      </c>
      <c r="L37" s="19">
        <v>1.7000000000000001E-3</v>
      </c>
      <c r="M37" s="20"/>
      <c r="N37" s="20"/>
      <c r="O37" s="20"/>
      <c r="P37" s="20"/>
    </row>
    <row r="38" spans="1:17" ht="20.100000000000001" customHeight="1">
      <c r="A38" s="2" t="s">
        <v>477</v>
      </c>
      <c r="D38" s="12"/>
      <c r="G38" s="9"/>
      <c r="H38" s="9" t="s">
        <v>476</v>
      </c>
    </row>
    <row r="39" spans="1:17" ht="20.100000000000001" customHeight="1">
      <c r="A39" s="14"/>
      <c r="B39" s="15"/>
      <c r="C39" s="15"/>
      <c r="D39" s="15"/>
      <c r="E39" s="15"/>
      <c r="F39" s="8" t="s">
        <v>457</v>
      </c>
      <c r="G39" s="9"/>
      <c r="H39" s="17" t="s">
        <v>459</v>
      </c>
      <c r="I39" s="34">
        <v>10000</v>
      </c>
      <c r="J39" s="34">
        <v>20000</v>
      </c>
      <c r="K39" s="34">
        <v>30000</v>
      </c>
      <c r="L39" s="34">
        <v>40000</v>
      </c>
      <c r="M39" s="34">
        <v>50000</v>
      </c>
      <c r="N39" s="34">
        <v>70000</v>
      </c>
      <c r="O39" s="34">
        <v>100000</v>
      </c>
      <c r="P39" s="34">
        <v>150000</v>
      </c>
      <c r="Q39" s="34">
        <v>200000</v>
      </c>
    </row>
    <row r="40" spans="1:17" ht="20.100000000000001" customHeight="1">
      <c r="A40" s="282" t="s">
        <v>435</v>
      </c>
      <c r="B40" s="297" t="s">
        <v>436</v>
      </c>
      <c r="C40" s="298" t="s">
        <v>437</v>
      </c>
      <c r="D40" s="298" t="s">
        <v>438</v>
      </c>
      <c r="E40" s="298" t="s">
        <v>439</v>
      </c>
      <c r="F40" s="299" t="s">
        <v>440</v>
      </c>
      <c r="G40" s="9"/>
      <c r="H40" s="17" t="s">
        <v>53</v>
      </c>
      <c r="I40" s="19">
        <v>9.3699999999999992E-2</v>
      </c>
      <c r="J40" s="19">
        <v>7.4999999999999997E-2</v>
      </c>
      <c r="K40" s="19">
        <v>6.5199999999999994E-2</v>
      </c>
      <c r="L40" s="19">
        <v>5.8799999999999998E-2</v>
      </c>
      <c r="M40" s="19">
        <v>5.4299999999999994E-2</v>
      </c>
      <c r="N40" s="19">
        <v>4.9100000000000005E-2</v>
      </c>
      <c r="O40" s="19">
        <v>4.4600000000000001E-2</v>
      </c>
      <c r="P40" s="19">
        <v>3.9199999999999999E-2</v>
      </c>
      <c r="Q40" s="19">
        <v>3.5299999999999998E-2</v>
      </c>
    </row>
    <row r="41" spans="1:17" ht="20.100000000000001" customHeight="1">
      <c r="A41" s="120" t="s">
        <v>461</v>
      </c>
      <c r="B41" s="117">
        <f>+B14</f>
        <v>0</v>
      </c>
      <c r="C41" s="115">
        <f>+C14</f>
        <v>0</v>
      </c>
      <c r="D41" s="115">
        <f>+D14</f>
        <v>0</v>
      </c>
      <c r="E41" s="115">
        <f>+E14</f>
        <v>0</v>
      </c>
      <c r="F41" s="116"/>
      <c r="G41" s="9"/>
      <c r="H41" s="9"/>
      <c r="I41" s="20"/>
      <c r="J41" s="20"/>
      <c r="K41" s="20"/>
      <c r="L41" s="20"/>
      <c r="M41" s="20"/>
      <c r="N41" s="20"/>
      <c r="O41" s="20"/>
      <c r="P41" s="20"/>
      <c r="Q41" s="20"/>
    </row>
    <row r="42" spans="1:17" ht="20.100000000000001" customHeight="1">
      <c r="A42" s="110" t="s">
        <v>450</v>
      </c>
      <c r="B42" s="118">
        <f>IFERROR(INDEX($H$21:$L$37,MATCH(B9,$H$21:$H$37,1),1),0)</f>
        <v>0</v>
      </c>
      <c r="C42" s="118">
        <f>IFERROR(INDEX($H$21:$L$37,MATCH(C9,$H$21:$H$37,1),1),0)</f>
        <v>0</v>
      </c>
      <c r="D42" s="118">
        <f>IFERROR(INDEX($H$21:$L$37,MATCH(D9,$H$21:$H$37,1),1),0)</f>
        <v>0</v>
      </c>
      <c r="E42" s="118">
        <f>IFERROR(INDEX($H$21:$L$37,MATCH(E9,$H$21:$H$37,1),1),0)</f>
        <v>0</v>
      </c>
      <c r="F42" s="113"/>
      <c r="G42" s="9"/>
      <c r="H42" s="9"/>
    </row>
    <row r="43" spans="1:17" ht="20.100000000000001" customHeight="1">
      <c r="A43" s="110" t="s">
        <v>448</v>
      </c>
      <c r="B43" s="118">
        <f>IFERROR(INDEX($H$21:$L$37,MATCH(B9,$H$21:$H$37,1)+1,1),0)</f>
        <v>0</v>
      </c>
      <c r="C43" s="118">
        <f>IFERROR(INDEX($H$21:$L$37,MATCH(C9,$H$21:$H$37,1)+1,1),0)</f>
        <v>0</v>
      </c>
      <c r="D43" s="118">
        <f>IFERROR(INDEX($H$21:$L$37,MATCH(D9,$H$21:$H$37,1)+1,1),0)</f>
        <v>0</v>
      </c>
      <c r="E43" s="118">
        <f>IFERROR(INDEX($H$21:$L$37,MATCH(E9,$H$21:$H$37,1)+1,1),0)</f>
        <v>0</v>
      </c>
      <c r="F43" s="113"/>
      <c r="G43" s="9"/>
      <c r="H43" s="9"/>
    </row>
    <row r="44" spans="1:17" ht="20.100000000000001" customHeight="1">
      <c r="A44" s="110" t="s">
        <v>462</v>
      </c>
      <c r="B44" s="141">
        <f>IFERROR(INDEX($H$21:$L$37,MATCH(B9,$H$21:$H$37,1),5),0)</f>
        <v>0</v>
      </c>
      <c r="C44" s="141">
        <f>IFERROR(INDEX($H$21:$L$37,MATCH(C9,$H$21:$H$37,1),5),0)</f>
        <v>0</v>
      </c>
      <c r="D44" s="141">
        <f>IFERROR(INDEX($H$21:$L$37,MATCH(D9,$H$21:$H$37,1),5),0)</f>
        <v>0</v>
      </c>
      <c r="E44" s="141">
        <f>IFERROR(INDEX($H$21:$L$37,MATCH(E9,$H$21:$H$37,1),5),0)</f>
        <v>0</v>
      </c>
      <c r="F44" s="113"/>
      <c r="G44" s="9"/>
    </row>
    <row r="45" spans="1:17" ht="20.100000000000001" customHeight="1">
      <c r="A45" s="110" t="s">
        <v>463</v>
      </c>
      <c r="B45" s="141">
        <f>IFERROR(INDEX($H$21:$L$37,MATCH(B9,$H$21:$H$37,1)+1,5),0)</f>
        <v>0</v>
      </c>
      <c r="C45" s="141">
        <f>IFERROR(INDEX($H$21:$L$37,MATCH(C9,$H$21:$H$37,1)+1,5),0)</f>
        <v>0</v>
      </c>
      <c r="D45" s="141">
        <f>IFERROR(INDEX($H$21:$L$37,MATCH(D9,$H$21:$H$37,1)+1,5),0)</f>
        <v>0</v>
      </c>
      <c r="E45" s="141">
        <f>IFERROR(INDEX($H$21:$L$37,MATCH(E9,$H$21:$H$37,1)+1,5),0)</f>
        <v>0</v>
      </c>
      <c r="F45" s="113"/>
    </row>
    <row r="46" spans="1:17" ht="20.100000000000001" customHeight="1">
      <c r="A46" s="110" t="s">
        <v>464</v>
      </c>
      <c r="B46" s="141">
        <f>IFERROR(B44+((B45-B44)/(B43-B42))*(B41-B42),0)</f>
        <v>0</v>
      </c>
      <c r="C46" s="141">
        <f>IFERROR(C44+((C45-C44)/(C43-C42))*(C41-C42),0)</f>
        <v>0</v>
      </c>
      <c r="D46" s="141">
        <f>IFERROR(D44+((D45-D44)/(D43-D42))*(D41-D42),0)</f>
        <v>0</v>
      </c>
      <c r="E46" s="141">
        <f>IFERROR(E44+((E45-E44)/(E43-E42))*(E41-E42),0)</f>
        <v>0</v>
      </c>
      <c r="F46" s="113"/>
    </row>
    <row r="47" spans="1:17" ht="20.100000000000001" customHeight="1">
      <c r="A47" s="111" t="s">
        <v>478</v>
      </c>
      <c r="B47" s="108">
        <f>+ROUND(B41*B46,0)</f>
        <v>0</v>
      </c>
      <c r="C47" s="97">
        <f>+ROUND(C41*C46,0)</f>
        <v>0</v>
      </c>
      <c r="D47" s="97">
        <f>+ROUND(D41*D46,0)</f>
        <v>0</v>
      </c>
      <c r="E47" s="97">
        <f>+ROUND(E41*E46,0)</f>
        <v>0</v>
      </c>
      <c r="F47" s="114"/>
    </row>
    <row r="48" spans="1:17" ht="20.100000000000001" customHeight="1"/>
    <row r="49" spans="1:6" ht="20.100000000000001" customHeight="1">
      <c r="A49" s="2" t="s">
        <v>479</v>
      </c>
      <c r="D49" s="12"/>
    </row>
    <row r="50" spans="1:6" ht="20.100000000000001" customHeight="1">
      <c r="A50" s="14"/>
      <c r="B50" s="15"/>
      <c r="C50" s="15"/>
      <c r="D50" s="15"/>
      <c r="E50" s="15"/>
      <c r="F50" s="8" t="s">
        <v>457</v>
      </c>
    </row>
    <row r="51" spans="1:6" ht="20.100000000000001" customHeight="1">
      <c r="A51" s="282" t="s">
        <v>435</v>
      </c>
      <c r="B51" s="297" t="s">
        <v>436</v>
      </c>
      <c r="C51" s="298" t="s">
        <v>437</v>
      </c>
      <c r="D51" s="298" t="s">
        <v>438</v>
      </c>
      <c r="E51" s="298" t="s">
        <v>439</v>
      </c>
      <c r="F51" s="299" t="s">
        <v>440</v>
      </c>
    </row>
    <row r="52" spans="1:6" ht="20.100000000000001" customHeight="1">
      <c r="A52" s="147" t="s">
        <v>452</v>
      </c>
      <c r="B52" s="148">
        <f>+B9</f>
        <v>0</v>
      </c>
      <c r="C52" s="149">
        <f>+C9</f>
        <v>0</v>
      </c>
      <c r="D52" s="149">
        <f>+D9</f>
        <v>0</v>
      </c>
      <c r="E52" s="149">
        <f>+E9</f>
        <v>0</v>
      </c>
      <c r="F52" s="150"/>
    </row>
    <row r="53" spans="1:6" ht="20.100000000000001" customHeight="1">
      <c r="A53" s="132" t="s">
        <v>480</v>
      </c>
      <c r="B53" s="129">
        <f>+B20</f>
        <v>0</v>
      </c>
      <c r="C53" s="121">
        <f>+C20</f>
        <v>0</v>
      </c>
      <c r="D53" s="121">
        <f>+D20</f>
        <v>0</v>
      </c>
      <c r="E53" s="121">
        <f>+E20</f>
        <v>0</v>
      </c>
      <c r="F53" s="122"/>
    </row>
    <row r="54" spans="1:6" ht="20.100000000000001" customHeight="1">
      <c r="A54" s="132" t="s">
        <v>475</v>
      </c>
      <c r="B54" s="129">
        <f>+B31</f>
        <v>0</v>
      </c>
      <c r="C54" s="121">
        <f>+C31</f>
        <v>0</v>
      </c>
      <c r="D54" s="121">
        <f>+D31</f>
        <v>0</v>
      </c>
      <c r="E54" s="121">
        <f>+E31</f>
        <v>0</v>
      </c>
      <c r="F54" s="122"/>
    </row>
    <row r="55" spans="1:6" ht="20.100000000000001" customHeight="1">
      <c r="A55" s="132" t="s">
        <v>478</v>
      </c>
      <c r="B55" s="129">
        <f>+B47</f>
        <v>0</v>
      </c>
      <c r="C55" s="121">
        <f>+C47</f>
        <v>0</v>
      </c>
      <c r="D55" s="121">
        <f>+D47</f>
        <v>0</v>
      </c>
      <c r="E55" s="121">
        <f>+E47</f>
        <v>0</v>
      </c>
      <c r="F55" s="122"/>
    </row>
    <row r="56" spans="1:6" ht="20.100000000000001" customHeight="1">
      <c r="A56" s="133" t="s">
        <v>481</v>
      </c>
      <c r="B56" s="130">
        <f>SUM(B52:B55)</f>
        <v>0</v>
      </c>
      <c r="C56" s="123">
        <f>SUM(C52:C55)</f>
        <v>0</v>
      </c>
      <c r="D56" s="123">
        <f>SUM(D52:D55)</f>
        <v>0</v>
      </c>
      <c r="E56" s="123">
        <f>SUM(E52:E55)</f>
        <v>0</v>
      </c>
      <c r="F56" s="125"/>
    </row>
    <row r="57" spans="1:6" ht="20.100000000000001" customHeight="1">
      <c r="A57" s="109" t="s">
        <v>417</v>
      </c>
      <c r="B57" s="145">
        <v>0</v>
      </c>
      <c r="C57" s="146" t="e">
        <f>+ROUND(C56*J6,0)</f>
        <v>#DIV/0!</v>
      </c>
      <c r="D57" s="146">
        <v>0</v>
      </c>
      <c r="E57" s="146">
        <v>0</v>
      </c>
      <c r="F57" s="144"/>
    </row>
    <row r="58" spans="1:6" ht="20.100000000000001" customHeight="1">
      <c r="A58" s="143" t="s">
        <v>413</v>
      </c>
      <c r="B58" s="142">
        <f>+B56-B57</f>
        <v>0</v>
      </c>
      <c r="C58" s="137" t="e">
        <f>+C56-C57</f>
        <v>#DIV/0!</v>
      </c>
      <c r="D58" s="137">
        <f>+D56-D57</f>
        <v>0</v>
      </c>
      <c r="E58" s="137">
        <f>+E56-E57</f>
        <v>0</v>
      </c>
      <c r="F58" s="138"/>
    </row>
  </sheetData>
  <phoneticPr fontId="4" type="noConversion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1"/>
  <sheetViews>
    <sheetView view="pageBreakPreview" zoomScaleNormal="100" zoomScaleSheetLayoutView="100" workbookViewId="0">
      <selection activeCell="I25" sqref="I25"/>
    </sheetView>
    <sheetView workbookViewId="1"/>
  </sheetViews>
  <sheetFormatPr defaultRowHeight="12"/>
  <cols>
    <col min="1" max="1" width="6.625" style="2" customWidth="1"/>
    <col min="2" max="3" width="8.625" style="3" customWidth="1"/>
    <col min="4" max="5" width="8.625" style="2" customWidth="1"/>
    <col min="6" max="6" width="11" style="2" customWidth="1"/>
    <col min="7" max="7" width="9.625" style="2" bestFit="1" customWidth="1"/>
    <col min="8" max="15" width="7.25" style="2" customWidth="1"/>
    <col min="16" max="16" width="14" style="3" customWidth="1"/>
    <col min="17" max="17" width="12.125" style="2" customWidth="1"/>
    <col min="18" max="239" width="9" style="2"/>
    <col min="240" max="241" width="3.75" style="2" customWidth="1"/>
    <col min="242" max="242" width="15" style="2" customWidth="1"/>
    <col min="243" max="246" width="12.875" style="2" customWidth="1"/>
    <col min="247" max="247" width="12.125" style="2" customWidth="1"/>
    <col min="248" max="248" width="9" style="2"/>
    <col min="249" max="249" width="12.25" style="2" customWidth="1"/>
    <col min="250" max="250" width="9.625" style="2" customWidth="1"/>
    <col min="251" max="252" width="9.75" style="2" customWidth="1"/>
    <col min="253" max="253" width="9.375" style="2" customWidth="1"/>
    <col min="254" max="495" width="9" style="2"/>
    <col min="496" max="497" width="3.75" style="2" customWidth="1"/>
    <col min="498" max="498" width="15" style="2" customWidth="1"/>
    <col min="499" max="502" width="12.875" style="2" customWidth="1"/>
    <col min="503" max="503" width="12.125" style="2" customWidth="1"/>
    <col min="504" max="504" width="9" style="2"/>
    <col min="505" max="505" width="12.25" style="2" customWidth="1"/>
    <col min="506" max="506" width="9.625" style="2" customWidth="1"/>
    <col min="507" max="508" width="9.75" style="2" customWidth="1"/>
    <col min="509" max="509" width="9.375" style="2" customWidth="1"/>
    <col min="510" max="751" width="9" style="2"/>
    <col min="752" max="753" width="3.75" style="2" customWidth="1"/>
    <col min="754" max="754" width="15" style="2" customWidth="1"/>
    <col min="755" max="758" width="12.875" style="2" customWidth="1"/>
    <col min="759" max="759" width="12.125" style="2" customWidth="1"/>
    <col min="760" max="760" width="9" style="2"/>
    <col min="761" max="761" width="12.25" style="2" customWidth="1"/>
    <col min="762" max="762" width="9.625" style="2" customWidth="1"/>
    <col min="763" max="764" width="9.75" style="2" customWidth="1"/>
    <col min="765" max="765" width="9.375" style="2" customWidth="1"/>
    <col min="766" max="1007" width="9" style="2"/>
    <col min="1008" max="1009" width="3.75" style="2" customWidth="1"/>
    <col min="1010" max="1010" width="15" style="2" customWidth="1"/>
    <col min="1011" max="1014" width="12.875" style="2" customWidth="1"/>
    <col min="1015" max="1015" width="12.125" style="2" customWidth="1"/>
    <col min="1016" max="1016" width="9" style="2"/>
    <col min="1017" max="1017" width="12.25" style="2" customWidth="1"/>
    <col min="1018" max="1018" width="9.625" style="2" customWidth="1"/>
    <col min="1019" max="1020" width="9.75" style="2" customWidth="1"/>
    <col min="1021" max="1021" width="9.375" style="2" customWidth="1"/>
    <col min="1022" max="1263" width="9" style="2"/>
    <col min="1264" max="1265" width="3.75" style="2" customWidth="1"/>
    <col min="1266" max="1266" width="15" style="2" customWidth="1"/>
    <col min="1267" max="1270" width="12.875" style="2" customWidth="1"/>
    <col min="1271" max="1271" width="12.125" style="2" customWidth="1"/>
    <col min="1272" max="1272" width="9" style="2"/>
    <col min="1273" max="1273" width="12.25" style="2" customWidth="1"/>
    <col min="1274" max="1274" width="9.625" style="2" customWidth="1"/>
    <col min="1275" max="1276" width="9.75" style="2" customWidth="1"/>
    <col min="1277" max="1277" width="9.375" style="2" customWidth="1"/>
    <col min="1278" max="1519" width="9" style="2"/>
    <col min="1520" max="1521" width="3.75" style="2" customWidth="1"/>
    <col min="1522" max="1522" width="15" style="2" customWidth="1"/>
    <col min="1523" max="1526" width="12.875" style="2" customWidth="1"/>
    <col min="1527" max="1527" width="12.125" style="2" customWidth="1"/>
    <col min="1528" max="1528" width="9" style="2"/>
    <col min="1529" max="1529" width="12.25" style="2" customWidth="1"/>
    <col min="1530" max="1530" width="9.625" style="2" customWidth="1"/>
    <col min="1531" max="1532" width="9.75" style="2" customWidth="1"/>
    <col min="1533" max="1533" width="9.375" style="2" customWidth="1"/>
    <col min="1534" max="1775" width="9" style="2"/>
    <col min="1776" max="1777" width="3.75" style="2" customWidth="1"/>
    <col min="1778" max="1778" width="15" style="2" customWidth="1"/>
    <col min="1779" max="1782" width="12.875" style="2" customWidth="1"/>
    <col min="1783" max="1783" width="12.125" style="2" customWidth="1"/>
    <col min="1784" max="1784" width="9" style="2"/>
    <col min="1785" max="1785" width="12.25" style="2" customWidth="1"/>
    <col min="1786" max="1786" width="9.625" style="2" customWidth="1"/>
    <col min="1787" max="1788" width="9.75" style="2" customWidth="1"/>
    <col min="1789" max="1789" width="9.375" style="2" customWidth="1"/>
    <col min="1790" max="2031" width="9" style="2"/>
    <col min="2032" max="2033" width="3.75" style="2" customWidth="1"/>
    <col min="2034" max="2034" width="15" style="2" customWidth="1"/>
    <col min="2035" max="2038" width="12.875" style="2" customWidth="1"/>
    <col min="2039" max="2039" width="12.125" style="2" customWidth="1"/>
    <col min="2040" max="2040" width="9" style="2"/>
    <col min="2041" max="2041" width="12.25" style="2" customWidth="1"/>
    <col min="2042" max="2042" width="9.625" style="2" customWidth="1"/>
    <col min="2043" max="2044" width="9.75" style="2" customWidth="1"/>
    <col min="2045" max="2045" width="9.375" style="2" customWidth="1"/>
    <col min="2046" max="2287" width="9" style="2"/>
    <col min="2288" max="2289" width="3.75" style="2" customWidth="1"/>
    <col min="2290" max="2290" width="15" style="2" customWidth="1"/>
    <col min="2291" max="2294" width="12.875" style="2" customWidth="1"/>
    <col min="2295" max="2295" width="12.125" style="2" customWidth="1"/>
    <col min="2296" max="2296" width="9" style="2"/>
    <col min="2297" max="2297" width="12.25" style="2" customWidth="1"/>
    <col min="2298" max="2298" width="9.625" style="2" customWidth="1"/>
    <col min="2299" max="2300" width="9.75" style="2" customWidth="1"/>
    <col min="2301" max="2301" width="9.375" style="2" customWidth="1"/>
    <col min="2302" max="2543" width="9" style="2"/>
    <col min="2544" max="2545" width="3.75" style="2" customWidth="1"/>
    <col min="2546" max="2546" width="15" style="2" customWidth="1"/>
    <col min="2547" max="2550" width="12.875" style="2" customWidth="1"/>
    <col min="2551" max="2551" width="12.125" style="2" customWidth="1"/>
    <col min="2552" max="2552" width="9" style="2"/>
    <col min="2553" max="2553" width="12.25" style="2" customWidth="1"/>
    <col min="2554" max="2554" width="9.625" style="2" customWidth="1"/>
    <col min="2555" max="2556" width="9.75" style="2" customWidth="1"/>
    <col min="2557" max="2557" width="9.375" style="2" customWidth="1"/>
    <col min="2558" max="2799" width="9" style="2"/>
    <col min="2800" max="2801" width="3.75" style="2" customWidth="1"/>
    <col min="2802" max="2802" width="15" style="2" customWidth="1"/>
    <col min="2803" max="2806" width="12.875" style="2" customWidth="1"/>
    <col min="2807" max="2807" width="12.125" style="2" customWidth="1"/>
    <col min="2808" max="2808" width="9" style="2"/>
    <col min="2809" max="2809" width="12.25" style="2" customWidth="1"/>
    <col min="2810" max="2810" width="9.625" style="2" customWidth="1"/>
    <col min="2811" max="2812" width="9.75" style="2" customWidth="1"/>
    <col min="2813" max="2813" width="9.375" style="2" customWidth="1"/>
    <col min="2814" max="3055" width="9" style="2"/>
    <col min="3056" max="3057" width="3.75" style="2" customWidth="1"/>
    <col min="3058" max="3058" width="15" style="2" customWidth="1"/>
    <col min="3059" max="3062" width="12.875" style="2" customWidth="1"/>
    <col min="3063" max="3063" width="12.125" style="2" customWidth="1"/>
    <col min="3064" max="3064" width="9" style="2"/>
    <col min="3065" max="3065" width="12.25" style="2" customWidth="1"/>
    <col min="3066" max="3066" width="9.625" style="2" customWidth="1"/>
    <col min="3067" max="3068" width="9.75" style="2" customWidth="1"/>
    <col min="3069" max="3069" width="9.375" style="2" customWidth="1"/>
    <col min="3070" max="3311" width="9" style="2"/>
    <col min="3312" max="3313" width="3.75" style="2" customWidth="1"/>
    <col min="3314" max="3314" width="15" style="2" customWidth="1"/>
    <col min="3315" max="3318" width="12.875" style="2" customWidth="1"/>
    <col min="3319" max="3319" width="12.125" style="2" customWidth="1"/>
    <col min="3320" max="3320" width="9" style="2"/>
    <col min="3321" max="3321" width="12.25" style="2" customWidth="1"/>
    <col min="3322" max="3322" width="9.625" style="2" customWidth="1"/>
    <col min="3323" max="3324" width="9.75" style="2" customWidth="1"/>
    <col min="3325" max="3325" width="9.375" style="2" customWidth="1"/>
    <col min="3326" max="3567" width="9" style="2"/>
    <col min="3568" max="3569" width="3.75" style="2" customWidth="1"/>
    <col min="3570" max="3570" width="15" style="2" customWidth="1"/>
    <col min="3571" max="3574" width="12.875" style="2" customWidth="1"/>
    <col min="3575" max="3575" width="12.125" style="2" customWidth="1"/>
    <col min="3576" max="3576" width="9" style="2"/>
    <col min="3577" max="3577" width="12.25" style="2" customWidth="1"/>
    <col min="3578" max="3578" width="9.625" style="2" customWidth="1"/>
    <col min="3579" max="3580" width="9.75" style="2" customWidth="1"/>
    <col min="3581" max="3581" width="9.375" style="2" customWidth="1"/>
    <col min="3582" max="3823" width="9" style="2"/>
    <col min="3824" max="3825" width="3.75" style="2" customWidth="1"/>
    <col min="3826" max="3826" width="15" style="2" customWidth="1"/>
    <col min="3827" max="3830" width="12.875" style="2" customWidth="1"/>
    <col min="3831" max="3831" width="12.125" style="2" customWidth="1"/>
    <col min="3832" max="3832" width="9" style="2"/>
    <col min="3833" max="3833" width="12.25" style="2" customWidth="1"/>
    <col min="3834" max="3834" width="9.625" style="2" customWidth="1"/>
    <col min="3835" max="3836" width="9.75" style="2" customWidth="1"/>
    <col min="3837" max="3837" width="9.375" style="2" customWidth="1"/>
    <col min="3838" max="4079" width="9" style="2"/>
    <col min="4080" max="4081" width="3.75" style="2" customWidth="1"/>
    <col min="4082" max="4082" width="15" style="2" customWidth="1"/>
    <col min="4083" max="4086" width="12.875" style="2" customWidth="1"/>
    <col min="4087" max="4087" width="12.125" style="2" customWidth="1"/>
    <col min="4088" max="4088" width="9" style="2"/>
    <col min="4089" max="4089" width="12.25" style="2" customWidth="1"/>
    <col min="4090" max="4090" width="9.625" style="2" customWidth="1"/>
    <col min="4091" max="4092" width="9.75" style="2" customWidth="1"/>
    <col min="4093" max="4093" width="9.375" style="2" customWidth="1"/>
    <col min="4094" max="4335" width="9" style="2"/>
    <col min="4336" max="4337" width="3.75" style="2" customWidth="1"/>
    <col min="4338" max="4338" width="15" style="2" customWidth="1"/>
    <col min="4339" max="4342" width="12.875" style="2" customWidth="1"/>
    <col min="4343" max="4343" width="12.125" style="2" customWidth="1"/>
    <col min="4344" max="4344" width="9" style="2"/>
    <col min="4345" max="4345" width="12.25" style="2" customWidth="1"/>
    <col min="4346" max="4346" width="9.625" style="2" customWidth="1"/>
    <col min="4347" max="4348" width="9.75" style="2" customWidth="1"/>
    <col min="4349" max="4349" width="9.375" style="2" customWidth="1"/>
    <col min="4350" max="4591" width="9" style="2"/>
    <col min="4592" max="4593" width="3.75" style="2" customWidth="1"/>
    <col min="4594" max="4594" width="15" style="2" customWidth="1"/>
    <col min="4595" max="4598" width="12.875" style="2" customWidth="1"/>
    <col min="4599" max="4599" width="12.125" style="2" customWidth="1"/>
    <col min="4600" max="4600" width="9" style="2"/>
    <col min="4601" max="4601" width="12.25" style="2" customWidth="1"/>
    <col min="4602" max="4602" width="9.625" style="2" customWidth="1"/>
    <col min="4603" max="4604" width="9.75" style="2" customWidth="1"/>
    <col min="4605" max="4605" width="9.375" style="2" customWidth="1"/>
    <col min="4606" max="4847" width="9" style="2"/>
    <col min="4848" max="4849" width="3.75" style="2" customWidth="1"/>
    <col min="4850" max="4850" width="15" style="2" customWidth="1"/>
    <col min="4851" max="4854" width="12.875" style="2" customWidth="1"/>
    <col min="4855" max="4855" width="12.125" style="2" customWidth="1"/>
    <col min="4856" max="4856" width="9" style="2"/>
    <col min="4857" max="4857" width="12.25" style="2" customWidth="1"/>
    <col min="4858" max="4858" width="9.625" style="2" customWidth="1"/>
    <col min="4859" max="4860" width="9.75" style="2" customWidth="1"/>
    <col min="4861" max="4861" width="9.375" style="2" customWidth="1"/>
    <col min="4862" max="5103" width="9" style="2"/>
    <col min="5104" max="5105" width="3.75" style="2" customWidth="1"/>
    <col min="5106" max="5106" width="15" style="2" customWidth="1"/>
    <col min="5107" max="5110" width="12.875" style="2" customWidth="1"/>
    <col min="5111" max="5111" width="12.125" style="2" customWidth="1"/>
    <col min="5112" max="5112" width="9" style="2"/>
    <col min="5113" max="5113" width="12.25" style="2" customWidth="1"/>
    <col min="5114" max="5114" width="9.625" style="2" customWidth="1"/>
    <col min="5115" max="5116" width="9.75" style="2" customWidth="1"/>
    <col min="5117" max="5117" width="9.375" style="2" customWidth="1"/>
    <col min="5118" max="5359" width="9" style="2"/>
    <col min="5360" max="5361" width="3.75" style="2" customWidth="1"/>
    <col min="5362" max="5362" width="15" style="2" customWidth="1"/>
    <col min="5363" max="5366" width="12.875" style="2" customWidth="1"/>
    <col min="5367" max="5367" width="12.125" style="2" customWidth="1"/>
    <col min="5368" max="5368" width="9" style="2"/>
    <col min="5369" max="5369" width="12.25" style="2" customWidth="1"/>
    <col min="5370" max="5370" width="9.625" style="2" customWidth="1"/>
    <col min="5371" max="5372" width="9.75" style="2" customWidth="1"/>
    <col min="5373" max="5373" width="9.375" style="2" customWidth="1"/>
    <col min="5374" max="5615" width="9" style="2"/>
    <col min="5616" max="5617" width="3.75" style="2" customWidth="1"/>
    <col min="5618" max="5618" width="15" style="2" customWidth="1"/>
    <col min="5619" max="5622" width="12.875" style="2" customWidth="1"/>
    <col min="5623" max="5623" width="12.125" style="2" customWidth="1"/>
    <col min="5624" max="5624" width="9" style="2"/>
    <col min="5625" max="5625" width="12.25" style="2" customWidth="1"/>
    <col min="5626" max="5626" width="9.625" style="2" customWidth="1"/>
    <col min="5627" max="5628" width="9.75" style="2" customWidth="1"/>
    <col min="5629" max="5629" width="9.375" style="2" customWidth="1"/>
    <col min="5630" max="5871" width="9" style="2"/>
    <col min="5872" max="5873" width="3.75" style="2" customWidth="1"/>
    <col min="5874" max="5874" width="15" style="2" customWidth="1"/>
    <col min="5875" max="5878" width="12.875" style="2" customWidth="1"/>
    <col min="5879" max="5879" width="12.125" style="2" customWidth="1"/>
    <col min="5880" max="5880" width="9" style="2"/>
    <col min="5881" max="5881" width="12.25" style="2" customWidth="1"/>
    <col min="5882" max="5882" width="9.625" style="2" customWidth="1"/>
    <col min="5883" max="5884" width="9.75" style="2" customWidth="1"/>
    <col min="5885" max="5885" width="9.375" style="2" customWidth="1"/>
    <col min="5886" max="6127" width="9" style="2"/>
    <col min="6128" max="6129" width="3.75" style="2" customWidth="1"/>
    <col min="6130" max="6130" width="15" style="2" customWidth="1"/>
    <col min="6131" max="6134" width="12.875" style="2" customWidth="1"/>
    <col min="6135" max="6135" width="12.125" style="2" customWidth="1"/>
    <col min="6136" max="6136" width="9" style="2"/>
    <col min="6137" max="6137" width="12.25" style="2" customWidth="1"/>
    <col min="6138" max="6138" width="9.625" style="2" customWidth="1"/>
    <col min="6139" max="6140" width="9.75" style="2" customWidth="1"/>
    <col min="6141" max="6141" width="9.375" style="2" customWidth="1"/>
    <col min="6142" max="6383" width="9" style="2"/>
    <col min="6384" max="6385" width="3.75" style="2" customWidth="1"/>
    <col min="6386" max="6386" width="15" style="2" customWidth="1"/>
    <col min="6387" max="6390" width="12.875" style="2" customWidth="1"/>
    <col min="6391" max="6391" width="12.125" style="2" customWidth="1"/>
    <col min="6392" max="6392" width="9" style="2"/>
    <col min="6393" max="6393" width="12.25" style="2" customWidth="1"/>
    <col min="6394" max="6394" width="9.625" style="2" customWidth="1"/>
    <col min="6395" max="6396" width="9.75" style="2" customWidth="1"/>
    <col min="6397" max="6397" width="9.375" style="2" customWidth="1"/>
    <col min="6398" max="6639" width="9" style="2"/>
    <col min="6640" max="6641" width="3.75" style="2" customWidth="1"/>
    <col min="6642" max="6642" width="15" style="2" customWidth="1"/>
    <col min="6643" max="6646" width="12.875" style="2" customWidth="1"/>
    <col min="6647" max="6647" width="12.125" style="2" customWidth="1"/>
    <col min="6648" max="6648" width="9" style="2"/>
    <col min="6649" max="6649" width="12.25" style="2" customWidth="1"/>
    <col min="6650" max="6650" width="9.625" style="2" customWidth="1"/>
    <col min="6651" max="6652" width="9.75" style="2" customWidth="1"/>
    <col min="6653" max="6653" width="9.375" style="2" customWidth="1"/>
    <col min="6654" max="6895" width="9" style="2"/>
    <col min="6896" max="6897" width="3.75" style="2" customWidth="1"/>
    <col min="6898" max="6898" width="15" style="2" customWidth="1"/>
    <col min="6899" max="6902" width="12.875" style="2" customWidth="1"/>
    <col min="6903" max="6903" width="12.125" style="2" customWidth="1"/>
    <col min="6904" max="6904" width="9" style="2"/>
    <col min="6905" max="6905" width="12.25" style="2" customWidth="1"/>
    <col min="6906" max="6906" width="9.625" style="2" customWidth="1"/>
    <col min="6907" max="6908" width="9.75" style="2" customWidth="1"/>
    <col min="6909" max="6909" width="9.375" style="2" customWidth="1"/>
    <col min="6910" max="7151" width="9" style="2"/>
    <col min="7152" max="7153" width="3.75" style="2" customWidth="1"/>
    <col min="7154" max="7154" width="15" style="2" customWidth="1"/>
    <col min="7155" max="7158" width="12.875" style="2" customWidth="1"/>
    <col min="7159" max="7159" width="12.125" style="2" customWidth="1"/>
    <col min="7160" max="7160" width="9" style="2"/>
    <col min="7161" max="7161" width="12.25" style="2" customWidth="1"/>
    <col min="7162" max="7162" width="9.625" style="2" customWidth="1"/>
    <col min="7163" max="7164" width="9.75" style="2" customWidth="1"/>
    <col min="7165" max="7165" width="9.375" style="2" customWidth="1"/>
    <col min="7166" max="7407" width="9" style="2"/>
    <col min="7408" max="7409" width="3.75" style="2" customWidth="1"/>
    <col min="7410" max="7410" width="15" style="2" customWidth="1"/>
    <col min="7411" max="7414" width="12.875" style="2" customWidth="1"/>
    <col min="7415" max="7415" width="12.125" style="2" customWidth="1"/>
    <col min="7416" max="7416" width="9" style="2"/>
    <col min="7417" max="7417" width="12.25" style="2" customWidth="1"/>
    <col min="7418" max="7418" width="9.625" style="2" customWidth="1"/>
    <col min="7419" max="7420" width="9.75" style="2" customWidth="1"/>
    <col min="7421" max="7421" width="9.375" style="2" customWidth="1"/>
    <col min="7422" max="7663" width="9" style="2"/>
    <col min="7664" max="7665" width="3.75" style="2" customWidth="1"/>
    <col min="7666" max="7666" width="15" style="2" customWidth="1"/>
    <col min="7667" max="7670" width="12.875" style="2" customWidth="1"/>
    <col min="7671" max="7671" width="12.125" style="2" customWidth="1"/>
    <col min="7672" max="7672" width="9" style="2"/>
    <col min="7673" max="7673" width="12.25" style="2" customWidth="1"/>
    <col min="7674" max="7674" width="9.625" style="2" customWidth="1"/>
    <col min="7675" max="7676" width="9.75" style="2" customWidth="1"/>
    <col min="7677" max="7677" width="9.375" style="2" customWidth="1"/>
    <col min="7678" max="7919" width="9" style="2"/>
    <col min="7920" max="7921" width="3.75" style="2" customWidth="1"/>
    <col min="7922" max="7922" width="15" style="2" customWidth="1"/>
    <col min="7923" max="7926" width="12.875" style="2" customWidth="1"/>
    <col min="7927" max="7927" width="12.125" style="2" customWidth="1"/>
    <col min="7928" max="7928" width="9" style="2"/>
    <col min="7929" max="7929" width="12.25" style="2" customWidth="1"/>
    <col min="7930" max="7930" width="9.625" style="2" customWidth="1"/>
    <col min="7931" max="7932" width="9.75" style="2" customWidth="1"/>
    <col min="7933" max="7933" width="9.375" style="2" customWidth="1"/>
    <col min="7934" max="8175" width="9" style="2"/>
    <col min="8176" max="8177" width="3.75" style="2" customWidth="1"/>
    <col min="8178" max="8178" width="15" style="2" customWidth="1"/>
    <col min="8179" max="8182" width="12.875" style="2" customWidth="1"/>
    <col min="8183" max="8183" width="12.125" style="2" customWidth="1"/>
    <col min="8184" max="8184" width="9" style="2"/>
    <col min="8185" max="8185" width="12.25" style="2" customWidth="1"/>
    <col min="8186" max="8186" width="9.625" style="2" customWidth="1"/>
    <col min="8187" max="8188" width="9.75" style="2" customWidth="1"/>
    <col min="8189" max="8189" width="9.375" style="2" customWidth="1"/>
    <col min="8190" max="8431" width="9" style="2"/>
    <col min="8432" max="8433" width="3.75" style="2" customWidth="1"/>
    <col min="8434" max="8434" width="15" style="2" customWidth="1"/>
    <col min="8435" max="8438" width="12.875" style="2" customWidth="1"/>
    <col min="8439" max="8439" width="12.125" style="2" customWidth="1"/>
    <col min="8440" max="8440" width="9" style="2"/>
    <col min="8441" max="8441" width="12.25" style="2" customWidth="1"/>
    <col min="8442" max="8442" width="9.625" style="2" customWidth="1"/>
    <col min="8443" max="8444" width="9.75" style="2" customWidth="1"/>
    <col min="8445" max="8445" width="9.375" style="2" customWidth="1"/>
    <col min="8446" max="8687" width="9" style="2"/>
    <col min="8688" max="8689" width="3.75" style="2" customWidth="1"/>
    <col min="8690" max="8690" width="15" style="2" customWidth="1"/>
    <col min="8691" max="8694" width="12.875" style="2" customWidth="1"/>
    <col min="8695" max="8695" width="12.125" style="2" customWidth="1"/>
    <col min="8696" max="8696" width="9" style="2"/>
    <col min="8697" max="8697" width="12.25" style="2" customWidth="1"/>
    <col min="8698" max="8698" width="9.625" style="2" customWidth="1"/>
    <col min="8699" max="8700" width="9.75" style="2" customWidth="1"/>
    <col min="8701" max="8701" width="9.375" style="2" customWidth="1"/>
    <col min="8702" max="8943" width="9" style="2"/>
    <col min="8944" max="8945" width="3.75" style="2" customWidth="1"/>
    <col min="8946" max="8946" width="15" style="2" customWidth="1"/>
    <col min="8947" max="8950" width="12.875" style="2" customWidth="1"/>
    <col min="8951" max="8951" width="12.125" style="2" customWidth="1"/>
    <col min="8952" max="8952" width="9" style="2"/>
    <col min="8953" max="8953" width="12.25" style="2" customWidth="1"/>
    <col min="8954" max="8954" width="9.625" style="2" customWidth="1"/>
    <col min="8955" max="8956" width="9.75" style="2" customWidth="1"/>
    <col min="8957" max="8957" width="9.375" style="2" customWidth="1"/>
    <col min="8958" max="9199" width="9" style="2"/>
    <col min="9200" max="9201" width="3.75" style="2" customWidth="1"/>
    <col min="9202" max="9202" width="15" style="2" customWidth="1"/>
    <col min="9203" max="9206" width="12.875" style="2" customWidth="1"/>
    <col min="9207" max="9207" width="12.125" style="2" customWidth="1"/>
    <col min="9208" max="9208" width="9" style="2"/>
    <col min="9209" max="9209" width="12.25" style="2" customWidth="1"/>
    <col min="9210" max="9210" width="9.625" style="2" customWidth="1"/>
    <col min="9211" max="9212" width="9.75" style="2" customWidth="1"/>
    <col min="9213" max="9213" width="9.375" style="2" customWidth="1"/>
    <col min="9214" max="9455" width="9" style="2"/>
    <col min="9456" max="9457" width="3.75" style="2" customWidth="1"/>
    <col min="9458" max="9458" width="15" style="2" customWidth="1"/>
    <col min="9459" max="9462" width="12.875" style="2" customWidth="1"/>
    <col min="9463" max="9463" width="12.125" style="2" customWidth="1"/>
    <col min="9464" max="9464" width="9" style="2"/>
    <col min="9465" max="9465" width="12.25" style="2" customWidth="1"/>
    <col min="9466" max="9466" width="9.625" style="2" customWidth="1"/>
    <col min="9467" max="9468" width="9.75" style="2" customWidth="1"/>
    <col min="9469" max="9469" width="9.375" style="2" customWidth="1"/>
    <col min="9470" max="9711" width="9" style="2"/>
    <col min="9712" max="9713" width="3.75" style="2" customWidth="1"/>
    <col min="9714" max="9714" width="15" style="2" customWidth="1"/>
    <col min="9715" max="9718" width="12.875" style="2" customWidth="1"/>
    <col min="9719" max="9719" width="12.125" style="2" customWidth="1"/>
    <col min="9720" max="9720" width="9" style="2"/>
    <col min="9721" max="9721" width="12.25" style="2" customWidth="1"/>
    <col min="9722" max="9722" width="9.625" style="2" customWidth="1"/>
    <col min="9723" max="9724" width="9.75" style="2" customWidth="1"/>
    <col min="9725" max="9725" width="9.375" style="2" customWidth="1"/>
    <col min="9726" max="9967" width="9" style="2"/>
    <col min="9968" max="9969" width="3.75" style="2" customWidth="1"/>
    <col min="9970" max="9970" width="15" style="2" customWidth="1"/>
    <col min="9971" max="9974" width="12.875" style="2" customWidth="1"/>
    <col min="9975" max="9975" width="12.125" style="2" customWidth="1"/>
    <col min="9976" max="9976" width="9" style="2"/>
    <col min="9977" max="9977" width="12.25" style="2" customWidth="1"/>
    <col min="9978" max="9978" width="9.625" style="2" customWidth="1"/>
    <col min="9979" max="9980" width="9.75" style="2" customWidth="1"/>
    <col min="9981" max="9981" width="9.375" style="2" customWidth="1"/>
    <col min="9982" max="10223" width="9" style="2"/>
    <col min="10224" max="10225" width="3.75" style="2" customWidth="1"/>
    <col min="10226" max="10226" width="15" style="2" customWidth="1"/>
    <col min="10227" max="10230" width="12.875" style="2" customWidth="1"/>
    <col min="10231" max="10231" width="12.125" style="2" customWidth="1"/>
    <col min="10232" max="10232" width="9" style="2"/>
    <col min="10233" max="10233" width="12.25" style="2" customWidth="1"/>
    <col min="10234" max="10234" width="9.625" style="2" customWidth="1"/>
    <col min="10235" max="10236" width="9.75" style="2" customWidth="1"/>
    <col min="10237" max="10237" width="9.375" style="2" customWidth="1"/>
    <col min="10238" max="10479" width="9" style="2"/>
    <col min="10480" max="10481" width="3.75" style="2" customWidth="1"/>
    <col min="10482" max="10482" width="15" style="2" customWidth="1"/>
    <col min="10483" max="10486" width="12.875" style="2" customWidth="1"/>
    <col min="10487" max="10487" width="12.125" style="2" customWidth="1"/>
    <col min="10488" max="10488" width="9" style="2"/>
    <col min="10489" max="10489" width="12.25" style="2" customWidth="1"/>
    <col min="10490" max="10490" width="9.625" style="2" customWidth="1"/>
    <col min="10491" max="10492" width="9.75" style="2" customWidth="1"/>
    <col min="10493" max="10493" width="9.375" style="2" customWidth="1"/>
    <col min="10494" max="10735" width="9" style="2"/>
    <col min="10736" max="10737" width="3.75" style="2" customWidth="1"/>
    <col min="10738" max="10738" width="15" style="2" customWidth="1"/>
    <col min="10739" max="10742" width="12.875" style="2" customWidth="1"/>
    <col min="10743" max="10743" width="12.125" style="2" customWidth="1"/>
    <col min="10744" max="10744" width="9" style="2"/>
    <col min="10745" max="10745" width="12.25" style="2" customWidth="1"/>
    <col min="10746" max="10746" width="9.625" style="2" customWidth="1"/>
    <col min="10747" max="10748" width="9.75" style="2" customWidth="1"/>
    <col min="10749" max="10749" width="9.375" style="2" customWidth="1"/>
    <col min="10750" max="10991" width="9" style="2"/>
    <col min="10992" max="10993" width="3.75" style="2" customWidth="1"/>
    <col min="10994" max="10994" width="15" style="2" customWidth="1"/>
    <col min="10995" max="10998" width="12.875" style="2" customWidth="1"/>
    <col min="10999" max="10999" width="12.125" style="2" customWidth="1"/>
    <col min="11000" max="11000" width="9" style="2"/>
    <col min="11001" max="11001" width="12.25" style="2" customWidth="1"/>
    <col min="11002" max="11002" width="9.625" style="2" customWidth="1"/>
    <col min="11003" max="11004" width="9.75" style="2" customWidth="1"/>
    <col min="11005" max="11005" width="9.375" style="2" customWidth="1"/>
    <col min="11006" max="11247" width="9" style="2"/>
    <col min="11248" max="11249" width="3.75" style="2" customWidth="1"/>
    <col min="11250" max="11250" width="15" style="2" customWidth="1"/>
    <col min="11251" max="11254" width="12.875" style="2" customWidth="1"/>
    <col min="11255" max="11255" width="12.125" style="2" customWidth="1"/>
    <col min="11256" max="11256" width="9" style="2"/>
    <col min="11257" max="11257" width="12.25" style="2" customWidth="1"/>
    <col min="11258" max="11258" width="9.625" style="2" customWidth="1"/>
    <col min="11259" max="11260" width="9.75" style="2" customWidth="1"/>
    <col min="11261" max="11261" width="9.375" style="2" customWidth="1"/>
    <col min="11262" max="11503" width="9" style="2"/>
    <col min="11504" max="11505" width="3.75" style="2" customWidth="1"/>
    <col min="11506" max="11506" width="15" style="2" customWidth="1"/>
    <col min="11507" max="11510" width="12.875" style="2" customWidth="1"/>
    <col min="11511" max="11511" width="12.125" style="2" customWidth="1"/>
    <col min="11512" max="11512" width="9" style="2"/>
    <col min="11513" max="11513" width="12.25" style="2" customWidth="1"/>
    <col min="11514" max="11514" width="9.625" style="2" customWidth="1"/>
    <col min="11515" max="11516" width="9.75" style="2" customWidth="1"/>
    <col min="11517" max="11517" width="9.375" style="2" customWidth="1"/>
    <col min="11518" max="11759" width="9" style="2"/>
    <col min="11760" max="11761" width="3.75" style="2" customWidth="1"/>
    <col min="11762" max="11762" width="15" style="2" customWidth="1"/>
    <col min="11763" max="11766" width="12.875" style="2" customWidth="1"/>
    <col min="11767" max="11767" width="12.125" style="2" customWidth="1"/>
    <col min="11768" max="11768" width="9" style="2"/>
    <col min="11769" max="11769" width="12.25" style="2" customWidth="1"/>
    <col min="11770" max="11770" width="9.625" style="2" customWidth="1"/>
    <col min="11771" max="11772" width="9.75" style="2" customWidth="1"/>
    <col min="11773" max="11773" width="9.375" style="2" customWidth="1"/>
    <col min="11774" max="12015" width="9" style="2"/>
    <col min="12016" max="12017" width="3.75" style="2" customWidth="1"/>
    <col min="12018" max="12018" width="15" style="2" customWidth="1"/>
    <col min="12019" max="12022" width="12.875" style="2" customWidth="1"/>
    <col min="12023" max="12023" width="12.125" style="2" customWidth="1"/>
    <col min="12024" max="12024" width="9" style="2"/>
    <col min="12025" max="12025" width="12.25" style="2" customWidth="1"/>
    <col min="12026" max="12026" width="9.625" style="2" customWidth="1"/>
    <col min="12027" max="12028" width="9.75" style="2" customWidth="1"/>
    <col min="12029" max="12029" width="9.375" style="2" customWidth="1"/>
    <col min="12030" max="12271" width="9" style="2"/>
    <col min="12272" max="12273" width="3.75" style="2" customWidth="1"/>
    <col min="12274" max="12274" width="15" style="2" customWidth="1"/>
    <col min="12275" max="12278" width="12.875" style="2" customWidth="1"/>
    <col min="12279" max="12279" width="12.125" style="2" customWidth="1"/>
    <col min="12280" max="12280" width="9" style="2"/>
    <col min="12281" max="12281" width="12.25" style="2" customWidth="1"/>
    <col min="12282" max="12282" width="9.625" style="2" customWidth="1"/>
    <col min="12283" max="12284" width="9.75" style="2" customWidth="1"/>
    <col min="12285" max="12285" width="9.375" style="2" customWidth="1"/>
    <col min="12286" max="12527" width="9" style="2"/>
    <col min="12528" max="12529" width="3.75" style="2" customWidth="1"/>
    <col min="12530" max="12530" width="15" style="2" customWidth="1"/>
    <col min="12531" max="12534" width="12.875" style="2" customWidth="1"/>
    <col min="12535" max="12535" width="12.125" style="2" customWidth="1"/>
    <col min="12536" max="12536" width="9" style="2"/>
    <col min="12537" max="12537" width="12.25" style="2" customWidth="1"/>
    <col min="12538" max="12538" width="9.625" style="2" customWidth="1"/>
    <col min="12539" max="12540" width="9.75" style="2" customWidth="1"/>
    <col min="12541" max="12541" width="9.375" style="2" customWidth="1"/>
    <col min="12542" max="12783" width="9" style="2"/>
    <col min="12784" max="12785" width="3.75" style="2" customWidth="1"/>
    <col min="12786" max="12786" width="15" style="2" customWidth="1"/>
    <col min="12787" max="12790" width="12.875" style="2" customWidth="1"/>
    <col min="12791" max="12791" width="12.125" style="2" customWidth="1"/>
    <col min="12792" max="12792" width="9" style="2"/>
    <col min="12793" max="12793" width="12.25" style="2" customWidth="1"/>
    <col min="12794" max="12794" width="9.625" style="2" customWidth="1"/>
    <col min="12795" max="12796" width="9.75" style="2" customWidth="1"/>
    <col min="12797" max="12797" width="9.375" style="2" customWidth="1"/>
    <col min="12798" max="13039" width="9" style="2"/>
    <col min="13040" max="13041" width="3.75" style="2" customWidth="1"/>
    <col min="13042" max="13042" width="15" style="2" customWidth="1"/>
    <col min="13043" max="13046" width="12.875" style="2" customWidth="1"/>
    <col min="13047" max="13047" width="12.125" style="2" customWidth="1"/>
    <col min="13048" max="13048" width="9" style="2"/>
    <col min="13049" max="13049" width="12.25" style="2" customWidth="1"/>
    <col min="13050" max="13050" width="9.625" style="2" customWidth="1"/>
    <col min="13051" max="13052" width="9.75" style="2" customWidth="1"/>
    <col min="13053" max="13053" width="9.375" style="2" customWidth="1"/>
    <col min="13054" max="13295" width="9" style="2"/>
    <col min="13296" max="13297" width="3.75" style="2" customWidth="1"/>
    <col min="13298" max="13298" width="15" style="2" customWidth="1"/>
    <col min="13299" max="13302" width="12.875" style="2" customWidth="1"/>
    <col min="13303" max="13303" width="12.125" style="2" customWidth="1"/>
    <col min="13304" max="13304" width="9" style="2"/>
    <col min="13305" max="13305" width="12.25" style="2" customWidth="1"/>
    <col min="13306" max="13306" width="9.625" style="2" customWidth="1"/>
    <col min="13307" max="13308" width="9.75" style="2" customWidth="1"/>
    <col min="13309" max="13309" width="9.375" style="2" customWidth="1"/>
    <col min="13310" max="13551" width="9" style="2"/>
    <col min="13552" max="13553" width="3.75" style="2" customWidth="1"/>
    <col min="13554" max="13554" width="15" style="2" customWidth="1"/>
    <col min="13555" max="13558" width="12.875" style="2" customWidth="1"/>
    <col min="13559" max="13559" width="12.125" style="2" customWidth="1"/>
    <col min="13560" max="13560" width="9" style="2"/>
    <col min="13561" max="13561" width="12.25" style="2" customWidth="1"/>
    <col min="13562" max="13562" width="9.625" style="2" customWidth="1"/>
    <col min="13563" max="13564" width="9.75" style="2" customWidth="1"/>
    <col min="13565" max="13565" width="9.375" style="2" customWidth="1"/>
    <col min="13566" max="13807" width="9" style="2"/>
    <col min="13808" max="13809" width="3.75" style="2" customWidth="1"/>
    <col min="13810" max="13810" width="15" style="2" customWidth="1"/>
    <col min="13811" max="13814" width="12.875" style="2" customWidth="1"/>
    <col min="13815" max="13815" width="12.125" style="2" customWidth="1"/>
    <col min="13816" max="13816" width="9" style="2"/>
    <col min="13817" max="13817" width="12.25" style="2" customWidth="1"/>
    <col min="13818" max="13818" width="9.625" style="2" customWidth="1"/>
    <col min="13819" max="13820" width="9.75" style="2" customWidth="1"/>
    <col min="13821" max="13821" width="9.375" style="2" customWidth="1"/>
    <col min="13822" max="14063" width="9" style="2"/>
    <col min="14064" max="14065" width="3.75" style="2" customWidth="1"/>
    <col min="14066" max="14066" width="15" style="2" customWidth="1"/>
    <col min="14067" max="14070" width="12.875" style="2" customWidth="1"/>
    <col min="14071" max="14071" width="12.125" style="2" customWidth="1"/>
    <col min="14072" max="14072" width="9" style="2"/>
    <col min="14073" max="14073" width="12.25" style="2" customWidth="1"/>
    <col min="14074" max="14074" width="9.625" style="2" customWidth="1"/>
    <col min="14075" max="14076" width="9.75" style="2" customWidth="1"/>
    <col min="14077" max="14077" width="9.375" style="2" customWidth="1"/>
    <col min="14078" max="14319" width="9" style="2"/>
    <col min="14320" max="14321" width="3.75" style="2" customWidth="1"/>
    <col min="14322" max="14322" width="15" style="2" customWidth="1"/>
    <col min="14323" max="14326" width="12.875" style="2" customWidth="1"/>
    <col min="14327" max="14327" width="12.125" style="2" customWidth="1"/>
    <col min="14328" max="14328" width="9" style="2"/>
    <col min="14329" max="14329" width="12.25" style="2" customWidth="1"/>
    <col min="14330" max="14330" width="9.625" style="2" customWidth="1"/>
    <col min="14331" max="14332" width="9.75" style="2" customWidth="1"/>
    <col min="14333" max="14333" width="9.375" style="2" customWidth="1"/>
    <col min="14334" max="14575" width="9" style="2"/>
    <col min="14576" max="14577" width="3.75" style="2" customWidth="1"/>
    <col min="14578" max="14578" width="15" style="2" customWidth="1"/>
    <col min="14579" max="14582" width="12.875" style="2" customWidth="1"/>
    <col min="14583" max="14583" width="12.125" style="2" customWidth="1"/>
    <col min="14584" max="14584" width="9" style="2"/>
    <col min="14585" max="14585" width="12.25" style="2" customWidth="1"/>
    <col min="14586" max="14586" width="9.625" style="2" customWidth="1"/>
    <col min="14587" max="14588" width="9.75" style="2" customWidth="1"/>
    <col min="14589" max="14589" width="9.375" style="2" customWidth="1"/>
    <col min="14590" max="14831" width="9" style="2"/>
    <col min="14832" max="14833" width="3.75" style="2" customWidth="1"/>
    <col min="14834" max="14834" width="15" style="2" customWidth="1"/>
    <col min="14835" max="14838" width="12.875" style="2" customWidth="1"/>
    <col min="14839" max="14839" width="12.125" style="2" customWidth="1"/>
    <col min="14840" max="14840" width="9" style="2"/>
    <col min="14841" max="14841" width="12.25" style="2" customWidth="1"/>
    <col min="14842" max="14842" width="9.625" style="2" customWidth="1"/>
    <col min="14843" max="14844" width="9.75" style="2" customWidth="1"/>
    <col min="14845" max="14845" width="9.375" style="2" customWidth="1"/>
    <col min="14846" max="15087" width="9" style="2"/>
    <col min="15088" max="15089" width="3.75" style="2" customWidth="1"/>
    <col min="15090" max="15090" width="15" style="2" customWidth="1"/>
    <col min="15091" max="15094" width="12.875" style="2" customWidth="1"/>
    <col min="15095" max="15095" width="12.125" style="2" customWidth="1"/>
    <col min="15096" max="15096" width="9" style="2"/>
    <col min="15097" max="15097" width="12.25" style="2" customWidth="1"/>
    <col min="15098" max="15098" width="9.625" style="2" customWidth="1"/>
    <col min="15099" max="15100" width="9.75" style="2" customWidth="1"/>
    <col min="15101" max="15101" width="9.375" style="2" customWidth="1"/>
    <col min="15102" max="15343" width="9" style="2"/>
    <col min="15344" max="15345" width="3.75" style="2" customWidth="1"/>
    <col min="15346" max="15346" width="15" style="2" customWidth="1"/>
    <col min="15347" max="15350" width="12.875" style="2" customWidth="1"/>
    <col min="15351" max="15351" width="12.125" style="2" customWidth="1"/>
    <col min="15352" max="15352" width="9" style="2"/>
    <col min="15353" max="15353" width="12.25" style="2" customWidth="1"/>
    <col min="15354" max="15354" width="9.625" style="2" customWidth="1"/>
    <col min="15355" max="15356" width="9.75" style="2" customWidth="1"/>
    <col min="15357" max="15357" width="9.375" style="2" customWidth="1"/>
    <col min="15358" max="15599" width="9" style="2"/>
    <col min="15600" max="15601" width="3.75" style="2" customWidth="1"/>
    <col min="15602" max="15602" width="15" style="2" customWidth="1"/>
    <col min="15603" max="15606" width="12.875" style="2" customWidth="1"/>
    <col min="15607" max="15607" width="12.125" style="2" customWidth="1"/>
    <col min="15608" max="15608" width="9" style="2"/>
    <col min="15609" max="15609" width="12.25" style="2" customWidth="1"/>
    <col min="15610" max="15610" width="9.625" style="2" customWidth="1"/>
    <col min="15611" max="15612" width="9.75" style="2" customWidth="1"/>
    <col min="15613" max="15613" width="9.375" style="2" customWidth="1"/>
    <col min="15614" max="15855" width="9" style="2"/>
    <col min="15856" max="15857" width="3.75" style="2" customWidth="1"/>
    <col min="15858" max="15858" width="15" style="2" customWidth="1"/>
    <col min="15859" max="15862" width="12.875" style="2" customWidth="1"/>
    <col min="15863" max="15863" width="12.125" style="2" customWidth="1"/>
    <col min="15864" max="15864" width="9" style="2"/>
    <col min="15865" max="15865" width="12.25" style="2" customWidth="1"/>
    <col min="15866" max="15866" width="9.625" style="2" customWidth="1"/>
    <col min="15867" max="15868" width="9.75" style="2" customWidth="1"/>
    <col min="15869" max="15869" width="9.375" style="2" customWidth="1"/>
    <col min="15870" max="16111" width="9" style="2"/>
    <col min="16112" max="16113" width="3.75" style="2" customWidth="1"/>
    <col min="16114" max="16114" width="15" style="2" customWidth="1"/>
    <col min="16115" max="16118" width="12.875" style="2" customWidth="1"/>
    <col min="16119" max="16119" width="12.125" style="2" customWidth="1"/>
    <col min="16120" max="16120" width="9" style="2"/>
    <col min="16121" max="16121" width="12.25" style="2" customWidth="1"/>
    <col min="16122" max="16122" width="9.625" style="2" customWidth="1"/>
    <col min="16123" max="16124" width="9.75" style="2" customWidth="1"/>
    <col min="16125" max="16125" width="9.375" style="2" customWidth="1"/>
    <col min="16126" max="16384" width="9" style="2"/>
  </cols>
  <sheetData>
    <row r="1" spans="1:25" ht="20.100000000000001" customHeight="1">
      <c r="A1" s="1" t="s">
        <v>507</v>
      </c>
      <c r="B1" s="64"/>
      <c r="C1" s="64"/>
      <c r="D1" s="1"/>
      <c r="E1" s="1"/>
      <c r="F1" s="1"/>
      <c r="G1" s="1"/>
      <c r="H1" s="1"/>
      <c r="P1" s="3">
        <v>1.5</v>
      </c>
      <c r="Q1" s="2" t="s">
        <v>508</v>
      </c>
    </row>
    <row r="2" spans="1:25" ht="20.100000000000001" customHeight="1">
      <c r="A2" s="2" t="s">
        <v>509</v>
      </c>
    </row>
    <row r="3" spans="1:25" ht="20.100000000000001" customHeight="1">
      <c r="A3" s="40" t="s">
        <v>651</v>
      </c>
      <c r="B3" s="65"/>
      <c r="C3" s="65"/>
      <c r="D3" s="40"/>
      <c r="E3" s="40"/>
      <c r="F3" s="40"/>
      <c r="G3" s="40"/>
      <c r="H3" s="40"/>
      <c r="Q3" s="776" t="s">
        <v>64</v>
      </c>
      <c r="R3" s="776" t="s">
        <v>511</v>
      </c>
      <c r="S3" s="776" t="s">
        <v>66</v>
      </c>
      <c r="T3" s="776"/>
      <c r="V3" s="844" t="s">
        <v>64</v>
      </c>
      <c r="W3" s="776" t="s">
        <v>511</v>
      </c>
      <c r="X3" s="776" t="s">
        <v>66</v>
      </c>
      <c r="Y3" s="776"/>
    </row>
    <row r="4" spans="1:25" ht="20.100000000000001" customHeight="1">
      <c r="A4" s="40" t="s">
        <v>652</v>
      </c>
      <c r="B4" s="65"/>
      <c r="C4" s="65"/>
      <c r="D4" s="40"/>
      <c r="E4" s="40"/>
      <c r="F4" s="40"/>
      <c r="G4" s="40"/>
      <c r="H4" s="40"/>
      <c r="Q4" s="776"/>
      <c r="R4" s="776"/>
      <c r="S4" s="272" t="s">
        <v>67</v>
      </c>
      <c r="T4" s="272" t="s">
        <v>68</v>
      </c>
      <c r="V4" s="844"/>
      <c r="W4" s="776"/>
      <c r="X4" s="579" t="s">
        <v>67</v>
      </c>
      <c r="Y4" s="579" t="s">
        <v>68</v>
      </c>
    </row>
    <row r="5" spans="1:25" ht="20.100000000000001" customHeight="1">
      <c r="A5" s="40" t="s">
        <v>653</v>
      </c>
      <c r="B5" s="65"/>
      <c r="C5" s="65"/>
      <c r="D5" s="40"/>
      <c r="E5" s="40"/>
      <c r="F5" s="40"/>
      <c r="G5" s="40"/>
      <c r="H5" s="40"/>
      <c r="Q5" s="776" t="s">
        <v>69</v>
      </c>
      <c r="R5" s="272">
        <v>300</v>
      </c>
      <c r="S5" s="44">
        <v>512740</v>
      </c>
      <c r="T5" s="44">
        <v>782541</v>
      </c>
      <c r="V5" s="845" t="s">
        <v>70</v>
      </c>
      <c r="W5" s="579">
        <v>80</v>
      </c>
      <c r="X5" s="44">
        <v>91404</v>
      </c>
      <c r="Y5" s="44">
        <v>309684</v>
      </c>
    </row>
    <row r="6" spans="1:25" ht="20.100000000000001" customHeight="1">
      <c r="A6" s="40" t="s">
        <v>654</v>
      </c>
      <c r="B6" s="65"/>
      <c r="C6" s="65"/>
      <c r="D6" s="40"/>
      <c r="E6" s="40"/>
      <c r="F6" s="40"/>
      <c r="G6" s="40"/>
      <c r="H6" s="40"/>
      <c r="Q6" s="776"/>
      <c r="R6" s="272">
        <v>400</v>
      </c>
      <c r="S6" s="44">
        <v>580188</v>
      </c>
      <c r="T6" s="44">
        <v>859007</v>
      </c>
      <c r="V6" s="846"/>
      <c r="W6" s="579">
        <v>100</v>
      </c>
      <c r="X6" s="44">
        <v>102960</v>
      </c>
      <c r="Y6" s="44">
        <v>323665</v>
      </c>
    </row>
    <row r="7" spans="1:25" ht="20.100000000000001" customHeight="1">
      <c r="A7" s="2" t="s">
        <v>431</v>
      </c>
      <c r="Q7" s="776"/>
      <c r="R7" s="272">
        <v>500</v>
      </c>
      <c r="S7" s="44">
        <v>624861</v>
      </c>
      <c r="T7" s="44">
        <v>912820</v>
      </c>
      <c r="V7" s="846"/>
      <c r="W7" s="579">
        <v>150</v>
      </c>
      <c r="X7" s="44">
        <v>139786</v>
      </c>
      <c r="Y7" s="44">
        <v>366708</v>
      </c>
    </row>
    <row r="8" spans="1:25" ht="20.100000000000001" customHeight="1">
      <c r="M8" s="8"/>
      <c r="O8" s="8" t="s">
        <v>512</v>
      </c>
      <c r="Q8" s="776"/>
      <c r="R8" s="272">
        <v>600</v>
      </c>
      <c r="S8" s="44">
        <v>705821</v>
      </c>
      <c r="T8" s="44">
        <v>1016585</v>
      </c>
      <c r="V8" s="846"/>
      <c r="W8" s="579">
        <v>200</v>
      </c>
      <c r="X8" s="44">
        <v>172293</v>
      </c>
      <c r="Y8" s="44">
        <v>405664</v>
      </c>
    </row>
    <row r="9" spans="1:25" ht="20.100000000000001" customHeight="1">
      <c r="A9" s="783" t="s">
        <v>655</v>
      </c>
      <c r="B9" s="949" t="s">
        <v>656</v>
      </c>
      <c r="C9" s="944" t="s">
        <v>657</v>
      </c>
      <c r="D9" s="944" t="s">
        <v>658</v>
      </c>
      <c r="E9" s="944" t="s">
        <v>659</v>
      </c>
      <c r="F9" s="944" t="s">
        <v>513</v>
      </c>
      <c r="G9" s="944" t="s">
        <v>514</v>
      </c>
      <c r="H9" s="781" t="s">
        <v>436</v>
      </c>
      <c r="I9" s="781"/>
      <c r="J9" s="781" t="s">
        <v>437</v>
      </c>
      <c r="K9" s="781"/>
      <c r="L9" s="781" t="s">
        <v>438</v>
      </c>
      <c r="M9" s="781"/>
      <c r="N9" s="781" t="s">
        <v>439</v>
      </c>
      <c r="O9" s="782"/>
      <c r="Q9" s="776"/>
      <c r="R9" s="272">
        <v>700</v>
      </c>
      <c r="S9" s="44">
        <v>782918</v>
      </c>
      <c r="T9" s="44">
        <v>1102578</v>
      </c>
      <c r="V9" s="846"/>
      <c r="W9" s="579">
        <v>300</v>
      </c>
      <c r="X9" s="44">
        <v>248738</v>
      </c>
      <c r="Y9" s="44">
        <v>494561</v>
      </c>
    </row>
    <row r="10" spans="1:25" ht="20.100000000000001" customHeight="1">
      <c r="A10" s="784"/>
      <c r="B10" s="950"/>
      <c r="C10" s="950"/>
      <c r="D10" s="945"/>
      <c r="E10" s="945"/>
      <c r="F10" s="945"/>
      <c r="G10" s="945"/>
      <c r="H10" s="586" t="s">
        <v>515</v>
      </c>
      <c r="I10" s="580" t="s">
        <v>452</v>
      </c>
      <c r="J10" s="586" t="s">
        <v>515</v>
      </c>
      <c r="K10" s="580" t="s">
        <v>452</v>
      </c>
      <c r="L10" s="586" t="s">
        <v>515</v>
      </c>
      <c r="M10" s="580" t="s">
        <v>452</v>
      </c>
      <c r="N10" s="586" t="s">
        <v>515</v>
      </c>
      <c r="O10" s="581" t="s">
        <v>452</v>
      </c>
      <c r="P10" s="67"/>
      <c r="Q10" s="776"/>
      <c r="R10" s="272">
        <v>800</v>
      </c>
      <c r="S10" s="44">
        <v>854676</v>
      </c>
      <c r="T10" s="44">
        <v>1183365</v>
      </c>
      <c r="V10" s="846"/>
      <c r="W10" s="579">
        <v>400</v>
      </c>
      <c r="X10" s="44">
        <v>348039</v>
      </c>
      <c r="Y10" s="44">
        <v>606519</v>
      </c>
    </row>
    <row r="11" spans="1:25" ht="20.100000000000001" customHeight="1">
      <c r="A11" s="946" t="s">
        <v>1047</v>
      </c>
      <c r="B11" s="951" t="s">
        <v>1048</v>
      </c>
      <c r="C11" s="954"/>
      <c r="D11" s="461">
        <v>10</v>
      </c>
      <c r="E11" s="461">
        <f t="shared" ref="E11:E16" si="0">D11</f>
        <v>10</v>
      </c>
      <c r="F11" s="591">
        <v>150</v>
      </c>
      <c r="G11" s="112">
        <f>Y7*$P$1</f>
        <v>550062</v>
      </c>
      <c r="H11" s="461">
        <v>0</v>
      </c>
      <c r="I11" s="628">
        <f t="shared" ref="I11:I16" si="1">+ROUND($G11*H11/1000000,0)</f>
        <v>0</v>
      </c>
      <c r="J11" s="461"/>
      <c r="K11" s="615">
        <f t="shared" ref="K11:K16" si="2">+ROUND($G11*J11/1000000,0)</f>
        <v>0</v>
      </c>
      <c r="L11" s="461">
        <v>0</v>
      </c>
      <c r="M11" s="615">
        <f t="shared" ref="M11:M16" si="3">+ROUND($G11*L11/1000000,0)</f>
        <v>0</v>
      </c>
      <c r="N11" s="461">
        <v>0</v>
      </c>
      <c r="O11" s="616">
        <f t="shared" ref="O11:O16" si="4">+ROUND($G11*N11/1000000,0)</f>
        <v>0</v>
      </c>
      <c r="P11" s="67"/>
      <c r="Q11" s="776"/>
      <c r="R11" s="272">
        <v>900</v>
      </c>
      <c r="S11" s="44">
        <v>945775</v>
      </c>
      <c r="T11" s="44">
        <v>1283451</v>
      </c>
      <c r="V11" s="846"/>
      <c r="W11" s="579">
        <v>500</v>
      </c>
      <c r="X11" s="44">
        <v>453129</v>
      </c>
      <c r="Y11" s="44">
        <v>724142</v>
      </c>
    </row>
    <row r="12" spans="1:25" ht="20.100000000000001" customHeight="1">
      <c r="A12" s="947"/>
      <c r="B12" s="952"/>
      <c r="C12" s="955"/>
      <c r="D12" s="461">
        <v>84</v>
      </c>
      <c r="E12" s="461">
        <f t="shared" si="0"/>
        <v>84</v>
      </c>
      <c r="F12" s="590">
        <v>200</v>
      </c>
      <c r="G12" s="112">
        <f>T26*$P$1</f>
        <v>1106772</v>
      </c>
      <c r="H12" s="461">
        <v>0</v>
      </c>
      <c r="I12" s="628">
        <f t="shared" si="1"/>
        <v>0</v>
      </c>
      <c r="J12" s="461"/>
      <c r="K12" s="615">
        <f t="shared" si="2"/>
        <v>0</v>
      </c>
      <c r="L12" s="461">
        <v>0</v>
      </c>
      <c r="M12" s="615">
        <f t="shared" si="3"/>
        <v>0</v>
      </c>
      <c r="N12" s="461">
        <v>0</v>
      </c>
      <c r="O12" s="616">
        <f t="shared" si="4"/>
        <v>0</v>
      </c>
      <c r="P12" s="67"/>
      <c r="Q12" s="776"/>
      <c r="R12" s="272">
        <v>1000</v>
      </c>
      <c r="S12" s="44">
        <v>1051853</v>
      </c>
      <c r="T12" s="44">
        <v>1398649</v>
      </c>
      <c r="V12" s="846"/>
      <c r="W12" s="579">
        <v>600</v>
      </c>
      <c r="X12" s="44">
        <v>563069</v>
      </c>
      <c r="Y12" s="44">
        <v>846789</v>
      </c>
    </row>
    <row r="13" spans="1:25" ht="20.100000000000001" customHeight="1">
      <c r="A13" s="947"/>
      <c r="B13" s="952"/>
      <c r="C13" s="955"/>
      <c r="D13" s="461">
        <v>57</v>
      </c>
      <c r="E13" s="461">
        <f t="shared" si="0"/>
        <v>57</v>
      </c>
      <c r="F13" s="590">
        <v>300</v>
      </c>
      <c r="G13" s="112">
        <f>T27*$P$1</f>
        <v>1192353</v>
      </c>
      <c r="H13" s="461">
        <v>0</v>
      </c>
      <c r="I13" s="628">
        <f t="shared" si="1"/>
        <v>0</v>
      </c>
      <c r="J13" s="461"/>
      <c r="K13" s="615">
        <f t="shared" si="2"/>
        <v>0</v>
      </c>
      <c r="L13" s="461">
        <v>0</v>
      </c>
      <c r="M13" s="615">
        <f t="shared" si="3"/>
        <v>0</v>
      </c>
      <c r="N13" s="461">
        <v>0</v>
      </c>
      <c r="O13" s="616">
        <f t="shared" si="4"/>
        <v>0</v>
      </c>
      <c r="P13" s="67"/>
      <c r="Q13" s="776"/>
      <c r="R13" s="272">
        <v>1100</v>
      </c>
      <c r="S13" s="44">
        <v>1188358</v>
      </c>
      <c r="T13" s="44">
        <v>1557399</v>
      </c>
      <c r="V13" s="846"/>
      <c r="W13" s="579">
        <v>700</v>
      </c>
      <c r="X13" s="44">
        <v>708878</v>
      </c>
      <c r="Y13" s="44">
        <v>1005274</v>
      </c>
    </row>
    <row r="14" spans="1:25" ht="20.100000000000001" customHeight="1">
      <c r="A14" s="947"/>
      <c r="B14" s="952"/>
      <c r="C14" s="955"/>
      <c r="D14" s="461">
        <v>16</v>
      </c>
      <c r="E14" s="461">
        <f t="shared" si="0"/>
        <v>16</v>
      </c>
      <c r="F14" s="462">
        <v>400</v>
      </c>
      <c r="G14" s="112">
        <f>T28*$P$1</f>
        <v>1356895.5</v>
      </c>
      <c r="H14" s="461">
        <v>0</v>
      </c>
      <c r="I14" s="628">
        <f t="shared" si="1"/>
        <v>0</v>
      </c>
      <c r="J14" s="461"/>
      <c r="K14" s="615">
        <f t="shared" si="2"/>
        <v>0</v>
      </c>
      <c r="L14" s="461">
        <v>0</v>
      </c>
      <c r="M14" s="615">
        <f t="shared" si="3"/>
        <v>0</v>
      </c>
      <c r="N14" s="461">
        <v>0</v>
      </c>
      <c r="O14" s="616">
        <f t="shared" si="4"/>
        <v>0</v>
      </c>
      <c r="P14" s="67"/>
      <c r="Q14" s="776"/>
      <c r="R14" s="272">
        <v>1200</v>
      </c>
      <c r="S14" s="44">
        <v>1313909</v>
      </c>
      <c r="T14" s="44">
        <v>1691805</v>
      </c>
      <c r="V14" s="847"/>
      <c r="W14" s="579">
        <v>800</v>
      </c>
      <c r="X14" s="44">
        <v>860005</v>
      </c>
      <c r="Y14" s="44">
        <v>1169007</v>
      </c>
    </row>
    <row r="15" spans="1:25" ht="20.100000000000001" customHeight="1">
      <c r="A15" s="947"/>
      <c r="B15" s="952"/>
      <c r="C15" s="955"/>
      <c r="D15" s="461">
        <v>1</v>
      </c>
      <c r="E15" s="461">
        <f t="shared" si="0"/>
        <v>1</v>
      </c>
      <c r="F15" s="462">
        <v>450</v>
      </c>
      <c r="G15" s="112">
        <f>(T28+T29)/2*$P$1</f>
        <v>1428054.75</v>
      </c>
      <c r="H15" s="461">
        <v>0</v>
      </c>
      <c r="I15" s="628">
        <f t="shared" si="1"/>
        <v>0</v>
      </c>
      <c r="J15" s="461"/>
      <c r="K15" s="615">
        <f t="shared" si="2"/>
        <v>0</v>
      </c>
      <c r="L15" s="461">
        <v>0</v>
      </c>
      <c r="M15" s="615">
        <f t="shared" si="3"/>
        <v>0</v>
      </c>
      <c r="N15" s="461">
        <v>0</v>
      </c>
      <c r="O15" s="616">
        <f t="shared" si="4"/>
        <v>0</v>
      </c>
      <c r="P15" s="67"/>
      <c r="Q15" s="776"/>
      <c r="R15" s="272">
        <v>1350</v>
      </c>
      <c r="S15" s="44">
        <v>1519849</v>
      </c>
      <c r="T15" s="44">
        <v>1910605</v>
      </c>
    </row>
    <row r="16" spans="1:25" ht="20.100000000000001" customHeight="1">
      <c r="A16" s="948"/>
      <c r="B16" s="953"/>
      <c r="C16" s="956"/>
      <c r="D16" s="461">
        <v>2</v>
      </c>
      <c r="E16" s="461">
        <f t="shared" si="0"/>
        <v>2</v>
      </c>
      <c r="F16" s="462">
        <v>600</v>
      </c>
      <c r="G16" s="112">
        <f>T30*$P$1</f>
        <v>1682466</v>
      </c>
      <c r="H16" s="461">
        <v>0</v>
      </c>
      <c r="I16" s="628">
        <f t="shared" si="1"/>
        <v>0</v>
      </c>
      <c r="J16" s="461"/>
      <c r="K16" s="615">
        <f t="shared" si="2"/>
        <v>0</v>
      </c>
      <c r="L16" s="461">
        <v>0</v>
      </c>
      <c r="M16" s="615">
        <f t="shared" si="3"/>
        <v>0</v>
      </c>
      <c r="N16" s="461">
        <v>0</v>
      </c>
      <c r="O16" s="616">
        <f t="shared" si="4"/>
        <v>0</v>
      </c>
      <c r="P16" s="72" t="s">
        <v>660</v>
      </c>
      <c r="Q16" s="776" t="s">
        <v>76</v>
      </c>
      <c r="R16" s="272">
        <v>300</v>
      </c>
      <c r="S16" s="44">
        <v>707247</v>
      </c>
      <c r="T16" s="44">
        <v>977038</v>
      </c>
    </row>
    <row r="17" spans="1:23" ht="20.100000000000001" customHeight="1">
      <c r="A17" s="593" t="s">
        <v>941</v>
      </c>
      <c r="B17" s="594"/>
      <c r="C17" s="594"/>
      <c r="D17" s="474">
        <f>SUM(D11:D16)</f>
        <v>170</v>
      </c>
      <c r="E17" s="474">
        <f>SUM(E11:E16)</f>
        <v>170</v>
      </c>
      <c r="F17" s="483"/>
      <c r="G17" s="499"/>
      <c r="H17" s="629">
        <f t="shared" ref="H17:O17" si="5">SUM(H14:H16)</f>
        <v>0</v>
      </c>
      <c r="I17" s="629">
        <f t="shared" si="5"/>
        <v>0</v>
      </c>
      <c r="J17" s="629">
        <f>SUM(J11:J16)</f>
        <v>0</v>
      </c>
      <c r="K17" s="629">
        <f>SUM(K11:K16)</f>
        <v>0</v>
      </c>
      <c r="L17" s="629">
        <f t="shared" si="5"/>
        <v>0</v>
      </c>
      <c r="M17" s="629">
        <f t="shared" si="5"/>
        <v>0</v>
      </c>
      <c r="N17" s="629">
        <f t="shared" si="5"/>
        <v>0</v>
      </c>
      <c r="O17" s="630">
        <f t="shared" si="5"/>
        <v>0</v>
      </c>
      <c r="P17" s="67"/>
      <c r="Q17" s="776"/>
      <c r="R17" s="272">
        <v>400</v>
      </c>
      <c r="S17" s="44">
        <v>827275</v>
      </c>
      <c r="T17" s="44">
        <v>1106094</v>
      </c>
      <c r="V17" s="200">
        <v>2.29</v>
      </c>
      <c r="W17" s="202">
        <v>0.68700000000000006</v>
      </c>
    </row>
    <row r="18" spans="1:23" ht="20.100000000000001" customHeight="1">
      <c r="I18" s="2" t="s">
        <v>809</v>
      </c>
      <c r="J18" s="2" t="s">
        <v>810</v>
      </c>
      <c r="K18" s="2" t="s">
        <v>811</v>
      </c>
      <c r="P18" s="67"/>
      <c r="Q18" s="776"/>
      <c r="R18" s="272">
        <v>500</v>
      </c>
      <c r="S18" s="44">
        <v>935411</v>
      </c>
      <c r="T18" s="44">
        <v>1223371</v>
      </c>
      <c r="V18" s="200">
        <v>5.61</v>
      </c>
      <c r="W18" s="202">
        <v>1.6830000000000001</v>
      </c>
    </row>
    <row r="19" spans="1:23" ht="20.100000000000001" customHeight="1">
      <c r="E19" s="2">
        <v>4598</v>
      </c>
      <c r="F19" s="2">
        <v>250</v>
      </c>
      <c r="G19" s="2">
        <v>0</v>
      </c>
      <c r="H19" s="2">
        <f>ROUND($E$19*G19,0)</f>
        <v>0</v>
      </c>
      <c r="I19" s="2">
        <f>ROUND(H19*1,0)</f>
        <v>0</v>
      </c>
      <c r="J19" s="2">
        <f>ROUND(H19*0,0)</f>
        <v>0</v>
      </c>
      <c r="K19" s="2">
        <f>H19-I19-J19</f>
        <v>0</v>
      </c>
      <c r="P19" s="67"/>
      <c r="Q19" s="776"/>
      <c r="R19" s="272">
        <v>600</v>
      </c>
      <c r="S19" s="44">
        <v>1068860</v>
      </c>
      <c r="T19" s="44">
        <v>1379624</v>
      </c>
      <c r="V19" s="200">
        <v>24.15</v>
      </c>
      <c r="W19" s="202">
        <v>7.2450000000000001</v>
      </c>
    </row>
    <row r="20" spans="1:23" ht="20.100000000000001" customHeight="1">
      <c r="F20" s="2">
        <v>300</v>
      </c>
      <c r="G20" s="2">
        <v>0.76</v>
      </c>
      <c r="H20" s="2">
        <f>ROUND($E$19*G20,0)-1</f>
        <v>3493</v>
      </c>
      <c r="I20" s="2">
        <f t="shared" ref="I20:I27" si="6">ROUND(H20*1,0)</f>
        <v>3493</v>
      </c>
      <c r="J20" s="2">
        <f t="shared" ref="J20:J27" si="7">ROUND(H20*0,0)</f>
        <v>0</v>
      </c>
      <c r="K20" s="2">
        <f t="shared" ref="K20:K27" si="8">H20-I20-J20</f>
        <v>0</v>
      </c>
      <c r="P20" s="67"/>
      <c r="Q20" s="776"/>
      <c r="R20" s="272">
        <v>700</v>
      </c>
      <c r="S20" s="44">
        <v>1206659</v>
      </c>
      <c r="T20" s="44">
        <v>1526319</v>
      </c>
      <c r="V20" s="200">
        <v>2.2999999999999998</v>
      </c>
      <c r="W20" s="202">
        <v>0.69</v>
      </c>
    </row>
    <row r="21" spans="1:23" ht="20.100000000000001" customHeight="1">
      <c r="F21" s="2">
        <v>400</v>
      </c>
      <c r="G21" s="2">
        <v>0.21</v>
      </c>
      <c r="H21" s="2">
        <f t="shared" ref="H21:H29" si="9">ROUND($E$19*G21,0)</f>
        <v>966</v>
      </c>
      <c r="I21" s="2">
        <f t="shared" si="6"/>
        <v>966</v>
      </c>
      <c r="J21" s="2">
        <f t="shared" si="7"/>
        <v>0</v>
      </c>
      <c r="K21" s="2">
        <f t="shared" si="8"/>
        <v>0</v>
      </c>
      <c r="P21" s="67"/>
      <c r="Q21" s="776"/>
      <c r="R21" s="272">
        <v>800</v>
      </c>
      <c r="S21" s="44">
        <v>1373571</v>
      </c>
      <c r="T21" s="44">
        <v>1702260</v>
      </c>
      <c r="V21" s="200">
        <v>2.41</v>
      </c>
      <c r="W21" s="202">
        <v>0.72299999999999998</v>
      </c>
    </row>
    <row r="22" spans="1:23" ht="20.100000000000001" customHeight="1">
      <c r="F22" s="2">
        <v>450</v>
      </c>
      <c r="G22" s="2">
        <v>0.01</v>
      </c>
      <c r="H22" s="2">
        <f t="shared" si="9"/>
        <v>46</v>
      </c>
      <c r="I22" s="2">
        <f t="shared" si="6"/>
        <v>46</v>
      </c>
      <c r="J22" s="2">
        <f t="shared" si="7"/>
        <v>0</v>
      </c>
      <c r="K22" s="2">
        <f t="shared" si="8"/>
        <v>0</v>
      </c>
      <c r="P22" s="67"/>
      <c r="Q22" s="776"/>
      <c r="R22" s="272">
        <v>900</v>
      </c>
      <c r="S22" s="44">
        <v>1509424</v>
      </c>
      <c r="T22" s="44">
        <v>1847090</v>
      </c>
      <c r="V22" s="200">
        <v>9.57</v>
      </c>
      <c r="W22" s="202">
        <v>2.871</v>
      </c>
    </row>
    <row r="23" spans="1:23" ht="20.100000000000001" customHeight="1">
      <c r="F23" s="2">
        <v>500</v>
      </c>
      <c r="G23" s="2">
        <v>0</v>
      </c>
      <c r="H23" s="2">
        <f t="shared" si="9"/>
        <v>0</v>
      </c>
      <c r="I23" s="2">
        <f t="shared" si="6"/>
        <v>0</v>
      </c>
      <c r="J23" s="2">
        <f t="shared" si="7"/>
        <v>0</v>
      </c>
      <c r="K23" s="2">
        <f t="shared" si="8"/>
        <v>0</v>
      </c>
      <c r="P23" s="67"/>
      <c r="Q23" s="776"/>
      <c r="R23" s="272">
        <v>1000</v>
      </c>
      <c r="S23" s="44">
        <v>1730822</v>
      </c>
      <c r="T23" s="44">
        <v>2077609</v>
      </c>
      <c r="V23" s="200">
        <v>6.41</v>
      </c>
      <c r="W23" s="202">
        <v>1.923</v>
      </c>
    </row>
    <row r="24" spans="1:23" ht="20.100000000000001" customHeight="1">
      <c r="F24" s="2">
        <v>600</v>
      </c>
      <c r="G24" s="2">
        <v>0.02</v>
      </c>
      <c r="H24" s="2">
        <f t="shared" si="9"/>
        <v>92</v>
      </c>
      <c r="I24" s="2">
        <f t="shared" si="6"/>
        <v>92</v>
      </c>
      <c r="J24" s="2">
        <f t="shared" si="7"/>
        <v>0</v>
      </c>
      <c r="K24" s="2">
        <f t="shared" si="8"/>
        <v>0</v>
      </c>
      <c r="P24" s="67"/>
      <c r="Q24" s="776"/>
      <c r="R24" s="272">
        <v>1100</v>
      </c>
      <c r="S24" s="44">
        <v>1990647</v>
      </c>
      <c r="T24" s="44">
        <v>2359688</v>
      </c>
      <c r="V24" s="200">
        <v>1.47</v>
      </c>
      <c r="W24" s="202">
        <v>0.441</v>
      </c>
    </row>
    <row r="25" spans="1:23" ht="20.100000000000001" customHeight="1">
      <c r="F25" s="2">
        <v>700</v>
      </c>
      <c r="G25" s="2">
        <v>0</v>
      </c>
      <c r="H25" s="2">
        <f t="shared" si="9"/>
        <v>0</v>
      </c>
      <c r="I25" s="2">
        <f t="shared" si="6"/>
        <v>0</v>
      </c>
      <c r="J25" s="2">
        <f t="shared" si="7"/>
        <v>0</v>
      </c>
      <c r="K25" s="2">
        <f t="shared" si="8"/>
        <v>0</v>
      </c>
      <c r="P25" s="67"/>
      <c r="Q25" s="776"/>
      <c r="R25" s="272">
        <v>1200</v>
      </c>
      <c r="S25" s="44">
        <v>2234280</v>
      </c>
      <c r="T25" s="44">
        <v>2612176</v>
      </c>
      <c r="V25" s="200">
        <v>2.46</v>
      </c>
      <c r="W25" s="202">
        <v>0.73799999999999999</v>
      </c>
    </row>
    <row r="26" spans="1:23" ht="20.100000000000001" customHeight="1">
      <c r="F26" s="2">
        <v>800</v>
      </c>
      <c r="G26" s="2">
        <v>0</v>
      </c>
      <c r="H26" s="2">
        <f t="shared" si="9"/>
        <v>0</v>
      </c>
      <c r="I26" s="2">
        <f t="shared" si="6"/>
        <v>0</v>
      </c>
      <c r="J26" s="2">
        <f t="shared" si="7"/>
        <v>0</v>
      </c>
      <c r="K26" s="2">
        <f t="shared" si="8"/>
        <v>0</v>
      </c>
      <c r="P26" s="67"/>
      <c r="Q26" s="776" t="s">
        <v>77</v>
      </c>
      <c r="R26" s="272">
        <v>200</v>
      </c>
      <c r="S26" s="44">
        <v>476678</v>
      </c>
      <c r="T26" s="44">
        <v>737848</v>
      </c>
      <c r="V26" s="200">
        <v>2.36</v>
      </c>
      <c r="W26" s="202">
        <v>0.70799999999999996</v>
      </c>
    </row>
    <row r="27" spans="1:23" ht="20.100000000000001" customHeight="1" thickBot="1">
      <c r="F27" s="2">
        <v>900</v>
      </c>
      <c r="G27" s="2">
        <v>0</v>
      </c>
      <c r="H27" s="2">
        <f t="shared" si="9"/>
        <v>0</v>
      </c>
      <c r="I27" s="2">
        <f t="shared" si="6"/>
        <v>0</v>
      </c>
      <c r="J27" s="2">
        <f t="shared" si="7"/>
        <v>0</v>
      </c>
      <c r="K27" s="2">
        <f t="shared" si="8"/>
        <v>0</v>
      </c>
      <c r="P27" s="67"/>
      <c r="Q27" s="776"/>
      <c r="R27" s="272">
        <v>300</v>
      </c>
      <c r="S27" s="44">
        <v>525101</v>
      </c>
      <c r="T27" s="44">
        <v>794902</v>
      </c>
      <c r="V27" s="201">
        <v>6.1</v>
      </c>
      <c r="W27" s="203">
        <v>1.83</v>
      </c>
    </row>
    <row r="28" spans="1:23" ht="20.100000000000001" customHeight="1" thickTop="1">
      <c r="F28" s="2">
        <v>1000</v>
      </c>
      <c r="G28" s="2">
        <v>0</v>
      </c>
      <c r="H28" s="2">
        <f t="shared" si="9"/>
        <v>0</v>
      </c>
      <c r="I28" s="2">
        <f>ROUND(H28*0.8,0)</f>
        <v>0</v>
      </c>
      <c r="J28" s="2">
        <f>ROUND(H28*0.15,0)</f>
        <v>0</v>
      </c>
      <c r="K28" s="2">
        <f>H28-I28-J28</f>
        <v>0</v>
      </c>
      <c r="Q28" s="776"/>
      <c r="R28" s="272">
        <v>400</v>
      </c>
      <c r="S28" s="44">
        <v>625778</v>
      </c>
      <c r="T28" s="44">
        <v>904597</v>
      </c>
    </row>
    <row r="29" spans="1:23" ht="20.100000000000001" customHeight="1">
      <c r="F29" s="2">
        <v>1200</v>
      </c>
      <c r="G29" s="2">
        <v>0</v>
      </c>
      <c r="H29" s="2">
        <f t="shared" si="9"/>
        <v>0</v>
      </c>
      <c r="I29" s="2">
        <f>ROUND(H29*0.8,0)</f>
        <v>0</v>
      </c>
      <c r="J29" s="2">
        <f>ROUND(H29*0.15,0)</f>
        <v>0</v>
      </c>
      <c r="K29" s="2">
        <f>H29-I29-J29</f>
        <v>0</v>
      </c>
      <c r="Q29" s="776"/>
      <c r="R29" s="272">
        <v>500</v>
      </c>
      <c r="S29" s="44">
        <v>711507</v>
      </c>
      <c r="T29" s="44">
        <v>999476</v>
      </c>
    </row>
    <row r="30" spans="1:23" ht="20.100000000000001" customHeight="1">
      <c r="Q30" s="776"/>
      <c r="R30" s="272">
        <v>600</v>
      </c>
      <c r="S30" s="44">
        <v>810869</v>
      </c>
      <c r="T30" s="44">
        <v>1121644</v>
      </c>
    </row>
    <row r="31" spans="1:23" ht="20.100000000000001" customHeight="1">
      <c r="P31" s="67"/>
      <c r="Q31" s="776"/>
      <c r="R31" s="272">
        <v>700</v>
      </c>
      <c r="S31" s="44">
        <v>919311</v>
      </c>
      <c r="T31" s="44">
        <v>1238972</v>
      </c>
    </row>
    <row r="32" spans="1:23" ht="20.100000000000001" customHeight="1">
      <c r="P32" s="29"/>
      <c r="Q32" s="776"/>
      <c r="R32" s="272">
        <v>800</v>
      </c>
      <c r="S32" s="44">
        <v>1030780</v>
      </c>
      <c r="T32" s="44">
        <v>1359468</v>
      </c>
    </row>
    <row r="33" spans="16:20" ht="20.100000000000001" customHeight="1">
      <c r="P33" s="45"/>
      <c r="Q33" s="776"/>
      <c r="R33" s="272">
        <v>900</v>
      </c>
      <c r="S33" s="44">
        <v>1120686</v>
      </c>
      <c r="T33" s="44">
        <v>1458352</v>
      </c>
    </row>
    <row r="34" spans="16:20" ht="20.100000000000001" customHeight="1">
      <c r="P34" s="45"/>
      <c r="Q34" s="776"/>
      <c r="R34" s="272">
        <v>1000</v>
      </c>
      <c r="S34" s="44">
        <v>1252157</v>
      </c>
      <c r="T34" s="44">
        <v>1598943</v>
      </c>
    </row>
    <row r="35" spans="16:20" ht="20.100000000000001" customHeight="1">
      <c r="P35" s="35"/>
      <c r="Q35" s="776"/>
      <c r="R35" s="272">
        <v>1200</v>
      </c>
      <c r="S35" s="44">
        <v>1519329</v>
      </c>
      <c r="T35" s="44">
        <v>1897235</v>
      </c>
    </row>
    <row r="36" spans="16:20" ht="20.100000000000001" customHeight="1">
      <c r="P36" s="35"/>
      <c r="Q36" s="776" t="s">
        <v>519</v>
      </c>
      <c r="R36" s="272" t="s">
        <v>79</v>
      </c>
      <c r="S36" s="44">
        <v>1813280</v>
      </c>
      <c r="T36" s="44">
        <v>2098936</v>
      </c>
    </row>
    <row r="37" spans="16:20" ht="20.100000000000001" customHeight="1">
      <c r="P37" s="36"/>
      <c r="Q37" s="776"/>
      <c r="R37" s="272" t="s">
        <v>80</v>
      </c>
      <c r="S37" s="44">
        <v>1980997</v>
      </c>
      <c r="T37" s="44">
        <v>2266643</v>
      </c>
    </row>
    <row r="38" spans="16:20" ht="20.100000000000001" customHeight="1">
      <c r="P38" s="35"/>
      <c r="Q38" s="776"/>
      <c r="R38" s="272" t="s">
        <v>81</v>
      </c>
      <c r="S38" s="44">
        <v>2008266</v>
      </c>
      <c r="T38" s="44">
        <v>2293922</v>
      </c>
    </row>
    <row r="39" spans="16:20" ht="20.100000000000001" customHeight="1">
      <c r="P39" s="35"/>
      <c r="Q39" s="776"/>
      <c r="R39" s="272" t="s">
        <v>82</v>
      </c>
      <c r="S39" s="44">
        <v>2087044</v>
      </c>
      <c r="T39" s="44">
        <v>2432231</v>
      </c>
    </row>
    <row r="40" spans="16:20" ht="20.100000000000001" customHeight="1">
      <c r="P40" s="35"/>
      <c r="Q40" s="776"/>
      <c r="R40" s="272" t="s">
        <v>83</v>
      </c>
      <c r="S40" s="44">
        <v>2235747</v>
      </c>
      <c r="T40" s="44">
        <v>2580933</v>
      </c>
    </row>
    <row r="41" spans="16:20" ht="20.100000000000001" customHeight="1">
      <c r="P41" s="35"/>
      <c r="Q41" s="776"/>
      <c r="R41" s="272" t="s">
        <v>84</v>
      </c>
      <c r="S41" s="44">
        <v>2493065</v>
      </c>
      <c r="T41" s="44">
        <v>2838251</v>
      </c>
    </row>
    <row r="42" spans="16:20" ht="20.100000000000001" customHeight="1">
      <c r="P42" s="35"/>
      <c r="Q42" s="776"/>
      <c r="R42" s="272" t="s">
        <v>85</v>
      </c>
      <c r="S42" s="44">
        <v>2688377</v>
      </c>
      <c r="T42" s="44">
        <v>3033563</v>
      </c>
    </row>
    <row r="43" spans="16:20" ht="20.100000000000001" customHeight="1">
      <c r="P43" s="35"/>
      <c r="Q43" s="776"/>
      <c r="R43" s="272" t="s">
        <v>86</v>
      </c>
      <c r="S43" s="44">
        <v>2712639</v>
      </c>
      <c r="T43" s="44">
        <v>3057825</v>
      </c>
    </row>
    <row r="44" spans="16:20" ht="20.100000000000001" customHeight="1">
      <c r="P44" s="35"/>
      <c r="Q44" s="776"/>
      <c r="R44" s="272" t="s">
        <v>87</v>
      </c>
      <c r="S44" s="44">
        <v>3180065</v>
      </c>
      <c r="T44" s="44">
        <v>3525251</v>
      </c>
    </row>
    <row r="45" spans="16:20" ht="20.100000000000001" customHeight="1">
      <c r="P45" s="35"/>
      <c r="Q45" s="776"/>
      <c r="R45" s="272" t="s">
        <v>88</v>
      </c>
      <c r="S45" s="44">
        <v>3443537</v>
      </c>
      <c r="T45" s="44">
        <v>3966580</v>
      </c>
    </row>
    <row r="46" spans="16:20" ht="20.100000000000001" customHeight="1">
      <c r="P46" s="36"/>
      <c r="Q46" s="776"/>
      <c r="R46" s="272" t="s">
        <v>89</v>
      </c>
      <c r="S46" s="44">
        <v>3790171</v>
      </c>
      <c r="T46" s="44">
        <v>4313203</v>
      </c>
    </row>
    <row r="47" spans="16:20" ht="20.100000000000001" customHeight="1">
      <c r="P47" s="67"/>
      <c r="Q47" s="776"/>
      <c r="R47" s="272" t="s">
        <v>90</v>
      </c>
      <c r="S47" s="44">
        <v>4445958</v>
      </c>
      <c r="T47" s="44">
        <v>4968990</v>
      </c>
    </row>
    <row r="48" spans="16:20" ht="20.100000000000001" customHeight="1">
      <c r="P48" s="73"/>
      <c r="Q48" s="776"/>
      <c r="R48" s="272" t="s">
        <v>91</v>
      </c>
      <c r="S48" s="44">
        <v>4058779</v>
      </c>
      <c r="T48" s="44">
        <v>4581821</v>
      </c>
    </row>
    <row r="49" spans="16:20" ht="20.100000000000001" customHeight="1">
      <c r="P49" s="67"/>
      <c r="Q49" s="776"/>
      <c r="R49" s="272" t="s">
        <v>92</v>
      </c>
      <c r="S49" s="44">
        <v>4541703</v>
      </c>
      <c r="T49" s="44">
        <v>5064746</v>
      </c>
    </row>
    <row r="50" spans="16:20" ht="20.100000000000001" customHeight="1">
      <c r="Q50" s="776"/>
      <c r="R50" s="272" t="s">
        <v>93</v>
      </c>
      <c r="S50" s="44">
        <v>5297975</v>
      </c>
      <c r="T50" s="44">
        <v>5821007</v>
      </c>
    </row>
    <row r="51" spans="16:20" ht="20.100000000000001" customHeight="1">
      <c r="Q51" s="776"/>
      <c r="R51" s="272" t="s">
        <v>94</v>
      </c>
      <c r="S51" s="44">
        <v>5625868</v>
      </c>
      <c r="T51" s="44">
        <v>6148911</v>
      </c>
    </row>
    <row r="52" spans="16:20" ht="20.100000000000001" customHeight="1"/>
    <row r="53" spans="16:20" ht="20.100000000000001" customHeight="1"/>
    <row r="54" spans="16:20" ht="20.100000000000001" customHeight="1"/>
    <row r="55" spans="16:20" ht="20.100000000000001" customHeight="1"/>
    <row r="56" spans="16:20" ht="20.100000000000001" customHeight="1"/>
    <row r="57" spans="16:20" ht="20.100000000000001" customHeight="1"/>
    <row r="58" spans="16:20" ht="20.100000000000001" customHeight="1"/>
    <row r="59" spans="16:20" ht="20.100000000000001" customHeight="1"/>
    <row r="60" spans="16:20" ht="20.100000000000001" customHeight="1"/>
    <row r="61" spans="16:20" ht="20.100000000000001" customHeight="1"/>
    <row r="62" spans="16:20" ht="20.100000000000001" customHeight="1"/>
    <row r="63" spans="16:20" ht="20.100000000000001" customHeight="1"/>
    <row r="64" spans="16:20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5">
    <mergeCell ref="Q36:Q51"/>
    <mergeCell ref="Q16:Q25"/>
    <mergeCell ref="Q3:Q4"/>
    <mergeCell ref="A11:A16"/>
    <mergeCell ref="A9:A10"/>
    <mergeCell ref="B9:B10"/>
    <mergeCell ref="C9:C10"/>
    <mergeCell ref="D9:D10"/>
    <mergeCell ref="B11:B16"/>
    <mergeCell ref="C11:C16"/>
    <mergeCell ref="V3:V4"/>
    <mergeCell ref="E9:E10"/>
    <mergeCell ref="Q26:Q35"/>
    <mergeCell ref="W3:W4"/>
    <mergeCell ref="X3:Y3"/>
    <mergeCell ref="V5:V14"/>
    <mergeCell ref="S3:T3"/>
    <mergeCell ref="F9:F10"/>
    <mergeCell ref="G9:G10"/>
    <mergeCell ref="H9:I9"/>
    <mergeCell ref="J9:K9"/>
    <mergeCell ref="L9:M9"/>
    <mergeCell ref="N9:O9"/>
    <mergeCell ref="R3:R4"/>
    <mergeCell ref="Q5:Q15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view="pageBreakPreview" zoomScale="115" zoomScaleNormal="100" zoomScaleSheetLayoutView="115" workbookViewId="0">
      <selection activeCell="I25" sqref="I25"/>
    </sheetView>
    <sheetView workbookViewId="1"/>
  </sheetViews>
  <sheetFormatPr defaultRowHeight="12"/>
  <cols>
    <col min="1" max="2" width="6.625" style="2" customWidth="1"/>
    <col min="3" max="3" width="8.625" style="2" customWidth="1"/>
    <col min="4" max="11" width="7.25" style="2" customWidth="1"/>
    <col min="12" max="13" width="12.125" style="2" customWidth="1"/>
    <col min="14" max="230" width="9" style="2"/>
    <col min="231" max="232" width="3.75" style="2" customWidth="1"/>
    <col min="233" max="233" width="15" style="2" customWidth="1"/>
    <col min="234" max="237" width="12.875" style="2" customWidth="1"/>
    <col min="238" max="238" width="12.125" style="2" customWidth="1"/>
    <col min="239" max="239" width="9" style="2"/>
    <col min="240" max="240" width="12.25" style="2" customWidth="1"/>
    <col min="241" max="241" width="9.625" style="2" customWidth="1"/>
    <col min="242" max="243" width="9.75" style="2" customWidth="1"/>
    <col min="244" max="244" width="9.375" style="2" customWidth="1"/>
    <col min="245" max="486" width="9" style="2"/>
    <col min="487" max="488" width="3.75" style="2" customWidth="1"/>
    <col min="489" max="489" width="15" style="2" customWidth="1"/>
    <col min="490" max="493" width="12.875" style="2" customWidth="1"/>
    <col min="494" max="494" width="12.125" style="2" customWidth="1"/>
    <col min="495" max="495" width="9" style="2"/>
    <col min="496" max="496" width="12.25" style="2" customWidth="1"/>
    <col min="497" max="497" width="9.625" style="2" customWidth="1"/>
    <col min="498" max="499" width="9.75" style="2" customWidth="1"/>
    <col min="500" max="500" width="9.375" style="2" customWidth="1"/>
    <col min="501" max="742" width="9" style="2"/>
    <col min="743" max="744" width="3.75" style="2" customWidth="1"/>
    <col min="745" max="745" width="15" style="2" customWidth="1"/>
    <col min="746" max="749" width="12.875" style="2" customWidth="1"/>
    <col min="750" max="750" width="12.125" style="2" customWidth="1"/>
    <col min="751" max="751" width="9" style="2"/>
    <col min="752" max="752" width="12.25" style="2" customWidth="1"/>
    <col min="753" max="753" width="9.625" style="2" customWidth="1"/>
    <col min="754" max="755" width="9.75" style="2" customWidth="1"/>
    <col min="756" max="756" width="9.375" style="2" customWidth="1"/>
    <col min="757" max="998" width="9" style="2"/>
    <col min="999" max="1000" width="3.75" style="2" customWidth="1"/>
    <col min="1001" max="1001" width="15" style="2" customWidth="1"/>
    <col min="1002" max="1005" width="12.875" style="2" customWidth="1"/>
    <col min="1006" max="1006" width="12.125" style="2" customWidth="1"/>
    <col min="1007" max="1007" width="9" style="2"/>
    <col min="1008" max="1008" width="12.25" style="2" customWidth="1"/>
    <col min="1009" max="1009" width="9.625" style="2" customWidth="1"/>
    <col min="1010" max="1011" width="9.75" style="2" customWidth="1"/>
    <col min="1012" max="1012" width="9.375" style="2" customWidth="1"/>
    <col min="1013" max="1254" width="9" style="2"/>
    <col min="1255" max="1256" width="3.75" style="2" customWidth="1"/>
    <col min="1257" max="1257" width="15" style="2" customWidth="1"/>
    <col min="1258" max="1261" width="12.875" style="2" customWidth="1"/>
    <col min="1262" max="1262" width="12.125" style="2" customWidth="1"/>
    <col min="1263" max="1263" width="9" style="2"/>
    <col min="1264" max="1264" width="12.25" style="2" customWidth="1"/>
    <col min="1265" max="1265" width="9.625" style="2" customWidth="1"/>
    <col min="1266" max="1267" width="9.75" style="2" customWidth="1"/>
    <col min="1268" max="1268" width="9.375" style="2" customWidth="1"/>
    <col min="1269" max="1510" width="9" style="2"/>
    <col min="1511" max="1512" width="3.75" style="2" customWidth="1"/>
    <col min="1513" max="1513" width="15" style="2" customWidth="1"/>
    <col min="1514" max="1517" width="12.875" style="2" customWidth="1"/>
    <col min="1518" max="1518" width="12.125" style="2" customWidth="1"/>
    <col min="1519" max="1519" width="9" style="2"/>
    <col min="1520" max="1520" width="12.25" style="2" customWidth="1"/>
    <col min="1521" max="1521" width="9.625" style="2" customWidth="1"/>
    <col min="1522" max="1523" width="9.75" style="2" customWidth="1"/>
    <col min="1524" max="1524" width="9.375" style="2" customWidth="1"/>
    <col min="1525" max="1766" width="9" style="2"/>
    <col min="1767" max="1768" width="3.75" style="2" customWidth="1"/>
    <col min="1769" max="1769" width="15" style="2" customWidth="1"/>
    <col min="1770" max="1773" width="12.875" style="2" customWidth="1"/>
    <col min="1774" max="1774" width="12.125" style="2" customWidth="1"/>
    <col min="1775" max="1775" width="9" style="2"/>
    <col min="1776" max="1776" width="12.25" style="2" customWidth="1"/>
    <col min="1777" max="1777" width="9.625" style="2" customWidth="1"/>
    <col min="1778" max="1779" width="9.75" style="2" customWidth="1"/>
    <col min="1780" max="1780" width="9.375" style="2" customWidth="1"/>
    <col min="1781" max="2022" width="9" style="2"/>
    <col min="2023" max="2024" width="3.75" style="2" customWidth="1"/>
    <col min="2025" max="2025" width="15" style="2" customWidth="1"/>
    <col min="2026" max="2029" width="12.875" style="2" customWidth="1"/>
    <col min="2030" max="2030" width="12.125" style="2" customWidth="1"/>
    <col min="2031" max="2031" width="9" style="2"/>
    <col min="2032" max="2032" width="12.25" style="2" customWidth="1"/>
    <col min="2033" max="2033" width="9.625" style="2" customWidth="1"/>
    <col min="2034" max="2035" width="9.75" style="2" customWidth="1"/>
    <col min="2036" max="2036" width="9.375" style="2" customWidth="1"/>
    <col min="2037" max="2278" width="9" style="2"/>
    <col min="2279" max="2280" width="3.75" style="2" customWidth="1"/>
    <col min="2281" max="2281" width="15" style="2" customWidth="1"/>
    <col min="2282" max="2285" width="12.875" style="2" customWidth="1"/>
    <col min="2286" max="2286" width="12.125" style="2" customWidth="1"/>
    <col min="2287" max="2287" width="9" style="2"/>
    <col min="2288" max="2288" width="12.25" style="2" customWidth="1"/>
    <col min="2289" max="2289" width="9.625" style="2" customWidth="1"/>
    <col min="2290" max="2291" width="9.75" style="2" customWidth="1"/>
    <col min="2292" max="2292" width="9.375" style="2" customWidth="1"/>
    <col min="2293" max="2534" width="9" style="2"/>
    <col min="2535" max="2536" width="3.75" style="2" customWidth="1"/>
    <col min="2537" max="2537" width="15" style="2" customWidth="1"/>
    <col min="2538" max="2541" width="12.875" style="2" customWidth="1"/>
    <col min="2542" max="2542" width="12.125" style="2" customWidth="1"/>
    <col min="2543" max="2543" width="9" style="2"/>
    <col min="2544" max="2544" width="12.25" style="2" customWidth="1"/>
    <col min="2545" max="2545" width="9.625" style="2" customWidth="1"/>
    <col min="2546" max="2547" width="9.75" style="2" customWidth="1"/>
    <col min="2548" max="2548" width="9.375" style="2" customWidth="1"/>
    <col min="2549" max="2790" width="9" style="2"/>
    <col min="2791" max="2792" width="3.75" style="2" customWidth="1"/>
    <col min="2793" max="2793" width="15" style="2" customWidth="1"/>
    <col min="2794" max="2797" width="12.875" style="2" customWidth="1"/>
    <col min="2798" max="2798" width="12.125" style="2" customWidth="1"/>
    <col min="2799" max="2799" width="9" style="2"/>
    <col min="2800" max="2800" width="12.25" style="2" customWidth="1"/>
    <col min="2801" max="2801" width="9.625" style="2" customWidth="1"/>
    <col min="2802" max="2803" width="9.75" style="2" customWidth="1"/>
    <col min="2804" max="2804" width="9.375" style="2" customWidth="1"/>
    <col min="2805" max="3046" width="9" style="2"/>
    <col min="3047" max="3048" width="3.75" style="2" customWidth="1"/>
    <col min="3049" max="3049" width="15" style="2" customWidth="1"/>
    <col min="3050" max="3053" width="12.875" style="2" customWidth="1"/>
    <col min="3054" max="3054" width="12.125" style="2" customWidth="1"/>
    <col min="3055" max="3055" width="9" style="2"/>
    <col min="3056" max="3056" width="12.25" style="2" customWidth="1"/>
    <col min="3057" max="3057" width="9.625" style="2" customWidth="1"/>
    <col min="3058" max="3059" width="9.75" style="2" customWidth="1"/>
    <col min="3060" max="3060" width="9.375" style="2" customWidth="1"/>
    <col min="3061" max="3302" width="9" style="2"/>
    <col min="3303" max="3304" width="3.75" style="2" customWidth="1"/>
    <col min="3305" max="3305" width="15" style="2" customWidth="1"/>
    <col min="3306" max="3309" width="12.875" style="2" customWidth="1"/>
    <col min="3310" max="3310" width="12.125" style="2" customWidth="1"/>
    <col min="3311" max="3311" width="9" style="2"/>
    <col min="3312" max="3312" width="12.25" style="2" customWidth="1"/>
    <col min="3313" max="3313" width="9.625" style="2" customWidth="1"/>
    <col min="3314" max="3315" width="9.75" style="2" customWidth="1"/>
    <col min="3316" max="3316" width="9.375" style="2" customWidth="1"/>
    <col min="3317" max="3558" width="9" style="2"/>
    <col min="3559" max="3560" width="3.75" style="2" customWidth="1"/>
    <col min="3561" max="3561" width="15" style="2" customWidth="1"/>
    <col min="3562" max="3565" width="12.875" style="2" customWidth="1"/>
    <col min="3566" max="3566" width="12.125" style="2" customWidth="1"/>
    <col min="3567" max="3567" width="9" style="2"/>
    <col min="3568" max="3568" width="12.25" style="2" customWidth="1"/>
    <col min="3569" max="3569" width="9.625" style="2" customWidth="1"/>
    <col min="3570" max="3571" width="9.75" style="2" customWidth="1"/>
    <col min="3572" max="3572" width="9.375" style="2" customWidth="1"/>
    <col min="3573" max="3814" width="9" style="2"/>
    <col min="3815" max="3816" width="3.75" style="2" customWidth="1"/>
    <col min="3817" max="3817" width="15" style="2" customWidth="1"/>
    <col min="3818" max="3821" width="12.875" style="2" customWidth="1"/>
    <col min="3822" max="3822" width="12.125" style="2" customWidth="1"/>
    <col min="3823" max="3823" width="9" style="2"/>
    <col min="3824" max="3824" width="12.25" style="2" customWidth="1"/>
    <col min="3825" max="3825" width="9.625" style="2" customWidth="1"/>
    <col min="3826" max="3827" width="9.75" style="2" customWidth="1"/>
    <col min="3828" max="3828" width="9.375" style="2" customWidth="1"/>
    <col min="3829" max="4070" width="9" style="2"/>
    <col min="4071" max="4072" width="3.75" style="2" customWidth="1"/>
    <col min="4073" max="4073" width="15" style="2" customWidth="1"/>
    <col min="4074" max="4077" width="12.875" style="2" customWidth="1"/>
    <col min="4078" max="4078" width="12.125" style="2" customWidth="1"/>
    <col min="4079" max="4079" width="9" style="2"/>
    <col min="4080" max="4080" width="12.25" style="2" customWidth="1"/>
    <col min="4081" max="4081" width="9.625" style="2" customWidth="1"/>
    <col min="4082" max="4083" width="9.75" style="2" customWidth="1"/>
    <col min="4084" max="4084" width="9.375" style="2" customWidth="1"/>
    <col min="4085" max="4326" width="9" style="2"/>
    <col min="4327" max="4328" width="3.75" style="2" customWidth="1"/>
    <col min="4329" max="4329" width="15" style="2" customWidth="1"/>
    <col min="4330" max="4333" width="12.875" style="2" customWidth="1"/>
    <col min="4334" max="4334" width="12.125" style="2" customWidth="1"/>
    <col min="4335" max="4335" width="9" style="2"/>
    <col min="4336" max="4336" width="12.25" style="2" customWidth="1"/>
    <col min="4337" max="4337" width="9.625" style="2" customWidth="1"/>
    <col min="4338" max="4339" width="9.75" style="2" customWidth="1"/>
    <col min="4340" max="4340" width="9.375" style="2" customWidth="1"/>
    <col min="4341" max="4582" width="9" style="2"/>
    <col min="4583" max="4584" width="3.75" style="2" customWidth="1"/>
    <col min="4585" max="4585" width="15" style="2" customWidth="1"/>
    <col min="4586" max="4589" width="12.875" style="2" customWidth="1"/>
    <col min="4590" max="4590" width="12.125" style="2" customWidth="1"/>
    <col min="4591" max="4591" width="9" style="2"/>
    <col min="4592" max="4592" width="12.25" style="2" customWidth="1"/>
    <col min="4593" max="4593" width="9.625" style="2" customWidth="1"/>
    <col min="4594" max="4595" width="9.75" style="2" customWidth="1"/>
    <col min="4596" max="4596" width="9.375" style="2" customWidth="1"/>
    <col min="4597" max="4838" width="9" style="2"/>
    <col min="4839" max="4840" width="3.75" style="2" customWidth="1"/>
    <col min="4841" max="4841" width="15" style="2" customWidth="1"/>
    <col min="4842" max="4845" width="12.875" style="2" customWidth="1"/>
    <col min="4846" max="4846" width="12.125" style="2" customWidth="1"/>
    <col min="4847" max="4847" width="9" style="2"/>
    <col min="4848" max="4848" width="12.25" style="2" customWidth="1"/>
    <col min="4849" max="4849" width="9.625" style="2" customWidth="1"/>
    <col min="4850" max="4851" width="9.75" style="2" customWidth="1"/>
    <col min="4852" max="4852" width="9.375" style="2" customWidth="1"/>
    <col min="4853" max="5094" width="9" style="2"/>
    <col min="5095" max="5096" width="3.75" style="2" customWidth="1"/>
    <col min="5097" max="5097" width="15" style="2" customWidth="1"/>
    <col min="5098" max="5101" width="12.875" style="2" customWidth="1"/>
    <col min="5102" max="5102" width="12.125" style="2" customWidth="1"/>
    <col min="5103" max="5103" width="9" style="2"/>
    <col min="5104" max="5104" width="12.25" style="2" customWidth="1"/>
    <col min="5105" max="5105" width="9.625" style="2" customWidth="1"/>
    <col min="5106" max="5107" width="9.75" style="2" customWidth="1"/>
    <col min="5108" max="5108" width="9.375" style="2" customWidth="1"/>
    <col min="5109" max="5350" width="9" style="2"/>
    <col min="5351" max="5352" width="3.75" style="2" customWidth="1"/>
    <col min="5353" max="5353" width="15" style="2" customWidth="1"/>
    <col min="5354" max="5357" width="12.875" style="2" customWidth="1"/>
    <col min="5358" max="5358" width="12.125" style="2" customWidth="1"/>
    <col min="5359" max="5359" width="9" style="2"/>
    <col min="5360" max="5360" width="12.25" style="2" customWidth="1"/>
    <col min="5361" max="5361" width="9.625" style="2" customWidth="1"/>
    <col min="5362" max="5363" width="9.75" style="2" customWidth="1"/>
    <col min="5364" max="5364" width="9.375" style="2" customWidth="1"/>
    <col min="5365" max="5606" width="9" style="2"/>
    <col min="5607" max="5608" width="3.75" style="2" customWidth="1"/>
    <col min="5609" max="5609" width="15" style="2" customWidth="1"/>
    <col min="5610" max="5613" width="12.875" style="2" customWidth="1"/>
    <col min="5614" max="5614" width="12.125" style="2" customWidth="1"/>
    <col min="5615" max="5615" width="9" style="2"/>
    <col min="5616" max="5616" width="12.25" style="2" customWidth="1"/>
    <col min="5617" max="5617" width="9.625" style="2" customWidth="1"/>
    <col min="5618" max="5619" width="9.75" style="2" customWidth="1"/>
    <col min="5620" max="5620" width="9.375" style="2" customWidth="1"/>
    <col min="5621" max="5862" width="9" style="2"/>
    <col min="5863" max="5864" width="3.75" style="2" customWidth="1"/>
    <col min="5865" max="5865" width="15" style="2" customWidth="1"/>
    <col min="5866" max="5869" width="12.875" style="2" customWidth="1"/>
    <col min="5870" max="5870" width="12.125" style="2" customWidth="1"/>
    <col min="5871" max="5871" width="9" style="2"/>
    <col min="5872" max="5872" width="12.25" style="2" customWidth="1"/>
    <col min="5873" max="5873" width="9.625" style="2" customWidth="1"/>
    <col min="5874" max="5875" width="9.75" style="2" customWidth="1"/>
    <col min="5876" max="5876" width="9.375" style="2" customWidth="1"/>
    <col min="5877" max="6118" width="9" style="2"/>
    <col min="6119" max="6120" width="3.75" style="2" customWidth="1"/>
    <col min="6121" max="6121" width="15" style="2" customWidth="1"/>
    <col min="6122" max="6125" width="12.875" style="2" customWidth="1"/>
    <col min="6126" max="6126" width="12.125" style="2" customWidth="1"/>
    <col min="6127" max="6127" width="9" style="2"/>
    <col min="6128" max="6128" width="12.25" style="2" customWidth="1"/>
    <col min="6129" max="6129" width="9.625" style="2" customWidth="1"/>
    <col min="6130" max="6131" width="9.75" style="2" customWidth="1"/>
    <col min="6132" max="6132" width="9.375" style="2" customWidth="1"/>
    <col min="6133" max="6374" width="9" style="2"/>
    <col min="6375" max="6376" width="3.75" style="2" customWidth="1"/>
    <col min="6377" max="6377" width="15" style="2" customWidth="1"/>
    <col min="6378" max="6381" width="12.875" style="2" customWidth="1"/>
    <col min="6382" max="6382" width="12.125" style="2" customWidth="1"/>
    <col min="6383" max="6383" width="9" style="2"/>
    <col min="6384" max="6384" width="12.25" style="2" customWidth="1"/>
    <col min="6385" max="6385" width="9.625" style="2" customWidth="1"/>
    <col min="6386" max="6387" width="9.75" style="2" customWidth="1"/>
    <col min="6388" max="6388" width="9.375" style="2" customWidth="1"/>
    <col min="6389" max="6630" width="9" style="2"/>
    <col min="6631" max="6632" width="3.75" style="2" customWidth="1"/>
    <col min="6633" max="6633" width="15" style="2" customWidth="1"/>
    <col min="6634" max="6637" width="12.875" style="2" customWidth="1"/>
    <col min="6638" max="6638" width="12.125" style="2" customWidth="1"/>
    <col min="6639" max="6639" width="9" style="2"/>
    <col min="6640" max="6640" width="12.25" style="2" customWidth="1"/>
    <col min="6641" max="6641" width="9.625" style="2" customWidth="1"/>
    <col min="6642" max="6643" width="9.75" style="2" customWidth="1"/>
    <col min="6644" max="6644" width="9.375" style="2" customWidth="1"/>
    <col min="6645" max="6886" width="9" style="2"/>
    <col min="6887" max="6888" width="3.75" style="2" customWidth="1"/>
    <col min="6889" max="6889" width="15" style="2" customWidth="1"/>
    <col min="6890" max="6893" width="12.875" style="2" customWidth="1"/>
    <col min="6894" max="6894" width="12.125" style="2" customWidth="1"/>
    <col min="6895" max="6895" width="9" style="2"/>
    <col min="6896" max="6896" width="12.25" style="2" customWidth="1"/>
    <col min="6897" max="6897" width="9.625" style="2" customWidth="1"/>
    <col min="6898" max="6899" width="9.75" style="2" customWidth="1"/>
    <col min="6900" max="6900" width="9.375" style="2" customWidth="1"/>
    <col min="6901" max="7142" width="9" style="2"/>
    <col min="7143" max="7144" width="3.75" style="2" customWidth="1"/>
    <col min="7145" max="7145" width="15" style="2" customWidth="1"/>
    <col min="7146" max="7149" width="12.875" style="2" customWidth="1"/>
    <col min="7150" max="7150" width="12.125" style="2" customWidth="1"/>
    <col min="7151" max="7151" width="9" style="2"/>
    <col min="7152" max="7152" width="12.25" style="2" customWidth="1"/>
    <col min="7153" max="7153" width="9.625" style="2" customWidth="1"/>
    <col min="7154" max="7155" width="9.75" style="2" customWidth="1"/>
    <col min="7156" max="7156" width="9.375" style="2" customWidth="1"/>
    <col min="7157" max="7398" width="9" style="2"/>
    <col min="7399" max="7400" width="3.75" style="2" customWidth="1"/>
    <col min="7401" max="7401" width="15" style="2" customWidth="1"/>
    <col min="7402" max="7405" width="12.875" style="2" customWidth="1"/>
    <col min="7406" max="7406" width="12.125" style="2" customWidth="1"/>
    <col min="7407" max="7407" width="9" style="2"/>
    <col min="7408" max="7408" width="12.25" style="2" customWidth="1"/>
    <col min="7409" max="7409" width="9.625" style="2" customWidth="1"/>
    <col min="7410" max="7411" width="9.75" style="2" customWidth="1"/>
    <col min="7412" max="7412" width="9.375" style="2" customWidth="1"/>
    <col min="7413" max="7654" width="9" style="2"/>
    <col min="7655" max="7656" width="3.75" style="2" customWidth="1"/>
    <col min="7657" max="7657" width="15" style="2" customWidth="1"/>
    <col min="7658" max="7661" width="12.875" style="2" customWidth="1"/>
    <col min="7662" max="7662" width="12.125" style="2" customWidth="1"/>
    <col min="7663" max="7663" width="9" style="2"/>
    <col min="7664" max="7664" width="12.25" style="2" customWidth="1"/>
    <col min="7665" max="7665" width="9.625" style="2" customWidth="1"/>
    <col min="7666" max="7667" width="9.75" style="2" customWidth="1"/>
    <col min="7668" max="7668" width="9.375" style="2" customWidth="1"/>
    <col min="7669" max="7910" width="9" style="2"/>
    <col min="7911" max="7912" width="3.75" style="2" customWidth="1"/>
    <col min="7913" max="7913" width="15" style="2" customWidth="1"/>
    <col min="7914" max="7917" width="12.875" style="2" customWidth="1"/>
    <col min="7918" max="7918" width="12.125" style="2" customWidth="1"/>
    <col min="7919" max="7919" width="9" style="2"/>
    <col min="7920" max="7920" width="12.25" style="2" customWidth="1"/>
    <col min="7921" max="7921" width="9.625" style="2" customWidth="1"/>
    <col min="7922" max="7923" width="9.75" style="2" customWidth="1"/>
    <col min="7924" max="7924" width="9.375" style="2" customWidth="1"/>
    <col min="7925" max="8166" width="9" style="2"/>
    <col min="8167" max="8168" width="3.75" style="2" customWidth="1"/>
    <col min="8169" max="8169" width="15" style="2" customWidth="1"/>
    <col min="8170" max="8173" width="12.875" style="2" customWidth="1"/>
    <col min="8174" max="8174" width="12.125" style="2" customWidth="1"/>
    <col min="8175" max="8175" width="9" style="2"/>
    <col min="8176" max="8176" width="12.25" style="2" customWidth="1"/>
    <col min="8177" max="8177" width="9.625" style="2" customWidth="1"/>
    <col min="8178" max="8179" width="9.75" style="2" customWidth="1"/>
    <col min="8180" max="8180" width="9.375" style="2" customWidth="1"/>
    <col min="8181" max="8422" width="9" style="2"/>
    <col min="8423" max="8424" width="3.75" style="2" customWidth="1"/>
    <col min="8425" max="8425" width="15" style="2" customWidth="1"/>
    <col min="8426" max="8429" width="12.875" style="2" customWidth="1"/>
    <col min="8430" max="8430" width="12.125" style="2" customWidth="1"/>
    <col min="8431" max="8431" width="9" style="2"/>
    <col min="8432" max="8432" width="12.25" style="2" customWidth="1"/>
    <col min="8433" max="8433" width="9.625" style="2" customWidth="1"/>
    <col min="8434" max="8435" width="9.75" style="2" customWidth="1"/>
    <col min="8436" max="8436" width="9.375" style="2" customWidth="1"/>
    <col min="8437" max="8678" width="9" style="2"/>
    <col min="8679" max="8680" width="3.75" style="2" customWidth="1"/>
    <col min="8681" max="8681" width="15" style="2" customWidth="1"/>
    <col min="8682" max="8685" width="12.875" style="2" customWidth="1"/>
    <col min="8686" max="8686" width="12.125" style="2" customWidth="1"/>
    <col min="8687" max="8687" width="9" style="2"/>
    <col min="8688" max="8688" width="12.25" style="2" customWidth="1"/>
    <col min="8689" max="8689" width="9.625" style="2" customWidth="1"/>
    <col min="8690" max="8691" width="9.75" style="2" customWidth="1"/>
    <col min="8692" max="8692" width="9.375" style="2" customWidth="1"/>
    <col min="8693" max="8934" width="9" style="2"/>
    <col min="8935" max="8936" width="3.75" style="2" customWidth="1"/>
    <col min="8937" max="8937" width="15" style="2" customWidth="1"/>
    <col min="8938" max="8941" width="12.875" style="2" customWidth="1"/>
    <col min="8942" max="8942" width="12.125" style="2" customWidth="1"/>
    <col min="8943" max="8943" width="9" style="2"/>
    <col min="8944" max="8944" width="12.25" style="2" customWidth="1"/>
    <col min="8945" max="8945" width="9.625" style="2" customWidth="1"/>
    <col min="8946" max="8947" width="9.75" style="2" customWidth="1"/>
    <col min="8948" max="8948" width="9.375" style="2" customWidth="1"/>
    <col min="8949" max="9190" width="9" style="2"/>
    <col min="9191" max="9192" width="3.75" style="2" customWidth="1"/>
    <col min="9193" max="9193" width="15" style="2" customWidth="1"/>
    <col min="9194" max="9197" width="12.875" style="2" customWidth="1"/>
    <col min="9198" max="9198" width="12.125" style="2" customWidth="1"/>
    <col min="9199" max="9199" width="9" style="2"/>
    <col min="9200" max="9200" width="12.25" style="2" customWidth="1"/>
    <col min="9201" max="9201" width="9.625" style="2" customWidth="1"/>
    <col min="9202" max="9203" width="9.75" style="2" customWidth="1"/>
    <col min="9204" max="9204" width="9.375" style="2" customWidth="1"/>
    <col min="9205" max="9446" width="9" style="2"/>
    <col min="9447" max="9448" width="3.75" style="2" customWidth="1"/>
    <col min="9449" max="9449" width="15" style="2" customWidth="1"/>
    <col min="9450" max="9453" width="12.875" style="2" customWidth="1"/>
    <col min="9454" max="9454" width="12.125" style="2" customWidth="1"/>
    <col min="9455" max="9455" width="9" style="2"/>
    <col min="9456" max="9456" width="12.25" style="2" customWidth="1"/>
    <col min="9457" max="9457" width="9.625" style="2" customWidth="1"/>
    <col min="9458" max="9459" width="9.75" style="2" customWidth="1"/>
    <col min="9460" max="9460" width="9.375" style="2" customWidth="1"/>
    <col min="9461" max="9702" width="9" style="2"/>
    <col min="9703" max="9704" width="3.75" style="2" customWidth="1"/>
    <col min="9705" max="9705" width="15" style="2" customWidth="1"/>
    <col min="9706" max="9709" width="12.875" style="2" customWidth="1"/>
    <col min="9710" max="9710" width="12.125" style="2" customWidth="1"/>
    <col min="9711" max="9711" width="9" style="2"/>
    <col min="9712" max="9712" width="12.25" style="2" customWidth="1"/>
    <col min="9713" max="9713" width="9.625" style="2" customWidth="1"/>
    <col min="9714" max="9715" width="9.75" style="2" customWidth="1"/>
    <col min="9716" max="9716" width="9.375" style="2" customWidth="1"/>
    <col min="9717" max="9958" width="9" style="2"/>
    <col min="9959" max="9960" width="3.75" style="2" customWidth="1"/>
    <col min="9961" max="9961" width="15" style="2" customWidth="1"/>
    <col min="9962" max="9965" width="12.875" style="2" customWidth="1"/>
    <col min="9966" max="9966" width="12.125" style="2" customWidth="1"/>
    <col min="9967" max="9967" width="9" style="2"/>
    <col min="9968" max="9968" width="12.25" style="2" customWidth="1"/>
    <col min="9969" max="9969" width="9.625" style="2" customWidth="1"/>
    <col min="9970" max="9971" width="9.75" style="2" customWidth="1"/>
    <col min="9972" max="9972" width="9.375" style="2" customWidth="1"/>
    <col min="9973" max="10214" width="9" style="2"/>
    <col min="10215" max="10216" width="3.75" style="2" customWidth="1"/>
    <col min="10217" max="10217" width="15" style="2" customWidth="1"/>
    <col min="10218" max="10221" width="12.875" style="2" customWidth="1"/>
    <col min="10222" max="10222" width="12.125" style="2" customWidth="1"/>
    <col min="10223" max="10223" width="9" style="2"/>
    <col min="10224" max="10224" width="12.25" style="2" customWidth="1"/>
    <col min="10225" max="10225" width="9.625" style="2" customWidth="1"/>
    <col min="10226" max="10227" width="9.75" style="2" customWidth="1"/>
    <col min="10228" max="10228" width="9.375" style="2" customWidth="1"/>
    <col min="10229" max="10470" width="9" style="2"/>
    <col min="10471" max="10472" width="3.75" style="2" customWidth="1"/>
    <col min="10473" max="10473" width="15" style="2" customWidth="1"/>
    <col min="10474" max="10477" width="12.875" style="2" customWidth="1"/>
    <col min="10478" max="10478" width="12.125" style="2" customWidth="1"/>
    <col min="10479" max="10479" width="9" style="2"/>
    <col min="10480" max="10480" width="12.25" style="2" customWidth="1"/>
    <col min="10481" max="10481" width="9.625" style="2" customWidth="1"/>
    <col min="10482" max="10483" width="9.75" style="2" customWidth="1"/>
    <col min="10484" max="10484" width="9.375" style="2" customWidth="1"/>
    <col min="10485" max="10726" width="9" style="2"/>
    <col min="10727" max="10728" width="3.75" style="2" customWidth="1"/>
    <col min="10729" max="10729" width="15" style="2" customWidth="1"/>
    <col min="10730" max="10733" width="12.875" style="2" customWidth="1"/>
    <col min="10734" max="10734" width="12.125" style="2" customWidth="1"/>
    <col min="10735" max="10735" width="9" style="2"/>
    <col min="10736" max="10736" width="12.25" style="2" customWidth="1"/>
    <col min="10737" max="10737" width="9.625" style="2" customWidth="1"/>
    <col min="10738" max="10739" width="9.75" style="2" customWidth="1"/>
    <col min="10740" max="10740" width="9.375" style="2" customWidth="1"/>
    <col min="10741" max="10982" width="9" style="2"/>
    <col min="10983" max="10984" width="3.75" style="2" customWidth="1"/>
    <col min="10985" max="10985" width="15" style="2" customWidth="1"/>
    <col min="10986" max="10989" width="12.875" style="2" customWidth="1"/>
    <col min="10990" max="10990" width="12.125" style="2" customWidth="1"/>
    <col min="10991" max="10991" width="9" style="2"/>
    <col min="10992" max="10992" width="12.25" style="2" customWidth="1"/>
    <col min="10993" max="10993" width="9.625" style="2" customWidth="1"/>
    <col min="10994" max="10995" width="9.75" style="2" customWidth="1"/>
    <col min="10996" max="10996" width="9.375" style="2" customWidth="1"/>
    <col min="10997" max="11238" width="9" style="2"/>
    <col min="11239" max="11240" width="3.75" style="2" customWidth="1"/>
    <col min="11241" max="11241" width="15" style="2" customWidth="1"/>
    <col min="11242" max="11245" width="12.875" style="2" customWidth="1"/>
    <col min="11246" max="11246" width="12.125" style="2" customWidth="1"/>
    <col min="11247" max="11247" width="9" style="2"/>
    <col min="11248" max="11248" width="12.25" style="2" customWidth="1"/>
    <col min="11249" max="11249" width="9.625" style="2" customWidth="1"/>
    <col min="11250" max="11251" width="9.75" style="2" customWidth="1"/>
    <col min="11252" max="11252" width="9.375" style="2" customWidth="1"/>
    <col min="11253" max="11494" width="9" style="2"/>
    <col min="11495" max="11496" width="3.75" style="2" customWidth="1"/>
    <col min="11497" max="11497" width="15" style="2" customWidth="1"/>
    <col min="11498" max="11501" width="12.875" style="2" customWidth="1"/>
    <col min="11502" max="11502" width="12.125" style="2" customWidth="1"/>
    <col min="11503" max="11503" width="9" style="2"/>
    <col min="11504" max="11504" width="12.25" style="2" customWidth="1"/>
    <col min="11505" max="11505" width="9.625" style="2" customWidth="1"/>
    <col min="11506" max="11507" width="9.75" style="2" customWidth="1"/>
    <col min="11508" max="11508" width="9.375" style="2" customWidth="1"/>
    <col min="11509" max="11750" width="9" style="2"/>
    <col min="11751" max="11752" width="3.75" style="2" customWidth="1"/>
    <col min="11753" max="11753" width="15" style="2" customWidth="1"/>
    <col min="11754" max="11757" width="12.875" style="2" customWidth="1"/>
    <col min="11758" max="11758" width="12.125" style="2" customWidth="1"/>
    <col min="11759" max="11759" width="9" style="2"/>
    <col min="11760" max="11760" width="12.25" style="2" customWidth="1"/>
    <col min="11761" max="11761" width="9.625" style="2" customWidth="1"/>
    <col min="11762" max="11763" width="9.75" style="2" customWidth="1"/>
    <col min="11764" max="11764" width="9.375" style="2" customWidth="1"/>
    <col min="11765" max="12006" width="9" style="2"/>
    <col min="12007" max="12008" width="3.75" style="2" customWidth="1"/>
    <col min="12009" max="12009" width="15" style="2" customWidth="1"/>
    <col min="12010" max="12013" width="12.875" style="2" customWidth="1"/>
    <col min="12014" max="12014" width="12.125" style="2" customWidth="1"/>
    <col min="12015" max="12015" width="9" style="2"/>
    <col min="12016" max="12016" width="12.25" style="2" customWidth="1"/>
    <col min="12017" max="12017" width="9.625" style="2" customWidth="1"/>
    <col min="12018" max="12019" width="9.75" style="2" customWidth="1"/>
    <col min="12020" max="12020" width="9.375" style="2" customWidth="1"/>
    <col min="12021" max="12262" width="9" style="2"/>
    <col min="12263" max="12264" width="3.75" style="2" customWidth="1"/>
    <col min="12265" max="12265" width="15" style="2" customWidth="1"/>
    <col min="12266" max="12269" width="12.875" style="2" customWidth="1"/>
    <col min="12270" max="12270" width="12.125" style="2" customWidth="1"/>
    <col min="12271" max="12271" width="9" style="2"/>
    <col min="12272" max="12272" width="12.25" style="2" customWidth="1"/>
    <col min="12273" max="12273" width="9.625" style="2" customWidth="1"/>
    <col min="12274" max="12275" width="9.75" style="2" customWidth="1"/>
    <col min="12276" max="12276" width="9.375" style="2" customWidth="1"/>
    <col min="12277" max="12518" width="9" style="2"/>
    <col min="12519" max="12520" width="3.75" style="2" customWidth="1"/>
    <col min="12521" max="12521" width="15" style="2" customWidth="1"/>
    <col min="12522" max="12525" width="12.875" style="2" customWidth="1"/>
    <col min="12526" max="12526" width="12.125" style="2" customWidth="1"/>
    <col min="12527" max="12527" width="9" style="2"/>
    <col min="12528" max="12528" width="12.25" style="2" customWidth="1"/>
    <col min="12529" max="12529" width="9.625" style="2" customWidth="1"/>
    <col min="12530" max="12531" width="9.75" style="2" customWidth="1"/>
    <col min="12532" max="12532" width="9.375" style="2" customWidth="1"/>
    <col min="12533" max="12774" width="9" style="2"/>
    <col min="12775" max="12776" width="3.75" style="2" customWidth="1"/>
    <col min="12777" max="12777" width="15" style="2" customWidth="1"/>
    <col min="12778" max="12781" width="12.875" style="2" customWidth="1"/>
    <col min="12782" max="12782" width="12.125" style="2" customWidth="1"/>
    <col min="12783" max="12783" width="9" style="2"/>
    <col min="12784" max="12784" width="12.25" style="2" customWidth="1"/>
    <col min="12785" max="12785" width="9.625" style="2" customWidth="1"/>
    <col min="12786" max="12787" width="9.75" style="2" customWidth="1"/>
    <col min="12788" max="12788" width="9.375" style="2" customWidth="1"/>
    <col min="12789" max="13030" width="9" style="2"/>
    <col min="13031" max="13032" width="3.75" style="2" customWidth="1"/>
    <col min="13033" max="13033" width="15" style="2" customWidth="1"/>
    <col min="13034" max="13037" width="12.875" style="2" customWidth="1"/>
    <col min="13038" max="13038" width="12.125" style="2" customWidth="1"/>
    <col min="13039" max="13039" width="9" style="2"/>
    <col min="13040" max="13040" width="12.25" style="2" customWidth="1"/>
    <col min="13041" max="13041" width="9.625" style="2" customWidth="1"/>
    <col min="13042" max="13043" width="9.75" style="2" customWidth="1"/>
    <col min="13044" max="13044" width="9.375" style="2" customWidth="1"/>
    <col min="13045" max="13286" width="9" style="2"/>
    <col min="13287" max="13288" width="3.75" style="2" customWidth="1"/>
    <col min="13289" max="13289" width="15" style="2" customWidth="1"/>
    <col min="13290" max="13293" width="12.875" style="2" customWidth="1"/>
    <col min="13294" max="13294" width="12.125" style="2" customWidth="1"/>
    <col min="13295" max="13295" width="9" style="2"/>
    <col min="13296" max="13296" width="12.25" style="2" customWidth="1"/>
    <col min="13297" max="13297" width="9.625" style="2" customWidth="1"/>
    <col min="13298" max="13299" width="9.75" style="2" customWidth="1"/>
    <col min="13300" max="13300" width="9.375" style="2" customWidth="1"/>
    <col min="13301" max="13542" width="9" style="2"/>
    <col min="13543" max="13544" width="3.75" style="2" customWidth="1"/>
    <col min="13545" max="13545" width="15" style="2" customWidth="1"/>
    <col min="13546" max="13549" width="12.875" style="2" customWidth="1"/>
    <col min="13550" max="13550" width="12.125" style="2" customWidth="1"/>
    <col min="13551" max="13551" width="9" style="2"/>
    <col min="13552" max="13552" width="12.25" style="2" customWidth="1"/>
    <col min="13553" max="13553" width="9.625" style="2" customWidth="1"/>
    <col min="13554" max="13555" width="9.75" style="2" customWidth="1"/>
    <col min="13556" max="13556" width="9.375" style="2" customWidth="1"/>
    <col min="13557" max="13798" width="9" style="2"/>
    <col min="13799" max="13800" width="3.75" style="2" customWidth="1"/>
    <col min="13801" max="13801" width="15" style="2" customWidth="1"/>
    <col min="13802" max="13805" width="12.875" style="2" customWidth="1"/>
    <col min="13806" max="13806" width="12.125" style="2" customWidth="1"/>
    <col min="13807" max="13807" width="9" style="2"/>
    <col min="13808" max="13808" width="12.25" style="2" customWidth="1"/>
    <col min="13809" max="13809" width="9.625" style="2" customWidth="1"/>
    <col min="13810" max="13811" width="9.75" style="2" customWidth="1"/>
    <col min="13812" max="13812" width="9.375" style="2" customWidth="1"/>
    <col min="13813" max="14054" width="9" style="2"/>
    <col min="14055" max="14056" width="3.75" style="2" customWidth="1"/>
    <col min="14057" max="14057" width="15" style="2" customWidth="1"/>
    <col min="14058" max="14061" width="12.875" style="2" customWidth="1"/>
    <col min="14062" max="14062" width="12.125" style="2" customWidth="1"/>
    <col min="14063" max="14063" width="9" style="2"/>
    <col min="14064" max="14064" width="12.25" style="2" customWidth="1"/>
    <col min="14065" max="14065" width="9.625" style="2" customWidth="1"/>
    <col min="14066" max="14067" width="9.75" style="2" customWidth="1"/>
    <col min="14068" max="14068" width="9.375" style="2" customWidth="1"/>
    <col min="14069" max="14310" width="9" style="2"/>
    <col min="14311" max="14312" width="3.75" style="2" customWidth="1"/>
    <col min="14313" max="14313" width="15" style="2" customWidth="1"/>
    <col min="14314" max="14317" width="12.875" style="2" customWidth="1"/>
    <col min="14318" max="14318" width="12.125" style="2" customWidth="1"/>
    <col min="14319" max="14319" width="9" style="2"/>
    <col min="14320" max="14320" width="12.25" style="2" customWidth="1"/>
    <col min="14321" max="14321" width="9.625" style="2" customWidth="1"/>
    <col min="14322" max="14323" width="9.75" style="2" customWidth="1"/>
    <col min="14324" max="14324" width="9.375" style="2" customWidth="1"/>
    <col min="14325" max="14566" width="9" style="2"/>
    <col min="14567" max="14568" width="3.75" style="2" customWidth="1"/>
    <col min="14569" max="14569" width="15" style="2" customWidth="1"/>
    <col min="14570" max="14573" width="12.875" style="2" customWidth="1"/>
    <col min="14574" max="14574" width="12.125" style="2" customWidth="1"/>
    <col min="14575" max="14575" width="9" style="2"/>
    <col min="14576" max="14576" width="12.25" style="2" customWidth="1"/>
    <col min="14577" max="14577" width="9.625" style="2" customWidth="1"/>
    <col min="14578" max="14579" width="9.75" style="2" customWidth="1"/>
    <col min="14580" max="14580" width="9.375" style="2" customWidth="1"/>
    <col min="14581" max="14822" width="9" style="2"/>
    <col min="14823" max="14824" width="3.75" style="2" customWidth="1"/>
    <col min="14825" max="14825" width="15" style="2" customWidth="1"/>
    <col min="14826" max="14829" width="12.875" style="2" customWidth="1"/>
    <col min="14830" max="14830" width="12.125" style="2" customWidth="1"/>
    <col min="14831" max="14831" width="9" style="2"/>
    <col min="14832" max="14832" width="12.25" style="2" customWidth="1"/>
    <col min="14833" max="14833" width="9.625" style="2" customWidth="1"/>
    <col min="14834" max="14835" width="9.75" style="2" customWidth="1"/>
    <col min="14836" max="14836" width="9.375" style="2" customWidth="1"/>
    <col min="14837" max="15078" width="9" style="2"/>
    <col min="15079" max="15080" width="3.75" style="2" customWidth="1"/>
    <col min="15081" max="15081" width="15" style="2" customWidth="1"/>
    <col min="15082" max="15085" width="12.875" style="2" customWidth="1"/>
    <col min="15086" max="15086" width="12.125" style="2" customWidth="1"/>
    <col min="15087" max="15087" width="9" style="2"/>
    <col min="15088" max="15088" width="12.25" style="2" customWidth="1"/>
    <col min="15089" max="15089" width="9.625" style="2" customWidth="1"/>
    <col min="15090" max="15091" width="9.75" style="2" customWidth="1"/>
    <col min="15092" max="15092" width="9.375" style="2" customWidth="1"/>
    <col min="15093" max="15334" width="9" style="2"/>
    <col min="15335" max="15336" width="3.75" style="2" customWidth="1"/>
    <col min="15337" max="15337" width="15" style="2" customWidth="1"/>
    <col min="15338" max="15341" width="12.875" style="2" customWidth="1"/>
    <col min="15342" max="15342" width="12.125" style="2" customWidth="1"/>
    <col min="15343" max="15343" width="9" style="2"/>
    <col min="15344" max="15344" width="12.25" style="2" customWidth="1"/>
    <col min="15345" max="15345" width="9.625" style="2" customWidth="1"/>
    <col min="15346" max="15347" width="9.75" style="2" customWidth="1"/>
    <col min="15348" max="15348" width="9.375" style="2" customWidth="1"/>
    <col min="15349" max="15590" width="9" style="2"/>
    <col min="15591" max="15592" width="3.75" style="2" customWidth="1"/>
    <col min="15593" max="15593" width="15" style="2" customWidth="1"/>
    <col min="15594" max="15597" width="12.875" style="2" customWidth="1"/>
    <col min="15598" max="15598" width="12.125" style="2" customWidth="1"/>
    <col min="15599" max="15599" width="9" style="2"/>
    <col min="15600" max="15600" width="12.25" style="2" customWidth="1"/>
    <col min="15601" max="15601" width="9.625" style="2" customWidth="1"/>
    <col min="15602" max="15603" width="9.75" style="2" customWidth="1"/>
    <col min="15604" max="15604" width="9.375" style="2" customWidth="1"/>
    <col min="15605" max="15846" width="9" style="2"/>
    <col min="15847" max="15848" width="3.75" style="2" customWidth="1"/>
    <col min="15849" max="15849" width="15" style="2" customWidth="1"/>
    <col min="15850" max="15853" width="12.875" style="2" customWidth="1"/>
    <col min="15854" max="15854" width="12.125" style="2" customWidth="1"/>
    <col min="15855" max="15855" width="9" style="2"/>
    <col min="15856" max="15856" width="12.25" style="2" customWidth="1"/>
    <col min="15857" max="15857" width="9.625" style="2" customWidth="1"/>
    <col min="15858" max="15859" width="9.75" style="2" customWidth="1"/>
    <col min="15860" max="15860" width="9.375" style="2" customWidth="1"/>
    <col min="15861" max="16102" width="9" style="2"/>
    <col min="16103" max="16104" width="3.75" style="2" customWidth="1"/>
    <col min="16105" max="16105" width="15" style="2" customWidth="1"/>
    <col min="16106" max="16109" width="12.875" style="2" customWidth="1"/>
    <col min="16110" max="16110" width="12.125" style="2" customWidth="1"/>
    <col min="16111" max="16111" width="9" style="2"/>
    <col min="16112" max="16112" width="12.25" style="2" customWidth="1"/>
    <col min="16113" max="16113" width="9.625" style="2" customWidth="1"/>
    <col min="16114" max="16115" width="9.75" style="2" customWidth="1"/>
    <col min="16116" max="16116" width="9.375" style="2" customWidth="1"/>
    <col min="16117" max="16384" width="9" style="2"/>
  </cols>
  <sheetData>
    <row r="1" spans="1:21" ht="20.100000000000001" customHeight="1">
      <c r="A1" s="1" t="s">
        <v>520</v>
      </c>
      <c r="B1" s="1"/>
      <c r="C1" s="1"/>
      <c r="D1" s="1"/>
      <c r="L1" s="3">
        <v>1.3</v>
      </c>
      <c r="M1" s="2" t="s">
        <v>508</v>
      </c>
    </row>
    <row r="2" spans="1:21" ht="20.100000000000001" customHeight="1">
      <c r="A2" s="2" t="s">
        <v>509</v>
      </c>
      <c r="L2" s="3">
        <v>0.8</v>
      </c>
      <c r="M2" s="2" t="s">
        <v>508</v>
      </c>
    </row>
    <row r="3" spans="1:21" ht="20.100000000000001" customHeight="1">
      <c r="A3" s="40" t="s">
        <v>661</v>
      </c>
      <c r="B3" s="40"/>
      <c r="C3" s="40"/>
      <c r="D3" s="40"/>
      <c r="M3" s="776" t="s">
        <v>64</v>
      </c>
      <c r="N3" s="776" t="s">
        <v>511</v>
      </c>
      <c r="O3" s="776" t="s">
        <v>66</v>
      </c>
      <c r="P3" s="776"/>
      <c r="R3" s="844" t="s">
        <v>64</v>
      </c>
      <c r="S3" s="776" t="s">
        <v>511</v>
      </c>
      <c r="T3" s="776" t="s">
        <v>66</v>
      </c>
      <c r="U3" s="776"/>
    </row>
    <row r="4" spans="1:21" ht="20.100000000000001" customHeight="1">
      <c r="A4" s="2" t="s">
        <v>431</v>
      </c>
      <c r="M4" s="776"/>
      <c r="N4" s="776"/>
      <c r="O4" s="272" t="s">
        <v>67</v>
      </c>
      <c r="P4" s="272" t="s">
        <v>68</v>
      </c>
      <c r="R4" s="844"/>
      <c r="S4" s="776"/>
      <c r="T4" s="579" t="s">
        <v>67</v>
      </c>
      <c r="U4" s="579" t="s">
        <v>68</v>
      </c>
    </row>
    <row r="5" spans="1:21" ht="20.100000000000001" customHeight="1">
      <c r="I5" s="8"/>
      <c r="K5" s="8" t="s">
        <v>512</v>
      </c>
      <c r="M5" s="776" t="s">
        <v>69</v>
      </c>
      <c r="N5" s="272">
        <v>300</v>
      </c>
      <c r="O5" s="44">
        <v>503180</v>
      </c>
      <c r="P5" s="44">
        <v>767950</v>
      </c>
      <c r="R5" s="845" t="s">
        <v>70</v>
      </c>
      <c r="S5" s="579">
        <v>80</v>
      </c>
      <c r="T5" s="44">
        <v>91404</v>
      </c>
      <c r="U5" s="44">
        <v>309684</v>
      </c>
    </row>
    <row r="6" spans="1:21" ht="20.100000000000001" customHeight="1">
      <c r="A6" s="783" t="s">
        <v>655</v>
      </c>
      <c r="B6" s="785" t="s">
        <v>513</v>
      </c>
      <c r="C6" s="787" t="s">
        <v>514</v>
      </c>
      <c r="D6" s="789" t="s">
        <v>436</v>
      </c>
      <c r="E6" s="781"/>
      <c r="F6" s="781" t="s">
        <v>437</v>
      </c>
      <c r="G6" s="781"/>
      <c r="H6" s="781" t="s">
        <v>438</v>
      </c>
      <c r="I6" s="781"/>
      <c r="J6" s="781" t="s">
        <v>439</v>
      </c>
      <c r="K6" s="782"/>
      <c r="M6" s="776"/>
      <c r="N6" s="272">
        <v>400</v>
      </c>
      <c r="O6" s="44">
        <v>569370</v>
      </c>
      <c r="P6" s="44">
        <v>842990</v>
      </c>
      <c r="R6" s="846"/>
      <c r="S6" s="579">
        <v>100</v>
      </c>
      <c r="T6" s="44">
        <v>102960</v>
      </c>
      <c r="U6" s="44">
        <v>323665</v>
      </c>
    </row>
    <row r="7" spans="1:21" ht="20.100000000000001" customHeight="1">
      <c r="A7" s="784"/>
      <c r="B7" s="786"/>
      <c r="C7" s="788"/>
      <c r="D7" s="160" t="s">
        <v>515</v>
      </c>
      <c r="E7" s="273" t="s">
        <v>452</v>
      </c>
      <c r="F7" s="281" t="s">
        <v>515</v>
      </c>
      <c r="G7" s="273" t="s">
        <v>452</v>
      </c>
      <c r="H7" s="281" t="s">
        <v>515</v>
      </c>
      <c r="I7" s="273" t="s">
        <v>452</v>
      </c>
      <c r="J7" s="281" t="s">
        <v>515</v>
      </c>
      <c r="K7" s="274" t="s">
        <v>452</v>
      </c>
      <c r="M7" s="776"/>
      <c r="N7" s="272">
        <v>500</v>
      </c>
      <c r="O7" s="44">
        <v>613210</v>
      </c>
      <c r="P7" s="44">
        <v>895800</v>
      </c>
      <c r="R7" s="846"/>
      <c r="S7" s="579">
        <v>150</v>
      </c>
      <c r="T7" s="44">
        <v>139786</v>
      </c>
      <c r="U7" s="44">
        <v>366708</v>
      </c>
    </row>
    <row r="8" spans="1:21" ht="20.100000000000001" customHeight="1">
      <c r="A8" s="938" t="s">
        <v>1049</v>
      </c>
      <c r="B8" s="625">
        <v>150</v>
      </c>
      <c r="C8" s="176">
        <f>+ROUND(U7*$L$1*$L$2,0)</f>
        <v>381376</v>
      </c>
      <c r="D8" s="176"/>
      <c r="E8" s="176">
        <f>+ROUND($C8*D8/1000000,0)</f>
        <v>0</v>
      </c>
      <c r="F8" s="176"/>
      <c r="G8" s="176">
        <f>+ROUND($C8*F8/1000000,0)</f>
        <v>0</v>
      </c>
      <c r="H8" s="176"/>
      <c r="I8" s="176">
        <f t="shared" ref="I8:I13" si="0">+ROUND($C8*H8/1000000,0)</f>
        <v>0</v>
      </c>
      <c r="J8" s="176"/>
      <c r="K8" s="179">
        <f t="shared" ref="K8:K13" si="1">+ROUND($C8*J8/1000000,0)</f>
        <v>0</v>
      </c>
      <c r="M8" s="776"/>
      <c r="N8" s="272">
        <v>600</v>
      </c>
      <c r="O8" s="44">
        <v>692660</v>
      </c>
      <c r="P8" s="44">
        <v>997630</v>
      </c>
      <c r="R8" s="846"/>
      <c r="S8" s="579">
        <v>200</v>
      </c>
      <c r="T8" s="44">
        <v>172293</v>
      </c>
      <c r="U8" s="44">
        <v>405664</v>
      </c>
    </row>
    <row r="9" spans="1:21" ht="20.100000000000001" customHeight="1">
      <c r="A9" s="939"/>
      <c r="B9" s="178">
        <v>200</v>
      </c>
      <c r="C9" s="176">
        <f>+ROUND(P26*$L$1*$L$2,0)</f>
        <v>753054</v>
      </c>
      <c r="D9" s="176"/>
      <c r="E9" s="176">
        <f>+ROUND($C9*D9/1000000,0)</f>
        <v>0</v>
      </c>
      <c r="F9" s="176"/>
      <c r="G9" s="176">
        <f>+ROUND($C9*F9/1000000,0)</f>
        <v>0</v>
      </c>
      <c r="H9" s="176"/>
      <c r="I9" s="176">
        <f t="shared" si="0"/>
        <v>0</v>
      </c>
      <c r="J9" s="176"/>
      <c r="K9" s="179">
        <f t="shared" si="1"/>
        <v>0</v>
      </c>
      <c r="M9" s="776"/>
      <c r="N9" s="272">
        <v>700</v>
      </c>
      <c r="O9" s="44">
        <v>768320</v>
      </c>
      <c r="P9" s="44">
        <v>1082020</v>
      </c>
      <c r="R9" s="846"/>
      <c r="S9" s="579">
        <v>300</v>
      </c>
      <c r="T9" s="44">
        <v>248738</v>
      </c>
      <c r="U9" s="44">
        <v>494561</v>
      </c>
    </row>
    <row r="10" spans="1:21" ht="20.100000000000001" customHeight="1">
      <c r="A10" s="939"/>
      <c r="B10" s="178">
        <v>300</v>
      </c>
      <c r="C10" s="176">
        <f>+ROUND(P27*$L$1*$L$2,0)</f>
        <v>811283</v>
      </c>
      <c r="D10" s="176"/>
      <c r="E10" s="176">
        <f>+ROUND($C10*D10/1000000,0)</f>
        <v>0</v>
      </c>
      <c r="F10" s="176"/>
      <c r="G10" s="176">
        <f>+ROUND($C10*F10/1000000,0)</f>
        <v>0</v>
      </c>
      <c r="H10" s="176"/>
      <c r="I10" s="176">
        <f t="shared" si="0"/>
        <v>0</v>
      </c>
      <c r="J10" s="176"/>
      <c r="K10" s="179">
        <f t="shared" si="1"/>
        <v>0</v>
      </c>
      <c r="L10" s="9"/>
      <c r="M10" s="776"/>
      <c r="N10" s="272">
        <v>800</v>
      </c>
      <c r="O10" s="44">
        <v>838740</v>
      </c>
      <c r="P10" s="44">
        <v>1161300</v>
      </c>
      <c r="R10" s="846"/>
      <c r="S10" s="579">
        <v>400</v>
      </c>
      <c r="T10" s="44">
        <v>348039</v>
      </c>
      <c r="U10" s="44">
        <v>606519</v>
      </c>
    </row>
    <row r="11" spans="1:21" ht="20.100000000000001" customHeight="1">
      <c r="A11" s="939"/>
      <c r="B11" s="178">
        <v>400</v>
      </c>
      <c r="C11" s="176">
        <f>+ROUND(P28*$L$1*$L$2,0)</f>
        <v>923239</v>
      </c>
      <c r="D11" s="176"/>
      <c r="E11" s="176">
        <f>+ROUND($C11*D11/1000000,0)</f>
        <v>0</v>
      </c>
      <c r="F11" s="176"/>
      <c r="G11" s="176">
        <f>+ROUND($C11*F11/1000000,0)</f>
        <v>0</v>
      </c>
      <c r="H11" s="176"/>
      <c r="I11" s="176">
        <f t="shared" si="0"/>
        <v>0</v>
      </c>
      <c r="J11" s="176"/>
      <c r="K11" s="179">
        <f t="shared" si="1"/>
        <v>0</v>
      </c>
      <c r="L11" s="9"/>
      <c r="M11" s="776"/>
      <c r="N11" s="272">
        <v>900</v>
      </c>
      <c r="O11" s="44">
        <v>928140</v>
      </c>
      <c r="P11" s="44">
        <v>1259520</v>
      </c>
      <c r="R11" s="846"/>
      <c r="S11" s="579">
        <v>500</v>
      </c>
      <c r="T11" s="44">
        <v>453129</v>
      </c>
      <c r="U11" s="44">
        <v>724142</v>
      </c>
    </row>
    <row r="12" spans="1:21" ht="20.100000000000001" customHeight="1">
      <c r="A12" s="939"/>
      <c r="B12" s="178">
        <v>450</v>
      </c>
      <c r="C12" s="176">
        <f>+ROUND((P28+P29)/2*$L$1*$L$2,0)</f>
        <v>971656</v>
      </c>
      <c r="D12" s="176"/>
      <c r="E12" s="176">
        <f t="shared" ref="E12:G13" si="2">+ROUND($C12*D12/1000000,0)</f>
        <v>0</v>
      </c>
      <c r="F12" s="176"/>
      <c r="G12" s="176">
        <f t="shared" si="2"/>
        <v>0</v>
      </c>
      <c r="H12" s="176"/>
      <c r="I12" s="176">
        <f t="shared" si="0"/>
        <v>0</v>
      </c>
      <c r="J12" s="176"/>
      <c r="K12" s="179">
        <f t="shared" si="1"/>
        <v>0</v>
      </c>
      <c r="L12" s="9"/>
      <c r="M12" s="776"/>
      <c r="N12" s="272">
        <v>1000</v>
      </c>
      <c r="O12" s="44">
        <v>1032240</v>
      </c>
      <c r="P12" s="44">
        <v>1372570</v>
      </c>
      <c r="R12" s="846"/>
      <c r="S12" s="579">
        <v>600</v>
      </c>
      <c r="T12" s="44">
        <v>563069</v>
      </c>
      <c r="U12" s="44">
        <v>846789</v>
      </c>
    </row>
    <row r="13" spans="1:21" ht="20.100000000000001" customHeight="1">
      <c r="A13" s="939"/>
      <c r="B13" s="178">
        <v>600</v>
      </c>
      <c r="C13" s="176">
        <f>+ROUND(P30*$L$1*$L$2,0)</f>
        <v>1144759</v>
      </c>
      <c r="D13" s="176"/>
      <c r="E13" s="176">
        <f t="shared" si="2"/>
        <v>0</v>
      </c>
      <c r="F13" s="176"/>
      <c r="G13" s="176">
        <f t="shared" si="2"/>
        <v>0</v>
      </c>
      <c r="H13" s="176"/>
      <c r="I13" s="176">
        <f t="shared" si="0"/>
        <v>0</v>
      </c>
      <c r="J13" s="176"/>
      <c r="K13" s="179">
        <f t="shared" si="1"/>
        <v>0</v>
      </c>
      <c r="L13" s="9"/>
      <c r="M13" s="776"/>
      <c r="N13" s="272">
        <v>1100</v>
      </c>
      <c r="O13" s="44">
        <v>1166200</v>
      </c>
      <c r="P13" s="44">
        <v>1528360</v>
      </c>
      <c r="R13" s="846"/>
      <c r="S13" s="579">
        <v>700</v>
      </c>
      <c r="T13" s="44">
        <v>708878</v>
      </c>
      <c r="U13" s="44">
        <v>1005274</v>
      </c>
    </row>
    <row r="14" spans="1:21" ht="20.100000000000001" customHeight="1">
      <c r="A14" s="940"/>
      <c r="B14" s="896" t="s">
        <v>750</v>
      </c>
      <c r="C14" s="896"/>
      <c r="D14" s="180">
        <f t="shared" ref="D14:K14" si="3">SUM(D11:D13)</f>
        <v>0</v>
      </c>
      <c r="E14" s="180">
        <f t="shared" si="3"/>
        <v>0</v>
      </c>
      <c r="F14" s="180">
        <f>SUM(F8:F13)</f>
        <v>0</v>
      </c>
      <c r="G14" s="180">
        <f>SUM(G8:G13)</f>
        <v>0</v>
      </c>
      <c r="H14" s="180">
        <f t="shared" si="3"/>
        <v>0</v>
      </c>
      <c r="I14" s="180">
        <f t="shared" si="3"/>
        <v>0</v>
      </c>
      <c r="J14" s="180">
        <f t="shared" si="3"/>
        <v>0</v>
      </c>
      <c r="K14" s="181">
        <f t="shared" si="3"/>
        <v>0</v>
      </c>
      <c r="L14" s="9"/>
      <c r="M14" s="776"/>
      <c r="N14" s="272">
        <v>1200</v>
      </c>
      <c r="O14" s="44">
        <v>1289410</v>
      </c>
      <c r="P14" s="44">
        <v>1660260</v>
      </c>
      <c r="R14" s="847"/>
      <c r="S14" s="579">
        <v>800</v>
      </c>
      <c r="T14" s="44">
        <v>860005</v>
      </c>
      <c r="U14" s="44">
        <v>1169007</v>
      </c>
    </row>
    <row r="15" spans="1:21" ht="20.100000000000001" customHeight="1">
      <c r="L15" s="9"/>
      <c r="M15" s="776"/>
      <c r="N15" s="272">
        <v>1350</v>
      </c>
      <c r="O15" s="44">
        <v>1491510</v>
      </c>
      <c r="P15" s="44">
        <v>1874980</v>
      </c>
    </row>
    <row r="16" spans="1:21" ht="20.100000000000001" customHeight="1">
      <c r="L16" s="9"/>
      <c r="M16" s="776" t="s">
        <v>76</v>
      </c>
      <c r="N16" s="272">
        <v>300</v>
      </c>
      <c r="O16" s="44">
        <v>694060</v>
      </c>
      <c r="P16" s="44">
        <v>958820</v>
      </c>
    </row>
    <row r="17" spans="12:16" ht="20.100000000000001" customHeight="1">
      <c r="L17" s="9"/>
      <c r="M17" s="776"/>
      <c r="N17" s="272">
        <v>400</v>
      </c>
      <c r="O17" s="44">
        <v>811850</v>
      </c>
      <c r="P17" s="44">
        <v>1085470</v>
      </c>
    </row>
    <row r="18" spans="12:16" ht="20.100000000000001" customHeight="1">
      <c r="L18" s="9"/>
      <c r="M18" s="776"/>
      <c r="N18" s="272">
        <v>500</v>
      </c>
      <c r="O18" s="44">
        <v>917970</v>
      </c>
      <c r="P18" s="44">
        <v>1200560</v>
      </c>
    </row>
    <row r="19" spans="12:16" ht="20.100000000000001" customHeight="1">
      <c r="L19" s="9"/>
      <c r="M19" s="776"/>
      <c r="N19" s="272">
        <v>600</v>
      </c>
      <c r="O19" s="44">
        <v>1048930</v>
      </c>
      <c r="P19" s="44">
        <v>1353900</v>
      </c>
    </row>
    <row r="20" spans="12:16" ht="20.100000000000001" customHeight="1">
      <c r="L20" s="9"/>
      <c r="M20" s="776"/>
      <c r="N20" s="272">
        <v>700</v>
      </c>
      <c r="O20" s="44">
        <v>1184160</v>
      </c>
      <c r="P20" s="44">
        <v>1497860</v>
      </c>
    </row>
    <row r="21" spans="12:16" ht="20.100000000000001" customHeight="1">
      <c r="L21" s="9"/>
      <c r="M21" s="776"/>
      <c r="N21" s="272">
        <v>800</v>
      </c>
      <c r="O21" s="44">
        <v>1347960</v>
      </c>
      <c r="P21" s="44">
        <v>1670520</v>
      </c>
    </row>
    <row r="22" spans="12:16" ht="20.100000000000001" customHeight="1">
      <c r="L22" s="9"/>
      <c r="M22" s="776"/>
      <c r="N22" s="272">
        <v>900</v>
      </c>
      <c r="O22" s="44">
        <v>1481280</v>
      </c>
      <c r="P22" s="44">
        <v>1812650</v>
      </c>
    </row>
    <row r="23" spans="12:16" ht="20.100000000000001" customHeight="1">
      <c r="L23" s="9"/>
      <c r="M23" s="776"/>
      <c r="N23" s="272">
        <v>1000</v>
      </c>
      <c r="O23" s="44">
        <v>1698550</v>
      </c>
      <c r="P23" s="44">
        <v>2038870</v>
      </c>
    </row>
    <row r="24" spans="12:16" ht="20.100000000000001" customHeight="1">
      <c r="L24" s="9"/>
      <c r="M24" s="776"/>
      <c r="N24" s="272">
        <v>1100</v>
      </c>
      <c r="O24" s="44">
        <v>1953530</v>
      </c>
      <c r="P24" s="44">
        <v>2315690</v>
      </c>
    </row>
    <row r="25" spans="12:16" ht="20.100000000000001" customHeight="1">
      <c r="L25" s="9"/>
      <c r="M25" s="776"/>
      <c r="N25" s="272">
        <v>1200</v>
      </c>
      <c r="O25" s="44">
        <v>2192620</v>
      </c>
      <c r="P25" s="44">
        <v>2563470</v>
      </c>
    </row>
    <row r="26" spans="12:16" ht="20.100000000000001" customHeight="1">
      <c r="L26" s="9"/>
      <c r="M26" s="776" t="s">
        <v>77</v>
      </c>
      <c r="N26" s="272">
        <v>200</v>
      </c>
      <c r="O26" s="44">
        <v>467790</v>
      </c>
      <c r="P26" s="44">
        <v>724090</v>
      </c>
    </row>
    <row r="27" spans="12:16" ht="20.100000000000001" customHeight="1">
      <c r="L27" s="9"/>
      <c r="M27" s="776"/>
      <c r="N27" s="272">
        <v>300</v>
      </c>
      <c r="O27" s="44">
        <v>515310</v>
      </c>
      <c r="P27" s="44">
        <v>780080</v>
      </c>
    </row>
    <row r="28" spans="12:16" ht="20.100000000000001" customHeight="1">
      <c r="M28" s="776"/>
      <c r="N28" s="272">
        <v>400</v>
      </c>
      <c r="O28" s="44">
        <v>614110</v>
      </c>
      <c r="P28" s="44">
        <v>887730</v>
      </c>
    </row>
    <row r="29" spans="12:16" ht="20.100000000000001" customHeight="1">
      <c r="M29" s="776"/>
      <c r="N29" s="272">
        <v>500</v>
      </c>
      <c r="O29" s="44">
        <v>698240</v>
      </c>
      <c r="P29" s="44">
        <v>980840</v>
      </c>
    </row>
    <row r="30" spans="12:16" ht="20.100000000000001" customHeight="1">
      <c r="M30" s="776"/>
      <c r="N30" s="272">
        <v>600</v>
      </c>
      <c r="O30" s="44">
        <v>795750</v>
      </c>
      <c r="P30" s="44">
        <v>1100730</v>
      </c>
    </row>
    <row r="31" spans="12:16" ht="20.100000000000001" customHeight="1">
      <c r="L31" s="9"/>
      <c r="M31" s="776"/>
      <c r="N31" s="272">
        <v>700</v>
      </c>
      <c r="O31" s="44">
        <v>902170</v>
      </c>
      <c r="P31" s="44">
        <v>1215870</v>
      </c>
    </row>
    <row r="32" spans="12:16" ht="20.100000000000001" customHeight="1">
      <c r="L32" s="29"/>
      <c r="M32" s="776"/>
      <c r="N32" s="272">
        <v>800</v>
      </c>
      <c r="O32" s="44">
        <v>1011560</v>
      </c>
      <c r="P32" s="44">
        <v>1334120</v>
      </c>
    </row>
    <row r="33" spans="12:16" ht="20.100000000000001" customHeight="1">
      <c r="L33" s="45"/>
      <c r="M33" s="776"/>
      <c r="N33" s="272">
        <v>900</v>
      </c>
      <c r="O33" s="44">
        <v>1099790</v>
      </c>
      <c r="P33" s="44">
        <v>1431160</v>
      </c>
    </row>
    <row r="34" spans="12:16" ht="20.100000000000001" customHeight="1">
      <c r="L34" s="45"/>
      <c r="M34" s="776"/>
      <c r="N34" s="272">
        <v>1000</v>
      </c>
      <c r="O34" s="44">
        <v>1228810</v>
      </c>
      <c r="P34" s="44">
        <v>1569130</v>
      </c>
    </row>
    <row r="35" spans="12:16" ht="20.100000000000001" customHeight="1">
      <c r="L35" s="35"/>
      <c r="M35" s="776"/>
      <c r="N35" s="272">
        <v>1200</v>
      </c>
      <c r="O35" s="44">
        <v>1491000</v>
      </c>
      <c r="P35" s="44">
        <v>1861860</v>
      </c>
    </row>
    <row r="36" spans="12:16" ht="20.100000000000001" customHeight="1">
      <c r="L36" s="35"/>
      <c r="M36" s="776" t="s">
        <v>519</v>
      </c>
      <c r="N36" s="272" t="s">
        <v>79</v>
      </c>
      <c r="O36" s="44">
        <v>1779470</v>
      </c>
      <c r="P36" s="44">
        <v>2059800</v>
      </c>
    </row>
    <row r="37" spans="12:16" ht="20.100000000000001" customHeight="1">
      <c r="L37" s="36"/>
      <c r="M37" s="776"/>
      <c r="N37" s="272" t="s">
        <v>80</v>
      </c>
      <c r="O37" s="44">
        <v>1944060</v>
      </c>
      <c r="P37" s="44">
        <v>2224380</v>
      </c>
    </row>
    <row r="38" spans="12:16" ht="20.100000000000001" customHeight="1">
      <c r="L38" s="35"/>
      <c r="M38" s="776"/>
      <c r="N38" s="272" t="s">
        <v>81</v>
      </c>
      <c r="O38" s="44">
        <v>1970820</v>
      </c>
      <c r="P38" s="44">
        <v>2251150</v>
      </c>
    </row>
    <row r="39" spans="12:16" ht="20.100000000000001" customHeight="1">
      <c r="L39" s="35"/>
      <c r="M39" s="776"/>
      <c r="N39" s="272" t="s">
        <v>82</v>
      </c>
      <c r="O39" s="44">
        <v>2048130</v>
      </c>
      <c r="P39" s="44">
        <v>2386880</v>
      </c>
    </row>
    <row r="40" spans="12:16" ht="20.100000000000001" customHeight="1">
      <c r="L40" s="35"/>
      <c r="M40" s="776"/>
      <c r="N40" s="272" t="s">
        <v>83</v>
      </c>
      <c r="O40" s="44">
        <v>2194060</v>
      </c>
      <c r="P40" s="44">
        <v>2532810</v>
      </c>
    </row>
    <row r="41" spans="12:16" ht="20.100000000000001" customHeight="1">
      <c r="L41" s="35"/>
      <c r="M41" s="776"/>
      <c r="N41" s="272" t="s">
        <v>84</v>
      </c>
      <c r="O41" s="44">
        <v>2446580</v>
      </c>
      <c r="P41" s="44">
        <v>2785330</v>
      </c>
    </row>
    <row r="42" spans="12:16" ht="20.100000000000001" customHeight="1">
      <c r="L42" s="35"/>
      <c r="M42" s="776"/>
      <c r="N42" s="272" t="s">
        <v>85</v>
      </c>
      <c r="O42" s="44">
        <v>2638250</v>
      </c>
      <c r="P42" s="44">
        <v>2977000</v>
      </c>
    </row>
    <row r="43" spans="12:16" ht="20.100000000000001" customHeight="1">
      <c r="L43" s="35"/>
      <c r="M43" s="776"/>
      <c r="N43" s="272" t="s">
        <v>86</v>
      </c>
      <c r="O43" s="44">
        <v>2662060</v>
      </c>
      <c r="P43" s="44">
        <v>3000810</v>
      </c>
    </row>
    <row r="44" spans="12:16" ht="20.100000000000001" customHeight="1">
      <c r="L44" s="35"/>
      <c r="M44" s="776"/>
      <c r="N44" s="272" t="s">
        <v>87</v>
      </c>
      <c r="O44" s="44">
        <v>3120770</v>
      </c>
      <c r="P44" s="44">
        <v>3459520</v>
      </c>
    </row>
    <row r="45" spans="12:16" ht="20.100000000000001" customHeight="1">
      <c r="L45" s="35"/>
      <c r="M45" s="776"/>
      <c r="N45" s="272" t="s">
        <v>88</v>
      </c>
      <c r="O45" s="44">
        <v>3379330</v>
      </c>
      <c r="P45" s="44">
        <v>3892620</v>
      </c>
    </row>
    <row r="46" spans="12:16" ht="20.100000000000001" customHeight="1">
      <c r="L46" s="36"/>
      <c r="M46" s="776"/>
      <c r="N46" s="272" t="s">
        <v>89</v>
      </c>
      <c r="O46" s="44">
        <v>3719500</v>
      </c>
      <c r="P46" s="44">
        <v>4232780</v>
      </c>
    </row>
    <row r="47" spans="12:16" ht="20.100000000000001" customHeight="1">
      <c r="L47" s="9"/>
      <c r="M47" s="776"/>
      <c r="N47" s="272" t="s">
        <v>90</v>
      </c>
      <c r="O47" s="44">
        <v>4363060</v>
      </c>
      <c r="P47" s="44">
        <v>4876340</v>
      </c>
    </row>
    <row r="48" spans="12:16" ht="20.100000000000001" customHeight="1">
      <c r="L48" s="37"/>
      <c r="M48" s="776"/>
      <c r="N48" s="272" t="s">
        <v>91</v>
      </c>
      <c r="O48" s="44">
        <v>3983100</v>
      </c>
      <c r="P48" s="44">
        <v>4496390</v>
      </c>
    </row>
    <row r="49" spans="12:16" ht="20.100000000000001" customHeight="1">
      <c r="L49" s="9"/>
      <c r="M49" s="776"/>
      <c r="N49" s="272" t="s">
        <v>92</v>
      </c>
      <c r="O49" s="44">
        <v>4457020</v>
      </c>
      <c r="P49" s="44">
        <v>4970310</v>
      </c>
    </row>
    <row r="50" spans="12:16" ht="20.100000000000001" customHeight="1">
      <c r="M50" s="776"/>
      <c r="N50" s="272" t="s">
        <v>93</v>
      </c>
      <c r="O50" s="44">
        <v>5199190</v>
      </c>
      <c r="P50" s="44">
        <v>5712470</v>
      </c>
    </row>
    <row r="51" spans="12:16" ht="20.100000000000001" customHeight="1">
      <c r="M51" s="776"/>
      <c r="N51" s="272" t="s">
        <v>94</v>
      </c>
      <c r="O51" s="44">
        <v>5520970</v>
      </c>
      <c r="P51" s="44">
        <v>6034260</v>
      </c>
    </row>
    <row r="52" spans="12:16" ht="20.100000000000001" customHeight="1"/>
    <row r="53" spans="12:16" ht="20.100000000000001" customHeight="1"/>
    <row r="54" spans="12:16" ht="20.100000000000001" customHeight="1"/>
    <row r="55" spans="12:16" ht="20.100000000000001" customHeight="1"/>
    <row r="56" spans="12:16" ht="20.100000000000001" customHeight="1"/>
    <row r="57" spans="12:16" ht="20.100000000000001" customHeight="1"/>
    <row r="58" spans="12:16" ht="20.100000000000001" customHeight="1"/>
    <row r="59" spans="12:16" ht="20.100000000000001" customHeight="1"/>
    <row r="60" spans="12:16" ht="20.100000000000001" customHeight="1"/>
    <row r="61" spans="12:16" ht="20.100000000000001" customHeight="1"/>
    <row r="62" spans="12:16" ht="20.100000000000001" customHeight="1"/>
    <row r="63" spans="12:16" ht="20.100000000000001" customHeight="1"/>
    <row r="64" spans="12:1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</sheetData>
  <mergeCells count="20">
    <mergeCell ref="M36:M51"/>
    <mergeCell ref="M3:M4"/>
    <mergeCell ref="N3:N4"/>
    <mergeCell ref="O3:P3"/>
    <mergeCell ref="M5:M15"/>
    <mergeCell ref="M16:M25"/>
    <mergeCell ref="M26:M35"/>
    <mergeCell ref="S3:S4"/>
    <mergeCell ref="T3:U3"/>
    <mergeCell ref="R5:R14"/>
    <mergeCell ref="A6:A7"/>
    <mergeCell ref="B6:B7"/>
    <mergeCell ref="C6:C7"/>
    <mergeCell ref="D6:E6"/>
    <mergeCell ref="F6:G6"/>
    <mergeCell ref="A8:A14"/>
    <mergeCell ref="J6:K6"/>
    <mergeCell ref="B14:C14"/>
    <mergeCell ref="H6:I6"/>
    <mergeCell ref="R3:R4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120</vt:i4>
      </vt:variant>
      <vt:variant>
        <vt:lpstr>이름이 지정된 범위</vt:lpstr>
      </vt:variant>
      <vt:variant>
        <vt:i4>138</vt:i4>
      </vt:variant>
    </vt:vector>
  </HeadingPairs>
  <TitlesOfParts>
    <vt:vector size="258" baseType="lpstr">
      <vt:lpstr>총괄(출력x)</vt:lpstr>
      <vt:lpstr>1.소요사업비</vt:lpstr>
      <vt:lpstr>1.2 음성처리구역</vt:lpstr>
      <vt:lpstr>1.2.2 공공하수처리시설 신증설</vt:lpstr>
      <vt:lpstr>1.2.3 공공하수처리시설 기능정상화</vt:lpstr>
      <vt:lpstr>1.2.4 오수간선및차집관로 교체및보수</vt:lpstr>
      <vt:lpstr>가.굴착교체(음성-간선)</vt:lpstr>
      <vt:lpstr>나.전체보수(음성-간선)</vt:lpstr>
      <vt:lpstr>다.부분보수(음성-간선)</vt:lpstr>
      <vt:lpstr>라.맨홀보수(음성-간선)</vt:lpstr>
      <vt:lpstr>마.우수토실개량(음성-간선)</vt:lpstr>
      <vt:lpstr>1.2.5 오수관로신설</vt:lpstr>
      <vt:lpstr>가.관로신설(음성-오수지선)</vt:lpstr>
      <vt:lpstr>나.배수설비(음성)</vt:lpstr>
      <vt:lpstr>다.맨홀펌프장(음성)</vt:lpstr>
      <vt:lpstr>1.2.6 오수관로 교체및보수</vt:lpstr>
      <vt:lpstr>가.굴착교체(음성-오수지선)</vt:lpstr>
      <vt:lpstr>나.전체보수(음성-오수지선)</vt:lpstr>
      <vt:lpstr>다.부분보수(음성-오수지선)</vt:lpstr>
      <vt:lpstr>1.2.7 우수관로신설</vt:lpstr>
      <vt:lpstr>가.관로신설(음성-우수지선)</vt:lpstr>
      <vt:lpstr>1.2.8 우수관로 교체 및 보수</vt:lpstr>
      <vt:lpstr>가.굴착교체(음성-우수)</vt:lpstr>
      <vt:lpstr>1.2.9 하수저류시설</vt:lpstr>
      <vt:lpstr>1.3 금왕처리구역</vt:lpstr>
      <vt:lpstr>1.3.2 공공하수처리시설 신증설</vt:lpstr>
      <vt:lpstr>1.3.3 공공하수처리시설 기능정상화</vt:lpstr>
      <vt:lpstr>1.3.4 오수간선및차집관로 교체및보수</vt:lpstr>
      <vt:lpstr>가.굴착교체(금왕-간선)</vt:lpstr>
      <vt:lpstr>나.전체보수(금왕-간선)</vt:lpstr>
      <vt:lpstr>다.부분보수(금왕-간선)</vt:lpstr>
      <vt:lpstr>라.맨홀보수(금왕-간선)</vt:lpstr>
      <vt:lpstr>마.우수토실개량(금왕-간선)</vt:lpstr>
      <vt:lpstr>1.3.5 오수관로신설</vt:lpstr>
      <vt:lpstr>가.관로신설(금왕-오수지선)</vt:lpstr>
      <vt:lpstr>나.배수설비(금왕)</vt:lpstr>
      <vt:lpstr>다.맨홀펌프장(금왕)</vt:lpstr>
      <vt:lpstr>1.3.6 오수관로 교체및보수</vt:lpstr>
      <vt:lpstr>가.굴착교체(금왕-오수지선)</vt:lpstr>
      <vt:lpstr>1.3.7 우수관로 교체 및 보수</vt:lpstr>
      <vt:lpstr>가.굴착교체(금왕-우수)</vt:lpstr>
      <vt:lpstr>1.3.8 하수저류시설</vt:lpstr>
      <vt:lpstr>1.3.9 하수찌꺼지 처리시설</vt:lpstr>
      <vt:lpstr>1.4 대소처리구역</vt:lpstr>
      <vt:lpstr>1.4.2 공공하수처리시설 신증설</vt:lpstr>
      <vt:lpstr>1.4.3 공공하수처리시설 기능정상화</vt:lpstr>
      <vt:lpstr>1.4.4 오수간선및차집관로 교체및보수</vt:lpstr>
      <vt:lpstr>가.굴착교체(대소-간선)</vt:lpstr>
      <vt:lpstr>나.전체보수(대소-간선)</vt:lpstr>
      <vt:lpstr>다.부분보수(대소-간선)</vt:lpstr>
      <vt:lpstr>라.맨홀보수(대소-간선)</vt:lpstr>
      <vt:lpstr>마.우수토실개량(대소-간선)</vt:lpstr>
      <vt:lpstr>1.4.5 오수관로신설</vt:lpstr>
      <vt:lpstr>가.관로신설(대소-오수지선)</vt:lpstr>
      <vt:lpstr>나.배수설비(대소)</vt:lpstr>
      <vt:lpstr>다.맨홀펌프장(대소)</vt:lpstr>
      <vt:lpstr>1.4.6 오수관로 교체및보수</vt:lpstr>
      <vt:lpstr>가.굴착교체(대소-오수지선)</vt:lpstr>
      <vt:lpstr>나.전체보수(대소-오수지선)</vt:lpstr>
      <vt:lpstr>다.부분보수(대소-오수지선)</vt:lpstr>
      <vt:lpstr>1.4.7 우수관로 교체 및 보수</vt:lpstr>
      <vt:lpstr>가.굴착교체(대소-우수)</vt:lpstr>
      <vt:lpstr>1.4.8 하수저류시설</vt:lpstr>
      <vt:lpstr>1.5 생극처리구역</vt:lpstr>
      <vt:lpstr>1.5.2 공공하수처리시설 신증설</vt:lpstr>
      <vt:lpstr>1.5.3 공공하수처리시설 기능정상화</vt:lpstr>
      <vt:lpstr>1.5.4 오수간선및차집관로 교체및보수</vt:lpstr>
      <vt:lpstr>가.굴착교체(생극-간선)</vt:lpstr>
      <vt:lpstr>나.전체보수(생극-간선)</vt:lpstr>
      <vt:lpstr>다.부분보수(생극-간선)</vt:lpstr>
      <vt:lpstr>라.맨홀보수(생극-간선)</vt:lpstr>
      <vt:lpstr>마.우수토실개량(생극-간선)</vt:lpstr>
      <vt:lpstr>1.5.5 오수관로신설</vt:lpstr>
      <vt:lpstr>가.관로신설(생극-오수지선)</vt:lpstr>
      <vt:lpstr>나.배수설비(생극)</vt:lpstr>
      <vt:lpstr>다.맨홀펌프장(생극)</vt:lpstr>
      <vt:lpstr>1.5.6 오수관로 교체및보수</vt:lpstr>
      <vt:lpstr>가.굴착교체(생극-오수지선)</vt:lpstr>
      <vt:lpstr>나.전체보수(생극-오수지선)</vt:lpstr>
      <vt:lpstr>다.부분보수(생극-오수지선)</vt:lpstr>
      <vt:lpstr>1.5.7 우수관로 교체 및 보수</vt:lpstr>
      <vt:lpstr>가.굴착교체(생극-우수)</vt:lpstr>
      <vt:lpstr>1.5.8 하수저류시설</vt:lpstr>
      <vt:lpstr>1.6 감곡처리구역</vt:lpstr>
      <vt:lpstr>1.6.2 공공하수처리시설 신증설</vt:lpstr>
      <vt:lpstr>1.6.3 공공하수처리시설 기능정상화</vt:lpstr>
      <vt:lpstr>1.6.4 오수간선및차집관로 교체및보수</vt:lpstr>
      <vt:lpstr>가.굴착교체(감곡-간선)</vt:lpstr>
      <vt:lpstr>나.전체보수(감곡-간선)</vt:lpstr>
      <vt:lpstr>다.부분보수(감곡-간선)</vt:lpstr>
      <vt:lpstr>라.맨홀보수(감곡-간선)</vt:lpstr>
      <vt:lpstr>마.우수토실개량(감곡-간선)</vt:lpstr>
      <vt:lpstr>1.6.5 오수관로신설</vt:lpstr>
      <vt:lpstr>가.관로신설(감곡-오수지선)</vt:lpstr>
      <vt:lpstr>나.배수설비(감곡)</vt:lpstr>
      <vt:lpstr>다.맨홀펌프장(감곡)</vt:lpstr>
      <vt:lpstr>1.6.6 오수관로 교체및보수</vt:lpstr>
      <vt:lpstr>가.굴착교체(감곡-오수지선)</vt:lpstr>
      <vt:lpstr>나.전체보수(감곡-오수지선)</vt:lpstr>
      <vt:lpstr>다.부분보수(감곡-오수지선)</vt:lpstr>
      <vt:lpstr>1.6.7 우수관로 교체 및 보수</vt:lpstr>
      <vt:lpstr>가.굴착교체(감곡-우수)</vt:lpstr>
      <vt:lpstr>1.6.8 하수저류시설</vt:lpstr>
      <vt:lpstr>1.7 맹동처리구역</vt:lpstr>
      <vt:lpstr>1.7.2 공공하수처리시설 신증설</vt:lpstr>
      <vt:lpstr>1.7.3 오수관로신설</vt:lpstr>
      <vt:lpstr>가.관로신설(맹동-오수지선)</vt:lpstr>
      <vt:lpstr>나.배수설비(맹동)</vt:lpstr>
      <vt:lpstr>소규모(출력x)</vt:lpstr>
      <vt:lpstr>1.9 소규모처리구역</vt:lpstr>
      <vt:lpstr>1.9.1 한벌</vt:lpstr>
      <vt:lpstr>가.공사비산출(한벌)</vt:lpstr>
      <vt:lpstr>1.9.2 사창</vt:lpstr>
      <vt:lpstr>가.공사비산출(사창)</vt:lpstr>
      <vt:lpstr>1.9.3 소이</vt:lpstr>
      <vt:lpstr>1.9.4 원남</vt:lpstr>
      <vt:lpstr>1.9.5 주천</vt:lpstr>
      <vt:lpstr>가.공사비산출(주천)</vt:lpstr>
      <vt:lpstr>1.9.7 본대</vt:lpstr>
      <vt:lpstr>가.공사비산출(본대)</vt:lpstr>
      <vt:lpstr>'1.2 음성처리구역'!Print_Area</vt:lpstr>
      <vt:lpstr>'1.2.2 공공하수처리시설 신증설'!Print_Area</vt:lpstr>
      <vt:lpstr>'1.2.3 공공하수처리시설 기능정상화'!Print_Area</vt:lpstr>
      <vt:lpstr>'1.2.4 오수간선및차집관로 교체및보수'!Print_Area</vt:lpstr>
      <vt:lpstr>'1.2.5 오수관로신설'!Print_Area</vt:lpstr>
      <vt:lpstr>'1.2.6 오수관로 교체및보수'!Print_Area</vt:lpstr>
      <vt:lpstr>'1.2.7 우수관로신설'!Print_Area</vt:lpstr>
      <vt:lpstr>'1.2.8 우수관로 교체 및 보수'!Print_Area</vt:lpstr>
      <vt:lpstr>'1.2.9 하수저류시설'!Print_Area</vt:lpstr>
      <vt:lpstr>'1.3 금왕처리구역'!Print_Area</vt:lpstr>
      <vt:lpstr>'1.3.2 공공하수처리시설 신증설'!Print_Area</vt:lpstr>
      <vt:lpstr>'1.3.3 공공하수처리시설 기능정상화'!Print_Area</vt:lpstr>
      <vt:lpstr>'1.3.4 오수간선및차집관로 교체및보수'!Print_Area</vt:lpstr>
      <vt:lpstr>'1.3.5 오수관로신설'!Print_Area</vt:lpstr>
      <vt:lpstr>'1.3.6 오수관로 교체및보수'!Print_Area</vt:lpstr>
      <vt:lpstr>'1.3.7 우수관로 교체 및 보수'!Print_Area</vt:lpstr>
      <vt:lpstr>'1.3.8 하수저류시설'!Print_Area</vt:lpstr>
      <vt:lpstr>'1.3.9 하수찌꺼지 처리시설'!Print_Area</vt:lpstr>
      <vt:lpstr>'1.4 대소처리구역'!Print_Area</vt:lpstr>
      <vt:lpstr>'1.4.2 공공하수처리시설 신증설'!Print_Area</vt:lpstr>
      <vt:lpstr>'1.4.3 공공하수처리시설 기능정상화'!Print_Area</vt:lpstr>
      <vt:lpstr>'1.4.4 오수간선및차집관로 교체및보수'!Print_Area</vt:lpstr>
      <vt:lpstr>'1.4.5 오수관로신설'!Print_Area</vt:lpstr>
      <vt:lpstr>'1.4.6 오수관로 교체및보수'!Print_Area</vt:lpstr>
      <vt:lpstr>'1.4.7 우수관로 교체 및 보수'!Print_Area</vt:lpstr>
      <vt:lpstr>'1.4.8 하수저류시설'!Print_Area</vt:lpstr>
      <vt:lpstr>'1.5 생극처리구역'!Print_Area</vt:lpstr>
      <vt:lpstr>'1.5.2 공공하수처리시설 신증설'!Print_Area</vt:lpstr>
      <vt:lpstr>'1.5.3 공공하수처리시설 기능정상화'!Print_Area</vt:lpstr>
      <vt:lpstr>'1.5.4 오수간선및차집관로 교체및보수'!Print_Area</vt:lpstr>
      <vt:lpstr>'1.5.5 오수관로신설'!Print_Area</vt:lpstr>
      <vt:lpstr>'1.5.6 오수관로 교체및보수'!Print_Area</vt:lpstr>
      <vt:lpstr>'1.5.7 우수관로 교체 및 보수'!Print_Area</vt:lpstr>
      <vt:lpstr>'1.5.8 하수저류시설'!Print_Area</vt:lpstr>
      <vt:lpstr>'1.6 감곡처리구역'!Print_Area</vt:lpstr>
      <vt:lpstr>'1.6.2 공공하수처리시설 신증설'!Print_Area</vt:lpstr>
      <vt:lpstr>'1.6.3 공공하수처리시설 기능정상화'!Print_Area</vt:lpstr>
      <vt:lpstr>'1.6.4 오수간선및차집관로 교체및보수'!Print_Area</vt:lpstr>
      <vt:lpstr>'1.6.5 오수관로신설'!Print_Area</vt:lpstr>
      <vt:lpstr>'1.6.6 오수관로 교체및보수'!Print_Area</vt:lpstr>
      <vt:lpstr>'1.6.7 우수관로 교체 및 보수'!Print_Area</vt:lpstr>
      <vt:lpstr>'1.6.8 하수저류시설'!Print_Area</vt:lpstr>
      <vt:lpstr>'1.7 맹동처리구역'!Print_Area</vt:lpstr>
      <vt:lpstr>'1.7.2 공공하수처리시설 신증설'!Print_Area</vt:lpstr>
      <vt:lpstr>'1.7.3 오수관로신설'!Print_Area</vt:lpstr>
      <vt:lpstr>'1.9 소규모처리구역'!Print_Area</vt:lpstr>
      <vt:lpstr>'1.9.1 한벌'!Print_Area</vt:lpstr>
      <vt:lpstr>'1.9.2 사창'!Print_Area</vt:lpstr>
      <vt:lpstr>'1.9.3 소이'!Print_Area</vt:lpstr>
      <vt:lpstr>'1.9.4 원남'!Print_Area</vt:lpstr>
      <vt:lpstr>'1.9.5 주천'!Print_Area</vt:lpstr>
      <vt:lpstr>'1.9.7 본대'!Print_Area</vt:lpstr>
      <vt:lpstr>'1.소요사업비'!Print_Area</vt:lpstr>
      <vt:lpstr>'가.공사비산출(본대)'!Print_Area</vt:lpstr>
      <vt:lpstr>'가.공사비산출(사창)'!Print_Area</vt:lpstr>
      <vt:lpstr>'가.공사비산출(주천)'!Print_Area</vt:lpstr>
      <vt:lpstr>'가.공사비산출(한벌)'!Print_Area</vt:lpstr>
      <vt:lpstr>'가.관로신설(감곡-오수지선)'!Print_Area</vt:lpstr>
      <vt:lpstr>'가.관로신설(금왕-오수지선)'!Print_Area</vt:lpstr>
      <vt:lpstr>'가.관로신설(대소-오수지선)'!Print_Area</vt:lpstr>
      <vt:lpstr>'가.관로신설(맹동-오수지선)'!Print_Area</vt:lpstr>
      <vt:lpstr>'가.관로신설(생극-오수지선)'!Print_Area</vt:lpstr>
      <vt:lpstr>'가.관로신설(음성-오수지선)'!Print_Area</vt:lpstr>
      <vt:lpstr>'가.관로신설(음성-우수지선)'!Print_Area</vt:lpstr>
      <vt:lpstr>'가.굴착교체(감곡-간선)'!Print_Area</vt:lpstr>
      <vt:lpstr>'가.굴착교체(감곡-오수지선)'!Print_Area</vt:lpstr>
      <vt:lpstr>'가.굴착교체(감곡-우수)'!Print_Area</vt:lpstr>
      <vt:lpstr>'가.굴착교체(금왕-간선)'!Print_Area</vt:lpstr>
      <vt:lpstr>'가.굴착교체(금왕-오수지선)'!Print_Area</vt:lpstr>
      <vt:lpstr>'가.굴착교체(금왕-우수)'!Print_Area</vt:lpstr>
      <vt:lpstr>'가.굴착교체(대소-간선)'!Print_Area</vt:lpstr>
      <vt:lpstr>'가.굴착교체(대소-오수지선)'!Print_Area</vt:lpstr>
      <vt:lpstr>'가.굴착교체(대소-우수)'!Print_Area</vt:lpstr>
      <vt:lpstr>'가.굴착교체(생극-간선)'!Print_Area</vt:lpstr>
      <vt:lpstr>'가.굴착교체(생극-오수지선)'!Print_Area</vt:lpstr>
      <vt:lpstr>'가.굴착교체(생극-우수)'!Print_Area</vt:lpstr>
      <vt:lpstr>'가.굴착교체(음성-간선)'!Print_Area</vt:lpstr>
      <vt:lpstr>'가.굴착교체(음성-오수지선)'!Print_Area</vt:lpstr>
      <vt:lpstr>'가.굴착교체(음성-우수)'!Print_Area</vt:lpstr>
      <vt:lpstr>'나.배수설비(감곡)'!Print_Area</vt:lpstr>
      <vt:lpstr>'나.배수설비(금왕)'!Print_Area</vt:lpstr>
      <vt:lpstr>'나.배수설비(대소)'!Print_Area</vt:lpstr>
      <vt:lpstr>'나.배수설비(맹동)'!Print_Area</vt:lpstr>
      <vt:lpstr>'나.배수설비(생극)'!Print_Area</vt:lpstr>
      <vt:lpstr>'나.배수설비(음성)'!Print_Area</vt:lpstr>
      <vt:lpstr>'나.전체보수(감곡-간선)'!Print_Area</vt:lpstr>
      <vt:lpstr>'나.전체보수(감곡-오수지선)'!Print_Area</vt:lpstr>
      <vt:lpstr>'나.전체보수(금왕-간선)'!Print_Area</vt:lpstr>
      <vt:lpstr>'나.전체보수(대소-간선)'!Print_Area</vt:lpstr>
      <vt:lpstr>'나.전체보수(대소-오수지선)'!Print_Area</vt:lpstr>
      <vt:lpstr>'나.전체보수(생극-간선)'!Print_Area</vt:lpstr>
      <vt:lpstr>'나.전체보수(생극-오수지선)'!Print_Area</vt:lpstr>
      <vt:lpstr>'나.전체보수(음성-간선)'!Print_Area</vt:lpstr>
      <vt:lpstr>'나.전체보수(음성-오수지선)'!Print_Area</vt:lpstr>
      <vt:lpstr>'다.맨홀펌프장(감곡)'!Print_Area</vt:lpstr>
      <vt:lpstr>'다.맨홀펌프장(금왕)'!Print_Area</vt:lpstr>
      <vt:lpstr>'다.맨홀펌프장(대소)'!Print_Area</vt:lpstr>
      <vt:lpstr>'다.맨홀펌프장(생극)'!Print_Area</vt:lpstr>
      <vt:lpstr>'다.맨홀펌프장(음성)'!Print_Area</vt:lpstr>
      <vt:lpstr>'다.부분보수(감곡-간선)'!Print_Area</vt:lpstr>
      <vt:lpstr>'다.부분보수(감곡-오수지선)'!Print_Area</vt:lpstr>
      <vt:lpstr>'다.부분보수(금왕-간선)'!Print_Area</vt:lpstr>
      <vt:lpstr>'다.부분보수(대소-간선)'!Print_Area</vt:lpstr>
      <vt:lpstr>'다.부분보수(대소-오수지선)'!Print_Area</vt:lpstr>
      <vt:lpstr>'다.부분보수(생극-간선)'!Print_Area</vt:lpstr>
      <vt:lpstr>'다.부분보수(생극-오수지선)'!Print_Area</vt:lpstr>
      <vt:lpstr>'다.부분보수(음성-간선)'!Print_Area</vt:lpstr>
      <vt:lpstr>'다.부분보수(음성-오수지선)'!Print_Area</vt:lpstr>
      <vt:lpstr>'라.맨홀보수(감곡-간선)'!Print_Area</vt:lpstr>
      <vt:lpstr>'라.맨홀보수(금왕-간선)'!Print_Area</vt:lpstr>
      <vt:lpstr>'라.맨홀보수(대소-간선)'!Print_Area</vt:lpstr>
      <vt:lpstr>'라.맨홀보수(생극-간선)'!Print_Area</vt:lpstr>
      <vt:lpstr>'라.맨홀보수(음성-간선)'!Print_Area</vt:lpstr>
      <vt:lpstr>'마.우수토실개량(감곡-간선)'!Print_Area</vt:lpstr>
      <vt:lpstr>'마.우수토실개량(금왕-간선)'!Print_Area</vt:lpstr>
      <vt:lpstr>'마.우수토실개량(대소-간선)'!Print_Area</vt:lpstr>
      <vt:lpstr>'마.우수토실개량(생극-간선)'!Print_Area</vt:lpstr>
      <vt:lpstr>'마.우수토실개량(음성-간선)'!Print_Area</vt:lpstr>
      <vt:lpstr>'소규모(출력x)'!Print_Area</vt:lpstr>
      <vt:lpstr>'총괄(출력x)'!Print_Area</vt:lpstr>
      <vt:lpstr>'1.9 소규모처리구역'!Print_Titles</vt:lpstr>
      <vt:lpstr>'가.관로신설(감곡-오수지선)'!Print_Titles</vt:lpstr>
      <vt:lpstr>'가.관로신설(금왕-오수지선)'!Print_Titles</vt:lpstr>
      <vt:lpstr>'가.관로신설(대소-오수지선)'!Print_Titles</vt:lpstr>
      <vt:lpstr>'가.관로신설(맹동-오수지선)'!Print_Titles</vt:lpstr>
      <vt:lpstr>'가.관로신설(생극-오수지선)'!Print_Titles</vt:lpstr>
      <vt:lpstr>'가.관로신설(음성-오수지선)'!Print_Titles</vt:lpstr>
      <vt:lpstr>'가.관로신설(음성-우수지선)'!Print_Titles</vt:lpstr>
      <vt:lpstr>'가.굴착교체(감곡-오수지선)'!Print_Titles</vt:lpstr>
      <vt:lpstr>'가.굴착교체(금왕-오수지선)'!Print_Titles</vt:lpstr>
      <vt:lpstr>'가.굴착교체(대소-오수지선)'!Print_Titles</vt:lpstr>
      <vt:lpstr>'가.굴착교체(생극-오수지선)'!Print_Titles</vt:lpstr>
      <vt:lpstr>'가.굴착교체(음성-오수지선)'!Print_Titles</vt:lpstr>
      <vt:lpstr>'다.맨홀펌프장(감곡)'!Print_Titles</vt:lpstr>
      <vt:lpstr>'다.맨홀펌프장(금왕)'!Print_Titles</vt:lpstr>
      <vt:lpstr>'다.맨홀펌프장(대소)'!Print_Titles</vt:lpstr>
      <vt:lpstr>'다.맨홀펌프장(생극)'!Print_Titles</vt:lpstr>
      <vt:lpstr>'다.맨홀펌프장(음성)'!Print_Titles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이산</dc:creator>
  <cp:lastModifiedBy>임성우</cp:lastModifiedBy>
  <cp:lastPrinted>2018-08-31T00:28:31Z</cp:lastPrinted>
  <dcterms:created xsi:type="dcterms:W3CDTF">2016-03-20T05:31:15Z</dcterms:created>
  <dcterms:modified xsi:type="dcterms:W3CDTF">2018-11-01T07:55:51Z</dcterms:modified>
</cp:coreProperties>
</file>