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265" yWindow="-15" windowWidth="5760" windowHeight="11475"/>
    <workbookView xWindow="19185" yWindow="-15" windowWidth="4800" windowHeight="11880" activeTab="3"/>
  </bookViews>
  <sheets>
    <sheet name="3.재원조달계획" sheetId="4" r:id="rId1"/>
    <sheet name="3.2 처리구역별 재원조달계획" sheetId="3" r:id="rId2"/>
    <sheet name="3.3 원인자부담금" sheetId="6" r:id="rId3"/>
    <sheet name="3.3.3 원인자 검토 (협의날짜순)" sheetId="15" r:id="rId4"/>
    <sheet name="3.3.3 오수지선관로 시설부담금" sheetId="5" r:id="rId5"/>
    <sheet name="출력금지" sheetId="9" r:id="rId6"/>
    <sheet name="3.3.3 원인자 검토" sheetId="12" r:id="rId7"/>
    <sheet name="3.3.3 원인자 검토 (2)" sheetId="13" r:id="rId8"/>
    <sheet name="처리장 운영현황" sheetId="14" r:id="rId9"/>
    <sheet name="3.3.3 원인자검토(음성군조례)" sheetId="8" r:id="rId10"/>
    <sheet name="3.3.3 오수간선관로 원인자" sheetId="2" r:id="rId11"/>
    <sheet name="3.3.2 공공하수처리시설 원인자" sheetId="1" r:id="rId12"/>
    <sheet name="3.3.2 공공하수처리시설 원인자(음성군조례)" sheetId="11" r:id="rId13"/>
    <sheet name="원인자검토(물가상승률)" sheetId="10" r:id="rId14"/>
  </sheets>
  <externalReferences>
    <externalReference r:id="rId15"/>
    <externalReference r:id="rId16"/>
    <externalReference r:id="rId17"/>
    <externalReference r:id="rId18"/>
  </externalReferences>
  <definedNames>
    <definedName name="________KEY2" localSheetId="6" hidden="1">#REF!</definedName>
    <definedName name="________KEY2" localSheetId="7" hidden="1">#REF!</definedName>
    <definedName name="________KEY2" localSheetId="3" hidden="1">#REF!</definedName>
    <definedName name="________KEY2" hidden="1">#REF!</definedName>
    <definedName name="_______KEY2" localSheetId="6" hidden="1">#REF!</definedName>
    <definedName name="_______KEY2" localSheetId="7" hidden="1">#REF!</definedName>
    <definedName name="_______KEY2" localSheetId="3" hidden="1">#REF!</definedName>
    <definedName name="_______KEY2" hidden="1">#REF!</definedName>
    <definedName name="______KEY2" localSheetId="6" hidden="1">#REF!</definedName>
    <definedName name="______KEY2" localSheetId="7" hidden="1">#REF!</definedName>
    <definedName name="______KEY2" localSheetId="3" hidden="1">#REF!</definedName>
    <definedName name="______KEY2" hidden="1">#REF!</definedName>
    <definedName name="_____KEY2" localSheetId="6" hidden="1">#REF!</definedName>
    <definedName name="_____KEY2" localSheetId="7" hidden="1">#REF!</definedName>
    <definedName name="_____KEY2" localSheetId="3" hidden="1">#REF!</definedName>
    <definedName name="_____KEY2" hidden="1">#REF!</definedName>
    <definedName name="____KEY2" localSheetId="6" hidden="1">#REF!</definedName>
    <definedName name="____KEY2" localSheetId="7" hidden="1">#REF!</definedName>
    <definedName name="____KEY2" localSheetId="3" hidden="1">#REF!</definedName>
    <definedName name="____KEY2" hidden="1">#REF!</definedName>
    <definedName name="___KEY2" localSheetId="6" hidden="1">#REF!</definedName>
    <definedName name="___KEY2" localSheetId="7" hidden="1">#REF!</definedName>
    <definedName name="___KEY2" localSheetId="3" hidden="1">#REF!</definedName>
    <definedName name="___KEY2" hidden="1">#REF!</definedName>
    <definedName name="__KEY2" localSheetId="6" hidden="1">#REF!</definedName>
    <definedName name="__KEY2" localSheetId="7" hidden="1">#REF!</definedName>
    <definedName name="__KEY2" localSheetId="3" hidden="1">#REF!</definedName>
    <definedName name="__KEY2" hidden="1">#REF!</definedName>
    <definedName name="_13">0.995</definedName>
    <definedName name="_16">1.56</definedName>
    <definedName name="_19">2.25</definedName>
    <definedName name="_22">3.04</definedName>
    <definedName name="_25">3.98</definedName>
    <definedName name="_29">5.04</definedName>
    <definedName name="_32">6.28</definedName>
    <definedName name="_35">7.51</definedName>
    <definedName name="_Dist_Bin" localSheetId="6" hidden="1">#REF!</definedName>
    <definedName name="_Dist_Bin" localSheetId="7" hidden="1">#REF!</definedName>
    <definedName name="_Dist_Bin" localSheetId="3" hidden="1">#REF!</definedName>
    <definedName name="_Dist_Bin" hidden="1">#REF!</definedName>
    <definedName name="_Dist_Values" localSheetId="6" hidden="1">#REF!</definedName>
    <definedName name="_Dist_Values" localSheetId="7" hidden="1">#REF!</definedName>
    <definedName name="_Dist_Values" localSheetId="3" hidden="1">#REF!</definedName>
    <definedName name="_Dist_Values" hidden="1">#REF!</definedName>
    <definedName name="_Fill" localSheetId="6" hidden="1">#REF!</definedName>
    <definedName name="_Fill" localSheetId="7" hidden="1">#REF!</definedName>
    <definedName name="_Fill" localSheetId="3" hidden="1">#REF!</definedName>
    <definedName name="_Fill" hidden="1">#REF!</definedName>
    <definedName name="_xlnm._FilterDatabase" localSheetId="6" hidden="1">#REF!</definedName>
    <definedName name="_xlnm._FilterDatabase" localSheetId="7" hidden="1">#REF!</definedName>
    <definedName name="_xlnm._FilterDatabase" localSheetId="3" hidden="1">#REF!</definedName>
    <definedName name="_xlnm._FilterDatabase" hidden="1">#REF!</definedName>
    <definedName name="_Key1" localSheetId="6" hidden="1">#REF!</definedName>
    <definedName name="_Key1" localSheetId="7" hidden="1">#REF!</definedName>
    <definedName name="_Key1" localSheetId="3" hidden="1">#REF!</definedName>
    <definedName name="_Key1" hidden="1">#REF!</definedName>
    <definedName name="_Key2" localSheetId="6" hidden="1">#REF!</definedName>
    <definedName name="_Key2" localSheetId="7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6" hidden="1">'[1]6PILE  (돌출)'!#REF!</definedName>
    <definedName name="_Sort" localSheetId="7" hidden="1">'[1]6PILE  (돌출)'!#REF!</definedName>
    <definedName name="_Sort" localSheetId="3" hidden="1">'[1]6PILE  (돌출)'!#REF!</definedName>
    <definedName name="_Sort" hidden="1">'[1]6PILE  (돌출)'!#REF!</definedName>
    <definedName name="_Table1_In1" localSheetId="6" hidden="1">#REF!</definedName>
    <definedName name="_Table1_In1" localSheetId="7" hidden="1">#REF!</definedName>
    <definedName name="_Table1_In1" localSheetId="3" hidden="1">#REF!</definedName>
    <definedName name="_Table1_In1" hidden="1">#REF!</definedName>
    <definedName name="_Table1_Out" localSheetId="6" hidden="1">#REF!</definedName>
    <definedName name="_Table1_Out" localSheetId="7" hidden="1">#REF!</definedName>
    <definedName name="_Table1_Out" localSheetId="3" hidden="1">#REF!</definedName>
    <definedName name="_Table1_Out" hidden="1">#REF!</definedName>
    <definedName name="anscount" hidden="1">1</definedName>
    <definedName name="camberWork">[0]!camberWork</definedName>
    <definedName name="DSAF">[0]!DSAF</definedName>
    <definedName name="DSF">[0]!DSF</definedName>
    <definedName name="HTML_CodePage" hidden="1">949</definedName>
    <definedName name="HTML_Control" hidden="1">{"'유입수질'!$Q$19"}</definedName>
    <definedName name="HTML_Description" hidden="1">""</definedName>
    <definedName name="HTML_Email" hidden="1">""</definedName>
    <definedName name="HTML_Header" hidden="1">"유입수질"</definedName>
    <definedName name="HTML_LastUpdate" hidden="1">"00-04-07"</definedName>
    <definedName name="HTML_LineAfter" hidden="1">FALSE</definedName>
    <definedName name="HTML_LineBefore" hidden="1">FALSE</definedName>
    <definedName name="HTML_Name" hidden="1">"이용권"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"C:\user\lee\지평\xls\MyHTML.htm"</definedName>
    <definedName name="HTML_PathTemplate" hidden="1">"C:\USERS\JHW\Kwangju\Distribution-Analysis\HTMLTemp.htm"</definedName>
    <definedName name="HTML_Title" hidden="1">"보고서0407"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Macro4">[0]!Macro4</definedName>
    <definedName name="Macro5">[0]!Macro5</definedName>
    <definedName name="_xlnm.Print_Area" localSheetId="1">'3.2 처리구역별 재원조달계획'!$A$1:$J$323</definedName>
    <definedName name="_xlnm.Print_Area" localSheetId="4">'3.3.3 오수지선관로 시설부담금'!$A$1:$H$8</definedName>
    <definedName name="_xlnm.Print_Area" localSheetId="6">'3.3.3 원인자 검토'!$A$1:$R$42</definedName>
    <definedName name="_xlnm.Print_Area" localSheetId="7">'3.3.3 원인자 검토 (2)'!$A$1:$R$42</definedName>
    <definedName name="_xlnm.Print_Area" localSheetId="3">'3.3.3 원인자 검토 (협의날짜순)'!$A$1:$U$47</definedName>
    <definedName name="_xlnm.Print_Titles" localSheetId="1">'3.2 처리구역별 재원조달계획'!$3:$3</definedName>
    <definedName name="_xlnm.Print_Titles" localSheetId="11">'3.3.2 공공하수처리시설 원인자'!$2:$2</definedName>
    <definedName name="_xlnm.Print_Titles" localSheetId="12">'3.3.2 공공하수처리시설 원인자(음성군조례)'!$2:$2</definedName>
    <definedName name="_xlnm.Print_Titles" localSheetId="9">'3.3.3 원인자검토(음성군조례)'!$2:$2</definedName>
    <definedName name="_xlnm.Print_Titles" localSheetId="0">'3.재원조달계획'!$4:$4</definedName>
    <definedName name="_xlnm.Print_Titles" localSheetId="13">'원인자검토(물가상승률)'!$2:$2</definedName>
    <definedName name="SDF">[0]!SDF</definedName>
    <definedName name="ST산출" localSheetId="6">[0]!BlankMacro1</definedName>
    <definedName name="ST산출" localSheetId="7">[0]!BlankMacro1</definedName>
    <definedName name="ST산출" localSheetId="3">[0]!BlankMacro1</definedName>
    <definedName name="ST산출">[0]!BlankMacro1</definedName>
    <definedName name="st산출10" localSheetId="6">[0]!BlankMacro1</definedName>
    <definedName name="st산출10" localSheetId="7">[0]!BlankMacro1</definedName>
    <definedName name="st산출10" localSheetId="3">[0]!BlankMacro1</definedName>
    <definedName name="st산출10">[0]!BlankMacro1</definedName>
    <definedName name="yyy">[0]!yyy</definedName>
    <definedName name="기Q">"기성세부내역서!$B$89"</definedName>
    <definedName name="ㄴㅇㅎㅅㄴㅇ">[0]!ㄴㅇㅎㅅㄴㅇ</definedName>
    <definedName name="독수리" localSheetId="6" hidden="1">#REF!</definedName>
    <definedName name="독수리" localSheetId="7" hidden="1">#REF!</definedName>
    <definedName name="독수리" localSheetId="3" hidden="1">#REF!</definedName>
    <definedName name="독수리" hidden="1">#REF!</definedName>
    <definedName name="ㅁㄴㅇㄹ" hidden="1">{"'인구추정(면계)'!$I$44:$N$48"}</definedName>
    <definedName name="바보" localSheetId="6" hidden="1">#REF!</definedName>
    <definedName name="바보" localSheetId="7" hidden="1">#REF!</definedName>
    <definedName name="바보" localSheetId="3" hidden="1">#REF!</definedName>
    <definedName name="바보" hidden="1">#REF!</definedName>
    <definedName name="반포면" hidden="1">{"'인구추정(면계)'!$I$44:$N$48"}</definedName>
    <definedName name="산" hidden="1">{"'제10장(표)'!$A$5:$L$10"}</definedName>
    <definedName name="산출근" hidden="1">{"'제10장(표)'!$A$5:$L$10"}</definedName>
    <definedName name="산출근거44" hidden="1">{"'제10장(표)'!$A$5:$L$10"}</definedName>
    <definedName name="설계단면력요약.SAP90Work">[0]!설계단면력요약.SAP90Work</definedName>
    <definedName name="순위결정" hidden="1">{"'제10장(표)'!$A$5:$L$10"}</definedName>
    <definedName name="ㅇㄹㄹ" localSheetId="6" hidden="1">#REF!</definedName>
    <definedName name="ㅇㄹㄹ" localSheetId="7" hidden="1">#REF!</definedName>
    <definedName name="ㅇㄹㄹ" localSheetId="3" hidden="1">#REF!</definedName>
    <definedName name="ㅇㄹㄹ" hidden="1">#REF!</definedName>
    <definedName name="ㅈ">[0]!ㅈ</definedName>
    <definedName name="조사가" localSheetId="6" hidden="1">[2]입찰안!#REF!</definedName>
    <definedName name="조사가" localSheetId="7" hidden="1">[2]입찰안!#REF!</definedName>
    <definedName name="조사가" localSheetId="3" hidden="1">[2]입찰안!#REF!</definedName>
    <definedName name="조사가" hidden="1">[2]입찰안!#REF!</definedName>
    <definedName name="추진단가산출목록">[0]!추진단가산출목록</definedName>
    <definedName name="추풍령면" hidden="1">{"'인구추정(면계)'!$I$44:$N$48"}</definedName>
    <definedName name="콘크리트2" localSheetId="6" hidden="1">#REF!</definedName>
    <definedName name="콘크리트2" localSheetId="7" hidden="1">#REF!</definedName>
    <definedName name="콘크리트2" localSheetId="3" hidden="1">#REF!</definedName>
    <definedName name="콘크리트2" hidden="1">#REF!</definedName>
    <definedName name="템플리트모듈10" localSheetId="6">[0]!BlankMacro1</definedName>
    <definedName name="템플리트모듈10" localSheetId="7">[0]!BlankMacro1</definedName>
    <definedName name="템플리트모듈10" localSheetId="3">[0]!BlankMacro1</definedName>
    <definedName name="템플리트모듈10">[0]!BlankMacro1</definedName>
    <definedName name="템플리트모튤11" localSheetId="6">[0]!BlankMacro1</definedName>
    <definedName name="템플리트모튤11" localSheetId="7">[0]!BlankMacro1</definedName>
    <definedName name="템플리트모튤11" localSheetId="3">[0]!BlankMacro1</definedName>
    <definedName name="템플리트모튤11">[0]!BlankMacro1</definedName>
    <definedName name="템플리트모튤12" localSheetId="6">[0]!BlankMacro1</definedName>
    <definedName name="템플리트모튤12" localSheetId="7">[0]!BlankMacro1</definedName>
    <definedName name="템플리트모튤12" localSheetId="3">[0]!BlankMacro1</definedName>
    <definedName name="템플리트모튤12">[0]!BlankMacro1</definedName>
    <definedName name="템플리트모튤13" localSheetId="6">[0]!BlankMacro1</definedName>
    <definedName name="템플리트모튤13" localSheetId="7">[0]!BlankMacro1</definedName>
    <definedName name="템플리트모튤13" localSheetId="3">[0]!BlankMacro1</definedName>
    <definedName name="템플리트모튤13">[0]!BlankMacro1</definedName>
    <definedName name="하수량" hidden="1">{"'인구추정(면계)'!$I$44:$N$48"}</definedName>
    <definedName name="황간면" hidden="1">{"'인구추정(면계)'!$I$44:$N$48"}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6" l="1"/>
  <c r="G71" i="3"/>
  <c r="E6" i="6"/>
  <c r="I231" i="3"/>
  <c r="H231" i="3"/>
  <c r="G231" i="3"/>
  <c r="F231" i="3"/>
  <c r="G236" i="3"/>
  <c r="H239" i="3"/>
  <c r="G239" i="3"/>
  <c r="F239" i="3"/>
  <c r="E239" i="3"/>
  <c r="H236" i="3"/>
  <c r="I156" i="3"/>
  <c r="H156" i="3"/>
  <c r="E236" i="3" l="1"/>
  <c r="G237" i="3"/>
  <c r="G238" i="3" s="1"/>
  <c r="H237" i="3"/>
  <c r="H238" i="3" s="1"/>
  <c r="I279" i="3"/>
  <c r="H279" i="3"/>
  <c r="G279" i="3"/>
  <c r="F279" i="3"/>
  <c r="E238" i="3" l="1"/>
  <c r="E237" i="3"/>
  <c r="H8" i="5"/>
  <c r="H7" i="5"/>
  <c r="F8" i="5"/>
  <c r="F6" i="5" s="1"/>
  <c r="I15" i="15" l="1"/>
  <c r="N13" i="15" l="1"/>
  <c r="N14" i="15" s="1"/>
  <c r="N15" i="15" s="1"/>
  <c r="O30" i="15"/>
  <c r="N30" i="15"/>
  <c r="J30" i="15"/>
  <c r="E30" i="15"/>
  <c r="I52" i="3" l="1"/>
  <c r="I111" i="3"/>
  <c r="H111" i="3"/>
  <c r="G111" i="3"/>
  <c r="G109" i="3" s="1"/>
  <c r="G110" i="3" s="1"/>
  <c r="F111" i="3"/>
  <c r="G10" i="6"/>
  <c r="I8" i="5"/>
  <c r="I7" i="5"/>
  <c r="G3" i="5" s="1"/>
  <c r="G11" i="5"/>
  <c r="E111" i="3" l="1"/>
  <c r="H109" i="3"/>
  <c r="H110" i="3" l="1"/>
  <c r="H3" i="5" l="1"/>
  <c r="F71" i="3" s="1"/>
  <c r="E22" i="15" l="1"/>
  <c r="H29" i="15" l="1"/>
  <c r="M29" i="15" s="1"/>
  <c r="I29" i="15" s="1"/>
  <c r="F29" i="15"/>
  <c r="G29" i="15" s="1"/>
  <c r="L29" i="15" s="1"/>
  <c r="F22" i="15"/>
  <c r="Y20" i="15"/>
  <c r="Y14" i="15"/>
  <c r="O12" i="15"/>
  <c r="N12" i="15"/>
  <c r="I12" i="15"/>
  <c r="E12" i="15"/>
  <c r="I49" i="15"/>
  <c r="Q27" i="15"/>
  <c r="H27" i="15"/>
  <c r="M27" i="15" s="1"/>
  <c r="F27" i="15"/>
  <c r="G27" i="15" s="1"/>
  <c r="L27" i="15" s="1"/>
  <c r="Q26" i="15"/>
  <c r="H26" i="15"/>
  <c r="F26" i="15"/>
  <c r="AB28" i="15"/>
  <c r="AA28" i="15"/>
  <c r="Q28" i="15"/>
  <c r="H28" i="15"/>
  <c r="M28" i="15" s="1"/>
  <c r="F28" i="15"/>
  <c r="K28" i="15" s="1"/>
  <c r="AB24" i="15"/>
  <c r="AA24" i="15"/>
  <c r="E24" i="15"/>
  <c r="E25" i="15" s="1"/>
  <c r="E18" i="15"/>
  <c r="F18" i="15" s="1"/>
  <c r="E21" i="15"/>
  <c r="F21" i="15" s="1"/>
  <c r="G21" i="15" s="1"/>
  <c r="L21" i="15" s="1"/>
  <c r="E19" i="15"/>
  <c r="H19" i="15" s="1"/>
  <c r="M19" i="15" s="1"/>
  <c r="E17" i="15"/>
  <c r="H17" i="15" s="1"/>
  <c r="M17" i="15" s="1"/>
  <c r="AB20" i="15"/>
  <c r="AA20" i="15"/>
  <c r="E20" i="15"/>
  <c r="E14" i="15"/>
  <c r="E13" i="15"/>
  <c r="H13" i="15" s="1"/>
  <c r="M13" i="15" s="1"/>
  <c r="AB15" i="15"/>
  <c r="AB8" i="15" s="1"/>
  <c r="AA15" i="15"/>
  <c r="I48" i="15"/>
  <c r="E15" i="15"/>
  <c r="H7" i="15"/>
  <c r="M7" i="15" s="1"/>
  <c r="F7" i="15"/>
  <c r="G7" i="15" s="1"/>
  <c r="L7" i="15" s="1"/>
  <c r="H10" i="15"/>
  <c r="M10" i="15" s="1"/>
  <c r="F10" i="15"/>
  <c r="K10" i="15" s="1"/>
  <c r="Q9" i="15"/>
  <c r="H9" i="15"/>
  <c r="M9" i="15" s="1"/>
  <c r="F9" i="15"/>
  <c r="G9" i="15" s="1"/>
  <c r="L9" i="15" s="1"/>
  <c r="Q11" i="15"/>
  <c r="H11" i="15"/>
  <c r="M11" i="15" s="1"/>
  <c r="F11" i="15"/>
  <c r="K11" i="15" s="1"/>
  <c r="Q6" i="15"/>
  <c r="H6" i="15"/>
  <c r="M6" i="15" s="1"/>
  <c r="F6" i="15"/>
  <c r="K6" i="15" s="1"/>
  <c r="AA8" i="15"/>
  <c r="Q8" i="15"/>
  <c r="H8" i="15"/>
  <c r="M8" i="15" s="1"/>
  <c r="F8" i="15"/>
  <c r="G18" i="15" l="1"/>
  <c r="L18" i="15" s="1"/>
  <c r="P18" i="15" s="1"/>
  <c r="K18" i="15"/>
  <c r="F14" i="15"/>
  <c r="K14" i="15" s="1"/>
  <c r="I14" i="15"/>
  <c r="E23" i="15"/>
  <c r="K22" i="15"/>
  <c r="G26" i="15"/>
  <c r="F30" i="15"/>
  <c r="H30" i="15"/>
  <c r="P7" i="15"/>
  <c r="Q7" i="15" s="1"/>
  <c r="P10" i="15"/>
  <c r="P29" i="15"/>
  <c r="K29" i="15"/>
  <c r="G22" i="15"/>
  <c r="H22" i="15"/>
  <c r="M12" i="15"/>
  <c r="E16" i="15"/>
  <c r="F12" i="15"/>
  <c r="H12" i="15"/>
  <c r="H18" i="15"/>
  <c r="M18" i="15" s="1"/>
  <c r="K7" i="15"/>
  <c r="H21" i="15"/>
  <c r="M21" i="15" s="1"/>
  <c r="I21" i="15" s="1"/>
  <c r="Q10" i="15"/>
  <c r="I50" i="15"/>
  <c r="O14" i="15" s="1"/>
  <c r="P21" i="15"/>
  <c r="K9" i="15"/>
  <c r="G11" i="15"/>
  <c r="L11" i="15" s="1"/>
  <c r="F15" i="15"/>
  <c r="G8" i="15"/>
  <c r="L8" i="15" s="1"/>
  <c r="H24" i="15"/>
  <c r="K8" i="15"/>
  <c r="H15" i="15"/>
  <c r="M15" i="15" s="1"/>
  <c r="K26" i="15"/>
  <c r="K27" i="15"/>
  <c r="L26" i="15"/>
  <c r="G6" i="15"/>
  <c r="G10" i="15"/>
  <c r="L10" i="15" s="1"/>
  <c r="F13" i="15"/>
  <c r="K13" i="15" s="1"/>
  <c r="F20" i="15"/>
  <c r="K20" i="15" s="1"/>
  <c r="G14" i="15"/>
  <c r="L14" i="15" s="1"/>
  <c r="P14" i="15" s="1"/>
  <c r="F17" i="15"/>
  <c r="F19" i="15"/>
  <c r="K19" i="15" s="1"/>
  <c r="F24" i="15"/>
  <c r="G28" i="15"/>
  <c r="L28" i="15" s="1"/>
  <c r="H14" i="15"/>
  <c r="M14" i="15" s="1"/>
  <c r="H20" i="15"/>
  <c r="M26" i="15"/>
  <c r="M30" i="15" s="1"/>
  <c r="K21" i="15"/>
  <c r="I28" i="15"/>
  <c r="I30" i="15" s="1"/>
  <c r="O13" i="15" l="1"/>
  <c r="G24" i="15"/>
  <c r="L24" i="15" s="1"/>
  <c r="P24" i="15" s="1"/>
  <c r="K24" i="15"/>
  <c r="M24" i="15"/>
  <c r="M25" i="15" s="1"/>
  <c r="F23" i="15"/>
  <c r="K17" i="15"/>
  <c r="K23" i="15" s="1"/>
  <c r="G15" i="15"/>
  <c r="L15" i="15" s="1"/>
  <c r="P15" i="15" s="1"/>
  <c r="K15" i="15"/>
  <c r="O15" i="15" s="1"/>
  <c r="Q15" i="15" s="1"/>
  <c r="M22" i="15"/>
  <c r="H23" i="15"/>
  <c r="L22" i="15"/>
  <c r="L30" i="15"/>
  <c r="Q29" i="15"/>
  <c r="Q30" i="15" s="1"/>
  <c r="D9" i="6" s="1"/>
  <c r="P30" i="15"/>
  <c r="K30" i="15"/>
  <c r="G30" i="15"/>
  <c r="Q12" i="15"/>
  <c r="D4" i="6" s="1"/>
  <c r="M16" i="15"/>
  <c r="H25" i="15"/>
  <c r="I25" i="15"/>
  <c r="K12" i="15"/>
  <c r="P12" i="15"/>
  <c r="G13" i="15"/>
  <c r="L13" i="15" s="1"/>
  <c r="P13" i="15" s="1"/>
  <c r="F16" i="15"/>
  <c r="H16" i="15"/>
  <c r="L6" i="15"/>
  <c r="L12" i="15" s="1"/>
  <c r="G12" i="15"/>
  <c r="Q14" i="15"/>
  <c r="G20" i="15"/>
  <c r="L20" i="15" s="1"/>
  <c r="P20" i="15" s="1"/>
  <c r="G19" i="15"/>
  <c r="L19" i="15" s="1"/>
  <c r="P19" i="15" s="1"/>
  <c r="G25" i="15"/>
  <c r="M20" i="15"/>
  <c r="K16" i="15"/>
  <c r="F25" i="15"/>
  <c r="G17" i="15"/>
  <c r="I16" i="15"/>
  <c r="Q13" i="15" l="1"/>
  <c r="R13" i="15" s="1"/>
  <c r="O16" i="15"/>
  <c r="P16" i="15"/>
  <c r="G23" i="15"/>
  <c r="L17" i="15"/>
  <c r="P17" i="15" s="1"/>
  <c r="P22" i="15"/>
  <c r="I22" i="15"/>
  <c r="I23" i="15" s="1"/>
  <c r="M23" i="15"/>
  <c r="I20" i="15"/>
  <c r="Q16" i="15"/>
  <c r="D5" i="6" s="1"/>
  <c r="R14" i="15"/>
  <c r="L16" i="15"/>
  <c r="G16" i="15"/>
  <c r="K25" i="15"/>
  <c r="P25" i="15"/>
  <c r="L25" i="15"/>
  <c r="W13" i="15" l="1"/>
  <c r="P23" i="15"/>
  <c r="L23" i="15"/>
  <c r="R15" i="15"/>
  <c r="R16" i="15" s="1"/>
  <c r="F10" i="6" l="1"/>
  <c r="M44" i="13"/>
  <c r="K44" i="13"/>
  <c r="I44" i="13"/>
  <c r="O29" i="13"/>
  <c r="E29" i="13"/>
  <c r="H28" i="13"/>
  <c r="M28" i="13" s="1"/>
  <c r="F28" i="13"/>
  <c r="G28" i="13" s="1"/>
  <c r="L28" i="13" s="1"/>
  <c r="K27" i="13"/>
  <c r="H27" i="13"/>
  <c r="M27" i="13" s="1"/>
  <c r="F27" i="13"/>
  <c r="G27" i="13" s="1"/>
  <c r="L27" i="13" s="1"/>
  <c r="Z26" i="13"/>
  <c r="Y26" i="13"/>
  <c r="H26" i="13"/>
  <c r="H29" i="13" s="1"/>
  <c r="G26" i="13"/>
  <c r="G29" i="13" s="1"/>
  <c r="F26" i="13"/>
  <c r="K26" i="13" s="1"/>
  <c r="N25" i="13"/>
  <c r="Z24" i="13"/>
  <c r="Y24" i="13"/>
  <c r="N24" i="13"/>
  <c r="M43" i="13" s="1"/>
  <c r="M45" i="13" s="1"/>
  <c r="E24" i="13"/>
  <c r="E25" i="13" s="1"/>
  <c r="N23" i="13"/>
  <c r="N22" i="13"/>
  <c r="E22" i="13"/>
  <c r="N21" i="13"/>
  <c r="E21" i="13"/>
  <c r="H21" i="13" s="1"/>
  <c r="M21" i="13" s="1"/>
  <c r="I21" i="13" s="1"/>
  <c r="N20" i="13"/>
  <c r="E20" i="13"/>
  <c r="H20" i="13" s="1"/>
  <c r="M20" i="13" s="1"/>
  <c r="I20" i="13" s="1"/>
  <c r="N19" i="13"/>
  <c r="E19" i="13"/>
  <c r="N18" i="13"/>
  <c r="F18" i="13"/>
  <c r="K18" i="13" s="1"/>
  <c r="O18" i="13" s="1"/>
  <c r="E18" i="13"/>
  <c r="H18" i="13" s="1"/>
  <c r="M18" i="13" s="1"/>
  <c r="I18" i="13" s="1"/>
  <c r="Z17" i="13"/>
  <c r="Y17" i="13"/>
  <c r="N17" i="13"/>
  <c r="K43" i="13" s="1"/>
  <c r="K45" i="13" s="1"/>
  <c r="E17" i="13"/>
  <c r="N15" i="13"/>
  <c r="F15" i="13"/>
  <c r="K15" i="13" s="1"/>
  <c r="E15" i="13"/>
  <c r="H15" i="13" s="1"/>
  <c r="M15" i="13" s="1"/>
  <c r="N14" i="13"/>
  <c r="E14" i="13"/>
  <c r="H14" i="13" s="1"/>
  <c r="M14" i="13" s="1"/>
  <c r="Z13" i="13"/>
  <c r="Z6" i="13" s="1"/>
  <c r="Y13" i="13"/>
  <c r="N13" i="13"/>
  <c r="I43" i="13" s="1"/>
  <c r="I45" i="13" s="1"/>
  <c r="E13" i="13"/>
  <c r="H13" i="13" s="1"/>
  <c r="O12" i="13"/>
  <c r="E12" i="13"/>
  <c r="H11" i="13"/>
  <c r="M11" i="13" s="1"/>
  <c r="F11" i="13"/>
  <c r="G11" i="13" s="1"/>
  <c r="L11" i="13" s="1"/>
  <c r="M10" i="13"/>
  <c r="H10" i="13"/>
  <c r="F10" i="13"/>
  <c r="G10" i="13" s="1"/>
  <c r="L10" i="13" s="1"/>
  <c r="K9" i="13"/>
  <c r="H9" i="13"/>
  <c r="M9" i="13" s="1"/>
  <c r="F9" i="13"/>
  <c r="G9" i="13" s="1"/>
  <c r="L9" i="13" s="1"/>
  <c r="H8" i="13"/>
  <c r="M8" i="13" s="1"/>
  <c r="G8" i="13"/>
  <c r="L8" i="13" s="1"/>
  <c r="F8" i="13"/>
  <c r="K8" i="13" s="1"/>
  <c r="M7" i="13"/>
  <c r="H7" i="13"/>
  <c r="G7" i="13"/>
  <c r="L7" i="13" s="1"/>
  <c r="F7" i="13"/>
  <c r="K7" i="13" s="1"/>
  <c r="Y6" i="13"/>
  <c r="H6" i="13"/>
  <c r="H12" i="13" s="1"/>
  <c r="F6" i="13"/>
  <c r="G6" i="13" s="1"/>
  <c r="P28" i="13" l="1"/>
  <c r="Q28" i="13" s="1"/>
  <c r="P10" i="13"/>
  <c r="P6" i="13"/>
  <c r="Q6" i="13" s="1"/>
  <c r="P27" i="13"/>
  <c r="Q27" i="13" s="1"/>
  <c r="P9" i="13"/>
  <c r="Q9" i="13" s="1"/>
  <c r="P26" i="13"/>
  <c r="Q26" i="13" s="1"/>
  <c r="P8" i="13"/>
  <c r="Q8" i="13" s="1"/>
  <c r="P11" i="13"/>
  <c r="P7" i="13"/>
  <c r="Q7" i="13" s="1"/>
  <c r="G18" i="13"/>
  <c r="L18" i="13" s="1"/>
  <c r="P18" i="13" s="1"/>
  <c r="Q18" i="13" s="1"/>
  <c r="R18" i="13" s="1"/>
  <c r="F24" i="13"/>
  <c r="K24" i="13" s="1"/>
  <c r="K25" i="13" s="1"/>
  <c r="F13" i="13"/>
  <c r="F16" i="13" s="1"/>
  <c r="E23" i="13"/>
  <c r="F14" i="13"/>
  <c r="F17" i="13"/>
  <c r="K17" i="13" s="1"/>
  <c r="F20" i="13"/>
  <c r="F21" i="13"/>
  <c r="K21" i="13" s="1"/>
  <c r="O21" i="13" s="1"/>
  <c r="Q29" i="13"/>
  <c r="Q11" i="13"/>
  <c r="G12" i="13"/>
  <c r="L6" i="13"/>
  <c r="L12" i="13" s="1"/>
  <c r="P12" i="13"/>
  <c r="Q10" i="13"/>
  <c r="Q12" i="13" s="1"/>
  <c r="O15" i="13"/>
  <c r="H16" i="13"/>
  <c r="M13" i="13"/>
  <c r="O24" i="13"/>
  <c r="M6" i="13"/>
  <c r="K10" i="13"/>
  <c r="K11" i="13"/>
  <c r="E16" i="13"/>
  <c r="H19" i="13"/>
  <c r="M19" i="13" s="1"/>
  <c r="I19" i="13" s="1"/>
  <c r="H22" i="13"/>
  <c r="M22" i="13" s="1"/>
  <c r="I22" i="13" s="1"/>
  <c r="K28" i="13"/>
  <c r="K29" i="13" s="1"/>
  <c r="K13" i="13"/>
  <c r="L26" i="13"/>
  <c r="L29" i="13" s="1"/>
  <c r="F29" i="13"/>
  <c r="K6" i="13"/>
  <c r="F12" i="13"/>
  <c r="G13" i="13"/>
  <c r="G15" i="13"/>
  <c r="L15" i="13" s="1"/>
  <c r="P15" i="13" s="1"/>
  <c r="F19" i="13"/>
  <c r="K19" i="13" s="1"/>
  <c r="O19" i="13" s="1"/>
  <c r="G21" i="13"/>
  <c r="L21" i="13" s="1"/>
  <c r="P21" i="13" s="1"/>
  <c r="Q21" i="13" s="1"/>
  <c r="R21" i="13" s="1"/>
  <c r="F22" i="13"/>
  <c r="K22" i="13" s="1"/>
  <c r="O22" i="13" s="1"/>
  <c r="G24" i="13"/>
  <c r="M26" i="13"/>
  <c r="H17" i="13"/>
  <c r="H24" i="13"/>
  <c r="O29" i="12"/>
  <c r="E29" i="12"/>
  <c r="Q28" i="12"/>
  <c r="H28" i="12"/>
  <c r="M28" i="12" s="1"/>
  <c r="F28" i="12"/>
  <c r="G28" i="12" s="1"/>
  <c r="L28" i="12" s="1"/>
  <c r="Q27" i="12"/>
  <c r="M27" i="12"/>
  <c r="H27" i="12"/>
  <c r="F27" i="12"/>
  <c r="K27" i="12" s="1"/>
  <c r="Z26" i="12"/>
  <c r="Y26" i="12"/>
  <c r="Q26" i="12"/>
  <c r="H26" i="12"/>
  <c r="H29" i="12" s="1"/>
  <c r="F26" i="12"/>
  <c r="G26" i="12" s="1"/>
  <c r="Q7" i="12"/>
  <c r="Q9" i="12"/>
  <c r="Q8" i="12"/>
  <c r="M9" i="12"/>
  <c r="K11" i="12"/>
  <c r="K7" i="12"/>
  <c r="F11" i="12"/>
  <c r="F10" i="12"/>
  <c r="K10" i="12" s="1"/>
  <c r="F9" i="12"/>
  <c r="G9" i="12" s="1"/>
  <c r="L9" i="12" s="1"/>
  <c r="F8" i="12"/>
  <c r="G8" i="12" s="1"/>
  <c r="L8" i="12" s="1"/>
  <c r="F7" i="12"/>
  <c r="F6" i="12"/>
  <c r="K6" i="12" s="1"/>
  <c r="H10" i="12"/>
  <c r="M10" i="12" s="1"/>
  <c r="H9" i="12"/>
  <c r="H8" i="12"/>
  <c r="M8" i="12" s="1"/>
  <c r="G10" i="12"/>
  <c r="L10" i="12" s="1"/>
  <c r="G17" i="13" l="1"/>
  <c r="P29" i="13"/>
  <c r="F25" i="13"/>
  <c r="K20" i="13"/>
  <c r="O20" i="13" s="1"/>
  <c r="G20" i="13"/>
  <c r="L20" i="13" s="1"/>
  <c r="P20" i="13" s="1"/>
  <c r="K14" i="13"/>
  <c r="O14" i="13" s="1"/>
  <c r="Q14" i="13" s="1"/>
  <c r="R14" i="13" s="1"/>
  <c r="G14" i="13"/>
  <c r="L14" i="13" s="1"/>
  <c r="P14" i="13" s="1"/>
  <c r="M24" i="13"/>
  <c r="H25" i="13"/>
  <c r="F23" i="13"/>
  <c r="L24" i="13"/>
  <c r="G25" i="13"/>
  <c r="L17" i="13"/>
  <c r="K12" i="13"/>
  <c r="O17" i="13"/>
  <c r="K23" i="13"/>
  <c r="M16" i="13"/>
  <c r="I13" i="13"/>
  <c r="I16" i="13" s="1"/>
  <c r="G16" i="13"/>
  <c r="L13" i="13"/>
  <c r="O25" i="13"/>
  <c r="G19" i="13"/>
  <c r="L19" i="13" s="1"/>
  <c r="P19" i="13" s="1"/>
  <c r="Q19" i="13" s="1"/>
  <c r="R19" i="13" s="1"/>
  <c r="M17" i="13"/>
  <c r="H23" i="13"/>
  <c r="M29" i="13"/>
  <c r="I26" i="13"/>
  <c r="I29" i="13" s="1"/>
  <c r="O13" i="13"/>
  <c r="K16" i="13"/>
  <c r="I6" i="13"/>
  <c r="I12" i="13" s="1"/>
  <c r="M12" i="13"/>
  <c r="G22" i="13"/>
  <c r="L22" i="13" s="1"/>
  <c r="P22" i="13" s="1"/>
  <c r="Q22" i="13" s="1"/>
  <c r="R22" i="13" s="1"/>
  <c r="Q15" i="13"/>
  <c r="R15" i="13" s="1"/>
  <c r="K28" i="12"/>
  <c r="K8" i="12"/>
  <c r="G27" i="12"/>
  <c r="L27" i="12" s="1"/>
  <c r="K9" i="12"/>
  <c r="L26" i="12"/>
  <c r="P29" i="12"/>
  <c r="Q29" i="12"/>
  <c r="M26" i="12"/>
  <c r="K26" i="12"/>
  <c r="F29" i="12"/>
  <c r="G23" i="13" l="1"/>
  <c r="Q20" i="13"/>
  <c r="R20" i="13" s="1"/>
  <c r="L25" i="13"/>
  <c r="P24" i="13"/>
  <c r="O16" i="13"/>
  <c r="M23" i="13"/>
  <c r="I17" i="13"/>
  <c r="I23" i="13" s="1"/>
  <c r="L16" i="13"/>
  <c r="P13" i="13"/>
  <c r="P16" i="13" s="1"/>
  <c r="P17" i="13"/>
  <c r="P23" i="13" s="1"/>
  <c r="L23" i="13"/>
  <c r="O23" i="13"/>
  <c r="M25" i="13"/>
  <c r="I24" i="13"/>
  <c r="I25" i="13" s="1"/>
  <c r="L29" i="12"/>
  <c r="G29" i="12"/>
  <c r="K29" i="12"/>
  <c r="I26" i="12"/>
  <c r="I29" i="12" s="1"/>
  <c r="M29" i="12"/>
  <c r="Q17" i="13" l="1"/>
  <c r="Q13" i="13"/>
  <c r="P25" i="13"/>
  <c r="Q24" i="13"/>
  <c r="Q23" i="13"/>
  <c r="R23" i="13" s="1"/>
  <c r="R17" i="13"/>
  <c r="H11" i="12"/>
  <c r="M11" i="12" s="1"/>
  <c r="P11" i="12" s="1"/>
  <c r="Q11" i="12" s="1"/>
  <c r="H7" i="12"/>
  <c r="M7" i="12" s="1"/>
  <c r="Z6" i="12"/>
  <c r="Y6" i="12"/>
  <c r="P10" i="12" s="1"/>
  <c r="Q10" i="12" s="1"/>
  <c r="H6" i="12"/>
  <c r="H12" i="12" s="1"/>
  <c r="Q25" i="13" l="1"/>
  <c r="R25" i="13" s="1"/>
  <c r="R24" i="13"/>
  <c r="Q16" i="13"/>
  <c r="R16" i="13" s="1"/>
  <c r="R13" i="13"/>
  <c r="E12" i="12"/>
  <c r="G11" i="12"/>
  <c r="L11" i="12" s="1"/>
  <c r="M6" i="12"/>
  <c r="P202" i="3"/>
  <c r="O202" i="3"/>
  <c r="N202" i="3"/>
  <c r="M202" i="3"/>
  <c r="P201" i="3"/>
  <c r="O201" i="3"/>
  <c r="N201" i="3"/>
  <c r="M201" i="3"/>
  <c r="P170" i="3"/>
  <c r="O170" i="3"/>
  <c r="N170" i="3"/>
  <c r="M170" i="3"/>
  <c r="P169" i="3"/>
  <c r="O169" i="3"/>
  <c r="N169" i="3"/>
  <c r="M169" i="3"/>
  <c r="I160" i="3"/>
  <c r="H160" i="3"/>
  <c r="G160" i="3"/>
  <c r="F160" i="3"/>
  <c r="I140" i="3"/>
  <c r="H140" i="3"/>
  <c r="G140" i="3"/>
  <c r="P138" i="3"/>
  <c r="O138" i="3"/>
  <c r="N138" i="3"/>
  <c r="M138" i="3"/>
  <c r="P137" i="3"/>
  <c r="I136" i="3"/>
  <c r="P130" i="3"/>
  <c r="O130" i="3"/>
  <c r="P129" i="3"/>
  <c r="O129" i="3"/>
  <c r="I128" i="3"/>
  <c r="H128" i="3"/>
  <c r="P122" i="3"/>
  <c r="O122" i="3"/>
  <c r="P121" i="3"/>
  <c r="O121" i="3"/>
  <c r="I120" i="3"/>
  <c r="H120" i="3"/>
  <c r="I112" i="3"/>
  <c r="H112" i="3"/>
  <c r="H100" i="3" s="1"/>
  <c r="G112" i="3"/>
  <c r="F112" i="3"/>
  <c r="G104" i="3"/>
  <c r="I132" i="3"/>
  <c r="H132" i="3"/>
  <c r="G132" i="3"/>
  <c r="F132" i="3"/>
  <c r="I76" i="3"/>
  <c r="H76" i="3"/>
  <c r="G76" i="3"/>
  <c r="F76" i="3"/>
  <c r="P66" i="3"/>
  <c r="O66" i="3"/>
  <c r="N66" i="3"/>
  <c r="M66" i="3"/>
  <c r="P65" i="3"/>
  <c r="O65" i="3"/>
  <c r="N65" i="3"/>
  <c r="M65" i="3"/>
  <c r="I36" i="3"/>
  <c r="H36" i="3"/>
  <c r="G36" i="3"/>
  <c r="F36" i="3"/>
  <c r="P34" i="3"/>
  <c r="O34" i="3"/>
  <c r="N34" i="3"/>
  <c r="M34" i="3"/>
  <c r="P33" i="3"/>
  <c r="I32" i="3"/>
  <c r="I28" i="3"/>
  <c r="H28" i="3"/>
  <c r="G28" i="3"/>
  <c r="P26" i="3"/>
  <c r="O26" i="3"/>
  <c r="N26" i="3"/>
  <c r="M26" i="3"/>
  <c r="P25" i="3"/>
  <c r="O25" i="3"/>
  <c r="N25" i="3"/>
  <c r="M25" i="3"/>
  <c r="I24" i="3"/>
  <c r="H24" i="3"/>
  <c r="G24" i="3"/>
  <c r="F24" i="3"/>
  <c r="P18" i="3"/>
  <c r="O18" i="3"/>
  <c r="N18" i="3"/>
  <c r="P17" i="3"/>
  <c r="O17" i="3"/>
  <c r="N17" i="3"/>
  <c r="I16" i="3"/>
  <c r="H16" i="3"/>
  <c r="G16" i="3"/>
  <c r="G100" i="3" l="1"/>
  <c r="F12" i="12"/>
  <c r="M12" i="12"/>
  <c r="I12" i="12"/>
  <c r="G7" i="12"/>
  <c r="L7" i="12" s="1"/>
  <c r="G6" i="12"/>
  <c r="N13" i="12"/>
  <c r="G12" i="12" l="1"/>
  <c r="L6" i="12"/>
  <c r="K12" i="12"/>
  <c r="G256" i="3"/>
  <c r="L12" i="12" l="1"/>
  <c r="P12" i="12"/>
  <c r="H41" i="4"/>
  <c r="I37" i="4"/>
  <c r="G244" i="3" l="1"/>
  <c r="H244" i="3"/>
  <c r="H245" i="3" s="1"/>
  <c r="I244" i="3"/>
  <c r="F244" i="3"/>
  <c r="F232" i="3"/>
  <c r="E271" i="3"/>
  <c r="P270" i="3"/>
  <c r="O270" i="3"/>
  <c r="N270" i="3"/>
  <c r="M270" i="3"/>
  <c r="P269" i="3"/>
  <c r="O269" i="3"/>
  <c r="N269" i="3"/>
  <c r="M269" i="3"/>
  <c r="E267" i="3"/>
  <c r="F265" i="3"/>
  <c r="F266" i="3" s="1"/>
  <c r="I265" i="3"/>
  <c r="H265" i="3"/>
  <c r="E263" i="3"/>
  <c r="P262" i="3"/>
  <c r="O262" i="3"/>
  <c r="N262" i="3"/>
  <c r="M262" i="3"/>
  <c r="P261" i="3"/>
  <c r="O261" i="3"/>
  <c r="N261" i="3"/>
  <c r="M261" i="3"/>
  <c r="E259" i="3"/>
  <c r="I255" i="3"/>
  <c r="I251" i="3" s="1"/>
  <c r="H255" i="3"/>
  <c r="H251" i="3" s="1"/>
  <c r="G255" i="3"/>
  <c r="G251" i="3" s="1"/>
  <c r="P255" i="3"/>
  <c r="N255" i="3"/>
  <c r="M255" i="3"/>
  <c r="F251" i="3"/>
  <c r="E247" i="3"/>
  <c r="I243" i="3"/>
  <c r="I227" i="3" s="1"/>
  <c r="H243" i="3"/>
  <c r="G243" i="3"/>
  <c r="G241" i="3" s="1"/>
  <c r="F243" i="3"/>
  <c r="H233" i="3"/>
  <c r="I220" i="3"/>
  <c r="H220" i="3"/>
  <c r="F220" i="3"/>
  <c r="M218" i="3"/>
  <c r="N218" i="3"/>
  <c r="O218" i="3"/>
  <c r="P218" i="3"/>
  <c r="G212" i="3"/>
  <c r="H212" i="3"/>
  <c r="I212" i="3"/>
  <c r="F212" i="3"/>
  <c r="M210" i="3"/>
  <c r="O210" i="3"/>
  <c r="P210" i="3"/>
  <c r="O209" i="3"/>
  <c r="P209" i="3"/>
  <c r="M209" i="3"/>
  <c r="G200" i="3"/>
  <c r="H200" i="3"/>
  <c r="I200" i="3"/>
  <c r="F200" i="3"/>
  <c r="I188" i="3"/>
  <c r="H188" i="3"/>
  <c r="F188" i="3"/>
  <c r="M186" i="3"/>
  <c r="N186" i="3"/>
  <c r="O186" i="3"/>
  <c r="P186" i="3"/>
  <c r="G180" i="3"/>
  <c r="H180" i="3"/>
  <c r="I180" i="3"/>
  <c r="F180" i="3"/>
  <c r="M178" i="3"/>
  <c r="O178" i="3"/>
  <c r="P178" i="3"/>
  <c r="O177" i="3"/>
  <c r="P177" i="3"/>
  <c r="M177" i="3"/>
  <c r="G168" i="3"/>
  <c r="H168" i="3"/>
  <c r="I168" i="3"/>
  <c r="F168" i="3"/>
  <c r="G92" i="3"/>
  <c r="H92" i="3"/>
  <c r="I92" i="3"/>
  <c r="I88" i="3"/>
  <c r="H88" i="3"/>
  <c r="G88" i="3"/>
  <c r="M82" i="3"/>
  <c r="N82" i="3"/>
  <c r="O82" i="3"/>
  <c r="P82" i="3"/>
  <c r="O73" i="3"/>
  <c r="P73" i="3"/>
  <c r="P74" i="3"/>
  <c r="M74" i="3"/>
  <c r="M73" i="3"/>
  <c r="I72" i="3"/>
  <c r="F72" i="3"/>
  <c r="G64" i="3"/>
  <c r="H64" i="3"/>
  <c r="I64" i="3"/>
  <c r="F64" i="3"/>
  <c r="F48" i="3"/>
  <c r="F228" i="3" l="1"/>
  <c r="G245" i="3"/>
  <c r="G228" i="3"/>
  <c r="E243" i="3"/>
  <c r="H25" i="4"/>
  <c r="I25" i="4"/>
  <c r="P271" i="3"/>
  <c r="I268" i="3" s="1"/>
  <c r="E244" i="3"/>
  <c r="F269" i="3"/>
  <c r="G269" i="3"/>
  <c r="M263" i="3"/>
  <c r="F260" i="3" s="1"/>
  <c r="H261" i="3"/>
  <c r="E252" i="3"/>
  <c r="P263" i="3"/>
  <c r="I260" i="3" s="1"/>
  <c r="O271" i="3"/>
  <c r="H268" i="3" s="1"/>
  <c r="I233" i="3"/>
  <c r="I234" i="3" s="1"/>
  <c r="H253" i="3"/>
  <c r="H254" i="3" s="1"/>
  <c r="G261" i="3"/>
  <c r="O263" i="3"/>
  <c r="H260" i="3" s="1"/>
  <c r="M271" i="3"/>
  <c r="F268" i="3" s="1"/>
  <c r="E255" i="3"/>
  <c r="N271" i="3"/>
  <c r="G268" i="3" s="1"/>
  <c r="G242" i="3"/>
  <c r="F245" i="3"/>
  <c r="E251" i="3"/>
  <c r="N263" i="3"/>
  <c r="G260" i="3" s="1"/>
  <c r="O255" i="3"/>
  <c r="F227" i="3"/>
  <c r="G253" i="3"/>
  <c r="G254" i="3" s="1"/>
  <c r="E264" i="3"/>
  <c r="H269" i="3"/>
  <c r="I269" i="3"/>
  <c r="E235" i="3"/>
  <c r="G227" i="3"/>
  <c r="I261" i="3"/>
  <c r="H266" i="3"/>
  <c r="H227" i="3"/>
  <c r="I253" i="3"/>
  <c r="I254" i="3" s="1"/>
  <c r="F261" i="3"/>
  <c r="E265" i="3"/>
  <c r="I266" i="3"/>
  <c r="F233" i="3"/>
  <c r="I245" i="3"/>
  <c r="H234" i="3"/>
  <c r="F253" i="3"/>
  <c r="G257" i="3"/>
  <c r="G258" i="3" s="1"/>
  <c r="H246" i="3"/>
  <c r="F234" i="3" l="1"/>
  <c r="F229" i="3"/>
  <c r="G246" i="3"/>
  <c r="G230" i="3" s="1"/>
  <c r="G229" i="3"/>
  <c r="H262" i="3"/>
  <c r="G270" i="3"/>
  <c r="F262" i="3"/>
  <c r="G262" i="3"/>
  <c r="F270" i="3"/>
  <c r="E268" i="3"/>
  <c r="H270" i="3"/>
  <c r="G249" i="3"/>
  <c r="G225" i="3" s="1"/>
  <c r="E231" i="3"/>
  <c r="E269" i="3"/>
  <c r="I270" i="3"/>
  <c r="E261" i="3"/>
  <c r="E266" i="3"/>
  <c r="F246" i="3"/>
  <c r="E245" i="3"/>
  <c r="I262" i="3"/>
  <c r="E260" i="3"/>
  <c r="G248" i="3"/>
  <c r="E234" i="3"/>
  <c r="I246" i="3"/>
  <c r="E227" i="3"/>
  <c r="F254" i="3"/>
  <c r="E254" i="3" s="1"/>
  <c r="E253" i="3"/>
  <c r="E233" i="3"/>
  <c r="F230" i="3" l="1"/>
  <c r="G250" i="3"/>
  <c r="G226" i="3" s="1"/>
  <c r="E270" i="3"/>
  <c r="E246" i="3"/>
  <c r="E262" i="3"/>
  <c r="N25" i="12" l="1"/>
  <c r="N23" i="12"/>
  <c r="N24" i="12"/>
  <c r="M43" i="12" s="1"/>
  <c r="E24" i="12"/>
  <c r="F24" i="12" s="1"/>
  <c r="N22" i="12"/>
  <c r="N21" i="12"/>
  <c r="N20" i="12"/>
  <c r="N19" i="12"/>
  <c r="N18" i="12"/>
  <c r="N17" i="12"/>
  <c r="K43" i="12" s="1"/>
  <c r="E22" i="12"/>
  <c r="F22" i="12" s="1"/>
  <c r="E21" i="12"/>
  <c r="E20" i="12"/>
  <c r="H20" i="12" s="1"/>
  <c r="M20" i="12" s="1"/>
  <c r="I20" i="12" s="1"/>
  <c r="E19" i="12"/>
  <c r="H19" i="12" s="1"/>
  <c r="M19" i="12" s="1"/>
  <c r="E18" i="12"/>
  <c r="F18" i="12" s="1"/>
  <c r="E17" i="12"/>
  <c r="F17" i="12" s="1"/>
  <c r="M44" i="12"/>
  <c r="K44" i="12"/>
  <c r="Z24" i="12"/>
  <c r="Y24" i="12"/>
  <c r="Z17" i="12"/>
  <c r="Y17" i="12"/>
  <c r="Z13" i="12"/>
  <c r="N15" i="12"/>
  <c r="N14" i="12"/>
  <c r="H22" i="12" l="1"/>
  <c r="M22" i="12" s="1"/>
  <c r="F19" i="12"/>
  <c r="G19" i="12" s="1"/>
  <c r="L19" i="12" s="1"/>
  <c r="H18" i="12"/>
  <c r="M18" i="12" s="1"/>
  <c r="K18" i="12"/>
  <c r="G18" i="12"/>
  <c r="L18" i="12" s="1"/>
  <c r="K22" i="12"/>
  <c r="G22" i="12"/>
  <c r="L22" i="12" s="1"/>
  <c r="F20" i="12"/>
  <c r="K20" i="12" s="1"/>
  <c r="M45" i="12"/>
  <c r="F21" i="12"/>
  <c r="K21" i="12" s="1"/>
  <c r="H21" i="12"/>
  <c r="K45" i="12"/>
  <c r="K24" i="12"/>
  <c r="G24" i="12"/>
  <c r="H24" i="12"/>
  <c r="E25" i="12"/>
  <c r="H17" i="12"/>
  <c r="E23" i="12"/>
  <c r="O24" i="12" l="1"/>
  <c r="G20" i="12"/>
  <c r="L20" i="12" s="1"/>
  <c r="P20" i="12" s="1"/>
  <c r="K19" i="12"/>
  <c r="R19" i="12" s="1"/>
  <c r="O21" i="12"/>
  <c r="R18" i="12"/>
  <c r="G21" i="12"/>
  <c r="L21" i="12" s="1"/>
  <c r="P21" i="12" s="1"/>
  <c r="M21" i="12"/>
  <c r="I21" i="12" s="1"/>
  <c r="O20" i="12"/>
  <c r="R22" i="12"/>
  <c r="F25" i="12"/>
  <c r="M24" i="12"/>
  <c r="H25" i="12"/>
  <c r="L24" i="12"/>
  <c r="K25" i="12"/>
  <c r="H23" i="12"/>
  <c r="M17" i="12"/>
  <c r="K17" i="12"/>
  <c r="O17" i="12" s="1"/>
  <c r="F23" i="12"/>
  <c r="G17" i="12"/>
  <c r="Q21" i="12" l="1"/>
  <c r="R21" i="12" s="1"/>
  <c r="Q20" i="12"/>
  <c r="R20" i="12" s="1"/>
  <c r="G25" i="12"/>
  <c r="L25" i="12"/>
  <c r="P24" i="12"/>
  <c r="P25" i="12" s="1"/>
  <c r="I24" i="12"/>
  <c r="I25" i="12" s="1"/>
  <c r="M25" i="12"/>
  <c r="K23" i="12"/>
  <c r="M23" i="12"/>
  <c r="I17" i="12"/>
  <c r="I23" i="12" s="1"/>
  <c r="L17" i="12"/>
  <c r="P17" i="12" s="1"/>
  <c r="G23" i="12"/>
  <c r="P23" i="12" l="1"/>
  <c r="L23" i="12"/>
  <c r="E15" i="12" l="1"/>
  <c r="E14" i="12"/>
  <c r="F14" i="12" s="1"/>
  <c r="E13" i="12"/>
  <c r="I44" i="12"/>
  <c r="Y13" i="12"/>
  <c r="I43" i="12"/>
  <c r="H13" i="12" l="1"/>
  <c r="M13" i="12" s="1"/>
  <c r="F13" i="12"/>
  <c r="K13" i="12" s="1"/>
  <c r="H15" i="12"/>
  <c r="M15" i="12" s="1"/>
  <c r="F15" i="12"/>
  <c r="K15" i="12" s="1"/>
  <c r="E16" i="12"/>
  <c r="K14" i="12"/>
  <c r="H14" i="12"/>
  <c r="M14" i="12" s="1"/>
  <c r="I45" i="12"/>
  <c r="G13" i="12" l="1"/>
  <c r="L13" i="12" s="1"/>
  <c r="P13" i="12" s="1"/>
  <c r="H16" i="12"/>
  <c r="M16" i="12"/>
  <c r="O15" i="12"/>
  <c r="F16" i="12"/>
  <c r="K16" i="12"/>
  <c r="O13" i="12"/>
  <c r="G15" i="12"/>
  <c r="L15" i="12" s="1"/>
  <c r="P15" i="12" s="1"/>
  <c r="G14" i="12"/>
  <c r="L14" i="12" s="1"/>
  <c r="I13" i="12"/>
  <c r="I16" i="12" s="1"/>
  <c r="Q6" i="12" l="1"/>
  <c r="O12" i="12"/>
  <c r="R14" i="12"/>
  <c r="Q15" i="12"/>
  <c r="R15" i="12" s="1"/>
  <c r="O16" i="12"/>
  <c r="O25" i="12"/>
  <c r="Q24" i="12"/>
  <c r="G16" i="12"/>
  <c r="O23" i="12"/>
  <c r="Q17" i="12"/>
  <c r="L16" i="12"/>
  <c r="P16" i="12"/>
  <c r="Q13" i="12"/>
  <c r="Q16" i="12" l="1"/>
  <c r="R16" i="12" s="1"/>
  <c r="Q12" i="12"/>
  <c r="Q25" i="12"/>
  <c r="R24" i="12"/>
  <c r="R17" i="12"/>
  <c r="Q23" i="12"/>
  <c r="R13" i="12"/>
  <c r="R25" i="12" l="1"/>
  <c r="R23" i="12"/>
  <c r="I155" i="3" l="1"/>
  <c r="H155" i="3"/>
  <c r="G155" i="3"/>
  <c r="I107" i="3"/>
  <c r="I103" i="3" s="1"/>
  <c r="H107" i="3"/>
  <c r="H103" i="3" s="1"/>
  <c r="G107" i="3"/>
  <c r="G103" i="3" s="1"/>
  <c r="E44" i="4" l="1"/>
  <c r="I38" i="4"/>
  <c r="I39" i="4" s="1"/>
  <c r="H42" i="4" l="1"/>
  <c r="H43" i="4" s="1"/>
  <c r="I32" i="4"/>
  <c r="H32" i="4"/>
  <c r="G32" i="4"/>
  <c r="F32" i="4"/>
  <c r="I28" i="4"/>
  <c r="H28" i="4"/>
  <c r="G28" i="4"/>
  <c r="F28" i="4"/>
  <c r="I87" i="3"/>
  <c r="H87" i="3"/>
  <c r="G87" i="3"/>
  <c r="F87" i="3"/>
  <c r="I29" i="4"/>
  <c r="H29" i="4"/>
  <c r="G29" i="4"/>
  <c r="E95" i="3"/>
  <c r="I89" i="3"/>
  <c r="I90" i="3" s="1"/>
  <c r="H89" i="3"/>
  <c r="H90" i="3" s="1"/>
  <c r="G89" i="3"/>
  <c r="H37" i="3"/>
  <c r="G37" i="3"/>
  <c r="E39" i="3"/>
  <c r="I37" i="3"/>
  <c r="E91" i="3"/>
  <c r="E87" i="3" l="1"/>
  <c r="E32" i="4"/>
  <c r="H38" i="3"/>
  <c r="I38" i="3"/>
  <c r="I93" i="3"/>
  <c r="I94" i="3" s="1"/>
  <c r="I31" i="4" s="1"/>
  <c r="I84" i="3"/>
  <c r="G84" i="3"/>
  <c r="H84" i="3"/>
  <c r="H93" i="3"/>
  <c r="H30" i="4" s="1"/>
  <c r="G93" i="3"/>
  <c r="G30" i="4" s="1"/>
  <c r="E36" i="3"/>
  <c r="G38" i="3"/>
  <c r="F37" i="3"/>
  <c r="G90" i="3"/>
  <c r="I275" i="3"/>
  <c r="H275" i="3"/>
  <c r="G275" i="3"/>
  <c r="F275" i="3"/>
  <c r="F199" i="3"/>
  <c r="G199" i="3"/>
  <c r="H199" i="3"/>
  <c r="I199" i="3"/>
  <c r="E223" i="3"/>
  <c r="E215" i="3"/>
  <c r="E211" i="3"/>
  <c r="E207" i="3"/>
  <c r="I189" i="3"/>
  <c r="I190" i="3" s="1"/>
  <c r="H189" i="3"/>
  <c r="H190" i="3" s="1"/>
  <c r="E191" i="3"/>
  <c r="F167" i="3"/>
  <c r="I171" i="3"/>
  <c r="I167" i="3" s="1"/>
  <c r="H171" i="3"/>
  <c r="H167" i="3" s="1"/>
  <c r="G171" i="3"/>
  <c r="E183" i="3"/>
  <c r="E179" i="3"/>
  <c r="F119" i="3"/>
  <c r="E135" i="3"/>
  <c r="E127" i="3"/>
  <c r="I77" i="3"/>
  <c r="I78" i="3" s="1"/>
  <c r="E79" i="3"/>
  <c r="E71" i="3"/>
  <c r="I15" i="3"/>
  <c r="I11" i="3" s="1"/>
  <c r="H15" i="3"/>
  <c r="H11" i="3" s="1"/>
  <c r="G15" i="3"/>
  <c r="G11" i="3" s="1"/>
  <c r="F15" i="3"/>
  <c r="F11" i="3" s="1"/>
  <c r="H29" i="3"/>
  <c r="H30" i="3" s="1"/>
  <c r="E31" i="3"/>
  <c r="E23" i="3"/>
  <c r="G161" i="3"/>
  <c r="F161" i="3"/>
  <c r="E163" i="3"/>
  <c r="I159" i="3"/>
  <c r="H159" i="3"/>
  <c r="G159" i="3"/>
  <c r="G157" i="3" s="1"/>
  <c r="F159" i="3"/>
  <c r="I30" i="4" l="1"/>
  <c r="I86" i="3"/>
  <c r="I85" i="3"/>
  <c r="I195" i="3"/>
  <c r="H85" i="3"/>
  <c r="G85" i="3"/>
  <c r="G195" i="3"/>
  <c r="F195" i="3"/>
  <c r="E37" i="3"/>
  <c r="G94" i="3"/>
  <c r="G31" i="4" s="1"/>
  <c r="H94" i="3"/>
  <c r="F38" i="3"/>
  <c r="E199" i="3"/>
  <c r="H195" i="3"/>
  <c r="I221" i="3"/>
  <c r="O171" i="3"/>
  <c r="H221" i="3"/>
  <c r="H222" i="3" s="1"/>
  <c r="E212" i="3"/>
  <c r="F213" i="3"/>
  <c r="F214" i="3" s="1"/>
  <c r="H213" i="3"/>
  <c r="H214" i="3" s="1"/>
  <c r="I213" i="3"/>
  <c r="I214" i="3" s="1"/>
  <c r="E171" i="3"/>
  <c r="I169" i="3"/>
  <c r="I170" i="3" s="1"/>
  <c r="H169" i="3"/>
  <c r="H170" i="3" s="1"/>
  <c r="G167" i="3"/>
  <c r="P171" i="3"/>
  <c r="E180" i="3"/>
  <c r="F181" i="3"/>
  <c r="F182" i="3" s="1"/>
  <c r="E132" i="3"/>
  <c r="H181" i="3"/>
  <c r="H182" i="3" s="1"/>
  <c r="I181" i="3"/>
  <c r="I182" i="3" s="1"/>
  <c r="I153" i="3"/>
  <c r="I154" i="3" s="1"/>
  <c r="F133" i="3"/>
  <c r="F134" i="3" s="1"/>
  <c r="H133" i="3"/>
  <c r="H134" i="3" s="1"/>
  <c r="I133" i="3"/>
  <c r="I134" i="3" s="1"/>
  <c r="E76" i="3"/>
  <c r="F77" i="3"/>
  <c r="H77" i="3"/>
  <c r="H78" i="3" s="1"/>
  <c r="I29" i="3"/>
  <c r="I30" i="3" s="1"/>
  <c r="E159" i="3"/>
  <c r="I151" i="3"/>
  <c r="I147" i="3" s="1"/>
  <c r="G151" i="3"/>
  <c r="G158" i="3"/>
  <c r="G149" i="3"/>
  <c r="G162" i="3"/>
  <c r="F162" i="3"/>
  <c r="I148" i="3"/>
  <c r="E160" i="3"/>
  <c r="H161" i="3"/>
  <c r="I161" i="3"/>
  <c r="I162" i="3" s="1"/>
  <c r="H151" i="3"/>
  <c r="H147" i="3" s="1"/>
  <c r="H153" i="3"/>
  <c r="I157" i="3"/>
  <c r="H31" i="4" l="1"/>
  <c r="H86" i="3"/>
  <c r="G86" i="3"/>
  <c r="E38" i="3"/>
  <c r="I222" i="3"/>
  <c r="E214" i="3"/>
  <c r="E213" i="3"/>
  <c r="G147" i="3"/>
  <c r="E182" i="3"/>
  <c r="E181" i="3"/>
  <c r="E134" i="3"/>
  <c r="E133" i="3"/>
  <c r="E77" i="3"/>
  <c r="F78" i="3"/>
  <c r="E78" i="3" s="1"/>
  <c r="G150" i="3"/>
  <c r="E161" i="3"/>
  <c r="I149" i="3"/>
  <c r="H162" i="3"/>
  <c r="E162" i="3" s="1"/>
  <c r="I158" i="3"/>
  <c r="I150" i="3" s="1"/>
  <c r="H154" i="3"/>
  <c r="G148" i="3" l="1"/>
  <c r="P67" i="3" l="1"/>
  <c r="E67" i="3"/>
  <c r="I75" i="3"/>
  <c r="H75" i="3"/>
  <c r="G75" i="3"/>
  <c r="F75" i="3"/>
  <c r="F63" i="3" s="1"/>
  <c r="F24" i="4" s="1"/>
  <c r="E27" i="3"/>
  <c r="E19" i="3"/>
  <c r="E35" i="3"/>
  <c r="K7" i="5"/>
  <c r="L7" i="5" s="1"/>
  <c r="E75" i="3" l="1"/>
  <c r="I65" i="3"/>
  <c r="H65" i="3"/>
  <c r="O67" i="3"/>
  <c r="H66" i="3" l="1"/>
  <c r="I66" i="3"/>
  <c r="G14" i="11" l="1"/>
  <c r="G12" i="11"/>
  <c r="G11" i="11"/>
  <c r="G10" i="11"/>
  <c r="G9" i="11"/>
  <c r="G8" i="11"/>
  <c r="G7" i="11"/>
  <c r="G5" i="11"/>
  <c r="G4" i="11"/>
  <c r="G3" i="11"/>
  <c r="E16" i="8"/>
  <c r="G14" i="8"/>
  <c r="G16" i="8" s="1"/>
  <c r="E13" i="8"/>
  <c r="G12" i="8"/>
  <c r="I12" i="8" s="1"/>
  <c r="I11" i="8"/>
  <c r="G11" i="8"/>
  <c r="G10" i="8"/>
  <c r="I10" i="8" s="1"/>
  <c r="I9" i="8"/>
  <c r="G9" i="8"/>
  <c r="G8" i="8"/>
  <c r="I8" i="8" s="1"/>
  <c r="I7" i="8"/>
  <c r="G7" i="8"/>
  <c r="E6" i="8"/>
  <c r="G5" i="8"/>
  <c r="I5" i="8" s="1"/>
  <c r="G4" i="8"/>
  <c r="I4" i="8" s="1"/>
  <c r="G3" i="8"/>
  <c r="G13" i="8" l="1"/>
  <c r="G6" i="8"/>
  <c r="I13" i="8"/>
  <c r="I3" i="8"/>
  <c r="I6" i="8" s="1"/>
  <c r="I14" i="8"/>
  <c r="I16" i="8" s="1"/>
  <c r="E115" i="3" l="1"/>
  <c r="H113" i="3"/>
  <c r="H114" i="3" s="1"/>
  <c r="G113" i="3"/>
  <c r="G101" i="3" s="1"/>
  <c r="E295" i="3"/>
  <c r="E291" i="3"/>
  <c r="E287" i="3"/>
  <c r="E315" i="3"/>
  <c r="E307" i="3"/>
  <c r="J13" i="1"/>
  <c r="J12" i="1"/>
  <c r="J11" i="1"/>
  <c r="J10" i="1"/>
  <c r="J9" i="1"/>
  <c r="J8" i="1"/>
  <c r="I113" i="3" l="1"/>
  <c r="I114" i="3" s="1"/>
  <c r="H105" i="3"/>
  <c r="H101" i="3" s="1"/>
  <c r="E112" i="3"/>
  <c r="G114" i="3"/>
  <c r="G102" i="3" s="1"/>
  <c r="F113" i="3"/>
  <c r="I105" i="3"/>
  <c r="I106" i="3" l="1"/>
  <c r="E113" i="3"/>
  <c r="H106" i="3"/>
  <c r="H102" i="3" s="1"/>
  <c r="F114" i="3"/>
  <c r="E114" i="3" s="1"/>
  <c r="G8" i="1"/>
  <c r="H8" i="1" s="1"/>
  <c r="G9" i="1"/>
  <c r="H9" i="1" s="1"/>
  <c r="E16" i="11" l="1"/>
  <c r="I16" i="11"/>
  <c r="G16" i="11"/>
  <c r="E13" i="11"/>
  <c r="I12" i="11"/>
  <c r="I11" i="11"/>
  <c r="I10" i="11"/>
  <c r="I9" i="11"/>
  <c r="I8" i="11"/>
  <c r="I7" i="11"/>
  <c r="E6" i="11"/>
  <c r="I3" i="11"/>
  <c r="I13" i="11" l="1"/>
  <c r="G13" i="11"/>
  <c r="I6" i="11"/>
  <c r="G6" i="11"/>
  <c r="E16" i="10" l="1"/>
  <c r="E13" i="10"/>
  <c r="G12" i="10"/>
  <c r="I12" i="10" s="1"/>
  <c r="G11" i="10"/>
  <c r="I11" i="10" s="1"/>
  <c r="G10" i="10"/>
  <c r="I10" i="10" s="1"/>
  <c r="G9" i="10"/>
  <c r="I9" i="10" s="1"/>
  <c r="G8" i="10"/>
  <c r="I8" i="10" s="1"/>
  <c r="G7" i="10"/>
  <c r="I7" i="10" s="1"/>
  <c r="G5" i="10"/>
  <c r="I5" i="10" s="1"/>
  <c r="G4" i="10"/>
  <c r="I4" i="10" s="1"/>
  <c r="G3" i="10"/>
  <c r="C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1" i="9"/>
  <c r="G6" i="10" l="1"/>
  <c r="E6" i="10"/>
  <c r="I13" i="10"/>
  <c r="G13" i="10"/>
  <c r="G14" i="10"/>
  <c r="I3" i="10"/>
  <c r="I6" i="10" s="1"/>
  <c r="I14" i="10" l="1"/>
  <c r="I16" i="10" s="1"/>
  <c r="G16" i="10"/>
  <c r="E59" i="3" l="1"/>
  <c r="E279" i="3" l="1"/>
  <c r="E167" i="3"/>
  <c r="E283" i="3"/>
  <c r="E219" i="3"/>
  <c r="O203" i="3" l="1"/>
  <c r="I201" i="3"/>
  <c r="E195" i="3"/>
  <c r="H201" i="3"/>
  <c r="P203" i="3"/>
  <c r="E203" i="3"/>
  <c r="G51" i="3"/>
  <c r="I202" i="3" l="1"/>
  <c r="H202" i="3"/>
  <c r="G119" i="3" l="1"/>
  <c r="H119" i="3"/>
  <c r="I119" i="3"/>
  <c r="G83" i="3"/>
  <c r="G63" i="3" s="1"/>
  <c r="G24" i="4" s="1"/>
  <c r="H83" i="3"/>
  <c r="H63" i="3" s="1"/>
  <c r="I83" i="3"/>
  <c r="I63" i="3" s="1"/>
  <c r="H55" i="3"/>
  <c r="I55" i="3"/>
  <c r="F55" i="3"/>
  <c r="H51" i="3"/>
  <c r="I51" i="3"/>
  <c r="H24" i="4" l="1"/>
  <c r="I24" i="4"/>
  <c r="I99" i="3"/>
  <c r="H99" i="3"/>
  <c r="G99" i="3"/>
  <c r="I47" i="3"/>
  <c r="I20" i="4" s="1"/>
  <c r="H47" i="3"/>
  <c r="H20" i="4" s="1"/>
  <c r="H16" i="4" s="1"/>
  <c r="G36" i="4"/>
  <c r="H36" i="4"/>
  <c r="I36" i="4"/>
  <c r="F36" i="4"/>
  <c r="E28" i="4"/>
  <c r="E40" i="4"/>
  <c r="E46" i="4"/>
  <c r="E48" i="4"/>
  <c r="E131" i="3"/>
  <c r="E139" i="3"/>
  <c r="E143" i="3"/>
  <c r="E175" i="3"/>
  <c r="E187" i="3"/>
  <c r="I16" i="4" l="1"/>
  <c r="I12" i="4" s="1"/>
  <c r="I8" i="4" s="1"/>
  <c r="H43" i="3"/>
  <c r="H7" i="3" s="1"/>
  <c r="I43" i="3"/>
  <c r="I7" i="3" s="1"/>
  <c r="H12" i="4"/>
  <c r="H8" i="4" s="1"/>
  <c r="E36" i="4"/>
  <c r="E275" i="3"/>
  <c r="E8" i="2" l="1"/>
  <c r="G6" i="2"/>
  <c r="G4" i="2"/>
  <c r="H4" i="2" s="1"/>
  <c r="G3" i="2"/>
  <c r="G8" i="2" l="1"/>
  <c r="H8" i="2" s="1"/>
  <c r="H6" i="2"/>
  <c r="H3" i="2"/>
  <c r="G5" i="2"/>
  <c r="E5" i="2"/>
  <c r="E9" i="2" s="1"/>
  <c r="G16" i="1"/>
  <c r="G10" i="1"/>
  <c r="H10" i="1" s="1"/>
  <c r="G11" i="1"/>
  <c r="H11" i="1" s="1"/>
  <c r="G12" i="1"/>
  <c r="G13" i="1"/>
  <c r="H13" i="1" s="1"/>
  <c r="E17" i="1"/>
  <c r="E14" i="1"/>
  <c r="H6" i="1"/>
  <c r="G4" i="1"/>
  <c r="H4" i="1" s="1"/>
  <c r="G5" i="1"/>
  <c r="H5" i="1" s="1"/>
  <c r="G3" i="1"/>
  <c r="H3" i="1" s="1"/>
  <c r="H5" i="2" l="1"/>
  <c r="G9" i="2"/>
  <c r="H9" i="2" s="1"/>
  <c r="G15" i="1"/>
  <c r="H12" i="1"/>
  <c r="H16" i="1"/>
  <c r="G14" i="1"/>
  <c r="E7" i="1"/>
  <c r="G7" i="1"/>
  <c r="H7" i="1" s="1"/>
  <c r="I9" i="1" l="1"/>
  <c r="I8" i="1"/>
  <c r="I11" i="1"/>
  <c r="H15" i="1"/>
  <c r="J15" i="1" s="1"/>
  <c r="G17" i="1"/>
  <c r="I15" i="1" s="1"/>
  <c r="H14" i="1"/>
  <c r="I14" i="1"/>
  <c r="I10" i="1"/>
  <c r="I13" i="1"/>
  <c r="I12" i="1"/>
  <c r="I17" i="1" l="1"/>
  <c r="H17" i="1"/>
  <c r="I16" i="1"/>
  <c r="E83" i="3" l="1"/>
  <c r="G57" i="3" l="1"/>
  <c r="G58" i="3" s="1"/>
  <c r="H57" i="3"/>
  <c r="H58" i="3" s="1"/>
  <c r="I57" i="3"/>
  <c r="I58" i="3" s="1"/>
  <c r="H141" i="3" l="1"/>
  <c r="H26" i="4" s="1"/>
  <c r="I141" i="3"/>
  <c r="I26" i="4" s="1"/>
  <c r="I142" i="3" l="1"/>
  <c r="I27" i="4" s="1"/>
  <c r="H142" i="3"/>
  <c r="H27" i="4" s="1"/>
  <c r="J16" i="1" l="1"/>
  <c r="J17" i="1" l="1"/>
  <c r="G141" i="3" l="1"/>
  <c r="G142" i="3" l="1"/>
  <c r="I53" i="3" l="1"/>
  <c r="I54" i="3" s="1"/>
  <c r="H49" i="3" l="1"/>
  <c r="H50" i="3" s="1"/>
  <c r="G44" i="3" l="1"/>
  <c r="J14" i="1" l="1"/>
  <c r="G47" i="3" l="1"/>
  <c r="G20" i="4" s="1"/>
  <c r="G16" i="4" s="1"/>
  <c r="E55" i="3"/>
  <c r="G53" i="3"/>
  <c r="G12" i="4" l="1"/>
  <c r="G8" i="4" s="1"/>
  <c r="G43" i="3"/>
  <c r="G7" i="3" s="1"/>
  <c r="G45" i="3"/>
  <c r="G18" i="4" s="1"/>
  <c r="G54" i="3"/>
  <c r="G46" i="3" l="1"/>
  <c r="G19" i="4" s="1"/>
  <c r="F57" i="3" l="1"/>
  <c r="E57" i="3" s="1"/>
  <c r="E56" i="3"/>
  <c r="F58" i="3" l="1"/>
  <c r="E58" i="3" s="1"/>
  <c r="J6" i="1"/>
  <c r="J4" i="1"/>
  <c r="J5" i="1"/>
  <c r="J3" i="1"/>
  <c r="J7" i="1" l="1"/>
  <c r="E15" i="3" l="1"/>
  <c r="E11" i="3"/>
  <c r="E119" i="3"/>
  <c r="E63" i="3"/>
  <c r="E24" i="4"/>
  <c r="E123" i="3"/>
  <c r="F51" i="3"/>
  <c r="I6" i="2" l="1"/>
  <c r="I3" i="2"/>
  <c r="I4" i="2"/>
  <c r="F47" i="3"/>
  <c r="E51" i="3"/>
  <c r="F43" i="3" l="1"/>
  <c r="I5" i="2"/>
  <c r="I8" i="2"/>
  <c r="E47" i="3"/>
  <c r="I9" i="2" l="1"/>
  <c r="E43" i="3"/>
  <c r="F221" i="3" l="1"/>
  <c r="F222" i="3" l="1"/>
  <c r="F189" i="3"/>
  <c r="F190" i="3" s="1"/>
  <c r="N171" i="3" l="1"/>
  <c r="G169" i="3" l="1"/>
  <c r="G170" i="3" l="1"/>
  <c r="N67" i="3" l="1"/>
  <c r="G65" i="3"/>
  <c r="G66" i="3" s="1"/>
  <c r="F169" i="3"/>
  <c r="M203" i="3" l="1"/>
  <c r="F201" i="3"/>
  <c r="F202" i="3" s="1"/>
  <c r="E168" i="3"/>
  <c r="E169" i="3"/>
  <c r="M171" i="3"/>
  <c r="F170" i="3" l="1"/>
  <c r="E170" i="3" s="1"/>
  <c r="E200" i="3"/>
  <c r="G201" i="3"/>
  <c r="N203" i="3"/>
  <c r="M67" i="3"/>
  <c r="F65" i="3"/>
  <c r="E201" i="3" l="1"/>
  <c r="G202" i="3"/>
  <c r="E64" i="3"/>
  <c r="F66" i="3"/>
  <c r="E65" i="3"/>
  <c r="E202" i="3" l="1"/>
  <c r="E66" i="3"/>
  <c r="F44" i="3" l="1"/>
  <c r="F49" i="3"/>
  <c r="F50" i="3" s="1"/>
  <c r="P139" i="3" l="1"/>
  <c r="I137" i="3"/>
  <c r="I121" i="3"/>
  <c r="I122" i="3" s="1"/>
  <c r="P123" i="3"/>
  <c r="H121" i="3"/>
  <c r="O123" i="3"/>
  <c r="F46" i="3"/>
  <c r="F45" i="3"/>
  <c r="I138" i="3" l="1"/>
  <c r="H122" i="3"/>
  <c r="M211" i="3" l="1"/>
  <c r="F208" i="3" s="1"/>
  <c r="F209" i="3"/>
  <c r="H209" i="3" l="1"/>
  <c r="O211" i="3"/>
  <c r="H208" i="3" s="1"/>
  <c r="I209" i="3"/>
  <c r="P211" i="3"/>
  <c r="I208" i="3" s="1"/>
  <c r="F210" i="3"/>
  <c r="P179" i="3"/>
  <c r="I176" i="3" s="1"/>
  <c r="I177" i="3"/>
  <c r="O179" i="3"/>
  <c r="H176" i="3" s="1"/>
  <c r="H210" i="3" l="1"/>
  <c r="I210" i="3"/>
  <c r="H177" i="3"/>
  <c r="F177" i="3"/>
  <c r="M179" i="3"/>
  <c r="F176" i="3" s="1"/>
  <c r="I178" i="3"/>
  <c r="I73" i="3"/>
  <c r="P75" i="3"/>
  <c r="F73" i="3"/>
  <c r="M75" i="3"/>
  <c r="F178" i="3" l="1"/>
  <c r="H178" i="3"/>
  <c r="F74" i="3"/>
  <c r="I74" i="3"/>
  <c r="P35" i="3" l="1"/>
  <c r="I33" i="3"/>
  <c r="I34" i="3" s="1"/>
  <c r="H17" i="3" l="1"/>
  <c r="O19" i="3"/>
  <c r="P19" i="3"/>
  <c r="I17" i="3"/>
  <c r="H18" i="3" l="1"/>
  <c r="I18" i="3"/>
  <c r="P131" i="3" l="1"/>
  <c r="H129" i="3" l="1"/>
  <c r="I129" i="3"/>
  <c r="I130" i="3" l="1"/>
  <c r="O131" i="3"/>
  <c r="H130" i="3"/>
  <c r="G25" i="3" l="1"/>
  <c r="H25" i="3" l="1"/>
  <c r="O27" i="3"/>
  <c r="F25" i="3"/>
  <c r="M27" i="3"/>
  <c r="N27" i="3"/>
  <c r="G26" i="3"/>
  <c r="P27" i="3" l="1"/>
  <c r="I25" i="3"/>
  <c r="F26" i="3"/>
  <c r="H26" i="3"/>
  <c r="I26" i="3" l="1"/>
  <c r="E24" i="3"/>
  <c r="E25" i="3"/>
  <c r="E26" i="3" l="1"/>
  <c r="G17" i="3" l="1"/>
  <c r="N19" i="3"/>
  <c r="G18" i="3" l="1"/>
  <c r="F92" i="3" l="1"/>
  <c r="F29" i="4" l="1"/>
  <c r="E29" i="4" s="1"/>
  <c r="E92" i="3"/>
  <c r="F93" i="3"/>
  <c r="F30" i="4" l="1"/>
  <c r="E30" i="4" s="1"/>
  <c r="E93" i="3"/>
  <c r="F94" i="3"/>
  <c r="F31" i="4" l="1"/>
  <c r="E31" i="4" s="1"/>
  <c r="E94" i="3"/>
  <c r="I44" i="3" l="1"/>
  <c r="I49" i="3"/>
  <c r="I50" i="3" s="1"/>
  <c r="E48" i="3"/>
  <c r="F88" i="3"/>
  <c r="G188" i="3"/>
  <c r="F140" i="3" l="1"/>
  <c r="G220" i="3"/>
  <c r="G25" i="4" s="1"/>
  <c r="E188" i="3"/>
  <c r="G189" i="3"/>
  <c r="G190" i="3" s="1"/>
  <c r="I45" i="3"/>
  <c r="E49" i="3"/>
  <c r="I46" i="3"/>
  <c r="E50" i="3"/>
  <c r="F25" i="4"/>
  <c r="E88" i="3"/>
  <c r="F89" i="3"/>
  <c r="F90" i="3" s="1"/>
  <c r="F84" i="3"/>
  <c r="E84" i="3" s="1"/>
  <c r="F141" i="3" l="1"/>
  <c r="E141" i="3" s="1"/>
  <c r="E140" i="3"/>
  <c r="E25" i="4"/>
  <c r="E220" i="3"/>
  <c r="G221" i="3"/>
  <c r="E190" i="3"/>
  <c r="E189" i="3"/>
  <c r="E90" i="3"/>
  <c r="F86" i="3"/>
  <c r="E86" i="3" s="1"/>
  <c r="F26" i="4"/>
  <c r="E89" i="3"/>
  <c r="F85" i="3"/>
  <c r="E85" i="3" s="1"/>
  <c r="F142" i="3" l="1"/>
  <c r="G222" i="3"/>
  <c r="E221" i="3"/>
  <c r="G26" i="4"/>
  <c r="E26" i="4" s="1"/>
  <c r="H52" i="3"/>
  <c r="E142" i="3" l="1"/>
  <c r="F27" i="4"/>
  <c r="E222" i="3"/>
  <c r="G27" i="4"/>
  <c r="E27" i="4" s="1"/>
  <c r="H53" i="3"/>
  <c r="H44" i="3"/>
  <c r="E52" i="3"/>
  <c r="H54" i="3"/>
  <c r="E54" i="3" l="1"/>
  <c r="H46" i="3"/>
  <c r="E44" i="3"/>
  <c r="H45" i="3"/>
  <c r="E53" i="3"/>
  <c r="E45" i="3" l="1"/>
  <c r="E46" i="3"/>
  <c r="N121" i="3" l="1"/>
  <c r="N122" i="3" l="1"/>
  <c r="G121" i="3" s="1"/>
  <c r="M121" i="3"/>
  <c r="G120" i="3"/>
  <c r="N123" i="3" l="1"/>
  <c r="G122" i="3"/>
  <c r="M122" i="3"/>
  <c r="M123" i="3" s="1"/>
  <c r="F120" i="3"/>
  <c r="F121" i="3" l="1"/>
  <c r="E121" i="3" s="1"/>
  <c r="E120" i="3"/>
  <c r="F122" i="3" l="1"/>
  <c r="E122" i="3"/>
  <c r="I204" i="3" l="1"/>
  <c r="I41" i="4"/>
  <c r="I33" i="4" l="1"/>
  <c r="I42" i="4"/>
  <c r="I43" i="4" s="1"/>
  <c r="I205" i="3"/>
  <c r="H204" i="3"/>
  <c r="G204" i="3"/>
  <c r="G205" i="3" s="1"/>
  <c r="G206" i="3" s="1"/>
  <c r="I172" i="3"/>
  <c r="N209" i="3"/>
  <c r="I206" i="3" l="1"/>
  <c r="I35" i="4"/>
  <c r="H205" i="3"/>
  <c r="H206" i="3" s="1"/>
  <c r="I34" i="4"/>
  <c r="I173" i="3"/>
  <c r="I174" i="3" s="1"/>
  <c r="G172" i="3"/>
  <c r="N210" i="3"/>
  <c r="G209" i="3" s="1"/>
  <c r="G173" i="3" l="1"/>
  <c r="G174" i="3" s="1"/>
  <c r="E209" i="3"/>
  <c r="N211" i="3"/>
  <c r="G208" i="3" s="1"/>
  <c r="H172" i="3"/>
  <c r="N177" i="3"/>
  <c r="N129" i="3"/>
  <c r="H173" i="3" l="1"/>
  <c r="G210" i="3"/>
  <c r="E208" i="3"/>
  <c r="N73" i="3"/>
  <c r="F204" i="3"/>
  <c r="N178" i="3"/>
  <c r="N179" i="3" s="1"/>
  <c r="G176" i="3" s="1"/>
  <c r="N130" i="3"/>
  <c r="G129" i="3" s="1"/>
  <c r="F205" i="3" l="1"/>
  <c r="E204" i="3"/>
  <c r="H174" i="3"/>
  <c r="E210" i="3"/>
  <c r="N131" i="3"/>
  <c r="E176" i="3"/>
  <c r="G177" i="3"/>
  <c r="O74" i="3"/>
  <c r="N74" i="3"/>
  <c r="G73" i="3" s="1"/>
  <c r="G128" i="3"/>
  <c r="G72" i="3"/>
  <c r="H72" i="3"/>
  <c r="F172" i="3"/>
  <c r="E205" i="3" l="1"/>
  <c r="F206" i="3"/>
  <c r="E172" i="3"/>
  <c r="F173" i="3"/>
  <c r="F174" i="3" s="1"/>
  <c r="G130" i="3"/>
  <c r="E177" i="3"/>
  <c r="G178" i="3"/>
  <c r="N75" i="3"/>
  <c r="H73" i="3"/>
  <c r="E73" i="3" s="1"/>
  <c r="O75" i="3"/>
  <c r="E72" i="3"/>
  <c r="G74" i="3"/>
  <c r="E206" i="3" l="1"/>
  <c r="E174" i="3"/>
  <c r="E173" i="3"/>
  <c r="E178" i="3"/>
  <c r="H74" i="3"/>
  <c r="E74" i="3" l="1"/>
  <c r="I20" i="3" l="1"/>
  <c r="H20" i="3" l="1"/>
  <c r="I21" i="3"/>
  <c r="I12" i="3"/>
  <c r="I22" i="3" l="1"/>
  <c r="I14" i="3" s="1"/>
  <c r="I13" i="3"/>
  <c r="H21" i="3"/>
  <c r="I8" i="3"/>
  <c r="H22" i="3" l="1"/>
  <c r="I9" i="3"/>
  <c r="I10" i="3"/>
  <c r="G20" i="3"/>
  <c r="M17" i="3" l="1"/>
  <c r="M18" i="3" l="1"/>
  <c r="F17" i="3"/>
  <c r="M19" i="3"/>
  <c r="F16" i="3"/>
  <c r="E16" i="3" l="1"/>
  <c r="F18" i="3"/>
  <c r="E17" i="3"/>
  <c r="E18" i="3" l="1"/>
  <c r="F28" i="3" l="1"/>
  <c r="F29" i="3" l="1"/>
  <c r="F30" i="3" s="1"/>
  <c r="E28" i="3"/>
  <c r="E30" i="3" l="1"/>
  <c r="E29" i="3"/>
  <c r="M137" i="3" l="1"/>
  <c r="M217" i="3"/>
  <c r="M185" i="3"/>
  <c r="O185" i="3"/>
  <c r="F136" i="3"/>
  <c r="F137" i="3" l="1"/>
  <c r="M139" i="3"/>
  <c r="F217" i="3"/>
  <c r="F197" i="3" s="1"/>
  <c r="F193" i="3" s="1"/>
  <c r="M219" i="3"/>
  <c r="F216" i="3" s="1"/>
  <c r="O187" i="3"/>
  <c r="H184" i="3" s="1"/>
  <c r="H185" i="3"/>
  <c r="H165" i="3" s="1"/>
  <c r="M187" i="3"/>
  <c r="F184" i="3" s="1"/>
  <c r="F185" i="3"/>
  <c r="F138" i="3" l="1"/>
  <c r="F218" i="3"/>
  <c r="F198" i="3" s="1"/>
  <c r="F194" i="3" s="1"/>
  <c r="F196" i="3"/>
  <c r="F192" i="3" s="1"/>
  <c r="F165" i="3"/>
  <c r="F186" i="3"/>
  <c r="F164" i="3"/>
  <c r="H186" i="3"/>
  <c r="H166" i="3" s="1"/>
  <c r="H164" i="3"/>
  <c r="F166" i="3" l="1"/>
  <c r="M129" i="3" l="1"/>
  <c r="M130" i="3"/>
  <c r="F129" i="3" l="1"/>
  <c r="M131" i="3"/>
  <c r="F128" i="3"/>
  <c r="F130" i="3" l="1"/>
  <c r="E128" i="3"/>
  <c r="E129" i="3"/>
  <c r="E130" i="3" l="1"/>
  <c r="C5" i="6" l="1"/>
  <c r="C6" i="6"/>
  <c r="C9" i="6"/>
  <c r="C4" i="6"/>
  <c r="I68" i="3" l="1"/>
  <c r="H68" i="3"/>
  <c r="H69" i="3" l="1"/>
  <c r="I69" i="3"/>
  <c r="I70" i="3" l="1"/>
  <c r="I256" i="3"/>
  <c r="H70" i="3"/>
  <c r="I257" i="3" l="1"/>
  <c r="I248" i="3"/>
  <c r="I258" i="3" l="1"/>
  <c r="I249" i="3"/>
  <c r="I250" i="3" l="1"/>
  <c r="G312" i="3" l="1"/>
  <c r="G313" i="3" s="1"/>
  <c r="G314" i="3" s="1"/>
  <c r="H312" i="3"/>
  <c r="H313" i="3" s="1"/>
  <c r="H314" i="3" s="1"/>
  <c r="I312" i="3"/>
  <c r="I313" i="3" s="1"/>
  <c r="I314" i="3" s="1"/>
  <c r="G304" i="3"/>
  <c r="G305" i="3" s="1"/>
  <c r="G306" i="3" s="1"/>
  <c r="H304" i="3"/>
  <c r="H305" i="3" s="1"/>
  <c r="H306" i="3" s="1"/>
  <c r="I304" i="3"/>
  <c r="I305" i="3" s="1"/>
  <c r="I306" i="3" s="1"/>
  <c r="G292" i="3"/>
  <c r="G293" i="3" s="1"/>
  <c r="G294" i="3" s="1"/>
  <c r="H292" i="3"/>
  <c r="H293" i="3" s="1"/>
  <c r="H294" i="3" s="1"/>
  <c r="I292" i="3"/>
  <c r="I293" i="3" s="1"/>
  <c r="I294" i="3" s="1"/>
  <c r="G288" i="3"/>
  <c r="G289" i="3" s="1"/>
  <c r="G290" i="3" s="1"/>
  <c r="H288" i="3"/>
  <c r="H289" i="3" s="1"/>
  <c r="H290" i="3" s="1"/>
  <c r="I288" i="3"/>
  <c r="I289" i="3" s="1"/>
  <c r="I290" i="3" s="1"/>
  <c r="F292" i="3"/>
  <c r="F288" i="3"/>
  <c r="G284" i="3"/>
  <c r="G285" i="3" s="1"/>
  <c r="G286" i="3" s="1"/>
  <c r="H284" i="3"/>
  <c r="H285" i="3" s="1"/>
  <c r="H286" i="3" s="1"/>
  <c r="I284" i="3"/>
  <c r="I285" i="3" s="1"/>
  <c r="I286" i="3" s="1"/>
  <c r="G280" i="3"/>
  <c r="H280" i="3"/>
  <c r="I280" i="3"/>
  <c r="I276" i="3" s="1"/>
  <c r="H276" i="3" l="1"/>
  <c r="G276" i="3"/>
  <c r="I281" i="3"/>
  <c r="I277" i="3" s="1"/>
  <c r="H281" i="3"/>
  <c r="G281" i="3"/>
  <c r="F289" i="3"/>
  <c r="E289" i="3" s="1"/>
  <c r="E288" i="3"/>
  <c r="F293" i="3"/>
  <c r="E292" i="3"/>
  <c r="I282" i="3" l="1"/>
  <c r="I278" i="3" s="1"/>
  <c r="G282" i="3"/>
  <c r="G278" i="3" s="1"/>
  <c r="G277" i="3"/>
  <c r="H282" i="3"/>
  <c r="H278" i="3" s="1"/>
  <c r="H277" i="3"/>
  <c r="F294" i="3"/>
  <c r="E294" i="3" s="1"/>
  <c r="E293" i="3"/>
  <c r="F290" i="3"/>
  <c r="E290" i="3" s="1"/>
  <c r="I272" i="3"/>
  <c r="H272" i="3"/>
  <c r="H274" i="3" l="1"/>
  <c r="H273" i="3"/>
  <c r="I274" i="3"/>
  <c r="I273" i="3"/>
  <c r="F284" i="3" l="1"/>
  <c r="F304" i="3" l="1"/>
  <c r="F285" i="3"/>
  <c r="E285" i="3" s="1"/>
  <c r="E284" i="3"/>
  <c r="E304" i="3"/>
  <c r="F305" i="3"/>
  <c r="E305" i="3" s="1"/>
  <c r="F280" i="3"/>
  <c r="F312" i="3"/>
  <c r="F276" i="3" l="1"/>
  <c r="F286" i="3"/>
  <c r="E286" i="3" s="1"/>
  <c r="F281" i="3"/>
  <c r="E280" i="3"/>
  <c r="E312" i="3"/>
  <c r="F313" i="3"/>
  <c r="E313" i="3" s="1"/>
  <c r="F306" i="3"/>
  <c r="E306" i="3" s="1"/>
  <c r="F282" i="3" l="1"/>
  <c r="E282" i="3" s="1"/>
  <c r="F277" i="3"/>
  <c r="F314" i="3"/>
  <c r="E314" i="3" s="1"/>
  <c r="E281" i="3"/>
  <c r="F272" i="3"/>
  <c r="E276" i="3"/>
  <c r="F278" i="3" l="1"/>
  <c r="E277" i="3"/>
  <c r="F273" i="3"/>
  <c r="F274" i="3" l="1"/>
  <c r="E278" i="3"/>
  <c r="G273" i="3"/>
  <c r="E273" i="3" s="1"/>
  <c r="G272" i="3"/>
  <c r="E272" i="3" s="1"/>
  <c r="G274" i="3" l="1"/>
  <c r="E274" i="3" s="1"/>
  <c r="H37" i="4" l="1"/>
  <c r="H33" i="4" l="1"/>
  <c r="H38" i="4"/>
  <c r="H34" i="4" s="1"/>
  <c r="G41" i="4"/>
  <c r="G42" i="4" s="1"/>
  <c r="G43" i="4" s="1"/>
  <c r="G37" i="4"/>
  <c r="H39" i="4" l="1"/>
  <c r="H35" i="4" s="1"/>
  <c r="G38" i="4"/>
  <c r="G34" i="4" s="1"/>
  <c r="G33" i="4"/>
  <c r="G39" i="4" l="1"/>
  <c r="G35" i="4" s="1"/>
  <c r="I108" i="3" l="1"/>
  <c r="I100" i="3" s="1"/>
  <c r="I109" i="3" l="1"/>
  <c r="E108" i="3"/>
  <c r="I110" i="3" l="1"/>
  <c r="I102" i="3" s="1"/>
  <c r="I101" i="3"/>
  <c r="E110" i="3"/>
  <c r="E109" i="3"/>
  <c r="N17" i="15" l="1"/>
  <c r="N18" i="15" l="1"/>
  <c r="F104" i="3"/>
  <c r="F100" i="3" s="1"/>
  <c r="E104" i="3" l="1"/>
  <c r="E100" i="3"/>
  <c r="N19" i="15"/>
  <c r="O137" i="3"/>
  <c r="N137" i="3"/>
  <c r="N20" i="15" l="1"/>
  <c r="H137" i="3"/>
  <c r="O139" i="3"/>
  <c r="N139" i="3"/>
  <c r="G137" i="3"/>
  <c r="H136" i="3"/>
  <c r="G136" i="3"/>
  <c r="N21" i="15" l="1"/>
  <c r="N22" i="15" s="1"/>
  <c r="O48" i="15" s="1"/>
  <c r="K48" i="15"/>
  <c r="K50" i="15" s="1"/>
  <c r="O17" i="15" s="1"/>
  <c r="H138" i="3"/>
  <c r="G117" i="3"/>
  <c r="E137" i="3"/>
  <c r="G138" i="3"/>
  <c r="E136" i="3"/>
  <c r="O19" i="15" l="1"/>
  <c r="Q19" i="15" s="1"/>
  <c r="O18" i="15"/>
  <c r="Q18" i="15" s="1"/>
  <c r="Q17" i="15"/>
  <c r="O22" i="15"/>
  <c r="Q22" i="15" s="1"/>
  <c r="R22" i="15" s="1"/>
  <c r="O21" i="15"/>
  <c r="Q21" i="15" s="1"/>
  <c r="R21" i="15" s="1"/>
  <c r="O20" i="15"/>
  <c r="G97" i="3"/>
  <c r="G118" i="3"/>
  <c r="E138" i="3"/>
  <c r="R17" i="15" l="1"/>
  <c r="W17" i="15"/>
  <c r="R18" i="15"/>
  <c r="W18" i="15"/>
  <c r="R19" i="15"/>
  <c r="W19" i="15"/>
  <c r="Q20" i="15"/>
  <c r="O23" i="15"/>
  <c r="G98" i="3"/>
  <c r="Q23" i="15" l="1"/>
  <c r="D7" i="6" s="1"/>
  <c r="R20" i="15"/>
  <c r="R23" i="15" s="1"/>
  <c r="O50" i="15" l="1"/>
  <c r="F107" i="3"/>
  <c r="F103" i="3" s="1"/>
  <c r="C7" i="6"/>
  <c r="E107" i="3" l="1"/>
  <c r="F105" i="3"/>
  <c r="F106" i="3" l="1"/>
  <c r="F102" i="3" s="1"/>
  <c r="F101" i="3"/>
  <c r="E106" i="3"/>
  <c r="E105" i="3"/>
  <c r="F99" i="3"/>
  <c r="E103" i="3"/>
  <c r="E101" i="3" l="1"/>
  <c r="E99" i="3"/>
  <c r="E102" i="3"/>
  <c r="O33" i="3" l="1"/>
  <c r="M33" i="3"/>
  <c r="H32" i="3"/>
  <c r="G32" i="3"/>
  <c r="F33" i="3" l="1"/>
  <c r="M35" i="3"/>
  <c r="H12" i="3"/>
  <c r="H33" i="3"/>
  <c r="H13" i="3" s="1"/>
  <c r="O35" i="3"/>
  <c r="G12" i="3"/>
  <c r="N33" i="3"/>
  <c r="F32" i="3"/>
  <c r="E32" i="3" s="1"/>
  <c r="F34" i="3" l="1"/>
  <c r="H9" i="3"/>
  <c r="H34" i="3"/>
  <c r="H14" i="3" s="1"/>
  <c r="H8" i="3"/>
  <c r="G33" i="3"/>
  <c r="N35" i="3"/>
  <c r="G8" i="3"/>
  <c r="H10" i="3" l="1"/>
  <c r="G34" i="3"/>
  <c r="G13" i="3"/>
  <c r="E33" i="3"/>
  <c r="G9" i="3" l="1"/>
  <c r="G14" i="3"/>
  <c r="E34" i="3"/>
  <c r="G10" i="3" l="1"/>
  <c r="F20" i="3" l="1"/>
  <c r="F21" i="3" l="1"/>
  <c r="E20" i="3"/>
  <c r="F12" i="3"/>
  <c r="E12" i="3" l="1"/>
  <c r="F8" i="3"/>
  <c r="F22" i="3"/>
  <c r="E21" i="3"/>
  <c r="F13" i="3"/>
  <c r="E22" i="3" l="1"/>
  <c r="F14" i="3"/>
  <c r="E8" i="3"/>
  <c r="F9" i="3"/>
  <c r="E13" i="3"/>
  <c r="E9" i="3" l="1"/>
  <c r="F10" i="3"/>
  <c r="E14" i="3"/>
  <c r="E10" i="3" l="1"/>
  <c r="F37" i="4" l="1"/>
  <c r="E37" i="4" l="1"/>
  <c r="F38" i="4"/>
  <c r="F39" i="4" s="1"/>
  <c r="F41" i="4"/>
  <c r="F33" i="4" s="1"/>
  <c r="E33" i="4" l="1"/>
  <c r="E39" i="4"/>
  <c r="E38" i="4"/>
  <c r="F42" i="4"/>
  <c r="E42" i="4" s="1"/>
  <c r="E41" i="4"/>
  <c r="F34" i="4" l="1"/>
  <c r="F43" i="4"/>
  <c r="E43" i="4" l="1"/>
  <c r="F35" i="4"/>
  <c r="E34" i="4"/>
  <c r="E35" i="4" l="1"/>
  <c r="I240" i="3" l="1"/>
  <c r="I228" i="3" s="1"/>
  <c r="I241" i="3" l="1"/>
  <c r="I229" i="3" s="1"/>
  <c r="I242" i="3" l="1"/>
  <c r="I230" i="3" s="1"/>
  <c r="I224" i="3"/>
  <c r="I17" i="4"/>
  <c r="I225" i="3"/>
  <c r="I18" i="4"/>
  <c r="I226" i="3" l="1"/>
  <c r="I19" i="4"/>
  <c r="E232" i="3" l="1"/>
  <c r="G224" i="3" l="1"/>
  <c r="G17" i="4"/>
  <c r="H240" i="3"/>
  <c r="H228" i="3" s="1"/>
  <c r="H241" i="3" l="1"/>
  <c r="H229" i="3" s="1"/>
  <c r="E240" i="3"/>
  <c r="H242" i="3"/>
  <c r="H230" i="3" s="1"/>
  <c r="E242" i="3" l="1"/>
  <c r="E228" i="3"/>
  <c r="E241" i="3"/>
  <c r="E229" i="3" l="1"/>
  <c r="E230" i="3"/>
  <c r="H148" i="3" l="1"/>
  <c r="E156" i="3"/>
  <c r="H157" i="3"/>
  <c r="N217" i="3"/>
  <c r="O217" i="3"/>
  <c r="P217" i="3"/>
  <c r="F152" i="3" l="1"/>
  <c r="N24" i="15"/>
  <c r="M48" i="15" s="1"/>
  <c r="M50" i="15" s="1"/>
  <c r="O24" i="15" s="1"/>
  <c r="H158" i="3"/>
  <c r="H149" i="3"/>
  <c r="E157" i="3"/>
  <c r="H144" i="3"/>
  <c r="H17" i="4"/>
  <c r="I217" i="3"/>
  <c r="I197" i="3" s="1"/>
  <c r="I193" i="3" s="1"/>
  <c r="P219" i="3"/>
  <c r="I216" i="3" s="1"/>
  <c r="O219" i="3"/>
  <c r="H216" i="3" s="1"/>
  <c r="H217" i="3"/>
  <c r="H197" i="3" s="1"/>
  <c r="H193" i="3" s="1"/>
  <c r="N219" i="3"/>
  <c r="G216" i="3" s="1"/>
  <c r="G217" i="3"/>
  <c r="N185" i="3"/>
  <c r="O81" i="3"/>
  <c r="M81" i="3"/>
  <c r="N81" i="3"/>
  <c r="P185" i="3"/>
  <c r="Q24" i="15" l="1"/>
  <c r="O25" i="15"/>
  <c r="F148" i="3"/>
  <c r="E152" i="3"/>
  <c r="H145" i="3"/>
  <c r="H18" i="4"/>
  <c r="E158" i="3"/>
  <c r="H150" i="3"/>
  <c r="G185" i="3"/>
  <c r="G165" i="3" s="1"/>
  <c r="G145" i="3" s="1"/>
  <c r="N187" i="3"/>
  <c r="G184" i="3" s="1"/>
  <c r="I185" i="3"/>
  <c r="P187" i="3"/>
  <c r="I184" i="3" s="1"/>
  <c r="I218" i="3"/>
  <c r="I198" i="3" s="1"/>
  <c r="I194" i="3" s="1"/>
  <c r="I196" i="3"/>
  <c r="I192" i="3" s="1"/>
  <c r="H218" i="3"/>
  <c r="H198" i="3" s="1"/>
  <c r="H194" i="3" s="1"/>
  <c r="H196" i="3"/>
  <c r="H192" i="3" s="1"/>
  <c r="G197" i="3"/>
  <c r="E217" i="3"/>
  <c r="G218" i="3"/>
  <c r="G196" i="3"/>
  <c r="E216" i="3"/>
  <c r="O83" i="3"/>
  <c r="H80" i="3" s="1"/>
  <c r="H81" i="3"/>
  <c r="H61" i="3" s="1"/>
  <c r="G81" i="3"/>
  <c r="N83" i="3"/>
  <c r="G80" i="3" s="1"/>
  <c r="F81" i="3"/>
  <c r="M83" i="3"/>
  <c r="F80" i="3" s="1"/>
  <c r="P81" i="3"/>
  <c r="F144" i="3" l="1"/>
  <c r="F17" i="4"/>
  <c r="E17" i="4" s="1"/>
  <c r="E148" i="3"/>
  <c r="W24" i="15"/>
  <c r="R24" i="15"/>
  <c r="R25" i="15" s="1"/>
  <c r="Q25" i="15"/>
  <c r="D8" i="6" s="1"/>
  <c r="D10" i="6" s="1"/>
  <c r="H19" i="4"/>
  <c r="H146" i="3"/>
  <c r="G164" i="3"/>
  <c r="G144" i="3" s="1"/>
  <c r="G186" i="3"/>
  <c r="G166" i="3" s="1"/>
  <c r="G146" i="3" s="1"/>
  <c r="I164" i="3"/>
  <c r="I186" i="3"/>
  <c r="E184" i="3"/>
  <c r="I165" i="3"/>
  <c r="E185" i="3"/>
  <c r="G192" i="3"/>
  <c r="E192" i="3" s="1"/>
  <c r="E196" i="3"/>
  <c r="G198" i="3"/>
  <c r="E218" i="3"/>
  <c r="G193" i="3"/>
  <c r="E193" i="3" s="1"/>
  <c r="E197" i="3"/>
  <c r="I81" i="3"/>
  <c r="I61" i="3" s="1"/>
  <c r="P83" i="3"/>
  <c r="I80" i="3" s="1"/>
  <c r="E80" i="3" s="1"/>
  <c r="H41" i="3"/>
  <c r="H82" i="3"/>
  <c r="H62" i="3" s="1"/>
  <c r="H60" i="3"/>
  <c r="G82" i="3"/>
  <c r="F82" i="3"/>
  <c r="E81" i="3" l="1"/>
  <c r="F155" i="3"/>
  <c r="C8" i="6"/>
  <c r="C10" i="6" s="1"/>
  <c r="I145" i="3"/>
  <c r="E165" i="3"/>
  <c r="I166" i="3"/>
  <c r="E186" i="3"/>
  <c r="I144" i="3"/>
  <c r="E144" i="3" s="1"/>
  <c r="E164" i="3"/>
  <c r="E198" i="3"/>
  <c r="G194" i="3"/>
  <c r="E194" i="3" s="1"/>
  <c r="H40" i="3"/>
  <c r="I82" i="3"/>
  <c r="I62" i="3" s="1"/>
  <c r="I60" i="3"/>
  <c r="H42" i="3"/>
  <c r="I41" i="3"/>
  <c r="F151" i="3" l="1"/>
  <c r="E155" i="3"/>
  <c r="F153" i="3"/>
  <c r="F154" i="3" s="1"/>
  <c r="I146" i="3"/>
  <c r="E166" i="3"/>
  <c r="E82" i="3"/>
  <c r="I40" i="3"/>
  <c r="I42" i="3"/>
  <c r="E154" i="3" l="1"/>
  <c r="F150" i="3"/>
  <c r="F149" i="3"/>
  <c r="E153" i="3"/>
  <c r="F147" i="3"/>
  <c r="E151" i="3"/>
  <c r="F20" i="4"/>
  <c r="F16" i="4" l="1"/>
  <c r="E20" i="4"/>
  <c r="F145" i="3"/>
  <c r="E145" i="3" s="1"/>
  <c r="F18" i="4"/>
  <c r="E18" i="4" s="1"/>
  <c r="E149" i="3"/>
  <c r="E147" i="3"/>
  <c r="F7" i="3"/>
  <c r="E7" i="3" s="1"/>
  <c r="F146" i="3"/>
  <c r="E146" i="3" s="1"/>
  <c r="F19" i="4"/>
  <c r="E19" i="4" s="1"/>
  <c r="E150" i="3"/>
  <c r="F12" i="4" l="1"/>
  <c r="E16" i="4"/>
  <c r="E12" i="4" l="1"/>
  <c r="F8" i="4"/>
  <c r="E8" i="4" s="1"/>
  <c r="H124" i="3"/>
  <c r="I124" i="3"/>
  <c r="H125" i="3" l="1"/>
  <c r="H117" i="3" s="1"/>
  <c r="H116" i="3"/>
  <c r="I125" i="3"/>
  <c r="I116" i="3"/>
  <c r="H126" i="3" l="1"/>
  <c r="H118" i="3" s="1"/>
  <c r="I126" i="3"/>
  <c r="I118" i="3" s="1"/>
  <c r="I117" i="3"/>
  <c r="H96" i="3"/>
  <c r="H98" i="3"/>
  <c r="I96" i="3"/>
  <c r="I4" i="3" s="1"/>
  <c r="I21" i="4"/>
  <c r="I13" i="4" s="1"/>
  <c r="I9" i="4" s="1"/>
  <c r="H97" i="3"/>
  <c r="I97" i="3" l="1"/>
  <c r="I5" i="3" s="1"/>
  <c r="I22" i="4"/>
  <c r="I14" i="4" s="1"/>
  <c r="I10" i="4" s="1"/>
  <c r="I6" i="4" s="1"/>
  <c r="I98" i="3"/>
  <c r="I6" i="3" s="1"/>
  <c r="I23" i="4"/>
  <c r="I15" i="4" s="1"/>
  <c r="I11" i="4" s="1"/>
  <c r="G124" i="3"/>
  <c r="G116" i="3" s="1"/>
  <c r="G96" i="3" s="1"/>
  <c r="G68" i="3"/>
  <c r="F68" i="3"/>
  <c r="G69" i="3" l="1"/>
  <c r="G61" i="3" s="1"/>
  <c r="G60" i="3"/>
  <c r="E68" i="3"/>
  <c r="F69" i="3"/>
  <c r="F70" i="3" s="1"/>
  <c r="F60" i="3"/>
  <c r="G70" i="3" l="1"/>
  <c r="G62" i="3" s="1"/>
  <c r="G40" i="3"/>
  <c r="G4" i="3" s="1"/>
  <c r="G21" i="4"/>
  <c r="G13" i="4" s="1"/>
  <c r="G9" i="4" s="1"/>
  <c r="G42" i="3"/>
  <c r="G6" i="3" s="1"/>
  <c r="G23" i="4"/>
  <c r="G15" i="4" s="1"/>
  <c r="G11" i="4" s="1"/>
  <c r="G41" i="3"/>
  <c r="G5" i="3" s="1"/>
  <c r="G22" i="4"/>
  <c r="G14" i="4" s="1"/>
  <c r="G10" i="4" s="1"/>
  <c r="G6" i="4" s="1"/>
  <c r="F40" i="3"/>
  <c r="E60" i="3"/>
  <c r="E70" i="3"/>
  <c r="F62" i="3"/>
  <c r="E69" i="3"/>
  <c r="F61" i="3"/>
  <c r="F124" i="3"/>
  <c r="F116" i="3" l="1"/>
  <c r="F125" i="3"/>
  <c r="E124" i="3"/>
  <c r="F41" i="3"/>
  <c r="E61" i="3"/>
  <c r="F42" i="3"/>
  <c r="E62" i="3"/>
  <c r="E40" i="3"/>
  <c r="F126" i="3" l="1"/>
  <c r="E125" i="3"/>
  <c r="F117" i="3"/>
  <c r="F96" i="3"/>
  <c r="E116" i="3"/>
  <c r="E42" i="3"/>
  <c r="E41" i="3"/>
  <c r="E96" i="3" l="1"/>
  <c r="E117" i="3"/>
  <c r="F97" i="3"/>
  <c r="E126" i="3"/>
  <c r="F118" i="3"/>
  <c r="E97" i="3" l="1"/>
  <c r="E118" i="3"/>
  <c r="F98" i="3"/>
  <c r="E98" i="3" l="1"/>
  <c r="G45" i="4" l="1"/>
  <c r="G47" i="4" l="1"/>
  <c r="G7" i="4" s="1"/>
  <c r="G5" i="4"/>
  <c r="F45" i="4"/>
  <c r="H45" i="4"/>
  <c r="H47" i="4" s="1"/>
  <c r="F47" i="4" l="1"/>
  <c r="I45" i="4"/>
  <c r="I47" i="4" l="1"/>
  <c r="I7" i="4" s="1"/>
  <c r="I5" i="4"/>
  <c r="E45" i="4"/>
  <c r="E47" i="4" l="1"/>
  <c r="F256" i="3" l="1"/>
  <c r="F257" i="3" l="1"/>
  <c r="F248" i="3"/>
  <c r="F224" i="3" l="1"/>
  <c r="F4" i="3" s="1"/>
  <c r="F21" i="4"/>
  <c r="F258" i="3"/>
  <c r="F249" i="3"/>
  <c r="H256" i="3"/>
  <c r="H257" i="3" l="1"/>
  <c r="H248" i="3"/>
  <c r="H258" i="3"/>
  <c r="H250" i="3" s="1"/>
  <c r="E256" i="3"/>
  <c r="F13" i="4"/>
  <c r="F250" i="3"/>
  <c r="E258" i="3"/>
  <c r="F225" i="3"/>
  <c r="F5" i="3" s="1"/>
  <c r="F22" i="4"/>
  <c r="F226" i="3" l="1"/>
  <c r="F6" i="3" s="1"/>
  <c r="E250" i="3"/>
  <c r="F23" i="4"/>
  <c r="H226" i="3"/>
  <c r="H23" i="4"/>
  <c r="H15" i="4" s="1"/>
  <c r="H11" i="4" s="1"/>
  <c r="H7" i="4" s="1"/>
  <c r="F14" i="4"/>
  <c r="H224" i="3"/>
  <c r="H21" i="4"/>
  <c r="E248" i="3"/>
  <c r="F9" i="4"/>
  <c r="H249" i="3"/>
  <c r="E257" i="3"/>
  <c r="E226" i="3" l="1"/>
  <c r="H6" i="3"/>
  <c r="E6" i="3" s="1"/>
  <c r="E23" i="4"/>
  <c r="F15" i="4"/>
  <c r="E224" i="3"/>
  <c r="H4" i="3"/>
  <c r="E4" i="3" s="1"/>
  <c r="H225" i="3"/>
  <c r="H22" i="4"/>
  <c r="E249" i="3"/>
  <c r="F10" i="4"/>
  <c r="F5" i="4"/>
  <c r="H13" i="4"/>
  <c r="E21" i="4"/>
  <c r="H9" i="4" l="1"/>
  <c r="E13" i="4"/>
  <c r="H14" i="4"/>
  <c r="E22" i="4"/>
  <c r="E15" i="4"/>
  <c r="F11" i="4"/>
  <c r="E225" i="3"/>
  <c r="H5" i="3"/>
  <c r="E5" i="3" s="1"/>
  <c r="F6" i="4"/>
  <c r="H10" i="4" l="1"/>
  <c r="E14" i="4"/>
  <c r="E11" i="4"/>
  <c r="F7" i="4"/>
  <c r="E7" i="4" s="1"/>
  <c r="H5" i="4"/>
  <c r="E5" i="4" s="1"/>
  <c r="E9" i="4"/>
  <c r="H6" i="4" l="1"/>
  <c r="E6" i="4" s="1"/>
  <c r="E10" i="4"/>
</calcChain>
</file>

<file path=xl/sharedStrings.xml><?xml version="1.0" encoding="utf-8"?>
<sst xmlns="http://schemas.openxmlformats.org/spreadsheetml/2006/main" count="1626" uniqueCount="408">
  <si>
    <t>구분</t>
    <phoneticPr fontId="2" type="noConversion"/>
  </si>
  <si>
    <t>대상사업</t>
    <phoneticPr fontId="2" type="noConversion"/>
  </si>
  <si>
    <t>계</t>
    <phoneticPr fontId="2" type="noConversion"/>
  </si>
  <si>
    <t>하수발생원단위
(LPCD)</t>
    <phoneticPr fontId="2" type="noConversion"/>
  </si>
  <si>
    <t>발생하수량
(㎥/일)</t>
    <phoneticPr fontId="2" type="noConversion"/>
  </si>
  <si>
    <t>총사업비
(백만원)</t>
    <phoneticPr fontId="2" type="noConversion"/>
  </si>
  <si>
    <t>증설용량
(㎥/일)</t>
    <phoneticPr fontId="2" type="noConversion"/>
  </si>
  <si>
    <t>원인자
부담금비율</t>
    <phoneticPr fontId="2" type="noConversion"/>
  </si>
  <si>
    <t>유발인구
(인)</t>
    <phoneticPr fontId="2" type="noConversion"/>
  </si>
  <si>
    <t>부과비율
(%)</t>
    <phoneticPr fontId="2" type="noConversion"/>
  </si>
  <si>
    <t>원인자부담금
(백만원)</t>
    <phoneticPr fontId="2" type="noConversion"/>
  </si>
  <si>
    <t>총하수량
(㎥/일)</t>
    <phoneticPr fontId="2" type="noConversion"/>
  </si>
  <si>
    <r>
      <t>주</t>
    </r>
    <r>
      <rPr>
        <sz val="10"/>
        <color rgb="FF000000"/>
        <rFont val="맑은 고딕"/>
        <family val="3"/>
        <charset val="129"/>
        <scheme val="minor"/>
      </rPr>
      <t xml:space="preserve">) </t>
    </r>
    <r>
      <rPr>
        <sz val="10"/>
        <color rgb="FF000000"/>
        <rFont val="-윤고딕320"/>
        <family val="1"/>
        <charset val="129"/>
      </rPr>
      <t>총사업비는 개발사업을 고려한 수리검토 결과 통수능 부족에 따른 관경확대 공사비임</t>
    </r>
  </si>
  <si>
    <r>
      <t>주</t>
    </r>
    <r>
      <rPr>
        <sz val="10"/>
        <color rgb="FF000000"/>
        <rFont val="맑은 고딕"/>
        <family val="3"/>
        <charset val="129"/>
        <scheme val="minor"/>
      </rPr>
      <t xml:space="preserve">) 1. </t>
    </r>
    <r>
      <rPr>
        <sz val="10"/>
        <color rgb="FF000000"/>
        <rFont val="-윤고딕320"/>
        <family val="1"/>
        <charset val="129"/>
      </rPr>
      <t>예천</t>
    </r>
    <r>
      <rPr>
        <sz val="10"/>
        <color rgb="FF000000"/>
        <rFont val="맑은 고딕"/>
        <family val="3"/>
        <charset val="129"/>
        <scheme val="minor"/>
      </rPr>
      <t>2</t>
    </r>
    <r>
      <rPr>
        <sz val="10"/>
        <color rgb="FF000000"/>
        <rFont val="-윤고딕320"/>
        <family val="1"/>
        <charset val="129"/>
      </rPr>
      <t>지구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-윤고딕320"/>
        <family val="1"/>
        <charset val="129"/>
      </rPr>
      <t>대산지구 도시개발사업 원인자 부담금은 대상지구내 공동주택개발 사업 적용</t>
    </r>
  </si>
  <si>
    <r>
      <rPr>
        <sz val="10"/>
        <color rgb="FF000000"/>
        <rFont val="맑은 고딕"/>
        <family val="1"/>
        <charset val="129"/>
        <scheme val="minor"/>
      </rPr>
      <t xml:space="preserve">    </t>
    </r>
    <r>
      <rPr>
        <sz val="10"/>
        <color rgb="FF000000"/>
        <rFont val="맑은 고딕"/>
        <family val="3"/>
        <charset val="129"/>
        <scheme val="minor"/>
      </rPr>
      <t xml:space="preserve">2. </t>
    </r>
    <r>
      <rPr>
        <sz val="10"/>
        <color rgb="FF000000"/>
        <rFont val="-윤고딕320"/>
        <family val="1"/>
        <charset val="129"/>
      </rPr>
      <t xml:space="preserve">서산 </t>
    </r>
    <r>
      <rPr>
        <sz val="10"/>
        <color rgb="FF000000"/>
        <rFont val="맑은 고딕"/>
        <family val="3"/>
        <charset val="129"/>
        <scheme val="minor"/>
      </rPr>
      <t>2</t>
    </r>
    <r>
      <rPr>
        <sz val="10"/>
        <color rgb="FF000000"/>
        <rFont val="-윤고딕320"/>
        <family val="1"/>
        <charset val="129"/>
      </rPr>
      <t>단계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-윤고딕320"/>
        <family val="1"/>
        <charset val="129"/>
      </rPr>
      <t xml:space="preserve">대산 </t>
    </r>
    <r>
      <rPr>
        <sz val="10"/>
        <color rgb="FF000000"/>
        <rFont val="맑은 고딕"/>
        <family val="3"/>
        <charset val="129"/>
        <scheme val="minor"/>
      </rPr>
      <t>1</t>
    </r>
    <r>
      <rPr>
        <sz val="10"/>
        <color rgb="FF000000"/>
        <rFont val="-윤고딕320"/>
        <family val="1"/>
        <charset val="129"/>
      </rPr>
      <t xml:space="preserve">단계 개발사업 하수량은 시설용량을 초과하므로 총사업비를 해당사업별 하수량 비율로 원인자 부담금 산정 </t>
    </r>
    <phoneticPr fontId="2" type="noConversion"/>
  </si>
  <si>
    <t>1단계 계</t>
    <phoneticPr fontId="2" type="noConversion"/>
  </si>
  <si>
    <t>2단계 계</t>
    <phoneticPr fontId="2" type="noConversion"/>
  </si>
  <si>
    <t>단위사업</t>
    <phoneticPr fontId="2" type="noConversion"/>
  </si>
  <si>
    <t>계</t>
  </si>
  <si>
    <t>2020년</t>
  </si>
  <si>
    <t>2020년</t>
    <phoneticPr fontId="2" type="noConversion"/>
  </si>
  <si>
    <t>2025년</t>
  </si>
  <si>
    <t>2025년</t>
    <phoneticPr fontId="2" type="noConversion"/>
  </si>
  <si>
    <t>2030년</t>
  </si>
  <si>
    <t>2030년</t>
    <phoneticPr fontId="2" type="noConversion"/>
  </si>
  <si>
    <t>2035년</t>
  </si>
  <si>
    <t>2035년</t>
    <phoneticPr fontId="2" type="noConversion"/>
  </si>
  <si>
    <t>비고</t>
  </si>
  <si>
    <t>비고</t>
    <phoneticPr fontId="2" type="noConversion"/>
  </si>
  <si>
    <t>국비</t>
    <phoneticPr fontId="2" type="noConversion"/>
  </si>
  <si>
    <t>지방비</t>
  </si>
  <si>
    <t>지방비</t>
    <phoneticPr fontId="2" type="noConversion"/>
  </si>
  <si>
    <t>원인자부담금</t>
  </si>
  <si>
    <t>원인자부담금</t>
    <phoneticPr fontId="2" type="noConversion"/>
  </si>
  <si>
    <t>(단위 : 백만원)</t>
    <phoneticPr fontId="2" type="noConversion"/>
  </si>
  <si>
    <t>공공하수
처리시설</t>
    <phoneticPr fontId="2" type="noConversion"/>
  </si>
  <si>
    <t>오수간선
및
차집관로
교체 및 보수</t>
    <phoneticPr fontId="2" type="noConversion"/>
  </si>
  <si>
    <t>오수관로
신설</t>
    <phoneticPr fontId="2" type="noConversion"/>
  </si>
  <si>
    <t>하수
저류시설</t>
    <phoneticPr fontId="2" type="noConversion"/>
  </si>
  <si>
    <t>하수관로</t>
  </si>
  <si>
    <t>하수관로</t>
    <phoneticPr fontId="2" type="noConversion"/>
  </si>
  <si>
    <t>기타</t>
    <phoneticPr fontId="2" type="noConversion"/>
  </si>
  <si>
    <t>우수관로
교체 및 보수</t>
    <phoneticPr fontId="2" type="noConversion"/>
  </si>
  <si>
    <t>소규모
공공하수
처리시설</t>
    <phoneticPr fontId="2" type="noConversion"/>
  </si>
  <si>
    <t>구 분</t>
  </si>
  <si>
    <t xml:space="preserve">  </t>
  </si>
  <si>
    <t>국 비</t>
  </si>
  <si>
    <t>소계</t>
  </si>
  <si>
    <t>유지관리비</t>
  </si>
  <si>
    <t>공공하수
처리구역</t>
    <phoneticPr fontId="2" type="noConversion"/>
  </si>
  <si>
    <t>1단계 증설사업</t>
    <phoneticPr fontId="2" type="noConversion"/>
  </si>
  <si>
    <t>3.3.2 공공하수처리시설 원인자부담금</t>
    <phoneticPr fontId="10" type="noConversion"/>
  </si>
  <si>
    <t>3.3.3 오수간선관로 원인자부담금</t>
    <phoneticPr fontId="10" type="noConversion"/>
  </si>
  <si>
    <t>총계</t>
    <phoneticPr fontId="2" type="noConversion"/>
  </si>
  <si>
    <t>연계관로
(m)</t>
    <phoneticPr fontId="2" type="noConversion"/>
  </si>
  <si>
    <t>맨홀펌프장
(개소)</t>
    <phoneticPr fontId="2" type="noConversion"/>
  </si>
  <si>
    <t>배수설비
(개소)</t>
    <phoneticPr fontId="2" type="noConversion"/>
  </si>
  <si>
    <t>사업비
(백만원)</t>
    <phoneticPr fontId="2" type="noConversion"/>
  </si>
  <si>
    <t>소규모
공공하수
처리구역</t>
    <phoneticPr fontId="2" type="noConversion"/>
  </si>
  <si>
    <t>사업비</t>
    <phoneticPr fontId="2" type="noConversion"/>
  </si>
  <si>
    <t>하수관로</t>
    <phoneticPr fontId="2" type="noConversion"/>
  </si>
  <si>
    <t>교체</t>
    <phoneticPr fontId="2" type="noConversion"/>
  </si>
  <si>
    <t>보수</t>
    <phoneticPr fontId="2" type="noConversion"/>
  </si>
  <si>
    <t>1단계</t>
    <phoneticPr fontId="2" type="noConversion"/>
  </si>
  <si>
    <t>2단계</t>
  </si>
  <si>
    <t>3단계</t>
  </si>
  <si>
    <t>4단계</t>
  </si>
  <si>
    <t>계</t>
    <phoneticPr fontId="2" type="noConversion"/>
  </si>
  <si>
    <t>국비</t>
    <phoneticPr fontId="2" type="noConversion"/>
  </si>
  <si>
    <t>하수
저류시설</t>
    <phoneticPr fontId="2" type="noConversion"/>
  </si>
  <si>
    <t>처리시설</t>
    <phoneticPr fontId="2" type="noConversion"/>
  </si>
  <si>
    <t>처리구역</t>
    <phoneticPr fontId="2" type="noConversion"/>
  </si>
  <si>
    <t>합계</t>
    <phoneticPr fontId="2" type="noConversion"/>
  </si>
  <si>
    <t>합 계</t>
    <phoneticPr fontId="2" type="noConversion"/>
  </si>
  <si>
    <t>계</t>
    <phoneticPr fontId="2" type="noConversion"/>
  </si>
  <si>
    <t xml:space="preserve">
기능정상화</t>
    <phoneticPr fontId="2" type="noConversion"/>
  </si>
  <si>
    <t>소계</t>
    <phoneticPr fontId="2" type="noConversion"/>
  </si>
  <si>
    <t>소계</t>
    <phoneticPr fontId="2" type="noConversion"/>
  </si>
  <si>
    <t>1단계증설</t>
    <phoneticPr fontId="2" type="noConversion"/>
  </si>
  <si>
    <t>소규모</t>
    <phoneticPr fontId="2" type="noConversion"/>
  </si>
  <si>
    <t>총계</t>
    <phoneticPr fontId="2" type="noConversion"/>
  </si>
  <si>
    <t>적용단가
(원)</t>
    <phoneticPr fontId="2" type="noConversion"/>
  </si>
  <si>
    <t>원인자부담금
(천원)</t>
    <phoneticPr fontId="2" type="noConversion"/>
  </si>
  <si>
    <t>징수일자</t>
    <phoneticPr fontId="2" type="noConversion"/>
  </si>
  <si>
    <t>2014.4.24</t>
    <phoneticPr fontId="2" type="noConversion"/>
  </si>
  <si>
    <t>2014.6.12</t>
    <phoneticPr fontId="2" type="noConversion"/>
  </si>
  <si>
    <t>2013.6.24</t>
    <phoneticPr fontId="2" type="noConversion"/>
  </si>
  <si>
    <t>시설부담금
(백만원)</t>
    <phoneticPr fontId="2" type="noConversion"/>
  </si>
  <si>
    <t>시설부담금</t>
    <phoneticPr fontId="2" type="noConversion"/>
  </si>
  <si>
    <t>가. 원인자부담금 총괄</t>
    <phoneticPr fontId="10" type="noConversion"/>
  </si>
  <si>
    <t>나. 공공하수처리시설 원인자부담금</t>
    <phoneticPr fontId="10" type="noConversion"/>
  </si>
  <si>
    <t>다. 오수관로신설 시설부담금</t>
    <phoneticPr fontId="10" type="noConversion"/>
  </si>
  <si>
    <t>금왕
공공하수처리시설
1단계증설</t>
    <phoneticPr fontId="2" type="noConversion"/>
  </si>
  <si>
    <t>대소
공공하수처리시설
1단계증설</t>
    <phoneticPr fontId="2" type="noConversion"/>
  </si>
  <si>
    <t>생극
공공하수처리시설
1단계증설</t>
    <phoneticPr fontId="2" type="noConversion"/>
  </si>
  <si>
    <t>시티프라디움</t>
    <phoneticPr fontId="2" type="noConversion"/>
  </si>
  <si>
    <t>금석 a2블록</t>
    <phoneticPr fontId="2" type="noConversion"/>
  </si>
  <si>
    <t>우신아파트</t>
    <phoneticPr fontId="2" type="noConversion"/>
  </si>
  <si>
    <t>대소 삼정지구</t>
    <phoneticPr fontId="2" type="noConversion"/>
  </si>
  <si>
    <t>부러운아파트</t>
    <phoneticPr fontId="2" type="noConversion"/>
  </si>
  <si>
    <t>웰메이트타운</t>
    <phoneticPr fontId="2" type="noConversion"/>
  </si>
  <si>
    <t>대소네오지역주택조합</t>
    <phoneticPr fontId="2" type="noConversion"/>
  </si>
  <si>
    <t>소석리아파트(3단지)</t>
    <phoneticPr fontId="2" type="noConversion"/>
  </si>
  <si>
    <t>덕정리 아파트</t>
    <phoneticPr fontId="2" type="noConversion"/>
  </si>
  <si>
    <t>태경에코그린</t>
    <phoneticPr fontId="2" type="noConversion"/>
  </si>
  <si>
    <r>
      <t>주</t>
    </r>
    <r>
      <rPr>
        <sz val="10"/>
        <color rgb="FF000000"/>
        <rFont val="맑은 고딕"/>
        <family val="3"/>
        <charset val="129"/>
        <scheme val="minor"/>
      </rPr>
      <t xml:space="preserve">) 1. </t>
    </r>
    <r>
      <rPr>
        <sz val="10"/>
        <color rgb="FF000000"/>
        <rFont val="-윤고딕320"/>
        <family val="1"/>
        <charset val="129"/>
      </rPr>
      <t/>
    </r>
    <phoneticPr fontId="2" type="noConversion"/>
  </si>
  <si>
    <r>
      <rPr>
        <sz val="10"/>
        <color rgb="FF000000"/>
        <rFont val="맑은 고딕"/>
        <family val="1"/>
        <charset val="129"/>
        <scheme val="minor"/>
      </rPr>
      <t xml:space="preserve">    </t>
    </r>
    <r>
      <rPr>
        <sz val="10"/>
        <color rgb="FF000000"/>
        <rFont val="맑은 고딕"/>
        <family val="3"/>
        <charset val="129"/>
        <scheme val="minor"/>
      </rPr>
      <t>2. ..</t>
    </r>
    <phoneticPr fontId="2" type="noConversion"/>
  </si>
  <si>
    <t>금왕처리
구역</t>
    <phoneticPr fontId="2" type="noConversion"/>
  </si>
  <si>
    <t>대소
처리구역</t>
    <phoneticPr fontId="2" type="noConversion"/>
  </si>
  <si>
    <t>생극
처리구역</t>
    <phoneticPr fontId="2" type="noConversion"/>
  </si>
  <si>
    <t>음성군</t>
    <phoneticPr fontId="2" type="noConversion"/>
  </si>
  <si>
    <t>1단계증설</t>
    <phoneticPr fontId="2" type="noConversion"/>
  </si>
  <si>
    <t>금왕</t>
    <phoneticPr fontId="2" type="noConversion"/>
  </si>
  <si>
    <t>대소</t>
    <phoneticPr fontId="2" type="noConversion"/>
  </si>
  <si>
    <t>한벌</t>
    <phoneticPr fontId="2" type="noConversion"/>
  </si>
  <si>
    <t>사창</t>
    <phoneticPr fontId="2" type="noConversion"/>
  </si>
  <si>
    <t>소이</t>
    <phoneticPr fontId="2" type="noConversion"/>
  </si>
  <si>
    <t>원남</t>
    <phoneticPr fontId="2" type="noConversion"/>
  </si>
  <si>
    <t>맹동</t>
    <phoneticPr fontId="2" type="noConversion"/>
  </si>
  <si>
    <t>주천</t>
    <phoneticPr fontId="2" type="noConversion"/>
  </si>
  <si>
    <t>군부대</t>
    <phoneticPr fontId="2" type="noConversion"/>
  </si>
  <si>
    <t>금왕
공공하수처리시설
1단계증설</t>
    <phoneticPr fontId="2" type="noConversion"/>
  </si>
  <si>
    <t>시티프라디움</t>
    <phoneticPr fontId="2" type="noConversion"/>
  </si>
  <si>
    <t>금석 a2블록</t>
    <phoneticPr fontId="2" type="noConversion"/>
  </si>
  <si>
    <t>우신아파트</t>
    <phoneticPr fontId="2" type="noConversion"/>
  </si>
  <si>
    <t>대소
공공하수처리시설
1단계증설</t>
    <phoneticPr fontId="2" type="noConversion"/>
  </si>
  <si>
    <t>생극
공공하수처리시설
1단계증설</t>
    <phoneticPr fontId="2" type="noConversion"/>
  </si>
  <si>
    <t>대소 삼정지구</t>
    <phoneticPr fontId="2" type="noConversion"/>
  </si>
  <si>
    <t>부러운아파트</t>
    <phoneticPr fontId="2" type="noConversion"/>
  </si>
  <si>
    <t>웰메이드타운</t>
    <phoneticPr fontId="2" type="noConversion"/>
  </si>
  <si>
    <t>대소네오지역주택조합</t>
    <phoneticPr fontId="2" type="noConversion"/>
  </si>
  <si>
    <t>소석리3단지</t>
    <phoneticPr fontId="2" type="noConversion"/>
  </si>
  <si>
    <t>덕정리 아파트</t>
    <phoneticPr fontId="2" type="noConversion"/>
  </si>
  <si>
    <t>태경에코그린</t>
    <phoneticPr fontId="2" type="noConversion"/>
  </si>
  <si>
    <t>금왕
오수간선/차집관로
교체 및 보수</t>
    <phoneticPr fontId="2" type="noConversion"/>
  </si>
  <si>
    <t>우신아파트</t>
    <phoneticPr fontId="2" type="noConversion"/>
  </si>
  <si>
    <t>우신아파트</t>
    <phoneticPr fontId="2" type="noConversion"/>
  </si>
  <si>
    <t>전체 연장</t>
    <phoneticPr fontId="2" type="noConversion"/>
  </si>
  <si>
    <t>군부대 관로 연장</t>
    <phoneticPr fontId="2" type="noConversion"/>
  </si>
  <si>
    <t>관경</t>
    <phoneticPr fontId="2" type="noConversion"/>
  </si>
  <si>
    <t>연장</t>
    <phoneticPr fontId="2" type="noConversion"/>
  </si>
  <si>
    <t>총사업비</t>
    <phoneticPr fontId="2" type="noConversion"/>
  </si>
  <si>
    <t>사업비</t>
    <phoneticPr fontId="2" type="noConversion"/>
  </si>
  <si>
    <t>2030년</t>
    <phoneticPr fontId="2" type="noConversion"/>
  </si>
  <si>
    <t>오수간선
및
차집관로
교체 및 보수</t>
    <phoneticPr fontId="2" type="noConversion"/>
  </si>
  <si>
    <t>오수관로
교체 및 보수</t>
    <phoneticPr fontId="2" type="noConversion"/>
  </si>
  <si>
    <t>우수관로
교체 및 보수</t>
    <phoneticPr fontId="2" type="noConversion"/>
  </si>
  <si>
    <t>오수관로
신설</t>
    <phoneticPr fontId="2" type="noConversion"/>
  </si>
  <si>
    <t>우수관로
신설</t>
    <phoneticPr fontId="2" type="noConversion"/>
  </si>
  <si>
    <t>초기 빗물오염 연속처리시설</t>
    <phoneticPr fontId="2" type="noConversion"/>
  </si>
  <si>
    <t>하수찌꺼기
처리시설</t>
    <phoneticPr fontId="2" type="noConversion"/>
  </si>
  <si>
    <t>감곡</t>
    <phoneticPr fontId="2" type="noConversion"/>
  </si>
  <si>
    <t>음성</t>
    <phoneticPr fontId="2" type="noConversion"/>
  </si>
  <si>
    <t>비고</t>
    <phoneticPr fontId="2" type="noConversion"/>
  </si>
  <si>
    <t>금왕</t>
    <phoneticPr fontId="2" type="noConversion"/>
  </si>
  <si>
    <t>하수관로</t>
    <phoneticPr fontId="2" type="noConversion"/>
  </si>
  <si>
    <t>하수관로</t>
    <phoneticPr fontId="2" type="noConversion"/>
  </si>
  <si>
    <t>대소</t>
    <phoneticPr fontId="2" type="noConversion"/>
  </si>
  <si>
    <t>생극</t>
    <phoneticPr fontId="2" type="noConversion"/>
  </si>
  <si>
    <t>생극</t>
    <phoneticPr fontId="2" type="noConversion"/>
  </si>
  <si>
    <t>가. 공공하수처리시설 원인자부담금</t>
    <phoneticPr fontId="10" type="noConversion"/>
  </si>
  <si>
    <t>나. 공공하수처리시설 원인자부담금</t>
    <phoneticPr fontId="10" type="noConversion"/>
  </si>
  <si>
    <t>원인자부담금
부과대상사업</t>
    <phoneticPr fontId="2" type="noConversion"/>
  </si>
  <si>
    <t>부과
대상자</t>
    <phoneticPr fontId="2" type="noConversion"/>
  </si>
  <si>
    <t>계획
처리
인구
(인)</t>
    <phoneticPr fontId="2" type="noConversion"/>
  </si>
  <si>
    <t>개 발
계획인구 (인)</t>
    <phoneticPr fontId="2" type="noConversion"/>
  </si>
  <si>
    <t>계 획
하수량
(㎥/일)</t>
    <phoneticPr fontId="2" type="noConversion"/>
  </si>
  <si>
    <t>증설용량
(㎥/일)</t>
    <phoneticPr fontId="2" type="noConversion"/>
  </si>
  <si>
    <t>부담금 부과대상</t>
  </si>
  <si>
    <t>총
사업비</t>
    <phoneticPr fontId="2" type="noConversion"/>
  </si>
  <si>
    <t>원인자부담금
(백만원)
A</t>
    <phoneticPr fontId="2" type="noConversion"/>
  </si>
  <si>
    <t>원인자
부담금
부과비율
B/A
(%)</t>
    <phoneticPr fontId="2" type="noConversion"/>
  </si>
  <si>
    <t>유입
인구</t>
    <phoneticPr fontId="2" type="noConversion"/>
  </si>
  <si>
    <t>내부
인구</t>
    <phoneticPr fontId="2" type="noConversion"/>
  </si>
  <si>
    <t>유발
인구</t>
    <phoneticPr fontId="2" type="noConversion"/>
  </si>
  <si>
    <t>순수
증가량
(증설용량)</t>
    <phoneticPr fontId="2" type="noConversion"/>
  </si>
  <si>
    <t>내부
이동량
(기존용량)</t>
    <phoneticPr fontId="2" type="noConversion"/>
  </si>
  <si>
    <t>지구
발생량</t>
    <phoneticPr fontId="2" type="noConversion"/>
  </si>
  <si>
    <t>증설
처리장
부담금</t>
    <phoneticPr fontId="2" type="noConversion"/>
  </si>
  <si>
    <t>기존
처리장
부담금</t>
    <phoneticPr fontId="2" type="noConversion"/>
  </si>
  <si>
    <t>계</t>
    <phoneticPr fontId="2" type="noConversion"/>
  </si>
  <si>
    <t>기존 원인자
부담금 단가</t>
    <phoneticPr fontId="2" type="noConversion"/>
  </si>
  <si>
    <t>2015년 이전</t>
    <phoneticPr fontId="2" type="noConversion"/>
  </si>
  <si>
    <t>2015년 이후</t>
    <phoneticPr fontId="2" type="noConversion"/>
  </si>
  <si>
    <t>증설</t>
  </si>
  <si>
    <t>개발
사업자</t>
    <phoneticPr fontId="2" type="noConversion"/>
  </si>
  <si>
    <t>250 이상</t>
    <phoneticPr fontId="2" type="noConversion"/>
  </si>
  <si>
    <t>4. 내부이동량 원인자부담금 : 2015년 11월 이전 인·허가 신청시 0.407 ㎥/백만원 적용
                                  2015년 11월 이후 인·허가 신청시 2.298 ㎥/백만원 적용</t>
    <phoneticPr fontId="2" type="noConversion"/>
  </si>
  <si>
    <t>총사업비</t>
    <phoneticPr fontId="2" type="noConversion"/>
  </si>
  <si>
    <t>증설용량</t>
    <phoneticPr fontId="2" type="noConversion"/>
  </si>
  <si>
    <t>비율</t>
    <phoneticPr fontId="2" type="noConversion"/>
  </si>
  <si>
    <t>금왕
공공하수
처리시설
1단계증설</t>
    <phoneticPr fontId="2" type="noConversion"/>
  </si>
  <si>
    <t>원단위</t>
    <phoneticPr fontId="2" type="noConversion"/>
  </si>
  <si>
    <t>대소
공공하수
처리시설
1단계증설</t>
    <phoneticPr fontId="2" type="noConversion"/>
  </si>
  <si>
    <t>생극
공공하수
처리시설
1단계증설</t>
    <phoneticPr fontId="2" type="noConversion"/>
  </si>
  <si>
    <t>태경에코그린</t>
  </si>
  <si>
    <t>대소네오지역
주택조합</t>
    <phoneticPr fontId="2" type="noConversion"/>
  </si>
  <si>
    <t>초기 빗물오염 연속처리시설</t>
    <phoneticPr fontId="2" type="noConversion"/>
  </si>
  <si>
    <t>주)  증설원인이 되는 신규개발지의 순수증가 하수량을 대상으로 증설처리장 부담금 적용하고, 내부이동 하수량은 기존처리장부담금 적용</t>
    <phoneticPr fontId="2" type="noConversion"/>
  </si>
  <si>
    <t xml:space="preserve">증설 처리장 단가  = </t>
    <phoneticPr fontId="2" type="noConversion"/>
  </si>
  <si>
    <t xml:space="preserve">        증설 처리장부담금 = 1,057 (㎥/일) x 5.072 (백만원/㎥) = 5,360 (백만원)</t>
    <phoneticPr fontId="2" type="noConversion"/>
  </si>
  <si>
    <t xml:space="preserve">    총사업비 10,143(백만원)    </t>
    <phoneticPr fontId="2" type="noConversion"/>
  </si>
  <si>
    <t xml:space="preserve">    증설용량   2,000(㎥)</t>
    <phoneticPr fontId="2" type="noConversion"/>
  </si>
  <si>
    <t xml:space="preserve">        기존처리장 부담금 = 648 (㎥/일) x 1.314 (백만원/㎥) = 850 (백만원)</t>
    <phoneticPr fontId="2" type="noConversion"/>
  </si>
  <si>
    <t xml:space="preserve">    1)금왕 증설 처리장부담금 = 순수 증가량 x 증설처리장 단가 </t>
    <phoneticPr fontId="2" type="noConversion"/>
  </si>
  <si>
    <t xml:space="preserve">    2)금왕 기존처리장 부담금 = 내부이동량 x 원인자부담금 부과액 공고단가</t>
  </si>
  <si>
    <t xml:space="preserve">    5)생극 증설 처리장부담금 = 순수 증가량 x 증설처리장 단가 </t>
    <phoneticPr fontId="2" type="noConversion"/>
  </si>
  <si>
    <t xml:space="preserve">    6)생극 기존처리장 부담금 = 내부이동량 x 원인자부담금 부과액 공고단가</t>
    <phoneticPr fontId="2" type="noConversion"/>
  </si>
  <si>
    <t xml:space="preserve">    3)대소 증설 처리장부담금 = 순수 증가량 x 증설처리장 단가 </t>
    <phoneticPr fontId="2" type="noConversion"/>
  </si>
  <si>
    <t xml:space="preserve">    4)대소 기존처리장 부담금 = 내부이동량 x 원인자부담금 부과액 공고단가</t>
    <phoneticPr fontId="2" type="noConversion"/>
  </si>
  <si>
    <t xml:space="preserve">    총사업비 23,289(백만원)    </t>
    <phoneticPr fontId="2" type="noConversion"/>
  </si>
  <si>
    <t xml:space="preserve">    증설용량   4,000(㎥)</t>
    <phoneticPr fontId="2" type="noConversion"/>
  </si>
  <si>
    <t xml:space="preserve"> =  5.822 (백만원/㎥)</t>
    <phoneticPr fontId="2" type="noConversion"/>
  </si>
  <si>
    <t xml:space="preserve"> =  5.072 (백만원/㎥)</t>
    <phoneticPr fontId="2" type="noConversion"/>
  </si>
  <si>
    <t xml:space="preserve">    총사업비 6,625(백만원)    </t>
    <phoneticPr fontId="2" type="noConversion"/>
  </si>
  <si>
    <t xml:space="preserve">    증설용량   750(㎥)</t>
    <phoneticPr fontId="2" type="noConversion"/>
  </si>
  <si>
    <t xml:space="preserve"> =  8.833 (백만원/㎥)</t>
    <phoneticPr fontId="2" type="noConversion"/>
  </si>
  <si>
    <t xml:space="preserve">        증설 처리장부담금 = 1,568 (㎥/일) x 5.822 (백만원/㎥) = 9,127 (백만원)</t>
    <phoneticPr fontId="2" type="noConversion"/>
  </si>
  <si>
    <t xml:space="preserve">        기존처리장 부담금 = 1,283 (㎥/일) x 1.314 (백만원/㎥) = 1,683 (백만원)</t>
    <phoneticPr fontId="2" type="noConversion"/>
  </si>
  <si>
    <t xml:space="preserve">        증설 처리장부담금 = 26 (㎥/일) x 8.833 (백만원/㎥) = 229 (백만원)</t>
    <phoneticPr fontId="2" type="noConversion"/>
  </si>
  <si>
    <t xml:space="preserve">        기존처리장 부담금 = 39 (㎥/일) x 1.314 (백만원/㎥) = 51 (백만원)</t>
    <phoneticPr fontId="2" type="noConversion"/>
  </si>
  <si>
    <t>교체 50%
보수 50%</t>
    <phoneticPr fontId="2" type="noConversion"/>
  </si>
  <si>
    <t>기존</t>
    <phoneticPr fontId="2" type="noConversion"/>
  </si>
  <si>
    <t>미소건설</t>
    <phoneticPr fontId="2" type="noConversion"/>
  </si>
  <si>
    <t>㈜송정건설</t>
    <phoneticPr fontId="2" type="noConversion"/>
  </si>
  <si>
    <t>신부영아파트</t>
    <phoneticPr fontId="2" type="noConversion"/>
  </si>
  <si>
    <t>지평더웰2차</t>
    <phoneticPr fontId="2" type="noConversion"/>
  </si>
  <si>
    <t>㈜씨제이
산업개발</t>
    <phoneticPr fontId="2" type="noConversion"/>
  </si>
  <si>
    <t>음성지역
주택조합</t>
    <phoneticPr fontId="2" type="noConversion"/>
  </si>
  <si>
    <t>기부과</t>
    <phoneticPr fontId="2" type="noConversion"/>
  </si>
  <si>
    <t>감곡오향리A</t>
    <phoneticPr fontId="2" type="noConversion"/>
  </si>
  <si>
    <t>대신리치빌</t>
    <phoneticPr fontId="2" type="noConversion"/>
  </si>
  <si>
    <t>포그니아파트</t>
    <phoneticPr fontId="2" type="noConversion"/>
  </si>
  <si>
    <t xml:space="preserve">감곡
공공하수
처리시설
</t>
    <phoneticPr fontId="2" type="noConversion"/>
  </si>
  <si>
    <t xml:space="preserve">음성
공공하수
처리시설
</t>
    <phoneticPr fontId="2" type="noConversion"/>
  </si>
  <si>
    <t>부과내역</t>
    <phoneticPr fontId="2" type="noConversion"/>
  </si>
  <si>
    <t>협의일자</t>
    <phoneticPr fontId="2" type="noConversion"/>
  </si>
  <si>
    <t>음성 공공하수처리시설 운영결과 집계 (2012/01/01~2016/12/31)</t>
  </si>
  <si>
    <t>2014년</t>
  </si>
  <si>
    <t>2015년</t>
  </si>
  <si>
    <t>2016년</t>
  </si>
  <si>
    <t>봄·가을
(4~372월,10~11월)</t>
  </si>
  <si>
    <t>▣ 유입하수량 및 방류량</t>
    <phoneticPr fontId="158" type="noConversion"/>
  </si>
  <si>
    <t>구분</t>
    <phoneticPr fontId="160" type="noConversion"/>
  </si>
  <si>
    <t>유입하수량(㎥/일)</t>
    <phoneticPr fontId="160" type="noConversion"/>
  </si>
  <si>
    <t>방류하수량(㎥/일)</t>
    <phoneticPr fontId="160" type="noConversion"/>
  </si>
  <si>
    <t>2012년</t>
    <phoneticPr fontId="158" type="noConversion"/>
  </si>
  <si>
    <t>2013년</t>
    <phoneticPr fontId="158" type="noConversion"/>
  </si>
  <si>
    <t>2013년</t>
    <phoneticPr fontId="158" type="noConversion"/>
  </si>
  <si>
    <t>전 체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</si>
  <si>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</si>
  <si>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</si>
  <si>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</si>
  <si>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</si>
  <si>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</si>
  <si>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최대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</si>
  <si>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</si>
  <si>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</si>
  <si>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</si>
  <si>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최대</t>
    <phoneticPr fontId="160" type="noConversion"/>
  </si>
  <si>
    <t>여름철
(7,8월)</t>
    <phoneticPr fontId="158" type="noConversion"/>
  </si>
  <si>
    <t>전체</t>
    <phoneticPr fontId="160" type="noConversion"/>
  </si>
  <si>
    <t>평균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</si>
  <si>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</si>
  <si>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</si>
  <si>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최대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</si>
  <si>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</si>
  <si>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</si>
  <si>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</si>
  <si>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최대</t>
    <phoneticPr fontId="160" type="noConversion"/>
  </si>
  <si>
    <t>겨울철
(12~3월)</t>
    <phoneticPr fontId="158" type="noConversion"/>
  </si>
  <si>
    <t>전체</t>
    <phoneticPr fontId="160" type="noConversion"/>
  </si>
  <si>
    <t>평균</t>
    <phoneticPr fontId="160" type="noConversion"/>
  </si>
  <si>
    <t>최소</t>
    <phoneticPr fontId="160" type="noConversion"/>
  </si>
  <si>
    <t>최소</t>
    <phoneticPr fontId="160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</si>
  <si>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</si>
  <si>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</si>
  <si>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</si>
  <si>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</si>
  <si>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</si>
  <si>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</si>
  <si>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여름철
(7,8월)</t>
    <phoneticPr fontId="158" type="noConversion"/>
  </si>
  <si>
    <t>겨울철
(12~3월)</t>
    <phoneticPr fontId="158" type="noConversion"/>
  </si>
  <si>
    <t>금왕 공공하수처리시설 운영결과 집계 (2012/01/01~2016/12/31)</t>
  </si>
  <si>
    <t>▣ 유입하수량 및 방류량</t>
    <phoneticPr fontId="158" type="noConversion"/>
  </si>
  <si>
    <t>구분</t>
    <phoneticPr fontId="160" type="noConversion"/>
  </si>
  <si>
    <t>유입하수량(㎥/일)</t>
    <phoneticPr fontId="160" type="noConversion"/>
  </si>
  <si>
    <t>방류하수량(㎥/일)</t>
    <phoneticPr fontId="160" type="noConversion"/>
  </si>
  <si>
    <t>2012년</t>
    <phoneticPr fontId="158" type="noConversion"/>
  </si>
  <si>
    <t>2013년</t>
    <phoneticPr fontId="158" type="noConversion"/>
  </si>
  <si>
    <t>전 체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</si>
  <si>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</si>
  <si>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</si>
  <si>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</si>
  <si>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</si>
  <si>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</si>
  <si>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</si>
  <si>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여름철
(7,8월)</t>
    <phoneticPr fontId="158" type="noConversion"/>
  </si>
  <si>
    <t>겨울철
(12~3월)</t>
    <phoneticPr fontId="158" type="noConversion"/>
  </si>
  <si>
    <t>대소 공공하수처리시설 운영결과 집계 (2012/01/01~2016/12/31)</t>
  </si>
  <si>
    <t>2012년</t>
    <phoneticPr fontId="158" type="noConversion"/>
  </si>
  <si>
    <t>2013년</t>
    <phoneticPr fontId="158" type="noConversion"/>
  </si>
  <si>
    <t>2012년</t>
    <phoneticPr fontId="158" type="noConversion"/>
  </si>
  <si>
    <t>2013년</t>
    <phoneticPr fontId="158" type="noConversion"/>
  </si>
  <si>
    <t>전 체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</si>
  <si>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</si>
  <si>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</si>
  <si>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</si>
  <si>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</si>
  <si>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</si>
  <si>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</si>
  <si>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여름철
(7,8월)</t>
    <phoneticPr fontId="158" type="noConversion"/>
  </si>
  <si>
    <t>전체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</si>
  <si>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</si>
  <si>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</si>
  <si>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</si>
  <si>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</si>
  <si>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청천일</t>
    <phoneticPr fontId="160" type="noConversion"/>
  </si>
  <si>
    <t>겨울철
(12~3월)</t>
    <phoneticPr fontId="158" type="noConversion"/>
  </si>
  <si>
    <t>전체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</si>
  <si>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</si>
  <si>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</si>
  <si>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평균</t>
    <phoneticPr fontId="160" type="noConversion"/>
  </si>
  <si>
    <t>최대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</si>
  <si>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</si>
  <si>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</si>
  <si>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</si>
  <si>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전체</t>
    <phoneticPr fontId="160" type="noConversion"/>
  </si>
  <si>
    <t>최소</t>
    <phoneticPr fontId="160" type="noConversion"/>
  </si>
  <si>
    <t>청천일</t>
    <phoneticPr fontId="160" type="noConversion"/>
  </si>
  <si>
    <t>평균</t>
    <phoneticPr fontId="160" type="noConversion"/>
  </si>
  <si>
    <t>최대</t>
    <phoneticPr fontId="160" type="noConversion"/>
  </si>
  <si>
    <t>생극 공공하수처리시설 운영결과 집계 (2012/01/01~2016/12/31)</t>
  </si>
  <si>
    <t>▣ 유입하수량 및 방류량</t>
    <phoneticPr fontId="158" type="noConversion"/>
  </si>
  <si>
    <t>구분</t>
    <phoneticPr fontId="160" type="noConversion"/>
  </si>
  <si>
    <t>유입하수량(㎥/일)</t>
    <phoneticPr fontId="160" type="noConversion"/>
  </si>
  <si>
    <t>방류하수량(㎥/일)</t>
    <phoneticPr fontId="160" type="noConversion"/>
  </si>
  <si>
    <t>2012년</t>
    <phoneticPr fontId="158" type="noConversion"/>
  </si>
  <si>
    <t>2012년</t>
    <phoneticPr fontId="158" type="noConversion"/>
  </si>
  <si>
    <t>최대</t>
    <phoneticPr fontId="160" type="noConversion"/>
  </si>
  <si>
    <t>최소</t>
    <phoneticPr fontId="160" type="noConversion"/>
  </si>
  <si>
    <t>강우사상일
(우천일+강우영향일)</t>
    <phoneticPr fontId="160" type="noConversion"/>
  </si>
  <si>
    <t>대소
공공하수
처리시설
1단계증설</t>
    <phoneticPr fontId="2" type="noConversion"/>
  </si>
  <si>
    <t>감곡우시장</t>
    <phoneticPr fontId="2" type="noConversion"/>
  </si>
  <si>
    <t>2014-4-15 이후</t>
    <phoneticPr fontId="2" type="noConversion"/>
  </si>
  <si>
    <t>2014-4-15 이전</t>
    <phoneticPr fontId="2" type="noConversion"/>
  </si>
  <si>
    <t>금왕1</t>
    <phoneticPr fontId="2" type="noConversion"/>
  </si>
  <si>
    <t>대소1</t>
    <phoneticPr fontId="2" type="noConversion"/>
  </si>
  <si>
    <t>생극1</t>
    <phoneticPr fontId="2" type="noConversion"/>
  </si>
  <si>
    <t>대소3</t>
    <phoneticPr fontId="2" type="noConversion"/>
  </si>
  <si>
    <t>관성리 마을 하수량</t>
    <phoneticPr fontId="2" type="noConversion"/>
  </si>
  <si>
    <t>인구</t>
    <phoneticPr fontId="2" type="noConversion"/>
  </si>
  <si>
    <t>원단위</t>
    <phoneticPr fontId="2" type="noConversion"/>
  </si>
  <si>
    <t>하수량</t>
    <phoneticPr fontId="2" type="noConversion"/>
  </si>
  <si>
    <t>비율</t>
    <phoneticPr fontId="2" type="noConversion"/>
  </si>
  <si>
    <t>군부대 하수관로</t>
    <phoneticPr fontId="2" type="noConversion"/>
  </si>
  <si>
    <t>음성
처리구역</t>
    <phoneticPr fontId="2" type="noConversion"/>
  </si>
  <si>
    <t>기존 처리장</t>
    <phoneticPr fontId="2" type="noConversion"/>
  </si>
  <si>
    <t>감곡
처리구역</t>
    <phoneticPr fontId="2" type="noConversion"/>
  </si>
  <si>
    <t xml:space="preserve">    1)금왕 1차증설 처리장부담금 = 순수 증가량 x 증설처리장 단가 </t>
    <phoneticPr fontId="2" type="noConversion"/>
  </si>
  <si>
    <t xml:space="preserve">    3)대소 1차증설 처리장부담금 = 순수 증가량 x 증설처리장 단가 </t>
    <phoneticPr fontId="2" type="noConversion"/>
  </si>
  <si>
    <t xml:space="preserve">    6)대소 기존처리장 부담금 = 내부이동량 x 원인자부담금 부과액 공고단가</t>
    <phoneticPr fontId="2" type="noConversion"/>
  </si>
  <si>
    <t xml:space="preserve">    5)대소 3차증설 처리장부담금 = 순수 증가량 x 증설처리장 단가 </t>
    <phoneticPr fontId="2" type="noConversion"/>
  </si>
  <si>
    <t xml:space="preserve">        기존처리장 부담금 = 80 (㎥/일) x 1.314 (백만원/㎥) = 105 (백만원)</t>
    <phoneticPr fontId="2" type="noConversion"/>
  </si>
  <si>
    <t xml:space="preserve">    증설용량   500(㎥)</t>
    <phoneticPr fontId="2" type="noConversion"/>
  </si>
  <si>
    <t xml:space="preserve">    증설용량   3,500(㎥)</t>
    <phoneticPr fontId="2" type="noConversion"/>
  </si>
  <si>
    <t xml:space="preserve"> =  11.510 (백만원/㎥)</t>
    <phoneticPr fontId="2" type="noConversion"/>
  </si>
  <si>
    <t xml:space="preserve">        증설 처리장부담금 = 98 (㎥/일) x 11.510 (백만원/㎥) = 1,127 (백만원)</t>
    <phoneticPr fontId="2" type="noConversion"/>
  </si>
  <si>
    <t>본대</t>
    <phoneticPr fontId="2" type="noConversion"/>
  </si>
  <si>
    <t>4단계증설</t>
    <phoneticPr fontId="2" type="noConversion"/>
  </si>
  <si>
    <t>일평균
처리량</t>
    <phoneticPr fontId="2" type="noConversion"/>
  </si>
  <si>
    <t>비고</t>
    <phoneticPr fontId="2" type="noConversion"/>
  </si>
  <si>
    <t>2차증설</t>
    <phoneticPr fontId="2" type="noConversion"/>
  </si>
  <si>
    <t xml:space="preserve">    총사업비 5,755(백만원)</t>
    <phoneticPr fontId="2" type="noConversion"/>
  </si>
  <si>
    <t xml:space="preserve">    총사업비 10,143(백만원)</t>
    <phoneticPr fontId="2" type="noConversion"/>
  </si>
  <si>
    <t xml:space="preserve">    총사업비 6,046(백만원)</t>
    <phoneticPr fontId="2" type="noConversion"/>
  </si>
  <si>
    <t>대소지역주택조합</t>
    <phoneticPr fontId="2" type="noConversion"/>
  </si>
  <si>
    <t>대소지역
주택조합</t>
    <phoneticPr fontId="2" type="noConversion"/>
  </si>
  <si>
    <t xml:space="preserve">    5)생극 1차증설 처리장부담금 = 순수 증가량 x 증설처리장 단가 </t>
    <phoneticPr fontId="2" type="noConversion"/>
  </si>
  <si>
    <t xml:space="preserve">    6)생극 기존처리장 부담금 = 내부이동량 x 원인자부담금 부과액 공고단가</t>
    <phoneticPr fontId="2" type="noConversion"/>
  </si>
  <si>
    <t xml:space="preserve">    증설용량   550(㎥)</t>
    <phoneticPr fontId="2" type="noConversion"/>
  </si>
  <si>
    <t xml:space="preserve"> =  10.992 (백만원/㎥)</t>
    <phoneticPr fontId="2" type="noConversion"/>
  </si>
  <si>
    <t xml:space="preserve">        증설 처리장부담금 = 729 (㎥/일) x 5.072 (백만원/㎥) = 3,697 (백만원)</t>
    <phoneticPr fontId="2" type="noConversion"/>
  </si>
  <si>
    <t xml:space="preserve">        기존처리장 부담금 = 447 (㎥/일) x 1.314 (백만원/㎥) = 587 (백만원)</t>
    <phoneticPr fontId="2" type="noConversion"/>
  </si>
  <si>
    <t xml:space="preserve">        증설 처리장부담금 = 1,130 (㎥/일) x 6.097 (백만원/㎥) = 7,170 (백만원)</t>
    <phoneticPr fontId="2" type="noConversion"/>
  </si>
  <si>
    <t xml:space="preserve">        기존처리장 부담금 = 925 (㎥/일) x 1.314 (백만원/㎥) = 1,214 (백만원)</t>
    <phoneticPr fontId="2" type="noConversion"/>
  </si>
  <si>
    <t xml:space="preserve">        증설 처리장부담금 = - (㎥/일) x 9.302 (백만원/㎥) = - (백만원)</t>
    <phoneticPr fontId="2" type="noConversion"/>
  </si>
  <si>
    <t xml:space="preserve">        기존처리장 부담금 = - (㎥/일) x 1.314 (백만원/㎥) = - (백만원)</t>
    <phoneticPr fontId="2" type="noConversion"/>
  </si>
  <si>
    <t>관성리 군부대 하수량</t>
    <phoneticPr fontId="2" type="noConversion"/>
  </si>
  <si>
    <t>㎥</t>
    <phoneticPr fontId="2" type="noConversion"/>
  </si>
  <si>
    <t>비율</t>
    <phoneticPr fontId="2" type="noConversion"/>
  </si>
  <si>
    <t>하수량</t>
    <phoneticPr fontId="2" type="noConversion"/>
  </si>
  <si>
    <t>구    분</t>
    <phoneticPr fontId="2" type="noConversion"/>
  </si>
  <si>
    <t>합   계</t>
    <phoneticPr fontId="2" type="noConversion"/>
  </si>
  <si>
    <t>6.3 재원조달계획</t>
  </si>
  <si>
    <t>6.3.1 단계별 재원조달계획(총괄)</t>
  </si>
  <si>
    <t>6.3.2 처리구역별 재원조달계획</t>
  </si>
  <si>
    <t>6.3.3 원인자부담금</t>
  </si>
  <si>
    <t>기부과
금액</t>
    <phoneticPr fontId="2" type="noConversion"/>
  </si>
  <si>
    <t>1차증설</t>
    <phoneticPr fontId="2" type="noConversion"/>
  </si>
  <si>
    <t>추가 원인자 부담금</t>
    <phoneticPr fontId="2" type="noConversion"/>
  </si>
  <si>
    <t>4단계증설</t>
    <phoneticPr fontId="2" type="noConversion"/>
  </si>
  <si>
    <t>1단계신설</t>
    <phoneticPr fontId="2" type="noConversion"/>
  </si>
  <si>
    <t>2단계증설</t>
    <phoneticPr fontId="2" type="noConversion"/>
  </si>
  <si>
    <t>오수관로 신설
(2단계)</t>
    <phoneticPr fontId="2" type="noConversion"/>
  </si>
  <si>
    <t xml:space="preserve">    총사업비 22,214(백만원)</t>
    <phoneticPr fontId="2" type="noConversion"/>
  </si>
  <si>
    <t xml:space="preserve"> =  6.347 (백만원/㎥)</t>
    <phoneticPr fontId="2" type="noConversion"/>
  </si>
  <si>
    <t>증설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</si>
</sst>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5" formatCode="&quot;₩&quot;#,##0;\-&quot;₩&quot;#,##0"/>
    <numFmt numFmtId="7" formatCode="&quot;₩&quot;#,##0.00;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0.0%"/>
    <numFmt numFmtId="177" formatCode="_-* #,##0_-;\-* #,##0_-;_-* &quot;-&quot;??_-;_-@_-"/>
    <numFmt numFmtId="178" formatCode="#,###;\-#,###;\-;@"/>
    <numFmt numFmtId="179" formatCode="#,##0_);[Red]\(#,##0\)"/>
    <numFmt numFmtId="180" formatCode="0.000"/>
    <numFmt numFmtId="181" formatCode="_ &quot;kr&quot;\ * #,##0.00_ ;_ &quot;kr&quot;\ * \-#,##0.00_ ;_ &quot;kr&quot;\ * &quot;-&quot;??_ ;_ @_ "/>
    <numFmt numFmtId="182" formatCode="0.00_ "/>
    <numFmt numFmtId="183" formatCode="_ * #,##0.00_ ;_ * \-#,##0.00_ ;_ * &quot;-&quot;??_ ;_ @_ "/>
    <numFmt numFmtId="184" formatCode="#."/>
    <numFmt numFmtId="185" formatCode="#.00"/>
    <numFmt numFmtId="186" formatCode="_ * #,##0_ ;_ * \-#,##0_ ;_ * &quot;-&quot;_ ;_ @_ "/>
    <numFmt numFmtId="187" formatCode="&quot;₩&quot;#,##0.00;[Red]&quot;₩&quot;\-#,##0.00"/>
    <numFmt numFmtId="188" formatCode="_ &quot;₩&quot;* #,##0_ ;_ &quot;₩&quot;* \-#,##0_ ;_ &quot;₩&quot;* &quot;-&quot;_ ;_ @_ "/>
    <numFmt numFmtId="189" formatCode="&quot;$&quot;#,##0_);[Red]\(&quot;$&quot;#,##0\)"/>
    <numFmt numFmtId="190" formatCode="&quot;₩&quot;#,##0;[Red]&quot;₩&quot;\-#,##0"/>
    <numFmt numFmtId="191" formatCode="_ &quot;₩&quot;* #,##0.00_ ;_ &quot;₩&quot;* \-#,##0.00_ ;_ &quot;₩&quot;* &quot;-&quot;??_ ;_ @_ "/>
    <numFmt numFmtId="192" formatCode="&quot;$&quot;#,##0.00_);[Red]\(&quot;$&quot;#,##0.00\)"/>
    <numFmt numFmtId="193" formatCode="%#.00"/>
    <numFmt numFmtId="194" formatCode="#,##0;[Red]&quot;-&quot;#,##0"/>
    <numFmt numFmtId="195" formatCode="#,##0.00;[Red]&quot;-&quot;#,##0.00"/>
    <numFmt numFmtId="196" formatCode="#,##0."/>
    <numFmt numFmtId="197" formatCode="&quot;S&quot;\ #,##0;[Red]\-&quot;S&quot;\ #,##0"/>
    <numFmt numFmtId="198" formatCode="#,##0.00_ "/>
    <numFmt numFmtId="199" formatCode="yyyy&quot;年&quot;&quot;₩&quot;&quot;₩&quot;&quot;₩&quot;&quot;₩&quot;\ mm&quot;月&quot;&quot;₩&quot;&quot;₩&quot;&quot;₩&quot;&quot;₩&quot;\ dd&quot;日&quot;"/>
    <numFmt numFmtId="200" formatCode="#,##0.00\ ;\(#,##0.00\);\ \-\ "/>
    <numFmt numFmtId="201" formatCode="_-&quot;S&quot;&quot;₩&quot;\!\ * #,##0_-;&quot;₩&quot;\!\-&quot;S&quot;&quot;₩&quot;\!\ * #,##0_-;_-&quot;S&quot;&quot;₩&quot;\!\ * &quot;-&quot;_-;_-@_-"/>
    <numFmt numFmtId="202" formatCode="&quot;₩&quot;\!\$#,##0&quot;₩&quot;\!\ ;&quot;₩&quot;\!\(&quot;₩&quot;\!\$#,##0&quot;₩&quot;\!\)"/>
    <numFmt numFmtId="203" formatCode="#,##0.0000000;[Red]&quot;-&quot;#,##0.0000000"/>
    <numFmt numFmtId="204" formatCode="_-* #,##0.0_-;\-* #,##0.0_-;_-* &quot;-&quot;??_-;_-@_-"/>
    <numFmt numFmtId="205" formatCode="#,##0.0;[Red]\(#,##0.0\)"/>
    <numFmt numFmtId="206" formatCode="&quot;$&quot;#,##0.00;;"/>
    <numFmt numFmtId="207" formatCode="#,##0.000000000;[Red]&quot;-&quot;#,##0.000000000"/>
    <numFmt numFmtId="208" formatCode="#,##0.0\ ;\(#,##0.0\);&quot;-&quot;\ "/>
    <numFmt numFmtId="209" formatCode="0\ &quot;EA&quot;"/>
    <numFmt numFmtId="210" formatCode="\$#.00"/>
    <numFmt numFmtId="211" formatCode="\$#."/>
    <numFmt numFmtId="212" formatCode="_-[$€-2]* #,##0.00_-;\-[$€-2]* #,##0.00_-;_-[$€-2]* &quot;-&quot;??_-"/>
    <numFmt numFmtId="213" formatCode="_ * #,##0_ ;_ * &quot;₩&quot;&quot;₩&quot;&quot;₩&quot;&quot;₩&quot;&quot;₩&quot;\-#,##0_ ;_ * &quot;-&quot;_ ;_ @_ "/>
    <numFmt numFmtId="214" formatCode="General_)"/>
    <numFmt numFmtId="215" formatCode="#,000"/>
    <numFmt numFmtId="216" formatCode="_(&quot;$&quot;* #,##0.0_);_(&quot;$&quot;* \(#,##0.0\);_(&quot;$&quot;* &quot;-&quot;??_);_(@_)"/>
    <numFmt numFmtId="217" formatCode="#,##0;[Red]&quot;△&quot;#,##0"/>
    <numFmt numFmtId="218" formatCode="&quot;$&quot;#,##0.00"/>
    <numFmt numFmtId="219" formatCode="_*\ ??_-"/>
    <numFmt numFmtId="220" formatCode="0.0_)"/>
    <numFmt numFmtId="221" formatCode="0\ &quot;t&quot;"/>
    <numFmt numFmtId="222" formatCode="#,##0;[Red]\(#,##0\)"/>
    <numFmt numFmtId="223" formatCode="&quot;₩&quot;#,##0;&quot;₩&quot;&quot;₩&quot;&quot;₩&quot;&quot;₩&quot;\-#,##0"/>
    <numFmt numFmtId="224" formatCode="&quot;R$&quot;#,##0.00;&quot;R$&quot;\-#,##0.00"/>
    <numFmt numFmtId="225" formatCode="0.0_);[Red]\(0.0\)"/>
    <numFmt numFmtId="226" formatCode="#,##0_ "/>
    <numFmt numFmtId="227" formatCode="_-* #,##0.000_-;\-* #,##0.000_-;_-* &quot;-&quot;_-;_-@_-"/>
    <numFmt numFmtId="228" formatCode="_-* #,##0.00_-;\-* #,##0.00_-;_-* &quot;-&quot;_-;_-@_-"/>
    <numFmt numFmtId="229" formatCode="_-* #,##0.0_-;\-* #,##0.0_-;_-* &quot;-&quot;_-;_-@_-"/>
    <numFmt numFmtId="230" formatCode="0.0"/>
    <numFmt numFmtId="231" formatCode="_-\ #,##0.0_-;\-\ #,##0.0_-;_-* &quot;-&quot;_-;_-@_-"/>
    <numFmt numFmtId="232" formatCode="_-* #,##0_-;&quot;₩&quot;\!\-* #,##0_-;_-* &quot;-&quot;_-;_-@_-"/>
    <numFmt numFmtId="233" formatCode="&quot;  &quot;@"/>
    <numFmt numFmtId="234" formatCode="0.00\ &quot;)&quot;"/>
    <numFmt numFmtId="235" formatCode="0.00\ &quot;)]&quot;"/>
    <numFmt numFmtId="236" formatCode="&quot;₩&quot;#,##0;[Red]&quot;₩&quot;&quot;₩&quot;&quot;₩&quot;&quot;₩&quot;\-#,##0"/>
    <numFmt numFmtId="237" formatCode="0.000\ &quot;²&quot;"/>
    <numFmt numFmtId="238" formatCode="&quot;(&quot;\ 0.00"/>
    <numFmt numFmtId="239" formatCode="&quot;[(&quot;\ 0.00"/>
    <numFmt numFmtId="240" formatCode="_ * #,##0_ ;_ * &quot;₩&quot;&quot;₩&quot;&quot;₩&quot;&quot;₩&quot;\-#,##0_ ;_ * &quot;-&quot;_ ;_ @_ "/>
    <numFmt numFmtId="241" formatCode="#,##0.000000000;[Red]\-#,##0.000000000"/>
    <numFmt numFmtId="242" formatCode="_-* #,##0.00_-;&quot;₩&quot;&quot;₩&quot;\-* #,##0.00_-;_-* &quot;-&quot;??_-;_-@_-"/>
    <numFmt numFmtId="243" formatCode="&quot;$&quot;#,##0_);\(&quot;$&quot;#,##0\)"/>
    <numFmt numFmtId="244" formatCode="_-&quot;₩&quot;* #,##0.00_-;&quot;₩&quot;&quot;₩&quot;\-&quot;₩&quot;* #,##0.00_-;_-&quot;₩&quot;* &quot;-&quot;??_-;_-@_-"/>
    <numFmt numFmtId="245" formatCode="&quot;₩&quot;#,##0.00;&quot;₩&quot;&quot;₩&quot;&quot;₩&quot;&quot;₩&quot;\-#,##0.00"/>
    <numFmt numFmtId="246" formatCode="0_ "/>
  </numFmts>
  <fonts count="16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-윤고딕320"/>
      <family val="1"/>
      <charset val="129"/>
    </font>
    <font>
      <sz val="10"/>
      <color rgb="FF000000"/>
      <name val="맑은 고딕"/>
      <family val="1"/>
      <charset val="129"/>
      <scheme val="minor"/>
    </font>
    <font>
      <sz val="10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8"/>
      <name val="굴림체"/>
      <family val="3"/>
      <charset val="129"/>
    </font>
    <font>
      <sz val="9"/>
      <color rgb="FF000000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rgb="FF000000"/>
      <name val="휴먼명조"/>
      <family val="3"/>
      <charset val="129"/>
    </font>
    <font>
      <b/>
      <sz val="11"/>
      <color rgb="FF0000FF"/>
      <name val="휴먼명조"/>
      <family val="3"/>
      <charset val="129"/>
    </font>
    <font>
      <sz val="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MS Sans Serif"/>
      <family val="2"/>
    </font>
    <font>
      <sz val="12"/>
      <name val="바탕체"/>
      <family val="1"/>
      <charset val="129"/>
    </font>
    <font>
      <sz val="10"/>
      <name val="Arial"/>
      <family val="2"/>
    </font>
    <font>
      <sz val="11"/>
      <name val="돋움"/>
      <family val="3"/>
      <charset val="129"/>
    </font>
    <font>
      <sz val="10"/>
      <name val="Times New Roman"/>
      <family val="1"/>
    </font>
    <font>
      <sz val="10"/>
      <name val="Helv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1"/>
      <color indexed="8"/>
      <name val="돋움"/>
      <family val="3"/>
      <charset val="129"/>
    </font>
    <font>
      <b/>
      <sz val="1"/>
      <color indexed="8"/>
      <name val="Courier"/>
      <family val="3"/>
    </font>
    <font>
      <sz val="10"/>
      <name val="¸íÁ¶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name val="¹UAAA¼"/>
      <family val="3"/>
      <charset val="129"/>
    </font>
    <font>
      <sz val="11"/>
      <name val="￥i￠￢￠?o"/>
      <family val="3"/>
      <charset val="129"/>
    </font>
    <font>
      <sz val="10"/>
      <name val="돋움체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2"/>
      <name val="¹ÙÅÁÃ¼"/>
      <family val="1"/>
      <charset val="129"/>
    </font>
    <font>
      <sz val="11"/>
      <name val="µ¸¿ò"/>
      <family val="3"/>
      <charset val="129"/>
    </font>
    <font>
      <sz val="10"/>
      <name val="Geneva"/>
      <family val="2"/>
    </font>
    <font>
      <sz val="12"/>
      <name val="ⓒoUAAA¨u"/>
      <family val="3"/>
      <charset val="129"/>
    </font>
    <font>
      <sz val="9"/>
      <name val="Arial"/>
      <family val="2"/>
    </font>
    <font>
      <b/>
      <sz val="8"/>
      <name val="Arial"/>
      <family val="2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color indexed="9"/>
      <name val="Arial"/>
      <family val="2"/>
    </font>
    <font>
      <sz val="10"/>
      <name val="바탕"/>
      <family val="1"/>
      <charset val="129"/>
    </font>
    <font>
      <sz val="10"/>
      <color indexed="24"/>
      <name val="Arial"/>
      <family val="2"/>
    </font>
    <font>
      <b/>
      <sz val="11"/>
      <color indexed="16"/>
      <name val="Arial"/>
      <family val="2"/>
    </font>
    <font>
      <b/>
      <sz val="10"/>
      <color indexed="17"/>
      <name val="Arial"/>
      <family val="2"/>
    </font>
    <font>
      <b/>
      <sz val="9"/>
      <name val="Arial"/>
      <family val="2"/>
    </font>
    <font>
      <sz val="10"/>
      <name val="MS Serif"/>
      <family val="1"/>
    </font>
    <font>
      <b/>
      <i/>
      <sz val="14"/>
      <name val="Times New Roman"/>
      <family val="1"/>
    </font>
    <font>
      <sz val="8"/>
      <name val="Arial"/>
      <family val="2"/>
    </font>
    <font>
      <sz val="8"/>
      <name val="돋움체"/>
      <family val="3"/>
      <charset val="129"/>
    </font>
    <font>
      <sz val="12"/>
      <name val="Arial"/>
      <family val="2"/>
    </font>
    <font>
      <sz val="10"/>
      <color indexed="16"/>
      <name val="MS Serif"/>
      <family val="1"/>
    </font>
    <font>
      <u/>
      <sz val="12"/>
      <color indexed="36"/>
      <name val="바탕체"/>
      <family val="1"/>
      <charset val="129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10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i/>
      <sz val="12"/>
      <color indexed="16"/>
      <name val="Times New Roman"/>
      <family val="1"/>
    </font>
    <font>
      <b/>
      <sz val="1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u/>
      <sz val="12"/>
      <color indexed="12"/>
      <name val="바탕체"/>
      <family val="1"/>
      <charset val="129"/>
    </font>
    <font>
      <u/>
      <sz val="8"/>
      <color indexed="12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b/>
      <sz val="16"/>
      <name val="Times New Roman"/>
      <family val="1"/>
    </font>
    <font>
      <sz val="8"/>
      <name val="Helv"/>
      <family val="2"/>
    </font>
    <font>
      <b/>
      <sz val="12"/>
      <color indexed="16"/>
      <name val="Arial"/>
      <family val="2"/>
    </font>
    <font>
      <sz val="9"/>
      <name val="돋움"/>
      <family val="3"/>
      <charset val="129"/>
    </font>
    <font>
      <b/>
      <i/>
      <sz val="18"/>
      <color indexed="16"/>
      <name val="Times New Roman"/>
      <family val="1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8"/>
      <color indexed="32"/>
      <name val="Arial"/>
      <family val="2"/>
    </font>
    <font>
      <sz val="8"/>
      <name val="바탕체"/>
      <family val="1"/>
      <charset val="129"/>
    </font>
    <font>
      <sz val="11"/>
      <color indexed="1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indexed="52"/>
      <name val="맑은 고딕"/>
      <family val="3"/>
      <charset val="129"/>
    </font>
    <font>
      <b/>
      <sz val="11"/>
      <color rgb="FFFA7D00"/>
      <name val="맑은 고딕"/>
      <family val="3"/>
      <charset val="129"/>
      <scheme val="minor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명조"/>
      <family val="3"/>
      <charset val="129"/>
    </font>
    <font>
      <sz val="11"/>
      <name val="돋움체"/>
      <family val="3"/>
      <charset val="129"/>
    </font>
    <font>
      <sz val="11"/>
      <name val="HY신명조"/>
      <family val="1"/>
      <charset val="129"/>
    </font>
    <font>
      <sz val="11"/>
      <color indexed="20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1"/>
      <name val="굴림체"/>
      <family val="3"/>
      <charset val="129"/>
    </font>
    <font>
      <b/>
      <sz val="14"/>
      <color indexed="12"/>
      <name val="바탕체"/>
      <family val="1"/>
      <charset val="129"/>
    </font>
    <font>
      <sz val="1"/>
      <color indexed="0"/>
      <name val="Courier"/>
      <family val="3"/>
    </font>
    <font>
      <sz val="1"/>
      <color indexed="8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2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indexed="9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2"/>
      <name val="돋움체"/>
      <family val="3"/>
      <charset val="129"/>
    </font>
    <font>
      <sz val="9"/>
      <name val="돋움체"/>
      <family val="3"/>
      <charset val="129"/>
    </font>
    <font>
      <b/>
      <sz val="12"/>
      <color indexed="16"/>
      <name val="굴림체"/>
      <family val="3"/>
      <charset val="129"/>
    </font>
    <font>
      <sz val="11"/>
      <name val="굴림"/>
      <family val="3"/>
      <charset val="129"/>
    </font>
    <font>
      <sz val="10"/>
      <color indexed="8"/>
      <name val="돋움"/>
      <family val="3"/>
      <charset val="129"/>
    </font>
    <font>
      <sz val="10"/>
      <name val="명조"/>
      <family val="3"/>
      <charset val="129"/>
    </font>
    <font>
      <b/>
      <sz val="12"/>
      <color indexed="12"/>
      <name val="돋움체"/>
      <family val="3"/>
      <charset val="129"/>
    </font>
    <font>
      <sz val="11"/>
      <color indexed="52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sz val="10"/>
      <name val="바탕체"/>
      <family val="1"/>
      <charset val="129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indexed="12"/>
      <name val="굴림체"/>
      <family val="3"/>
      <charset val="129"/>
    </font>
    <font>
      <sz val="11"/>
      <color indexed="62"/>
      <name val="맑은 고딕"/>
      <family val="3"/>
      <charset val="129"/>
    </font>
    <font>
      <sz val="11"/>
      <color rgb="FF3F3F76"/>
      <name val="맑은 고딕"/>
      <family val="3"/>
      <charset val="129"/>
      <scheme val="minor"/>
    </font>
    <font>
      <b/>
      <sz val="15"/>
      <color indexed="56"/>
      <name val="맑은 고딕"/>
      <family val="3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indexed="56"/>
      <name val="맑은 고딕"/>
      <family val="3"/>
      <charset val="129"/>
    </font>
    <font>
      <b/>
      <sz val="13"/>
      <color theme="3"/>
      <name val="맑은 고딕"/>
      <family val="3"/>
      <charset val="129"/>
      <scheme val="minor"/>
    </font>
    <font>
      <b/>
      <sz val="11"/>
      <color indexed="56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8"/>
      <color indexed="56"/>
      <name val="맑은 고딕"/>
      <family val="3"/>
      <charset val="129"/>
    </font>
    <font>
      <sz val="18"/>
      <color theme="3"/>
      <name val="맑은 고딕"/>
      <family val="3"/>
      <charset val="129"/>
      <scheme val="major"/>
    </font>
    <font>
      <b/>
      <sz val="18"/>
      <color theme="3"/>
      <name val="맑은 고딕"/>
      <family val="3"/>
      <charset val="129"/>
      <scheme val="major"/>
    </font>
    <font>
      <b/>
      <sz val="16"/>
      <name val="돋움체"/>
      <family val="3"/>
      <charset val="129"/>
    </font>
    <font>
      <sz val="11"/>
      <color indexed="17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b/>
      <sz val="11"/>
      <color indexed="63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sz val="1"/>
      <color theme="1"/>
      <name val="맑은 고딕"/>
      <family val="3"/>
      <charset val="129"/>
      <scheme val="minor"/>
    </font>
    <font>
      <sz val="11"/>
      <color theme="1"/>
      <name val="가는으뜸체"/>
      <family val="2"/>
      <charset val="129"/>
    </font>
    <font>
      <sz val="9"/>
      <color theme="1"/>
      <name val="Arial"/>
      <family val="2"/>
    </font>
    <font>
      <sz val="10"/>
      <color theme="1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1"/>
      <color indexed="12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8"/>
      <color theme="1"/>
      <name val="-2002"/>
      <family val="1"/>
      <charset val="129"/>
    </font>
    <font>
      <b/>
      <sz val="13"/>
      <color theme="1"/>
      <name val="가는으뜸체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double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ck">
        <color rgb="FF66666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 style="thick">
        <color indexed="9"/>
      </left>
      <right/>
      <top style="thick">
        <color indexed="9"/>
      </top>
      <bottom style="thick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0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30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49" fontId="8" fillId="0" borderId="93">
      <alignment horizontal="center" vertical="center"/>
    </xf>
    <xf numFmtId="24" fontId="19" fillId="0" borderId="0" applyFont="0" applyFill="0" applyBorder="0" applyAlignment="0" applyProtection="0"/>
    <xf numFmtId="181" fontId="20" fillId="0" borderId="0" applyNumberFormat="0" applyFont="0" applyFill="0" applyBorder="0" applyAlignment="0" applyProtection="0"/>
    <xf numFmtId="182" fontId="20" fillId="0" borderId="0" applyNumberFormat="0" applyFont="0" applyFill="0" applyBorder="0" applyAlignment="0" applyProtection="0"/>
    <xf numFmtId="181" fontId="20" fillId="0" borderId="0" applyNumberFormat="0" applyFont="0" applyFill="0" applyBorder="0" applyAlignment="0" applyProtection="0"/>
    <xf numFmtId="182" fontId="20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0" fontId="21" fillId="0" borderId="0"/>
    <xf numFmtId="0" fontId="21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84" fontId="25" fillId="0" borderId="0">
      <protection locked="0"/>
    </xf>
    <xf numFmtId="0" fontId="26" fillId="0" borderId="0"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4" fontId="25" fillId="0" borderId="0">
      <protection locked="0"/>
    </xf>
    <xf numFmtId="185" fontId="26" fillId="0" borderId="0">
      <protection locked="0"/>
    </xf>
    <xf numFmtId="184" fontId="25" fillId="0" borderId="0">
      <protection locked="0"/>
    </xf>
    <xf numFmtId="0" fontId="27" fillId="0" borderId="0"/>
    <xf numFmtId="0" fontId="28" fillId="0" borderId="0">
      <protection locked="0"/>
    </xf>
    <xf numFmtId="0" fontId="28" fillId="0" borderId="0">
      <protection locked="0"/>
    </xf>
    <xf numFmtId="0" fontId="29" fillId="0" borderId="94"/>
    <xf numFmtId="0" fontId="20" fillId="0" borderId="3">
      <alignment horizontal="center"/>
    </xf>
    <xf numFmtId="0" fontId="20" fillId="0" borderId="3">
      <alignment horizontal="center"/>
    </xf>
    <xf numFmtId="0" fontId="30" fillId="3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184" fontId="25" fillId="0" borderId="0">
      <protection locked="0"/>
    </xf>
    <xf numFmtId="0" fontId="26" fillId="0" borderId="0">
      <protection locked="0"/>
    </xf>
    <xf numFmtId="0" fontId="30" fillId="4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9" fontId="20" fillId="0" borderId="0">
      <protection locked="0"/>
    </xf>
    <xf numFmtId="0" fontId="32" fillId="4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86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NumberFormat="0" applyFont="0" applyBorder="0" applyAlignment="0">
      <alignment vertical="center"/>
    </xf>
    <xf numFmtId="187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40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4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9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9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40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40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39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84" fontId="25" fillId="0" borderId="0">
      <protection locked="0"/>
    </xf>
    <xf numFmtId="193" fontId="26" fillId="0" borderId="0">
      <protection locked="0"/>
    </xf>
    <xf numFmtId="0" fontId="19" fillId="0" borderId="0"/>
    <xf numFmtId="38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40" fillId="0" borderId="0" applyFont="0" applyFill="0" applyBorder="0" applyAlignment="0" applyProtection="0"/>
    <xf numFmtId="194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40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9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4" fillId="0" borderId="0" applyFont="0" applyFill="0" applyBorder="0" applyAlignment="0" applyProtection="0"/>
    <xf numFmtId="195" fontId="37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40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40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9" fillId="0" borderId="0" applyFont="0" applyFill="0" applyBorder="0" applyAlignment="0" applyProtection="0"/>
    <xf numFmtId="4" fontId="26" fillId="0" borderId="0">
      <protection locked="0"/>
    </xf>
    <xf numFmtId="196" fontId="26" fillId="0" borderId="0">
      <protection locked="0"/>
    </xf>
    <xf numFmtId="184" fontId="25" fillId="0" borderId="0">
      <protection locked="0"/>
    </xf>
    <xf numFmtId="184" fontId="25" fillId="0" borderId="0">
      <protection locked="0"/>
    </xf>
    <xf numFmtId="0" fontId="22" fillId="0" borderId="0" applyFont="0" applyFill="0" applyBorder="0" applyAlignment="0" applyProtection="0"/>
    <xf numFmtId="0" fontId="21" fillId="50" borderId="0" applyBorder="0" applyAlignment="0" applyProtection="0"/>
    <xf numFmtId="0" fontId="43" fillId="0" borderId="0"/>
    <xf numFmtId="49" fontId="44" fillId="51" borderId="0" applyBorder="0">
      <alignment horizontal="right"/>
    </xf>
    <xf numFmtId="0" fontId="21" fillId="0" borderId="0" applyFont="0" applyFill="0" applyBorder="0" applyAlignment="0" applyProtection="0"/>
    <xf numFmtId="0" fontId="45" fillId="52" borderId="95">
      <alignment horizontal="center" vertical="center"/>
    </xf>
    <xf numFmtId="0" fontId="46" fillId="0" borderId="0"/>
    <xf numFmtId="0" fontId="39" fillId="0" borderId="0"/>
    <xf numFmtId="0" fontId="34" fillId="0" borderId="0"/>
    <xf numFmtId="0" fontId="46" fillId="0" borderId="0"/>
    <xf numFmtId="0" fontId="46" fillId="0" borderId="0"/>
    <xf numFmtId="0" fontId="37" fillId="0" borderId="0"/>
    <xf numFmtId="0" fontId="38" fillId="0" borderId="0"/>
    <xf numFmtId="0" fontId="39" fillId="0" borderId="0"/>
    <xf numFmtId="37" fontId="34" fillId="0" borderId="0"/>
    <xf numFmtId="37" fontId="39" fillId="0" borderId="0"/>
    <xf numFmtId="0" fontId="47" fillId="0" borderId="0"/>
    <xf numFmtId="0" fontId="40" fillId="0" borderId="0"/>
    <xf numFmtId="0" fontId="38" fillId="0" borderId="0"/>
    <xf numFmtId="0" fontId="39" fillId="0" borderId="0"/>
    <xf numFmtId="0" fontId="47" fillId="0" borderId="0"/>
    <xf numFmtId="0" fontId="40" fillId="0" borderId="0"/>
    <xf numFmtId="0" fontId="34" fillId="0" borderId="0"/>
    <xf numFmtId="0" fontId="39" fillId="0" borderId="0"/>
    <xf numFmtId="0" fontId="34" fillId="0" borderId="0"/>
    <xf numFmtId="0" fontId="39" fillId="0" borderId="0"/>
    <xf numFmtId="0" fontId="47" fillId="0" borderId="0"/>
    <xf numFmtId="0" fontId="40" fillId="0" borderId="0"/>
    <xf numFmtId="0" fontId="48" fillId="0" borderId="0"/>
    <xf numFmtId="0" fontId="49" fillId="0" borderId="0"/>
    <xf numFmtId="0" fontId="41" fillId="0" borderId="0"/>
    <xf numFmtId="0" fontId="41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21" fillId="0" borderId="0"/>
    <xf numFmtId="0" fontId="39" fillId="0" borderId="0"/>
    <xf numFmtId="197" fontId="22" fillId="0" borderId="0" applyFill="0" applyBorder="0" applyAlignment="0"/>
    <xf numFmtId="0" fontId="50" fillId="0" borderId="0"/>
    <xf numFmtId="0" fontId="26" fillId="0" borderId="96">
      <protection locked="0"/>
    </xf>
    <xf numFmtId="184" fontId="25" fillId="0" borderId="96">
      <protection locked="0"/>
    </xf>
    <xf numFmtId="0" fontId="44" fillId="53" borderId="1">
      <alignment horizontal="center"/>
    </xf>
    <xf numFmtId="0" fontId="51" fillId="54" borderId="97" applyNumberFormat="0" applyBorder="0" applyAlignment="0">
      <alignment horizontal="left" wrapText="1"/>
    </xf>
    <xf numFmtId="198" fontId="22" fillId="0" borderId="0">
      <protection locked="0"/>
    </xf>
    <xf numFmtId="38" fontId="19" fillId="0" borderId="0" applyFont="0" applyFill="0" applyBorder="0" applyAlignment="0" applyProtection="0"/>
    <xf numFmtId="199" fontId="20" fillId="0" borderId="0"/>
    <xf numFmtId="200" fontId="52" fillId="0" borderId="0"/>
    <xf numFmtId="201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3" fontId="53" fillId="0" borderId="0" applyFont="0" applyFill="0" applyBorder="0" applyAlignment="0" applyProtection="0"/>
    <xf numFmtId="0" fontId="43" fillId="51" borderId="0"/>
    <xf numFmtId="0" fontId="54" fillId="51" borderId="0" applyNumberFormat="0" applyFill="0" applyBorder="0"/>
    <xf numFmtId="0" fontId="55" fillId="51" borderId="0" applyNumberFormat="0" applyFill="0" applyBorder="0"/>
    <xf numFmtId="0" fontId="56" fillId="51" borderId="0" applyNumberFormat="0" applyFill="0" applyBorder="0"/>
    <xf numFmtId="0" fontId="57" fillId="0" borderId="0" applyNumberFormat="0" applyAlignment="0">
      <alignment horizontal="left"/>
    </xf>
    <xf numFmtId="0" fontId="58" fillId="53" borderId="98" applyFont="0" applyBorder="0">
      <alignment horizontal="centerContinuous" vertical="center"/>
    </xf>
    <xf numFmtId="192" fontId="59" fillId="51" borderId="99" applyBorder="0"/>
    <xf numFmtId="0" fontId="20" fillId="0" borderId="0" applyFont="0" applyFill="0" applyBorder="0" applyAlignment="0" applyProtection="0"/>
    <xf numFmtId="198" fontId="22" fillId="0" borderId="0">
      <protection locked="0"/>
    </xf>
    <xf numFmtId="189" fontId="19" fillId="0" borderId="0" applyFont="0" applyFill="0" applyBorder="0" applyAlignment="0" applyProtection="0"/>
    <xf numFmtId="0" fontId="60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20" fillId="0" borderId="0"/>
    <xf numFmtId="0" fontId="23" fillId="0" borderId="0"/>
    <xf numFmtId="0" fontId="21" fillId="0" borderId="0"/>
    <xf numFmtId="0" fontId="53" fillId="0" borderId="0" applyFont="0" applyFill="0" applyBorder="0" applyAlignment="0" applyProtection="0"/>
    <xf numFmtId="0" fontId="61" fillId="0" borderId="0" applyFill="0" applyBorder="0" applyAlignment="0" applyProtection="0"/>
    <xf numFmtId="0" fontId="53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0" fontId="21" fillId="55" borderId="100" applyBorder="0"/>
    <xf numFmtId="206" fontId="21" fillId="55" borderId="101" applyBorder="0">
      <alignment horizontal="center"/>
    </xf>
    <xf numFmtId="207" fontId="20" fillId="0" borderId="0"/>
    <xf numFmtId="208" fontId="22" fillId="0" borderId="0"/>
    <xf numFmtId="209" fontId="43" fillId="0" borderId="0" applyFill="0" applyBorder="0">
      <alignment horizontal="centerContinuous"/>
    </xf>
    <xf numFmtId="184" fontId="25" fillId="0" borderId="0">
      <protection locked="0"/>
    </xf>
    <xf numFmtId="184" fontId="25" fillId="0" borderId="0">
      <protection locked="0"/>
    </xf>
    <xf numFmtId="210" fontId="26" fillId="0" borderId="0">
      <protection locked="0"/>
    </xf>
    <xf numFmtId="211" fontId="26" fillId="0" borderId="0">
      <protection locked="0"/>
    </xf>
    <xf numFmtId="186" fontId="21" fillId="0" borderId="0" applyFont="0" applyFill="0" applyBorder="0" applyAlignment="0" applyProtection="0"/>
    <xf numFmtId="0" fontId="62" fillId="0" borderId="0" applyNumberFormat="0" applyAlignment="0">
      <alignment horizontal="left"/>
    </xf>
    <xf numFmtId="212" fontId="22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59" fillId="51" borderId="0"/>
    <xf numFmtId="2" fontId="53" fillId="0" borderId="0" applyFont="0" applyFill="0" applyBorder="0" applyAlignment="0" applyProtection="0"/>
    <xf numFmtId="2" fontId="61" fillId="0" borderId="0" applyFill="0" applyBorder="0" applyAlignment="0" applyProtection="0"/>
    <xf numFmtId="2" fontId="53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213" fontId="20" fillId="0" borderId="0"/>
    <xf numFmtId="38" fontId="59" fillId="51" borderId="0" applyNumberFormat="0" applyBorder="0" applyAlignment="0" applyProtection="0"/>
    <xf numFmtId="0" fontId="64" fillId="0" borderId="0" applyAlignment="0">
      <alignment horizontal="right"/>
    </xf>
    <xf numFmtId="0" fontId="65" fillId="0" borderId="0"/>
    <xf numFmtId="0" fontId="66" fillId="0" borderId="0"/>
    <xf numFmtId="0" fontId="67" fillId="0" borderId="0">
      <alignment horizontal="left"/>
    </xf>
    <xf numFmtId="0" fontId="59" fillId="0" borderId="0" applyNumberFormat="0" applyFill="0" applyBorder="0" applyProtection="0"/>
    <xf numFmtId="0" fontId="68" fillId="0" borderId="102" applyNumberFormat="0" applyAlignment="0" applyProtection="0">
      <alignment horizontal="left" vertical="center"/>
    </xf>
    <xf numFmtId="0" fontId="68" fillId="0" borderId="36">
      <alignment horizontal="left" vertical="center"/>
    </xf>
    <xf numFmtId="0" fontId="68" fillId="0" borderId="36">
      <alignment horizontal="left" vertical="center"/>
    </xf>
    <xf numFmtId="0" fontId="68" fillId="0" borderId="36">
      <alignment horizontal="left" vertical="center"/>
    </xf>
    <xf numFmtId="0" fontId="68" fillId="0" borderId="36">
      <alignment horizontal="left" vertical="center"/>
    </xf>
    <xf numFmtId="0" fontId="69" fillId="56" borderId="103" applyBorder="0" applyAlignment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51" borderId="0" applyNumberFormat="0" applyFill="0" applyBorder="0"/>
    <xf numFmtId="0" fontId="73" fillId="0" borderId="0" applyNumberFormat="0" applyFill="0" applyBorder="0" applyAlignment="0" applyProtection="0"/>
    <xf numFmtId="0" fontId="73" fillId="0" borderId="0" applyProtection="0"/>
    <xf numFmtId="0" fontId="68" fillId="0" borderId="0" applyNumberFormat="0" applyFill="0" applyBorder="0" applyAlignment="0" applyProtection="0"/>
    <xf numFmtId="0" fontId="68" fillId="0" borderId="0" applyProtection="0"/>
    <xf numFmtId="12" fontId="21" fillId="50" borderId="104" applyNumberFormat="0" applyBorder="0" applyAlignment="0" applyProtection="0">
      <alignment horizontal="center"/>
    </xf>
    <xf numFmtId="0" fontId="74" fillId="0" borderId="0"/>
    <xf numFmtId="0" fontId="75" fillId="0" borderId="0">
      <alignment horizontal="left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Protection="0"/>
    <xf numFmtId="0" fontId="78" fillId="0" borderId="0" applyNumberFormat="0" applyFill="0" applyBorder="0" applyAlignment="0" applyProtection="0"/>
    <xf numFmtId="0" fontId="21" fillId="57" borderId="105" applyBorder="0">
      <protection locked="0"/>
    </xf>
    <xf numFmtId="10" fontId="59" fillId="55" borderId="106" applyNumberFormat="0" applyBorder="0" applyAlignment="0" applyProtection="0"/>
    <xf numFmtId="10" fontId="59" fillId="55" borderId="106" applyNumberFormat="0" applyBorder="0" applyAlignment="0" applyProtection="0"/>
    <xf numFmtId="206" fontId="21" fillId="57" borderId="107" applyBorder="0">
      <alignment horizontal="center"/>
      <protection locked="0"/>
    </xf>
    <xf numFmtId="12" fontId="21" fillId="57" borderId="107" applyBorder="0">
      <alignment horizontal="center"/>
      <protection locked="0"/>
    </xf>
    <xf numFmtId="0" fontId="65" fillId="57" borderId="108">
      <alignment horizontal="center" vertical="center"/>
      <protection locked="0"/>
    </xf>
    <xf numFmtId="192" fontId="59" fillId="55" borderId="0" applyBorder="0">
      <protection locked="0"/>
    </xf>
    <xf numFmtId="15" fontId="59" fillId="55" borderId="0" applyBorder="0">
      <protection locked="0"/>
    </xf>
    <xf numFmtId="49" fontId="59" fillId="55" borderId="0" applyBorder="0">
      <protection locked="0"/>
    </xf>
    <xf numFmtId="49" fontId="59" fillId="55" borderId="32" applyNumberFormat="0" applyBorder="0"/>
    <xf numFmtId="0" fontId="43" fillId="55" borderId="107" applyBorder="0">
      <alignment horizontal="left"/>
    </xf>
    <xf numFmtId="0" fontId="43" fillId="57" borderId="0">
      <alignment horizontal="left"/>
    </xf>
    <xf numFmtId="214" fontId="79" fillId="0" borderId="0">
      <alignment horizontal="left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80" fillId="0" borderId="109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7" fontId="81" fillId="0" borderId="0"/>
    <xf numFmtId="215" fontId="20" fillId="0" borderId="0"/>
    <xf numFmtId="216" fontId="2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0" fillId="0" borderId="0"/>
    <xf numFmtId="0" fontId="21" fillId="0" borderId="0"/>
    <xf numFmtId="217" fontId="83" fillId="58" borderId="0">
      <alignment vertical="center"/>
    </xf>
    <xf numFmtId="0" fontId="23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3" fontId="36" fillId="0" borderId="0">
      <alignment vertical="center"/>
    </xf>
    <xf numFmtId="218" fontId="65" fillId="55" borderId="108">
      <alignment horizontal="center"/>
    </xf>
    <xf numFmtId="0" fontId="21" fillId="51" borderId="107" applyBorder="0">
      <alignment horizontal="center"/>
      <protection locked="0"/>
    </xf>
    <xf numFmtId="198" fontId="22" fillId="0" borderId="0">
      <protection locked="0"/>
    </xf>
    <xf numFmtId="10" fontId="21" fillId="0" borderId="0" applyFont="0" applyFill="0" applyBorder="0" applyAlignment="0" applyProtection="0"/>
    <xf numFmtId="184" fontId="25" fillId="0" borderId="0">
      <protection locked="0"/>
    </xf>
    <xf numFmtId="0" fontId="79" fillId="51" borderId="0"/>
    <xf numFmtId="0" fontId="21" fillId="0" borderId="0"/>
    <xf numFmtId="0" fontId="84" fillId="59" borderId="110">
      <alignment horizontal="center" vertical="center"/>
    </xf>
    <xf numFmtId="0" fontId="23" fillId="0" borderId="0"/>
    <xf numFmtId="0" fontId="85" fillId="51" borderId="0"/>
    <xf numFmtId="0" fontId="23" fillId="0" borderId="0"/>
    <xf numFmtId="218" fontId="21" fillId="0" borderId="0"/>
    <xf numFmtId="30" fontId="86" fillId="0" borderId="0" applyNumberFormat="0" applyFill="0" applyBorder="0" applyAlignment="0" applyProtection="0">
      <alignment horizontal="left"/>
    </xf>
    <xf numFmtId="38" fontId="19" fillId="0" borderId="0" applyFont="0" applyFill="0" applyBorder="0" applyAlignment="0" applyProtection="0"/>
    <xf numFmtId="49" fontId="87" fillId="51" borderId="0" applyBorder="0">
      <alignment horizontal="centerContinuous"/>
    </xf>
    <xf numFmtId="219" fontId="88" fillId="0" borderId="23" applyFont="0" applyFill="0" applyBorder="0" applyAlignment="0" applyProtection="0">
      <alignment horizontal="center" vertical="center"/>
    </xf>
    <xf numFmtId="0" fontId="21" fillId="0" borderId="0"/>
    <xf numFmtId="0" fontId="80" fillId="0" borderId="0"/>
    <xf numFmtId="0" fontId="89" fillId="51" borderId="0" applyProtection="0">
      <alignment horizontal="centerContinuous" vertical="center"/>
      <protection hidden="1"/>
    </xf>
    <xf numFmtId="40" fontId="90" fillId="0" borderId="0" applyBorder="0">
      <alignment horizontal="right"/>
    </xf>
    <xf numFmtId="0" fontId="21" fillId="51" borderId="107" applyBorder="0">
      <alignment horizontal="center"/>
    </xf>
    <xf numFmtId="0" fontId="21" fillId="51" borderId="107" applyBorder="0">
      <alignment horizontal="center"/>
    </xf>
    <xf numFmtId="220" fontId="91" fillId="0" borderId="0">
      <alignment horizontal="center"/>
    </xf>
    <xf numFmtId="0" fontId="65" fillId="0" borderId="0" applyNumberFormat="0" applyFill="0" applyBorder="0" applyProtection="0"/>
    <xf numFmtId="0" fontId="92" fillId="0" borderId="0" applyFill="0" applyBorder="0" applyProtection="0">
      <alignment horizontal="centerContinuous" vertical="center"/>
    </xf>
    <xf numFmtId="0" fontId="93" fillId="50" borderId="0" applyFill="0" applyBorder="0" applyProtection="0">
      <alignment horizontal="center" vertical="center"/>
    </xf>
    <xf numFmtId="221" fontId="43" fillId="0" borderId="0" applyFill="0" applyBorder="0">
      <alignment horizontal="centerContinuous"/>
    </xf>
    <xf numFmtId="0" fontId="53" fillId="0" borderId="96" applyNumberFormat="0" applyFont="0" applyFill="0" applyAlignment="0" applyProtection="0"/>
    <xf numFmtId="0" fontId="61" fillId="0" borderId="111" applyNumberFormat="0" applyFill="0" applyAlignment="0" applyProtection="0"/>
    <xf numFmtId="0" fontId="53" fillId="0" borderId="96" applyNumberFormat="0" applyFont="0" applyFill="0" applyAlignment="0" applyProtection="0"/>
    <xf numFmtId="0" fontId="61" fillId="0" borderId="111" applyNumberFormat="0" applyFill="0" applyAlignment="0" applyProtection="0"/>
    <xf numFmtId="192" fontId="44" fillId="51" borderId="0"/>
    <xf numFmtId="49" fontId="94" fillId="51" borderId="0" applyBorder="0">
      <alignment horizontal="right"/>
    </xf>
    <xf numFmtId="0" fontId="95" fillId="0" borderId="3">
      <alignment horizontal="left"/>
    </xf>
    <xf numFmtId="0" fontId="95" fillId="0" borderId="3">
      <alignment horizontal="left"/>
    </xf>
    <xf numFmtId="22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2" fillId="6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6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64" borderId="112" applyNumberFormat="0" applyAlignment="0" applyProtection="0">
      <alignment vertical="center"/>
    </xf>
    <xf numFmtId="0" fontId="99" fillId="8" borderId="74" applyNumberFormat="0" applyAlignment="0" applyProtection="0">
      <alignment vertical="center"/>
    </xf>
    <xf numFmtId="0" fontId="98" fillId="64" borderId="112" applyNumberFormat="0" applyAlignment="0" applyProtection="0">
      <alignment vertical="center"/>
    </xf>
    <xf numFmtId="223" fontId="20" fillId="0" borderId="0">
      <protection locked="0"/>
    </xf>
    <xf numFmtId="223" fontId="20" fillId="0" borderId="0">
      <protection locked="0"/>
    </xf>
    <xf numFmtId="2" fontId="100" fillId="0" borderId="0" applyFont="0" applyFill="0" applyBorder="0" applyAlignment="0" applyProtection="0"/>
    <xf numFmtId="184" fontId="25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101" fillId="0" borderId="0" applyNumberFormat="0" applyFill="0" applyBorder="0" applyAlignment="0" applyProtection="0"/>
    <xf numFmtId="184" fontId="25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102" fillId="0" borderId="0" applyNumberFormat="0" applyFill="0" applyBorder="0" applyAlignment="0" applyProtection="0"/>
    <xf numFmtId="184" fontId="25" fillId="0" borderId="0">
      <protection locked="0"/>
    </xf>
    <xf numFmtId="0" fontId="103" fillId="0" borderId="0"/>
    <xf numFmtId="0" fontId="104" fillId="0" borderId="113" applyBorder="0">
      <alignment horizontal="distributed"/>
      <protection locked="0"/>
    </xf>
    <xf numFmtId="0" fontId="105" fillId="0" borderId="0" applyFill="0" applyBorder="0" applyProtection="0">
      <alignment horizontal="left" shrinkToFit="1"/>
    </xf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224" fontId="20" fillId="0" borderId="0"/>
    <xf numFmtId="0" fontId="106" fillId="37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100" fillId="0" borderId="0" applyFont="0" applyFill="0" applyBorder="0" applyAlignment="0" applyProtection="0"/>
    <xf numFmtId="184" fontId="25" fillId="0" borderId="0">
      <protection locked="0"/>
    </xf>
    <xf numFmtId="3" fontId="19" fillId="0" borderId="7">
      <alignment horizontal="center"/>
    </xf>
    <xf numFmtId="3" fontId="19" fillId="0" borderId="7">
      <alignment horizontal="center"/>
    </xf>
    <xf numFmtId="1" fontId="108" fillId="0" borderId="1" applyFill="0" applyBorder="0">
      <alignment horizontal="center"/>
    </xf>
    <xf numFmtId="225" fontId="22" fillId="0" borderId="0" applyFill="0" applyBorder="0">
      <alignment horizontal="center" vertical="center"/>
    </xf>
    <xf numFmtId="226" fontId="22" fillId="0" borderId="114" applyFill="0" applyBorder="0">
      <alignment horizontal="center" vertical="center"/>
      <protection locked="0"/>
    </xf>
    <xf numFmtId="180" fontId="22" fillId="0" borderId="95" applyFill="0" applyBorder="0">
      <alignment horizontal="center"/>
      <protection locked="0"/>
    </xf>
    <xf numFmtId="227" fontId="22" fillId="0" borderId="95" applyFill="0" applyBorder="0">
      <alignment horizontal="center"/>
      <protection locked="0"/>
    </xf>
    <xf numFmtId="228" fontId="22" fillId="0" borderId="115">
      <alignment horizontal="center"/>
      <protection locked="0"/>
    </xf>
    <xf numFmtId="229" fontId="22" fillId="0" borderId="115">
      <alignment horizontal="center"/>
      <protection locked="0"/>
    </xf>
    <xf numFmtId="228" fontId="22" fillId="0" borderId="115">
      <alignment horizontal="center"/>
      <protection locked="0"/>
    </xf>
    <xf numFmtId="198" fontId="22" fillId="0" borderId="115">
      <alignment horizontal="center"/>
      <protection locked="0"/>
    </xf>
    <xf numFmtId="230" fontId="22" fillId="0" borderId="32" applyFill="0" applyBorder="0">
      <alignment horizontal="center" vertical="center"/>
      <protection locked="0"/>
    </xf>
    <xf numFmtId="0" fontId="26" fillId="0" borderId="0">
      <protection locked="0"/>
    </xf>
    <xf numFmtId="0" fontId="26" fillId="0" borderId="0">
      <protection locked="0"/>
    </xf>
    <xf numFmtId="0" fontId="100" fillId="0" borderId="0" applyFont="0" applyFill="0" applyBorder="0" applyAlignment="0" applyProtection="0"/>
    <xf numFmtId="184" fontId="25" fillId="0" borderId="0">
      <protection locked="0"/>
    </xf>
    <xf numFmtId="0" fontId="109" fillId="0" borderId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65" borderId="105" applyNumberFormat="0" applyFont="0" applyAlignment="0" applyProtection="0">
      <alignment vertical="center"/>
    </xf>
    <xf numFmtId="0" fontId="31" fillId="10" borderId="78" applyNumberFormat="0" applyFont="0" applyAlignment="0" applyProtection="0">
      <alignment vertical="center"/>
    </xf>
    <xf numFmtId="0" fontId="22" fillId="65" borderId="105" applyNumberFormat="0" applyFont="0" applyAlignment="0" applyProtection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4" fontId="110" fillId="0" borderId="0">
      <protection locked="0"/>
    </xf>
    <xf numFmtId="231" fontId="22" fillId="0" borderId="0">
      <alignment vertical="center"/>
    </xf>
    <xf numFmtId="9" fontId="108" fillId="50" borderId="0" applyFill="0" applyBorder="0" applyProtection="0">
      <alignment horizontal="right"/>
    </xf>
    <xf numFmtId="10" fontId="108" fillId="0" borderId="0" applyFill="0" applyBorder="0" applyProtection="0">
      <alignment horizontal="right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11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12" fillId="66" borderId="0" applyNumberFormat="0" applyBorder="0" applyAlignment="0" applyProtection="0">
      <alignment vertical="center"/>
    </xf>
    <xf numFmtId="0" fontId="113" fillId="6" borderId="0" applyNumberFormat="0" applyBorder="0" applyAlignment="0" applyProtection="0">
      <alignment vertical="center"/>
    </xf>
    <xf numFmtId="0" fontId="22" fillId="0" borderId="116">
      <alignment horizontal="center" vertical="center"/>
    </xf>
    <xf numFmtId="0" fontId="114" fillId="0" borderId="0"/>
    <xf numFmtId="49" fontId="104" fillId="0" borderId="117" applyFill="0" applyBorder="0">
      <alignment horizontal="center" vertical="center"/>
      <protection locked="0"/>
    </xf>
    <xf numFmtId="0" fontId="115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67" borderId="118" applyNumberFormat="0" applyAlignment="0" applyProtection="0">
      <alignment vertical="center"/>
    </xf>
    <xf numFmtId="0" fontId="118" fillId="9" borderId="77" applyNumberFormat="0" applyAlignment="0" applyProtection="0">
      <alignment vertical="center"/>
    </xf>
    <xf numFmtId="0" fontId="119" fillId="0" borderId="0" applyProtection="0">
      <alignment vertical="center"/>
      <protection locked="0"/>
    </xf>
    <xf numFmtId="0" fontId="120" fillId="0" borderId="1" applyNumberFormat="0">
      <alignment horizontal="center" vertical="center"/>
    </xf>
    <xf numFmtId="194" fontId="121" fillId="0" borderId="0">
      <alignment vertical="center"/>
    </xf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23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22" fillId="0" borderId="0" applyFont="0" applyFill="0" applyBorder="0" applyAlignment="0" applyProtection="0"/>
    <xf numFmtId="186" fontId="20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1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232" fontId="2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1" fontId="111" fillId="0" borderId="0" applyFont="0" applyFill="0" applyBorder="0" applyAlignment="0" applyProtection="0">
      <alignment vertical="center"/>
    </xf>
    <xf numFmtId="0" fontId="21" fillId="0" borderId="0"/>
    <xf numFmtId="40" fontId="19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0" fontId="1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124" fillId="0" borderId="94"/>
    <xf numFmtId="0" fontId="125" fillId="0" borderId="117" applyBorder="0">
      <alignment horizontal="distributed" vertical="center"/>
      <protection locked="0"/>
    </xf>
    <xf numFmtId="0" fontId="126" fillId="0" borderId="120" applyNumberFormat="0" applyFill="0" applyAlignment="0" applyProtection="0">
      <alignment vertical="center"/>
    </xf>
    <xf numFmtId="0" fontId="127" fillId="0" borderId="76" applyNumberFormat="0" applyFill="0" applyAlignment="0" applyProtection="0">
      <alignment vertical="center"/>
    </xf>
    <xf numFmtId="233" fontId="128" fillId="0" borderId="1" applyBorder="0">
      <alignment vertical="center"/>
    </xf>
    <xf numFmtId="0" fontId="129" fillId="0" borderId="121" applyNumberFormat="0" applyFill="0" applyAlignment="0" applyProtection="0">
      <alignment vertical="center"/>
    </xf>
    <xf numFmtId="0" fontId="130" fillId="0" borderId="79" applyNumberFormat="0" applyFill="0" applyAlignment="0" applyProtection="0">
      <alignment vertical="center"/>
    </xf>
    <xf numFmtId="0" fontId="129" fillId="0" borderId="121" applyNumberFormat="0" applyFill="0" applyAlignment="0" applyProtection="0">
      <alignment vertical="center"/>
    </xf>
    <xf numFmtId="234" fontId="88" fillId="0" borderId="0" applyFill="0" applyBorder="0">
      <alignment horizontal="centerContinuous"/>
    </xf>
    <xf numFmtId="235" fontId="88" fillId="0" borderId="0" applyFill="0" applyBorder="0">
      <alignment horizontal="centerContinuous"/>
    </xf>
    <xf numFmtId="185" fontId="22" fillId="0" borderId="0" applyFont="0" applyFill="0" applyBorder="0" applyAlignment="0" applyProtection="0"/>
    <xf numFmtId="0" fontId="131" fillId="0" borderId="0">
      <alignment vertical="center"/>
    </xf>
    <xf numFmtId="2" fontId="88" fillId="0" borderId="0" applyFill="0" applyBorder="0" applyProtection="0">
      <alignment horizontal="centerContinuous"/>
    </xf>
    <xf numFmtId="41" fontId="22" fillId="0" borderId="0" applyFont="0" applyFill="0" applyBorder="0" applyAlignment="0" applyProtection="0"/>
    <xf numFmtId="0" fontId="132" fillId="41" borderId="112" applyNumberFormat="0" applyAlignment="0" applyProtection="0">
      <alignment vertical="center"/>
    </xf>
    <xf numFmtId="0" fontId="133" fillId="7" borderId="74" applyNumberFormat="0" applyAlignment="0" applyProtection="0">
      <alignment vertical="center"/>
    </xf>
    <xf numFmtId="0" fontId="132" fillId="41" borderId="112" applyNumberFormat="0" applyAlignment="0" applyProtection="0">
      <alignment vertical="center"/>
    </xf>
    <xf numFmtId="4" fontId="26" fillId="0" borderId="0">
      <protection locked="0"/>
    </xf>
    <xf numFmtId="4" fontId="26" fillId="0" borderId="0">
      <protection locked="0"/>
    </xf>
    <xf numFmtId="4" fontId="100" fillId="0" borderId="0" applyFont="0" applyFill="0" applyBorder="0" applyAlignment="0" applyProtection="0"/>
    <xf numFmtId="184" fontId="25" fillId="0" borderId="0">
      <protection locked="0"/>
    </xf>
    <xf numFmtId="236" fontId="20" fillId="0" borderId="0">
      <protection locked="0"/>
    </xf>
    <xf numFmtId="236" fontId="20" fillId="0" borderId="0">
      <protection locked="0"/>
    </xf>
    <xf numFmtId="3" fontId="100" fillId="0" borderId="0" applyFont="0" applyFill="0" applyBorder="0" applyAlignment="0" applyProtection="0"/>
    <xf numFmtId="184" fontId="25" fillId="0" borderId="0">
      <protection locked="0"/>
    </xf>
    <xf numFmtId="237" fontId="43" fillId="0" borderId="0" applyFill="0" applyBorder="0">
      <alignment horizontal="centerContinuous"/>
    </xf>
    <xf numFmtId="0" fontId="134" fillId="0" borderId="122" applyNumberFormat="0" applyFill="0" applyAlignment="0" applyProtection="0">
      <alignment vertical="center"/>
    </xf>
    <xf numFmtId="0" fontId="135" fillId="0" borderId="71" applyNumberFormat="0" applyFill="0" applyAlignment="0" applyProtection="0">
      <alignment vertical="center"/>
    </xf>
    <xf numFmtId="0" fontId="136" fillId="0" borderId="123" applyNumberFormat="0" applyFill="0" applyAlignment="0" applyProtection="0">
      <alignment vertical="center"/>
    </xf>
    <xf numFmtId="0" fontId="137" fillId="0" borderId="72" applyNumberFormat="0" applyFill="0" applyAlignment="0" applyProtection="0">
      <alignment vertical="center"/>
    </xf>
    <xf numFmtId="0" fontId="138" fillId="0" borderId="124" applyNumberFormat="0" applyFill="0" applyAlignment="0" applyProtection="0">
      <alignment vertical="center"/>
    </xf>
    <xf numFmtId="0" fontId="139" fillId="0" borderId="73" applyNumberFormat="0" applyFill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142" fillId="0" borderId="0" applyNumberFormat="0" applyFill="0" applyBorder="0" applyAlignment="0" applyProtection="0">
      <alignment vertical="center"/>
    </xf>
    <xf numFmtId="0" fontId="20" fillId="0" borderId="1">
      <alignment horizontal="distributed" vertical="center"/>
    </xf>
    <xf numFmtId="0" fontId="20" fillId="0" borderId="2">
      <alignment horizontal="distributed" vertical="top"/>
    </xf>
    <xf numFmtId="0" fontId="20" fillId="0" borderId="103">
      <alignment horizontal="distributed"/>
    </xf>
    <xf numFmtId="186" fontId="143" fillId="0" borderId="0">
      <alignment vertical="center"/>
    </xf>
    <xf numFmtId="0" fontId="144" fillId="38" borderId="0" applyNumberFormat="0" applyBorder="0" applyAlignment="0" applyProtection="0">
      <alignment vertical="center"/>
    </xf>
    <xf numFmtId="0" fontId="145" fillId="4" borderId="0" applyNumberFormat="0" applyBorder="0" applyAlignment="0" applyProtection="0">
      <alignment vertical="center"/>
    </xf>
    <xf numFmtId="238" fontId="88" fillId="0" borderId="0" applyFill="0" applyBorder="0">
      <alignment horizontal="centerContinuous"/>
    </xf>
    <xf numFmtId="239" fontId="88" fillId="0" borderId="0" applyFill="0" applyBorder="0">
      <alignment horizontal="centerContinuous"/>
    </xf>
    <xf numFmtId="0" fontId="20" fillId="0" borderId="0"/>
    <xf numFmtId="0" fontId="146" fillId="64" borderId="125" applyNumberFormat="0" applyAlignment="0" applyProtection="0">
      <alignment vertical="center"/>
    </xf>
    <xf numFmtId="0" fontId="147" fillId="8" borderId="75" applyNumberFormat="0" applyAlignment="0" applyProtection="0">
      <alignment vertical="center"/>
    </xf>
    <xf numFmtId="0" fontId="146" fillId="64" borderId="125" applyNumberFormat="0" applyAlignment="0" applyProtection="0">
      <alignment vertical="center"/>
    </xf>
    <xf numFmtId="184" fontId="110" fillId="0" borderId="0">
      <protection locked="0"/>
    </xf>
    <xf numFmtId="184" fontId="110" fillId="0" borderId="0">
      <protection locked="0"/>
    </xf>
    <xf numFmtId="0" fontId="20" fillId="0" borderId="0" applyFont="0" applyFill="0" applyBorder="0" applyAlignment="0" applyProtection="0"/>
    <xf numFmtId="184" fontId="110" fillId="0" borderId="0">
      <protection locked="0"/>
    </xf>
    <xf numFmtId="41" fontId="22" fillId="0" borderId="0" applyFont="0" applyFill="0" applyBorder="0" applyAlignment="0" applyProtection="0"/>
    <xf numFmtId="240" fontId="21" fillId="0" borderId="1"/>
    <xf numFmtId="240" fontId="21" fillId="0" borderId="1"/>
    <xf numFmtId="198" fontId="108" fillId="50" borderId="0" applyFill="0" applyBorder="0" applyProtection="0">
      <alignment horizontal="right"/>
    </xf>
    <xf numFmtId="241" fontId="22" fillId="50" borderId="0" applyFill="0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/>
    <xf numFmtId="184" fontId="110" fillId="0" borderId="0">
      <protection locked="0"/>
    </xf>
    <xf numFmtId="184" fontId="110" fillId="0" borderId="0">
      <protection locked="0"/>
    </xf>
    <xf numFmtId="184" fontId="110" fillId="0" borderId="0">
      <protection locked="0"/>
    </xf>
    <xf numFmtId="42" fontId="22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242" fontId="20" fillId="0" borderId="0">
      <protection locked="0"/>
    </xf>
    <xf numFmtId="242" fontId="20" fillId="0" borderId="0">
      <protection locked="0"/>
    </xf>
    <xf numFmtId="10" fontId="100" fillId="0" borderId="0" applyFont="0" applyFill="0" applyBorder="0" applyAlignment="0" applyProtection="0"/>
    <xf numFmtId="184" fontId="25" fillId="0" borderId="0">
      <protection locked="0"/>
    </xf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0" fontId="22" fillId="0" borderId="119"/>
    <xf numFmtId="184" fontId="110" fillId="0" borderId="0">
      <protection locked="0"/>
    </xf>
    <xf numFmtId="184" fontId="110" fillId="0" borderId="0">
      <protection locked="0"/>
    </xf>
    <xf numFmtId="217" fontId="21" fillId="0" borderId="95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59" fillId="0" borderId="0" applyNumberFormat="0" applyFill="0" applyBorder="0" applyProtection="0"/>
    <xf numFmtId="0" fontId="148" fillId="0" borderId="0">
      <alignment vertical="center"/>
    </xf>
    <xf numFmtId="0" fontId="31" fillId="0" borderId="0">
      <alignment vertical="center"/>
    </xf>
    <xf numFmtId="0" fontId="59" fillId="0" borderId="0" applyNumberFormat="0" applyFill="0" applyBorder="0" applyProtection="0"/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22" fillId="0" borderId="0"/>
    <xf numFmtId="0" fontId="20" fillId="0" borderId="0"/>
    <xf numFmtId="0" fontId="22" fillId="0" borderId="0">
      <alignment vertical="center"/>
    </xf>
    <xf numFmtId="0" fontId="20" fillId="0" borderId="0" applyProtection="0"/>
    <xf numFmtId="0" fontId="149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20" fillId="0" borderId="0" applyProtection="0"/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0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0" fillId="0" borderId="0" applyProtection="0"/>
    <xf numFmtId="0" fontId="22" fillId="0" borderId="0"/>
    <xf numFmtId="0" fontId="22" fillId="0" borderId="0"/>
    <xf numFmtId="0" fontId="148" fillId="0" borderId="0">
      <alignment vertical="center"/>
    </xf>
    <xf numFmtId="0" fontId="20" fillId="0" borderId="0" applyProtection="0"/>
    <xf numFmtId="0" fontId="20" fillId="0" borderId="0" applyProtection="0"/>
    <xf numFmtId="0" fontId="22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148" fillId="0" borderId="0">
      <alignment vertical="center"/>
    </xf>
    <xf numFmtId="0" fontId="22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22" fillId="0" borderId="0"/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50" fillId="0" borderId="0">
      <alignment vertical="center"/>
    </xf>
    <xf numFmtId="0" fontId="22" fillId="0" borderId="0"/>
    <xf numFmtId="226" fontId="128" fillId="0" borderId="0">
      <alignment horizontal="right"/>
    </xf>
    <xf numFmtId="0" fontId="31" fillId="0" borderId="0">
      <alignment vertical="center"/>
    </xf>
    <xf numFmtId="0" fontId="22" fillId="0" borderId="0">
      <alignment vertical="center"/>
    </xf>
    <xf numFmtId="0" fontId="30" fillId="0" borderId="0">
      <alignment vertical="center"/>
    </xf>
    <xf numFmtId="0" fontId="22" fillId="0" borderId="0"/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51" fillId="0" borderId="0">
      <alignment vertical="center"/>
    </xf>
    <xf numFmtId="0" fontId="122" fillId="0" borderId="0">
      <alignment vertical="center"/>
    </xf>
    <xf numFmtId="0" fontId="22" fillId="0" borderId="0"/>
    <xf numFmtId="0" fontId="20" fillId="0" borderId="0"/>
    <xf numFmtId="0" fontId="22" fillId="0" borderId="0"/>
    <xf numFmtId="0" fontId="122" fillId="0" borderId="0"/>
    <xf numFmtId="0" fontId="148" fillId="0" borderId="0">
      <alignment vertical="center"/>
    </xf>
    <xf numFmtId="0" fontId="31" fillId="0" borderId="0">
      <alignment vertical="center"/>
    </xf>
    <xf numFmtId="0" fontId="122" fillId="0" borderId="0"/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22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0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1" fillId="0" borderId="0"/>
    <xf numFmtId="0" fontId="152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122" fillId="0" borderId="0"/>
    <xf numFmtId="0" fontId="52" fillId="0" borderId="0"/>
    <xf numFmtId="0" fontId="14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2" fillId="0" borderId="0"/>
    <xf numFmtId="0" fontId="31" fillId="0" borderId="0">
      <alignment vertical="center"/>
    </xf>
    <xf numFmtId="0" fontId="148" fillId="0" borderId="0">
      <alignment vertical="center"/>
    </xf>
    <xf numFmtId="0" fontId="122" fillId="0" borderId="0"/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>
      <alignment vertical="center"/>
    </xf>
    <xf numFmtId="0" fontId="22" fillId="0" borderId="0"/>
    <xf numFmtId="0" fontId="31" fillId="0" borderId="0">
      <alignment vertical="center"/>
    </xf>
    <xf numFmtId="0" fontId="122" fillId="0" borderId="0"/>
    <xf numFmtId="0" fontId="22" fillId="0" borderId="0"/>
    <xf numFmtId="0" fontId="148" fillId="0" borderId="0">
      <alignment vertical="center"/>
    </xf>
    <xf numFmtId="0" fontId="122" fillId="0" borderId="0"/>
    <xf numFmtId="0" fontId="31" fillId="0" borderId="0">
      <alignment vertical="center"/>
    </xf>
    <xf numFmtId="0" fontId="22" fillId="0" borderId="0"/>
    <xf numFmtId="0" fontId="148" fillId="0" borderId="0">
      <alignment vertical="center"/>
    </xf>
    <xf numFmtId="0" fontId="30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0" fontId="31" fillId="0" borderId="0">
      <alignment vertical="center"/>
    </xf>
    <xf numFmtId="0" fontId="148" fillId="0" borderId="0">
      <alignment vertical="center"/>
    </xf>
    <xf numFmtId="0" fontId="148" fillId="0" borderId="0">
      <alignment vertical="center"/>
    </xf>
    <xf numFmtId="0" fontId="22" fillId="0" borderId="0"/>
    <xf numFmtId="49" fontId="36" fillId="0" borderId="0">
      <alignment horizontal="left"/>
    </xf>
    <xf numFmtId="0" fontId="15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243" fontId="22" fillId="0" borderId="0" applyBorder="0"/>
    <xf numFmtId="0" fontId="26" fillId="0" borderId="96">
      <protection locked="0"/>
    </xf>
    <xf numFmtId="0" fontId="26" fillId="0" borderId="96">
      <protection locked="0"/>
    </xf>
    <xf numFmtId="0" fontId="100" fillId="0" borderId="96" applyNumberFormat="0" applyFont="0" applyFill="0" applyAlignment="0" applyProtection="0"/>
    <xf numFmtId="184" fontId="25" fillId="0" borderId="96">
      <protection locked="0"/>
    </xf>
    <xf numFmtId="244" fontId="20" fillId="0" borderId="0">
      <protection locked="0"/>
    </xf>
    <xf numFmtId="244" fontId="20" fillId="0" borderId="0">
      <protection locked="0"/>
    </xf>
    <xf numFmtId="7" fontId="100" fillId="0" borderId="0" applyFont="0" applyFill="0" applyBorder="0" applyAlignment="0" applyProtection="0"/>
    <xf numFmtId="184" fontId="25" fillId="0" borderId="0">
      <protection locked="0"/>
    </xf>
    <xf numFmtId="245" fontId="20" fillId="0" borderId="0">
      <protection locked="0"/>
    </xf>
    <xf numFmtId="245" fontId="20" fillId="0" borderId="0">
      <protection locked="0"/>
    </xf>
    <xf numFmtId="5" fontId="100" fillId="0" borderId="0" applyFont="0" applyFill="0" applyBorder="0" applyAlignment="0" applyProtection="0"/>
    <xf numFmtId="184" fontId="25" fillId="0" borderId="0">
      <protection locked="0"/>
    </xf>
  </cellStyleXfs>
  <cellXfs count="52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176" fontId="4" fillId="0" borderId="0" xfId="2" applyNumberFormat="1" applyFo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41" fontId="3" fillId="0" borderId="4" xfId="1" applyFont="1" applyBorder="1" applyAlignment="1">
      <alignment horizontal="center" vertical="center"/>
    </xf>
    <xf numFmtId="41" fontId="3" fillId="0" borderId="7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1" fontId="3" fillId="0" borderId="5" xfId="1" applyFont="1" applyBorder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1" fontId="4" fillId="0" borderId="4" xfId="1" applyFont="1" applyBorder="1">
      <alignment vertical="center"/>
    </xf>
    <xf numFmtId="41" fontId="4" fillId="0" borderId="5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1" fontId="4" fillId="2" borderId="4" xfId="0" applyNumberFormat="1" applyFont="1" applyFill="1" applyBorder="1">
      <alignment vertical="center"/>
    </xf>
    <xf numFmtId="41" fontId="4" fillId="2" borderId="4" xfId="1" applyFont="1" applyFill="1" applyBorder="1">
      <alignment vertical="center"/>
    </xf>
    <xf numFmtId="41" fontId="4" fillId="2" borderId="5" xfId="1" applyFont="1" applyFill="1" applyBorder="1">
      <alignment vertical="center"/>
    </xf>
    <xf numFmtId="41" fontId="5" fillId="0" borderId="4" xfId="1" applyFont="1" applyBorder="1" applyAlignment="1">
      <alignment horizontal="center" vertical="center" wrapText="1"/>
    </xf>
    <xf numFmtId="176" fontId="4" fillId="0" borderId="4" xfId="2" applyNumberFormat="1" applyFont="1" applyBorder="1">
      <alignment vertical="center"/>
    </xf>
    <xf numFmtId="176" fontId="4" fillId="2" borderId="4" xfId="2" applyNumberFormat="1" applyFont="1" applyFill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41" fontId="4" fillId="2" borderId="7" xfId="0" applyNumberFormat="1" applyFont="1" applyFill="1" applyBorder="1">
      <alignment vertical="center"/>
    </xf>
    <xf numFmtId="0" fontId="4" fillId="2" borderId="7" xfId="0" applyFont="1" applyFill="1" applyBorder="1">
      <alignment vertical="center"/>
    </xf>
    <xf numFmtId="176" fontId="4" fillId="2" borderId="7" xfId="2" applyNumberFormat="1" applyFont="1" applyFill="1" applyBorder="1">
      <alignment vertical="center"/>
    </xf>
    <xf numFmtId="41" fontId="4" fillId="2" borderId="8" xfId="1" applyFont="1" applyFill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41" fontId="4" fillId="0" borderId="10" xfId="1" applyFont="1" applyBorder="1">
      <alignment vertical="center"/>
    </xf>
    <xf numFmtId="41" fontId="4" fillId="0" borderId="11" xfId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176" fontId="4" fillId="0" borderId="10" xfId="2" applyNumberFormat="1" applyFont="1" applyBorder="1">
      <alignment vertical="center"/>
    </xf>
    <xf numFmtId="41" fontId="4" fillId="2" borderId="7" xfId="1" applyFont="1" applyFill="1" applyBorder="1">
      <alignment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41" fontId="4" fillId="3" borderId="7" xfId="1" applyFont="1" applyFill="1" applyBorder="1" applyAlignment="1">
      <alignment horizontal="center" vertical="center"/>
    </xf>
    <xf numFmtId="41" fontId="4" fillId="3" borderId="7" xfId="1" applyFont="1" applyFill="1" applyBorder="1" applyAlignment="1">
      <alignment vertical="center"/>
    </xf>
    <xf numFmtId="176" fontId="4" fillId="3" borderId="7" xfId="2" applyNumberFormat="1" applyFont="1" applyFill="1" applyBorder="1">
      <alignment vertical="center"/>
    </xf>
    <xf numFmtId="41" fontId="4" fillId="3" borderId="8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1" fontId="4" fillId="0" borderId="22" xfId="1" applyFont="1" applyBorder="1">
      <alignment vertical="center"/>
    </xf>
    <xf numFmtId="9" fontId="4" fillId="0" borderId="22" xfId="2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41" fontId="4" fillId="0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6" fontId="4" fillId="2" borderId="4" xfId="2" applyNumberFormat="1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41" fontId="4" fillId="2" borderId="5" xfId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3" fontId="0" fillId="0" borderId="0" xfId="0" applyNumberFormat="1">
      <alignment vertical="center"/>
    </xf>
    <xf numFmtId="3" fontId="13" fillId="0" borderId="33" xfId="0" applyNumberFormat="1" applyFont="1" applyBorder="1" applyAlignment="1">
      <alignment horizontal="center" vertical="center" wrapText="1"/>
    </xf>
    <xf numFmtId="3" fontId="15" fillId="0" borderId="33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3" fontId="13" fillId="0" borderId="34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3" fontId="16" fillId="0" borderId="34" xfId="0" applyNumberFormat="1" applyFont="1" applyBorder="1" applyAlignment="1">
      <alignment horizontal="center" vertical="center" wrapText="1"/>
    </xf>
    <xf numFmtId="3" fontId="14" fillId="0" borderId="34" xfId="0" applyNumberFormat="1" applyFont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3" fontId="16" fillId="0" borderId="3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41" fontId="4" fillId="0" borderId="30" xfId="1" applyFont="1" applyBorder="1">
      <alignment vertical="center"/>
    </xf>
    <xf numFmtId="41" fontId="4" fillId="2" borderId="37" xfId="1" applyFont="1" applyFill="1" applyBorder="1" applyAlignment="1">
      <alignment vertical="center"/>
    </xf>
    <xf numFmtId="41" fontId="4" fillId="2" borderId="38" xfId="1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5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41" fontId="4" fillId="0" borderId="28" xfId="1" applyFont="1" applyBorder="1">
      <alignment vertical="center"/>
    </xf>
    <xf numFmtId="41" fontId="4" fillId="0" borderId="29" xfId="1" applyFont="1" applyBorder="1">
      <alignment vertical="center"/>
    </xf>
    <xf numFmtId="0" fontId="7" fillId="0" borderId="0" xfId="0" applyFont="1" applyAlignment="1">
      <alignment horizontal="left" vertical="center"/>
    </xf>
    <xf numFmtId="177" fontId="4" fillId="0" borderId="27" xfId="1" applyNumberFormat="1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" fontId="4" fillId="0" borderId="0" xfId="0" applyNumberFormat="1" applyFont="1">
      <alignment vertical="center"/>
    </xf>
    <xf numFmtId="9" fontId="4" fillId="0" borderId="42" xfId="2" applyFont="1" applyFill="1" applyBorder="1" applyAlignment="1">
      <alignment horizontal="center" vertical="center"/>
    </xf>
    <xf numFmtId="9" fontId="4" fillId="0" borderId="47" xfId="2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178" fontId="4" fillId="0" borderId="46" xfId="1" applyNumberFormat="1" applyFont="1" applyFill="1" applyBorder="1" applyAlignment="1">
      <alignment horizontal="center" vertical="center"/>
    </xf>
    <xf numFmtId="178" fontId="4" fillId="0" borderId="41" xfId="1" applyNumberFormat="1" applyFont="1" applyFill="1" applyBorder="1" applyAlignment="1">
      <alignment horizontal="center" vertical="center"/>
    </xf>
    <xf numFmtId="178" fontId="4" fillId="0" borderId="49" xfId="1" applyNumberFormat="1" applyFont="1" applyFill="1" applyBorder="1" applyAlignment="1">
      <alignment horizontal="center" vertical="center"/>
    </xf>
    <xf numFmtId="178" fontId="11" fillId="0" borderId="17" xfId="1" applyNumberFormat="1" applyFont="1" applyFill="1" applyBorder="1" applyAlignment="1">
      <alignment horizontal="center" vertical="center" wrapText="1"/>
    </xf>
    <xf numFmtId="178" fontId="11" fillId="0" borderId="4" xfId="1" applyNumberFormat="1" applyFont="1" applyFill="1" applyBorder="1" applyAlignment="1">
      <alignment horizontal="center" vertical="center" wrapText="1"/>
    </xf>
    <xf numFmtId="178" fontId="11" fillId="0" borderId="51" xfId="1" applyNumberFormat="1" applyFont="1" applyFill="1" applyBorder="1" applyAlignment="1">
      <alignment horizontal="center" vertical="center" wrapText="1"/>
    </xf>
    <xf numFmtId="178" fontId="11" fillId="0" borderId="41" xfId="1" applyNumberFormat="1" applyFont="1" applyFill="1" applyBorder="1" applyAlignment="1">
      <alignment horizontal="center" vertical="center" wrapText="1"/>
    </xf>
    <xf numFmtId="178" fontId="4" fillId="0" borderId="51" xfId="1" applyNumberFormat="1" applyFont="1" applyFill="1" applyBorder="1" applyAlignment="1">
      <alignment horizontal="center" vertical="center"/>
    </xf>
    <xf numFmtId="178" fontId="11" fillId="0" borderId="52" xfId="1" applyNumberFormat="1" applyFont="1" applyFill="1" applyBorder="1" applyAlignment="1">
      <alignment horizontal="center" vertical="center" wrapText="1"/>
    </xf>
    <xf numFmtId="178" fontId="11" fillId="0" borderId="48" xfId="1" applyNumberFormat="1" applyFont="1" applyFill="1" applyBorder="1" applyAlignment="1">
      <alignment horizontal="center" vertical="center" wrapText="1"/>
    </xf>
    <xf numFmtId="178" fontId="11" fillId="0" borderId="53" xfId="1" applyNumberFormat="1" applyFont="1" applyFill="1" applyBorder="1" applyAlignment="1">
      <alignment horizontal="center" vertical="center" wrapText="1"/>
    </xf>
    <xf numFmtId="178" fontId="11" fillId="0" borderId="46" xfId="1" applyNumberFormat="1" applyFont="1" applyFill="1" applyBorder="1" applyAlignment="1">
      <alignment horizontal="center" vertical="center" wrapText="1"/>
    </xf>
    <xf numFmtId="178" fontId="11" fillId="0" borderId="54" xfId="1" applyNumberFormat="1" applyFont="1" applyFill="1" applyBorder="1" applyAlignment="1">
      <alignment horizontal="center" vertical="center" wrapText="1"/>
    </xf>
    <xf numFmtId="178" fontId="11" fillId="0" borderId="43" xfId="1" applyNumberFormat="1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178" fontId="11" fillId="0" borderId="64" xfId="1" applyNumberFormat="1" applyFont="1" applyFill="1" applyBorder="1" applyAlignment="1">
      <alignment horizontal="center" vertical="center" wrapText="1"/>
    </xf>
    <xf numFmtId="178" fontId="4" fillId="0" borderId="64" xfId="1" applyNumberFormat="1" applyFont="1" applyFill="1" applyBorder="1" applyAlignment="1">
      <alignment horizontal="center" vertical="center"/>
    </xf>
    <xf numFmtId="9" fontId="4" fillId="0" borderId="65" xfId="2" applyFont="1" applyFill="1" applyBorder="1" applyAlignment="1">
      <alignment horizontal="center" vertical="center"/>
    </xf>
    <xf numFmtId="9" fontId="4" fillId="0" borderId="56" xfId="2" applyFont="1" applyFill="1" applyBorder="1" applyAlignment="1">
      <alignment horizontal="center" vertical="center"/>
    </xf>
    <xf numFmtId="178" fontId="4" fillId="0" borderId="48" xfId="1" applyNumberFormat="1" applyFont="1" applyFill="1" applyBorder="1" applyAlignment="1">
      <alignment horizontal="center" vertical="center"/>
    </xf>
    <xf numFmtId="9" fontId="4" fillId="0" borderId="58" xfId="2" applyFont="1" applyFill="1" applyBorder="1" applyAlignment="1">
      <alignment horizontal="center" vertical="center"/>
    </xf>
    <xf numFmtId="9" fontId="12" fillId="0" borderId="56" xfId="2" applyFont="1" applyFill="1" applyBorder="1" applyAlignment="1">
      <alignment horizontal="center" vertical="center" wrapText="1"/>
    </xf>
    <xf numFmtId="9" fontId="17" fillId="0" borderId="56" xfId="2" applyFont="1" applyFill="1" applyBorder="1" applyAlignment="1">
      <alignment horizontal="center" vertical="center" wrapText="1"/>
    </xf>
    <xf numFmtId="9" fontId="4" fillId="0" borderId="62" xfId="2" applyFont="1" applyFill="1" applyBorder="1" applyAlignment="1">
      <alignment horizontal="center" vertical="center"/>
    </xf>
    <xf numFmtId="0" fontId="5" fillId="35" borderId="9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91" xfId="0" applyFont="1" applyBorder="1" applyAlignment="1">
      <alignment horizontal="center" vertical="center" wrapText="1"/>
    </xf>
    <xf numFmtId="179" fontId="5" fillId="0" borderId="91" xfId="0" applyNumberFormat="1" applyFont="1" applyBorder="1" applyAlignment="1">
      <alignment horizontal="right" vertical="center" wrapText="1"/>
    </xf>
    <xf numFmtId="179" fontId="18" fillId="0" borderId="91" xfId="0" applyNumberFormat="1" applyFont="1" applyBorder="1">
      <alignment vertical="center"/>
    </xf>
    <xf numFmtId="179" fontId="5" fillId="0" borderId="91" xfId="1" applyNumberFormat="1" applyFont="1" applyBorder="1" applyAlignment="1">
      <alignment horizontal="right" vertical="center" wrapText="1"/>
    </xf>
    <xf numFmtId="176" fontId="5" fillId="0" borderId="91" xfId="2" applyNumberFormat="1" applyFont="1" applyBorder="1" applyAlignment="1">
      <alignment horizontal="right" vertical="center" wrapText="1"/>
    </xf>
    <xf numFmtId="18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79" fontId="0" fillId="2" borderId="0" xfId="0" applyNumberFormat="1" applyFill="1">
      <alignment vertical="center"/>
    </xf>
    <xf numFmtId="179" fontId="0" fillId="0" borderId="0" xfId="0" applyNumberFormat="1">
      <alignment vertical="center"/>
    </xf>
    <xf numFmtId="41" fontId="0" fillId="0" borderId="0" xfId="1" applyFont="1">
      <alignment vertical="center"/>
    </xf>
    <xf numFmtId="180" fontId="0" fillId="0" borderId="0" xfId="0" applyNumberFormat="1">
      <alignment vertical="center"/>
    </xf>
    <xf numFmtId="0" fontId="5" fillId="0" borderId="92" xfId="0" applyFont="1" applyBorder="1" applyAlignment="1">
      <alignment horizontal="center" vertical="center" wrapText="1"/>
    </xf>
    <xf numFmtId="179" fontId="5" fillId="0" borderId="91" xfId="0" applyNumberFormat="1" applyFont="1" applyBorder="1" applyAlignment="1">
      <alignment horizontal="right" vertical="center" shrinkToFit="1"/>
    </xf>
    <xf numFmtId="0" fontId="5" fillId="35" borderId="84" xfId="0" applyFont="1" applyFill="1" applyBorder="1" applyAlignment="1">
      <alignment horizontal="center" vertical="center" wrapText="1"/>
    </xf>
    <xf numFmtId="179" fontId="18" fillId="0" borderId="83" xfId="0" applyNumberFormat="1" applyFont="1" applyBorder="1">
      <alignment vertical="center"/>
    </xf>
    <xf numFmtId="179" fontId="18" fillId="0" borderId="83" xfId="1" applyNumberFormat="1" applyFont="1" applyBorder="1">
      <alignment vertical="center"/>
    </xf>
    <xf numFmtId="176" fontId="5" fillId="0" borderId="83" xfId="2" applyNumberFormat="1" applyFont="1" applyBorder="1" applyAlignment="1">
      <alignment horizontal="right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179" fontId="5" fillId="0" borderId="90" xfId="0" applyNumberFormat="1" applyFont="1" applyBorder="1" applyAlignment="1">
      <alignment horizontal="right" vertical="center" wrapText="1"/>
    </xf>
    <xf numFmtId="179" fontId="18" fillId="0" borderId="90" xfId="0" applyNumberFormat="1" applyFont="1" applyBorder="1">
      <alignment vertical="center"/>
    </xf>
    <xf numFmtId="179" fontId="5" fillId="0" borderId="90" xfId="1" applyNumberFormat="1" applyFont="1" applyBorder="1" applyAlignment="1">
      <alignment horizontal="right" vertical="center" wrapText="1"/>
    </xf>
    <xf numFmtId="176" fontId="5" fillId="0" borderId="90" xfId="2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right" vertical="center" wrapText="1"/>
    </xf>
    <xf numFmtId="179" fontId="18" fillId="0" borderId="1" xfId="0" applyNumberFormat="1" applyFont="1" applyBorder="1">
      <alignment vertical="center"/>
    </xf>
    <xf numFmtId="179" fontId="5" fillId="0" borderId="1" xfId="1" applyNumberFormat="1" applyFont="1" applyBorder="1" applyAlignment="1">
      <alignment horizontal="right" vertical="center" wrapText="1"/>
    </xf>
    <xf numFmtId="176" fontId="5" fillId="0" borderId="1" xfId="2" applyNumberFormat="1" applyFont="1" applyBorder="1" applyAlignment="1">
      <alignment horizontal="right" vertical="center" wrapText="1"/>
    </xf>
    <xf numFmtId="179" fontId="18" fillId="0" borderId="1" xfId="1" applyNumberFormat="1" applyFont="1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31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 wrapText="1"/>
    </xf>
    <xf numFmtId="0" fontId="155" fillId="0" borderId="0" xfId="3" applyFont="1" applyFill="1" applyAlignment="1">
      <alignment horizontal="left" vertical="center"/>
    </xf>
    <xf numFmtId="0" fontId="31" fillId="0" borderId="0" xfId="0" applyFont="1" applyFill="1">
      <alignment vertical="center"/>
    </xf>
    <xf numFmtId="41" fontId="31" fillId="0" borderId="0" xfId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9" fontId="4" fillId="0" borderId="0" xfId="2" applyFont="1" applyFill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178" fontId="4" fillId="0" borderId="126" xfId="1" applyNumberFormat="1" applyFont="1" applyFill="1" applyBorder="1" applyAlignment="1">
      <alignment horizontal="center" vertical="center"/>
    </xf>
    <xf numFmtId="9" fontId="4" fillId="0" borderId="127" xfId="2" applyFont="1" applyFill="1" applyBorder="1" applyAlignment="1">
      <alignment horizontal="center" vertical="center"/>
    </xf>
    <xf numFmtId="178" fontId="4" fillId="0" borderId="128" xfId="1" applyNumberFormat="1" applyFont="1" applyFill="1" applyBorder="1" applyAlignment="1">
      <alignment horizontal="center" vertical="center"/>
    </xf>
    <xf numFmtId="9" fontId="4" fillId="0" borderId="129" xfId="2" applyFont="1" applyFill="1" applyBorder="1" applyAlignment="1">
      <alignment horizontal="center" vertical="center"/>
    </xf>
    <xf numFmtId="9" fontId="17" fillId="0" borderId="129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9" fontId="5" fillId="0" borderId="91" xfId="0" applyNumberFormat="1" applyFont="1" applyFill="1" applyBorder="1" applyAlignment="1">
      <alignment horizontal="right" vertical="center" wrapText="1"/>
    </xf>
    <xf numFmtId="179" fontId="5" fillId="0" borderId="1" xfId="0" applyNumberFormat="1" applyFont="1" applyFill="1" applyBorder="1" applyAlignment="1">
      <alignment horizontal="right" vertical="center" wrapText="1"/>
    </xf>
    <xf numFmtId="179" fontId="5" fillId="0" borderId="90" xfId="0" applyNumberFormat="1" applyFont="1" applyFill="1" applyBorder="1" applyAlignment="1">
      <alignment horizontal="right" vertical="center" wrapText="1"/>
    </xf>
    <xf numFmtId="179" fontId="5" fillId="2" borderId="91" xfId="1" applyNumberFormat="1" applyFont="1" applyFill="1" applyBorder="1" applyAlignment="1">
      <alignment horizontal="right" vertical="center" wrapText="1"/>
    </xf>
    <xf numFmtId="179" fontId="5" fillId="2" borderId="1" xfId="1" applyNumberFormat="1" applyFont="1" applyFill="1" applyBorder="1" applyAlignment="1">
      <alignment horizontal="right" vertical="center" wrapText="1"/>
    </xf>
    <xf numFmtId="176" fontId="5" fillId="0" borderId="0" xfId="2" applyNumberFormat="1" applyFont="1" applyBorder="1" applyAlignment="1">
      <alignment horizontal="right" vertical="center" wrapText="1"/>
    </xf>
    <xf numFmtId="0" fontId="5" fillId="0" borderId="133" xfId="0" applyFont="1" applyBorder="1" applyAlignment="1">
      <alignment horizontal="center" vertical="center" wrapText="1"/>
    </xf>
    <xf numFmtId="0" fontId="5" fillId="0" borderId="134" xfId="0" applyFont="1" applyBorder="1" applyAlignment="1">
      <alignment horizontal="center" vertical="center" wrapText="1"/>
    </xf>
    <xf numFmtId="179" fontId="5" fillId="0" borderId="134" xfId="0" applyNumberFormat="1" applyFont="1" applyBorder="1" applyAlignment="1">
      <alignment horizontal="right" vertical="center" wrapText="1"/>
    </xf>
    <xf numFmtId="179" fontId="18" fillId="0" borderId="134" xfId="0" applyNumberFormat="1" applyFont="1" applyBorder="1">
      <alignment vertical="center"/>
    </xf>
    <xf numFmtId="179" fontId="5" fillId="0" borderId="134" xfId="0" applyNumberFormat="1" applyFont="1" applyFill="1" applyBorder="1" applyAlignment="1">
      <alignment horizontal="right" vertical="center" wrapText="1"/>
    </xf>
    <xf numFmtId="179" fontId="5" fillId="2" borderId="134" xfId="1" applyNumberFormat="1" applyFont="1" applyFill="1" applyBorder="1" applyAlignment="1">
      <alignment horizontal="right" vertical="center" wrapText="1"/>
    </xf>
    <xf numFmtId="176" fontId="5" fillId="0" borderId="135" xfId="2" applyNumberFormat="1" applyFont="1" applyBorder="1" applyAlignment="1">
      <alignment horizontal="right" vertical="center" wrapText="1"/>
    </xf>
    <xf numFmtId="176" fontId="5" fillId="0" borderId="136" xfId="2" applyNumberFormat="1" applyFont="1" applyBorder="1" applyAlignment="1">
      <alignment horizontal="right" vertical="center" wrapText="1"/>
    </xf>
    <xf numFmtId="179" fontId="18" fillId="0" borderId="138" xfId="0" applyNumberFormat="1" applyFont="1" applyBorder="1">
      <alignment vertical="center"/>
    </xf>
    <xf numFmtId="179" fontId="18" fillId="0" borderId="138" xfId="1" applyNumberFormat="1" applyFont="1" applyBorder="1">
      <alignment vertical="center"/>
    </xf>
    <xf numFmtId="176" fontId="5" fillId="0" borderId="139" xfId="2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157" fillId="0" borderId="0" xfId="0" applyFont="1" applyFill="1">
      <alignment vertical="center"/>
    </xf>
    <xf numFmtId="0" fontId="15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30" fillId="0" borderId="6" xfId="0" applyFont="1" applyFill="1" applyBorder="1" applyAlignment="1">
      <alignment horizontal="center" vertical="center"/>
    </xf>
    <xf numFmtId="0" fontId="130" fillId="0" borderId="7" xfId="0" applyFont="1" applyFill="1" applyBorder="1" applyAlignment="1">
      <alignment horizontal="center" vertical="center"/>
    </xf>
    <xf numFmtId="0" fontId="130" fillId="0" borderId="8" xfId="0" applyFont="1" applyFill="1" applyBorder="1" applyAlignment="1">
      <alignment horizontal="center" vertical="center"/>
    </xf>
    <xf numFmtId="0" fontId="0" fillId="0" borderId="141" xfId="0" applyFont="1" applyFill="1" applyBorder="1" applyAlignment="1">
      <alignment horizontal="center" vertical="center"/>
    </xf>
    <xf numFmtId="226" fontId="31" fillId="0" borderId="140" xfId="1020" applyNumberFormat="1" applyFont="1" applyFill="1" applyBorder="1">
      <alignment vertical="center"/>
    </xf>
    <xf numFmtId="226" fontId="31" fillId="0" borderId="28" xfId="1020" applyNumberFormat="1" applyFont="1" applyFill="1" applyBorder="1">
      <alignment vertical="center"/>
    </xf>
    <xf numFmtId="226" fontId="31" fillId="0" borderId="29" xfId="1020" applyNumberFormat="1" applyFont="1" applyFill="1" applyBorder="1">
      <alignment vertical="center"/>
    </xf>
    <xf numFmtId="0" fontId="0" fillId="0" borderId="37" xfId="0" applyFont="1" applyFill="1" applyBorder="1" applyAlignment="1">
      <alignment horizontal="center" vertical="center"/>
    </xf>
    <xf numFmtId="226" fontId="31" fillId="0" borderId="3" xfId="1020" applyNumberFormat="1" applyFont="1" applyFill="1" applyBorder="1">
      <alignment vertical="center"/>
    </xf>
    <xf numFmtId="226" fontId="31" fillId="0" borderId="4" xfId="1020" applyNumberFormat="1" applyFont="1" applyFill="1" applyBorder="1">
      <alignment vertical="center"/>
    </xf>
    <xf numFmtId="226" fontId="31" fillId="0" borderId="5" xfId="1020" applyNumberFormat="1" applyFont="1" applyFill="1" applyBorder="1">
      <alignment vertical="center"/>
    </xf>
    <xf numFmtId="0" fontId="130" fillId="2" borderId="37" xfId="0" applyFont="1" applyFill="1" applyBorder="1" applyAlignment="1">
      <alignment horizontal="center" vertical="center"/>
    </xf>
    <xf numFmtId="226" fontId="161" fillId="2" borderId="3" xfId="1020" applyNumberFormat="1" applyFont="1" applyFill="1" applyBorder="1">
      <alignment vertical="center"/>
    </xf>
    <xf numFmtId="226" fontId="161" fillId="2" borderId="4" xfId="1020" applyNumberFormat="1" applyFont="1" applyFill="1" applyBorder="1">
      <alignment vertical="center"/>
    </xf>
    <xf numFmtId="226" fontId="161" fillId="2" borderId="5" xfId="1020" applyNumberFormat="1" applyFont="1" applyFill="1" applyBorder="1">
      <alignment vertical="center"/>
    </xf>
    <xf numFmtId="226" fontId="130" fillId="2" borderId="3" xfId="1020" applyNumberFormat="1" applyFont="1" applyFill="1" applyBorder="1">
      <alignment vertical="center"/>
    </xf>
    <xf numFmtId="226" fontId="130" fillId="2" borderId="4" xfId="1020" applyNumberFormat="1" applyFont="1" applyFill="1" applyBorder="1">
      <alignment vertical="center"/>
    </xf>
    <xf numFmtId="226" fontId="130" fillId="2" borderId="5" xfId="1020" applyNumberFormat="1" applyFont="1" applyFill="1" applyBorder="1">
      <alignment vertical="center"/>
    </xf>
    <xf numFmtId="0" fontId="130" fillId="2" borderId="38" xfId="0" applyFont="1" applyFill="1" applyBorder="1" applyAlignment="1">
      <alignment horizontal="center" vertical="center"/>
    </xf>
    <xf numFmtId="226" fontId="130" fillId="2" borderId="6" xfId="1020" applyNumberFormat="1" applyFont="1" applyFill="1" applyBorder="1">
      <alignment vertical="center"/>
    </xf>
    <xf numFmtId="226" fontId="130" fillId="2" borderId="7" xfId="1020" applyNumberFormat="1" applyFont="1" applyFill="1" applyBorder="1">
      <alignment vertical="center"/>
    </xf>
    <xf numFmtId="226" fontId="130" fillId="2" borderId="8" xfId="1020" applyNumberFormat="1" applyFont="1" applyFill="1" applyBorder="1">
      <alignment vertical="center"/>
    </xf>
    <xf numFmtId="226" fontId="31" fillId="0" borderId="6" xfId="1020" applyNumberFormat="1" applyFont="1" applyFill="1" applyBorder="1">
      <alignment vertical="center"/>
    </xf>
    <xf numFmtId="226" fontId="31" fillId="0" borderId="7" xfId="1020" applyNumberFormat="1" applyFont="1" applyFill="1" applyBorder="1">
      <alignment vertical="center"/>
    </xf>
    <xf numFmtId="226" fontId="31" fillId="0" borderId="8" xfId="1020" applyNumberFormat="1" applyFont="1" applyFill="1" applyBorder="1">
      <alignment vertical="center"/>
    </xf>
    <xf numFmtId="0" fontId="130" fillId="0" borderId="57" xfId="0" applyFont="1" applyFill="1" applyBorder="1" applyAlignment="1">
      <alignment horizontal="center" vertical="center"/>
    </xf>
    <xf numFmtId="0" fontId="130" fillId="0" borderId="48" xfId="0" applyFont="1" applyFill="1" applyBorder="1" applyAlignment="1">
      <alignment horizontal="center" vertical="center"/>
    </xf>
    <xf numFmtId="0" fontId="130" fillId="0" borderId="146" xfId="0" applyFont="1" applyFill="1" applyBorder="1" applyAlignment="1">
      <alignment horizontal="center" vertical="center"/>
    </xf>
    <xf numFmtId="0" fontId="130" fillId="0" borderId="147" xfId="0" applyFont="1" applyFill="1" applyBorder="1" applyAlignment="1">
      <alignment horizontal="center" vertical="center"/>
    </xf>
    <xf numFmtId="0" fontId="130" fillId="0" borderId="43" xfId="0" applyFont="1" applyFill="1" applyBorder="1" applyAlignment="1">
      <alignment horizontal="center" vertical="center"/>
    </xf>
    <xf numFmtId="0" fontId="130" fillId="0" borderId="44" xfId="0" applyFont="1" applyFill="1" applyBorder="1" applyAlignment="1">
      <alignment horizontal="center" vertical="center"/>
    </xf>
    <xf numFmtId="226" fontId="31" fillId="0" borderId="9" xfId="1020" applyNumberFormat="1" applyFont="1" applyFill="1" applyBorder="1">
      <alignment vertical="center"/>
    </xf>
    <xf numFmtId="226" fontId="31" fillId="0" borderId="10" xfId="1020" applyNumberFormat="1" applyFont="1" applyFill="1" applyBorder="1">
      <alignment vertical="center"/>
    </xf>
    <xf numFmtId="226" fontId="31" fillId="0" borderId="11" xfId="1020" applyNumberFormat="1" applyFont="1" applyFill="1" applyBorder="1">
      <alignment vertical="center"/>
    </xf>
    <xf numFmtId="246" fontId="0" fillId="0" borderId="0" xfId="0" applyNumberForma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right" vertical="center" wrapText="1"/>
    </xf>
    <xf numFmtId="179" fontId="18" fillId="2" borderId="1" xfId="0" applyNumberFormat="1" applyFont="1" applyFill="1" applyBorder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0" xfId="0" applyNumberFormat="1" applyFont="1">
      <alignment vertical="center"/>
    </xf>
    <xf numFmtId="0" fontId="3" fillId="0" borderId="14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1" fontId="3" fillId="0" borderId="22" xfId="1" applyFont="1" applyBorder="1" applyAlignment="1">
      <alignment horizontal="center" vertical="center"/>
    </xf>
    <xf numFmtId="41" fontId="3" fillId="0" borderId="27" xfId="1" applyFont="1" applyBorder="1" applyAlignment="1">
      <alignment horizontal="center" vertical="center"/>
    </xf>
    <xf numFmtId="41" fontId="3" fillId="0" borderId="140" xfId="1" applyFont="1" applyBorder="1" applyAlignment="1">
      <alignment horizontal="center" vertical="center"/>
    </xf>
    <xf numFmtId="41" fontId="3" fillId="0" borderId="28" xfId="1" applyFont="1" applyBorder="1" applyAlignment="1">
      <alignment horizontal="center" vertical="center"/>
    </xf>
    <xf numFmtId="41" fontId="3" fillId="0" borderId="29" xfId="1" applyFont="1" applyBorder="1" applyAlignment="1">
      <alignment horizontal="center" vertical="center"/>
    </xf>
    <xf numFmtId="41" fontId="3" fillId="0" borderId="3" xfId="1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78" fontId="4" fillId="0" borderId="28" xfId="1" applyNumberFormat="1" applyFont="1" applyFill="1" applyBorder="1" applyAlignment="1">
      <alignment horizontal="center" vertical="center"/>
    </xf>
    <xf numFmtId="9" fontId="4" fillId="0" borderId="29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center" vertical="center"/>
    </xf>
    <xf numFmtId="9" fontId="4" fillId="0" borderId="5" xfId="2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8" fontId="4" fillId="0" borderId="7" xfId="1" applyNumberFormat="1" applyFont="1" applyFill="1" applyBorder="1" applyAlignment="1">
      <alignment horizontal="center" vertical="center"/>
    </xf>
    <xf numFmtId="9" fontId="4" fillId="0" borderId="8" xfId="2" applyFont="1" applyFill="1" applyBorder="1" applyAlignment="1">
      <alignment horizontal="center" vertical="center"/>
    </xf>
    <xf numFmtId="9" fontId="4" fillId="0" borderId="60" xfId="2" applyFont="1" applyFill="1" applyBorder="1" applyAlignment="1">
      <alignment horizontal="center" vertical="center"/>
    </xf>
    <xf numFmtId="9" fontId="12" fillId="0" borderId="5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9" fontId="5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>
      <alignment horizontal="right" vertical="center" wrapText="1"/>
    </xf>
    <xf numFmtId="176" fontId="5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right" vertical="center" wrapText="1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1" fontId="4" fillId="0" borderId="0" xfId="1" applyFont="1" applyBorder="1">
      <alignment vertical="center"/>
    </xf>
    <xf numFmtId="9" fontId="4" fillId="0" borderId="0" xfId="2" applyFont="1" applyBorder="1">
      <alignment vertical="center"/>
    </xf>
    <xf numFmtId="177" fontId="4" fillId="0" borderId="0" xfId="1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50" xfId="0" applyFont="1" applyBorder="1">
      <alignment vertical="center"/>
    </xf>
    <xf numFmtId="0" fontId="4" fillId="0" borderId="32" xfId="0" applyFont="1" applyBorder="1">
      <alignment vertical="center"/>
    </xf>
    <xf numFmtId="0" fontId="5" fillId="2" borderId="150" xfId="0" applyFont="1" applyFill="1" applyBorder="1" applyAlignment="1">
      <alignment horizontal="center" vertical="center" wrapText="1"/>
    </xf>
    <xf numFmtId="0" fontId="5" fillId="0" borderId="150" xfId="0" applyFont="1" applyBorder="1" applyAlignment="1">
      <alignment horizontal="center" vertical="center" wrapText="1"/>
    </xf>
    <xf numFmtId="41" fontId="3" fillId="0" borderId="151" xfId="1" applyFont="1" applyBorder="1" applyAlignment="1">
      <alignment horizontal="center" vertical="center"/>
    </xf>
    <xf numFmtId="41" fontId="3" fillId="0" borderId="152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right" vertical="center" wrapText="1"/>
    </xf>
    <xf numFmtId="9" fontId="4" fillId="0" borderId="27" xfId="2" applyFont="1" applyBorder="1">
      <alignment vertical="center"/>
    </xf>
    <xf numFmtId="0" fontId="5" fillId="35" borderId="155" xfId="0" applyFont="1" applyFill="1" applyBorder="1" applyAlignment="1">
      <alignment horizontal="center" vertical="center" wrapText="1"/>
    </xf>
    <xf numFmtId="0" fontId="4" fillId="0" borderId="156" xfId="0" applyFont="1" applyFill="1" applyBorder="1" applyAlignment="1">
      <alignment horizontal="center" vertical="center"/>
    </xf>
    <xf numFmtId="178" fontId="11" fillId="0" borderId="39" xfId="1" applyNumberFormat="1" applyFont="1" applyFill="1" applyBorder="1" applyAlignment="1">
      <alignment horizontal="center" vertical="center" wrapText="1"/>
    </xf>
    <xf numFmtId="178" fontId="11" fillId="0" borderId="28" xfId="1" applyNumberFormat="1" applyFont="1" applyFill="1" applyBorder="1" applyAlignment="1">
      <alignment horizontal="center" vertical="center" wrapText="1"/>
    </xf>
    <xf numFmtId="178" fontId="11" fillId="0" borderId="18" xfId="1" applyNumberFormat="1" applyFont="1" applyFill="1" applyBorder="1" applyAlignment="1">
      <alignment horizontal="center" vertical="center" wrapText="1"/>
    </xf>
    <xf numFmtId="178" fontId="11" fillId="0" borderId="7" xfId="1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41" fontId="3" fillId="0" borderId="159" xfId="1" applyFont="1" applyBorder="1" applyAlignment="1">
      <alignment horizontal="center" vertical="center"/>
    </xf>
    <xf numFmtId="41" fontId="3" fillId="0" borderId="149" xfId="1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143" xfId="0" applyFont="1" applyFill="1" applyBorder="1" applyAlignment="1">
      <alignment horizontal="center" vertical="center"/>
    </xf>
    <xf numFmtId="178" fontId="4" fillId="0" borderId="143" xfId="1" applyNumberFormat="1" applyFont="1" applyFill="1" applyBorder="1" applyAlignment="1">
      <alignment horizontal="center" vertical="center"/>
    </xf>
    <xf numFmtId="9" fontId="4" fillId="0" borderId="144" xfId="2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78" fontId="4" fillId="0" borderId="43" xfId="1" applyNumberFormat="1" applyFont="1" applyFill="1" applyBorder="1" applyAlignment="1">
      <alignment horizontal="center" vertical="center"/>
    </xf>
    <xf numFmtId="9" fontId="4" fillId="0" borderId="44" xfId="2" applyFont="1" applyFill="1" applyBorder="1" applyAlignment="1">
      <alignment horizontal="center" vertical="center"/>
    </xf>
    <xf numFmtId="9" fontId="12" fillId="0" borderId="42" xfId="2" applyFont="1" applyFill="1" applyBorder="1" applyAlignment="1">
      <alignment horizontal="center" vertical="center" wrapText="1"/>
    </xf>
    <xf numFmtId="41" fontId="4" fillId="0" borderId="157" xfId="1" applyFont="1" applyFill="1" applyBorder="1" applyAlignment="1">
      <alignment horizontal="center" vertical="center"/>
    </xf>
    <xf numFmtId="0" fontId="4" fillId="0" borderId="15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0" fontId="4" fillId="0" borderId="126" xfId="0" applyFont="1" applyFill="1" applyBorder="1" applyAlignment="1">
      <alignment horizontal="center" vertical="center"/>
    </xf>
    <xf numFmtId="0" fontId="4" fillId="0" borderId="160" xfId="0" applyFont="1" applyFill="1" applyBorder="1" applyAlignment="1">
      <alignment horizontal="center" vertical="center"/>
    </xf>
    <xf numFmtId="178" fontId="4" fillId="0" borderId="160" xfId="1" applyNumberFormat="1" applyFont="1" applyFill="1" applyBorder="1" applyAlignment="1">
      <alignment horizontal="center" vertical="center"/>
    </xf>
    <xf numFmtId="9" fontId="4" fillId="0" borderId="161" xfId="2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176" fontId="5" fillId="2" borderId="0" xfId="2" applyNumberFormat="1" applyFont="1" applyFill="1" applyBorder="1" applyAlignment="1">
      <alignment horizontal="center" vertical="center" wrapText="1"/>
    </xf>
    <xf numFmtId="176" fontId="5" fillId="0" borderId="0" xfId="2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18" fillId="0" borderId="1" xfId="0" applyNumberFormat="1" applyFont="1" applyFill="1" applyBorder="1">
      <alignment vertical="center"/>
    </xf>
    <xf numFmtId="176" fontId="5" fillId="0" borderId="1" xfId="2" applyNumberFormat="1" applyFont="1" applyFill="1" applyBorder="1" applyAlignment="1">
      <alignment horizontal="right" vertical="center" wrapText="1"/>
    </xf>
    <xf numFmtId="0" fontId="0" fillId="0" borderId="1" xfId="0" applyFill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wrapText="1"/>
    </xf>
    <xf numFmtId="179" fontId="18" fillId="0" borderId="1" xfId="1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246" fontId="5" fillId="2" borderId="1" xfId="1" applyNumberFormat="1" applyFont="1" applyFill="1" applyBorder="1" applyAlignment="1">
      <alignment horizontal="right" vertical="center" wrapText="1"/>
    </xf>
    <xf numFmtId="246" fontId="5" fillId="0" borderId="1" xfId="2" applyNumberFormat="1" applyFont="1" applyBorder="1" applyAlignment="1">
      <alignment horizontal="center" vertical="center" wrapText="1"/>
    </xf>
    <xf numFmtId="246" fontId="5" fillId="2" borderId="1" xfId="2" applyNumberFormat="1" applyFont="1" applyFill="1" applyBorder="1" applyAlignment="1">
      <alignment horizontal="center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83" xfId="0" applyFont="1" applyFill="1" applyBorder="1" applyAlignment="1">
      <alignment horizontal="center" vertical="center" wrapText="1"/>
    </xf>
    <xf numFmtId="0" fontId="5" fillId="35" borderId="15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17" xfId="0" applyBorder="1">
      <alignment vertical="center"/>
    </xf>
    <xf numFmtId="0" fontId="0" fillId="0" borderId="0" xfId="0" applyBorder="1">
      <alignment vertical="center"/>
    </xf>
    <xf numFmtId="176" fontId="5" fillId="0" borderId="1" xfId="2" applyNumberFormat="1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14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 wrapText="1"/>
    </xf>
    <xf numFmtId="0" fontId="4" fillId="0" borderId="12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14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130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16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4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157" xfId="0" applyFont="1" applyFill="1" applyBorder="1" applyAlignment="1">
      <alignment horizontal="center" vertical="center"/>
    </xf>
    <xf numFmtId="0" fontId="4" fillId="0" borderId="14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145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47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35" borderId="103" xfId="0" applyFont="1" applyFill="1" applyBorder="1" applyAlignment="1">
      <alignment horizontal="center" vertical="center" wrapText="1"/>
    </xf>
    <xf numFmtId="0" fontId="5" fillId="35" borderId="13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99" xfId="0" applyFont="1" applyFill="1" applyBorder="1" applyAlignment="1">
      <alignment horizontal="center" vertical="center" wrapText="1"/>
    </xf>
    <xf numFmtId="0" fontId="5" fillId="35" borderId="119" xfId="0" applyFont="1" applyFill="1" applyBorder="1" applyAlignment="1">
      <alignment horizontal="center" vertical="center" wrapText="1"/>
    </xf>
    <xf numFmtId="0" fontId="5" fillId="35" borderId="164" xfId="0" applyFont="1" applyFill="1" applyBorder="1" applyAlignment="1">
      <alignment horizontal="center" vertical="center" wrapText="1"/>
    </xf>
    <xf numFmtId="0" fontId="5" fillId="35" borderId="117" xfId="0" applyFont="1" applyFill="1" applyBorder="1" applyAlignment="1">
      <alignment horizontal="center" vertical="center" wrapText="1"/>
    </xf>
    <xf numFmtId="0" fontId="5" fillId="35" borderId="163" xfId="0" applyFont="1" applyFill="1" applyBorder="1" applyAlignment="1">
      <alignment horizontal="center" vertical="center" wrapText="1"/>
    </xf>
    <xf numFmtId="0" fontId="5" fillId="35" borderId="84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35" borderId="85" xfId="0" applyFont="1" applyFill="1" applyBorder="1" applyAlignment="1">
      <alignment horizontal="center" vertical="center" wrapText="1"/>
    </xf>
    <xf numFmtId="0" fontId="5" fillId="35" borderId="87" xfId="0" applyFont="1" applyFill="1" applyBorder="1" applyAlignment="1">
      <alignment horizontal="center" vertical="center" wrapText="1"/>
    </xf>
    <xf numFmtId="0" fontId="5" fillId="35" borderId="88" xfId="0" applyFont="1" applyFill="1" applyBorder="1" applyAlignment="1">
      <alignment horizontal="center" vertical="center" wrapText="1"/>
    </xf>
    <xf numFmtId="0" fontId="5" fillId="35" borderId="89" xfId="0" applyFont="1" applyFill="1" applyBorder="1" applyAlignment="1">
      <alignment horizontal="center" vertical="center" wrapText="1"/>
    </xf>
    <xf numFmtId="0" fontId="5" fillId="35" borderId="154" xfId="0" applyFont="1" applyFill="1" applyBorder="1" applyAlignment="1">
      <alignment horizontal="center" vertical="center" wrapText="1"/>
    </xf>
    <xf numFmtId="0" fontId="5" fillId="35" borderId="8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35" borderId="162" xfId="0" applyFont="1" applyFill="1" applyBorder="1" applyAlignment="1">
      <alignment horizontal="center" vertical="center" wrapText="1"/>
    </xf>
    <xf numFmtId="0" fontId="5" fillId="35" borderId="95" xfId="0" applyFont="1" applyFill="1" applyBorder="1" applyAlignment="1">
      <alignment horizontal="center" vertical="center" wrapText="1"/>
    </xf>
    <xf numFmtId="0" fontId="5" fillId="35" borderId="15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5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5" borderId="80" xfId="0" applyFont="1" applyFill="1" applyBorder="1" applyAlignment="1">
      <alignment horizontal="center" vertical="center" wrapText="1"/>
    </xf>
    <xf numFmtId="0" fontId="5" fillId="35" borderId="81" xfId="0" applyFont="1" applyFill="1" applyBorder="1" applyAlignment="1">
      <alignment horizontal="center" vertical="center" wrapText="1"/>
    </xf>
    <xf numFmtId="0" fontId="5" fillId="35" borderId="82" xfId="0" applyFont="1" applyFill="1" applyBorder="1" applyAlignment="1">
      <alignment horizontal="center" vertical="center" wrapText="1"/>
    </xf>
    <xf numFmtId="0" fontId="5" fillId="35" borderId="83" xfId="0" applyFont="1" applyFill="1" applyBorder="1" applyAlignment="1">
      <alignment horizontal="center" vertical="center" wrapText="1"/>
    </xf>
    <xf numFmtId="0" fontId="5" fillId="35" borderId="90" xfId="0" applyFont="1" applyFill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0" fontId="4" fillId="0" borderId="132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8" fillId="0" borderId="131" xfId="0" applyFont="1" applyFill="1" applyBorder="1" applyAlignment="1">
      <alignment horizontal="center" vertical="center"/>
    </xf>
    <xf numFmtId="0" fontId="18" fillId="0" borderId="137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30" fillId="2" borderId="4" xfId="0" applyFont="1" applyFill="1" applyBorder="1" applyAlignment="1">
      <alignment horizontal="center" vertical="center"/>
    </xf>
    <xf numFmtId="0" fontId="130" fillId="2" borderId="7" xfId="0" applyFont="1" applyFill="1" applyBorder="1" applyAlignment="1">
      <alignment horizontal="center" vertical="center"/>
    </xf>
    <xf numFmtId="0" fontId="156" fillId="0" borderId="0" xfId="0" applyFont="1" applyFill="1" applyAlignment="1">
      <alignment horizontal="center" vertical="center"/>
    </xf>
    <xf numFmtId="0" fontId="130" fillId="0" borderId="140" xfId="0" applyFont="1" applyFill="1" applyBorder="1" applyAlignment="1">
      <alignment horizontal="center" vertical="center"/>
    </xf>
    <xf numFmtId="0" fontId="130" fillId="0" borderId="28" xfId="0" applyFont="1" applyFill="1" applyBorder="1" applyAlignment="1">
      <alignment horizontal="center" vertical="center"/>
    </xf>
    <xf numFmtId="0" fontId="130" fillId="0" borderId="29" xfId="0" applyFont="1" applyFill="1" applyBorder="1" applyAlignment="1">
      <alignment horizontal="center" vertical="center"/>
    </xf>
    <xf numFmtId="0" fontId="130" fillId="0" borderId="6" xfId="0" applyFont="1" applyFill="1" applyBorder="1" applyAlignment="1">
      <alignment horizontal="center" vertical="center"/>
    </xf>
    <xf numFmtId="0" fontId="130" fillId="0" borderId="7" xfId="0" applyFont="1" applyFill="1" applyBorder="1" applyAlignment="1">
      <alignment horizontal="center" vertical="center"/>
    </xf>
    <xf numFmtId="0" fontId="130" fillId="0" borderId="8" xfId="0" applyFont="1" applyFill="1" applyBorder="1" applyAlignment="1">
      <alignment horizontal="center" vertical="center"/>
    </xf>
    <xf numFmtId="0" fontId="130" fillId="0" borderId="140" xfId="0" applyFont="1" applyBorder="1" applyAlignment="1">
      <alignment horizontal="center" vertical="center"/>
    </xf>
    <xf numFmtId="0" fontId="130" fillId="0" borderId="3" xfId="0" applyFont="1" applyBorder="1" applyAlignment="1">
      <alignment horizontal="center" vertical="center"/>
    </xf>
    <xf numFmtId="0" fontId="130" fillId="0" borderId="6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130" fillId="0" borderId="140" xfId="0" applyFont="1" applyBorder="1" applyAlignment="1">
      <alignment horizontal="center" vertical="center" wrapText="1"/>
    </xf>
    <xf numFmtId="0" fontId="130" fillId="0" borderId="141" xfId="0" applyFont="1" applyFill="1" applyBorder="1" applyAlignment="1">
      <alignment horizontal="center" vertical="center"/>
    </xf>
    <xf numFmtId="0" fontId="130" fillId="0" borderId="38" xfId="0" applyFont="1" applyFill="1" applyBorder="1" applyAlignment="1">
      <alignment horizontal="center" vertical="center"/>
    </xf>
    <xf numFmtId="0" fontId="130" fillId="0" borderId="142" xfId="0" applyFont="1" applyFill="1" applyBorder="1" applyAlignment="1">
      <alignment horizontal="center" vertical="center"/>
    </xf>
    <xf numFmtId="0" fontId="130" fillId="0" borderId="143" xfId="0" applyFont="1" applyFill="1" applyBorder="1" applyAlignment="1">
      <alignment horizontal="center" vertical="center"/>
    </xf>
    <xf numFmtId="0" fontId="130" fillId="0" borderId="144" xfId="0" applyFont="1" applyFill="1" applyBorder="1" applyAlignment="1">
      <alignment horizontal="center" vertical="center"/>
    </xf>
    <xf numFmtId="0" fontId="130" fillId="0" borderId="145" xfId="0" applyFont="1" applyFill="1" applyBorder="1" applyAlignment="1">
      <alignment horizontal="center" vertical="center"/>
    </xf>
    <xf numFmtId="0" fontId="130" fillId="0" borderId="19" xfId="0" applyFont="1" applyFill="1" applyBorder="1" applyAlignment="1">
      <alignment horizontal="center" vertical="center"/>
    </xf>
    <xf numFmtId="0" fontId="130" fillId="0" borderId="20" xfId="0" applyFont="1" applyFill="1" applyBorder="1" applyAlignment="1">
      <alignment horizontal="center" vertical="center"/>
    </xf>
    <xf numFmtId="0" fontId="130" fillId="0" borderId="14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41" fontId="4" fillId="0" borderId="16" xfId="1" applyFont="1" applyBorder="1" applyAlignment="1">
      <alignment horizontal="center" vertical="center"/>
    </xf>
    <xf numFmtId="41" fontId="4" fillId="0" borderId="17" xfId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1" fontId="4" fillId="0" borderId="18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41" fontId="4" fillId="0" borderId="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6" fontId="4" fillId="2" borderId="7" xfId="2" applyNumberFormat="1" applyFont="1" applyFill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6" fontId="4" fillId="0" borderId="28" xfId="2" applyNumberFormat="1" applyFont="1" applyBorder="1" applyAlignment="1">
      <alignment horizontal="center" vertical="center"/>
    </xf>
    <xf numFmtId="41" fontId="4" fillId="0" borderId="28" xfId="0" applyNumberFormat="1" applyFont="1" applyBorder="1" applyAlignment="1">
      <alignment horizontal="center" vertical="center"/>
    </xf>
    <xf numFmtId="41" fontId="4" fillId="0" borderId="39" xfId="1" applyFont="1" applyBorder="1" applyAlignment="1">
      <alignment horizontal="center" vertical="center"/>
    </xf>
  </cellXfs>
  <cellStyles count="2301">
    <cellStyle name="&quot;" xfId="4"/>
    <cellStyle name="$" xfId="5"/>
    <cellStyle name="$_db진흥" xfId="6"/>
    <cellStyle name="$_SE40" xfId="7"/>
    <cellStyle name="$_견적2" xfId="8"/>
    <cellStyle name="$_기아" xfId="9"/>
    <cellStyle name="??&amp;O?&amp;H?_x0008__x000f__x0007_?_x0007__x0001__x0001_" xfId="10"/>
    <cellStyle name="??&amp;O?&amp;H?_x0008_??_x0007__x0001__x0001_" xfId="11"/>
    <cellStyle name="??&amp;쏗?뷐9_x0008__x0011__x0007_?_x0007__x0001__x0001_" xfId="12"/>
    <cellStyle name="?W?_laroux" xfId="13"/>
    <cellStyle name="]_Sheet1_FY96" xfId="14"/>
    <cellStyle name="]_Sheet1_PRODUCT DETAIL_x0013_Comma [0]_Sheet1_Q1" xfId="15"/>
    <cellStyle name="_09월소장단회의자료1" xfId="16"/>
    <cellStyle name="_09월소장단회의자료1_10.1 하수관로 공사비 산출근거(20090730)" xfId="17"/>
    <cellStyle name="_09월소장단회의자료1_B-1,B-1-1노선변경실정보고" xfId="18"/>
    <cellStyle name="_09월소장단회의자료1_B-1,B-1-1노선변경실정보고_10.1 하수관로 공사비 산출근거(20090730)" xfId="19"/>
    <cellStyle name="_09월소장단회의자료1_B-1,B-1-1노선변경실정보고_BTL개략사업비-당진군V4" xfId="20"/>
    <cellStyle name="_09월소장단회의자료1_BTL개략사업비-당진군V4" xfId="21"/>
    <cellStyle name="_09월소장단회의자료1_토공계획" xfId="22"/>
    <cellStyle name="_09월소장단회의자료1_토공계획_10.1 하수관로 공사비 산출근거(20090730)" xfId="23"/>
    <cellStyle name="_09월소장단회의자료1_토공계획_B-1,B-1-1노선변경실정보고" xfId="24"/>
    <cellStyle name="_09월소장단회의자료1_토공계획_B-1,B-1-1노선변경실정보고_10.1 하수관로 공사비 산출근거(20090730)" xfId="25"/>
    <cellStyle name="_09월소장단회의자료1_토공계획_B-1,B-1-1노선변경실정보고_BTL개략사업비-당진군V4" xfId="26"/>
    <cellStyle name="_09월소장단회의자료1_토공계획_BTL개략사업비-당진군V4" xfId="27"/>
    <cellStyle name="_09월소장단회의자료1_토공계획_구조물공사시공계획서" xfId="28"/>
    <cellStyle name="_09월소장단회의자료1_토공계획_구조물공사시공계획서_10.1 하수관로 공사비 산출근거(20090730)" xfId="29"/>
    <cellStyle name="_09월소장단회의자료1_토공계획_구조물공사시공계획서_B-1,B-1-1노선변경실정보고" xfId="30"/>
    <cellStyle name="_09월소장단회의자료1_토공계획_구조물공사시공계획서_B-1,B-1-1노선변경실정보고_10.1 하수관로 공사비 산출근거(20090730)" xfId="31"/>
    <cellStyle name="_09월소장단회의자료1_토공계획_구조물공사시공계획서_B-1,B-1-1노선변경실정보고_BTL개략사업비-당진군V4" xfId="32"/>
    <cellStyle name="_09월소장단회의자료1_토공계획_구조물공사시공계획서_BTL개략사업비-당진군V4" xfId="33"/>
    <cellStyle name="_09월소장단회의자료1_토공계획_토공사시공계획서" xfId="34"/>
    <cellStyle name="_09월소장단회의자료1_토공계획_토공사시공계획서(포)" xfId="35"/>
    <cellStyle name="_09월소장단회의자료1_토공계획_토공사시공계획서(포)_10.1 하수관로 공사비 산출근거(20090730)" xfId="36"/>
    <cellStyle name="_09월소장단회의자료1_토공계획_토공사시공계획서(포)_B-1,B-1-1노선변경실정보고" xfId="37"/>
    <cellStyle name="_09월소장단회의자료1_토공계획_토공사시공계획서(포)_B-1,B-1-1노선변경실정보고_10.1 하수관로 공사비 산출근거(20090730)" xfId="38"/>
    <cellStyle name="_09월소장단회의자료1_토공계획_토공사시공계획서(포)_B-1,B-1-1노선변경실정보고_BTL개략사업비-당진군V4" xfId="39"/>
    <cellStyle name="_09월소장단회의자료1_토공계획_토공사시공계획서(포)_BTL개략사업비-당진군V4" xfId="40"/>
    <cellStyle name="_09월소장단회의자료1_토공계획_토공사시공계획서_10.1 하수관로 공사비 산출근거(20090730)" xfId="41"/>
    <cellStyle name="_09월소장단회의자료1_토공계획_토공사시공계획서_B-1,B-1-1노선변경실정보고" xfId="42"/>
    <cellStyle name="_09월소장단회의자료1_토공계획_토공사시공계획서_B-1,B-1-1노선변경실정보고_10.1 하수관로 공사비 산출근거(20090730)" xfId="43"/>
    <cellStyle name="_09월소장단회의자료1_토공계획_토공사시공계획서_B-1,B-1-1노선변경실정보고_BTL개략사업비-당진군V4" xfId="44"/>
    <cellStyle name="_09월소장단회의자료1_토공계획_토공사시공계획서_BTL개략사업비-당진군V4" xfId="45"/>
    <cellStyle name="_09월소장단회의자료1_토공시공계획서(효)" xfId="46"/>
    <cellStyle name="_09월소장단회의자료1_토공시공계획서(효)_10.1 하수관로 공사비 산출근거(20090730)" xfId="47"/>
    <cellStyle name="_09월소장단회의자료1_토공시공계획서(효)_B-1,B-1-1노선변경실정보고" xfId="48"/>
    <cellStyle name="_09월소장단회의자료1_토공시공계획서(효)_B-1,B-1-1노선변경실정보고_10.1 하수관로 공사비 산출근거(20090730)" xfId="49"/>
    <cellStyle name="_09월소장단회의자료1_토공시공계획서(효)_B-1,B-1-1노선변경실정보고_BTL개략사업비-당진군V4" xfId="50"/>
    <cellStyle name="_09월소장단회의자료1_토공시공계획서(효)_BTL개략사업비-당진군V4" xfId="51"/>
    <cellStyle name="_09월소장단회의자료1_토공시공계획서(효)_구조물공사시공계획서" xfId="52"/>
    <cellStyle name="_09월소장단회의자료1_토공시공계획서(효)_구조물공사시공계획서_10.1 하수관로 공사비 산출근거(20090730)" xfId="53"/>
    <cellStyle name="_09월소장단회의자료1_토공시공계획서(효)_구조물공사시공계획서_B-1,B-1-1노선변경실정보고" xfId="54"/>
    <cellStyle name="_09월소장단회의자료1_토공시공계획서(효)_구조물공사시공계획서_B-1,B-1-1노선변경실정보고_10.1 하수관로 공사비 산출근거(20090730)" xfId="55"/>
    <cellStyle name="_09월소장단회의자료1_토공시공계획서(효)_구조물공사시공계획서_B-1,B-1-1노선변경실정보고_BTL개략사업비-당진군V4" xfId="56"/>
    <cellStyle name="_09월소장단회의자료1_토공시공계획서(효)_구조물공사시공계획서_BTL개략사업비-당진군V4" xfId="57"/>
    <cellStyle name="_09월소장단회의자료1_토공시공계획서(효)_토공사시공계획서" xfId="58"/>
    <cellStyle name="_09월소장단회의자료1_토공시공계획서(효)_토공사시공계획서(포)" xfId="59"/>
    <cellStyle name="_09월소장단회의자료1_토공시공계획서(효)_토공사시공계획서(포)_10.1 하수관로 공사비 산출근거(20090730)" xfId="60"/>
    <cellStyle name="_09월소장단회의자료1_토공시공계획서(효)_토공사시공계획서(포)_B-1,B-1-1노선변경실정보고" xfId="61"/>
    <cellStyle name="_09월소장단회의자료1_토공시공계획서(효)_토공사시공계획서(포)_B-1,B-1-1노선변경실정보고_10.1 하수관로 공사비 산출근거(20090730)" xfId="62"/>
    <cellStyle name="_09월소장단회의자료1_토공시공계획서(효)_토공사시공계획서(포)_B-1,B-1-1노선변경실정보고_BTL개략사업비-당진군V4" xfId="63"/>
    <cellStyle name="_09월소장단회의자료1_토공시공계획서(효)_토공사시공계획서(포)_BTL개략사업비-당진군V4" xfId="64"/>
    <cellStyle name="_09월소장단회의자료1_토공시공계획서(효)_토공사시공계획서_10.1 하수관로 공사비 산출근거(20090730)" xfId="65"/>
    <cellStyle name="_09월소장단회의자료1_토공시공계획서(효)_토공사시공계획서_B-1,B-1-1노선변경실정보고" xfId="66"/>
    <cellStyle name="_09월소장단회의자료1_토공시공계획서(효)_토공사시공계획서_B-1,B-1-1노선변경실정보고_10.1 하수관로 공사비 산출근거(20090730)" xfId="67"/>
    <cellStyle name="_09월소장단회의자료1_토공시공계획서(효)_토공사시공계획서_B-1,B-1-1노선변경실정보고_BTL개략사업비-당진군V4" xfId="68"/>
    <cellStyle name="_09월소장단회의자료1_토공시공계획서(효)_토공사시공계획서_BTL개략사업비-당진군V4" xfId="69"/>
    <cellStyle name="_2001년1월소장단회의REV2" xfId="70"/>
    <cellStyle name="_2001년1월소장단회의REV2_10.1 하수관로 공사비 산출근거(20090730)" xfId="71"/>
    <cellStyle name="_2001년1월소장단회의REV2_B-1,B-1-1노선변경실정보고" xfId="72"/>
    <cellStyle name="_2001년1월소장단회의REV2_B-1,B-1-1노선변경실정보고_10.1 하수관로 공사비 산출근거(20090730)" xfId="73"/>
    <cellStyle name="_2001년1월소장단회의REV2_B-1,B-1-1노선변경실정보고_BTL개략사업비-당진군V4" xfId="74"/>
    <cellStyle name="_2001년1월소장단회의REV2_BTL개략사업비-당진군V4" xfId="75"/>
    <cellStyle name="_2001년1월소장단회의REV2_토공계획" xfId="76"/>
    <cellStyle name="_2001년1월소장단회의REV2_토공계획_10.1 하수관로 공사비 산출근거(20090730)" xfId="77"/>
    <cellStyle name="_2001년1월소장단회의REV2_토공계획_B-1,B-1-1노선변경실정보고" xfId="78"/>
    <cellStyle name="_2001년1월소장단회의REV2_토공계획_B-1,B-1-1노선변경실정보고_10.1 하수관로 공사비 산출근거(20090730)" xfId="79"/>
    <cellStyle name="_2001년1월소장단회의REV2_토공계획_B-1,B-1-1노선변경실정보고_BTL개략사업비-당진군V4" xfId="80"/>
    <cellStyle name="_2001년1월소장단회의REV2_토공계획_BTL개략사업비-당진군V4" xfId="81"/>
    <cellStyle name="_2001년1월소장단회의REV2_토공계획_구조물공사시공계획서" xfId="82"/>
    <cellStyle name="_2001년1월소장단회의REV2_토공계획_구조물공사시공계획서_10.1 하수관로 공사비 산출근거(20090730)" xfId="83"/>
    <cellStyle name="_2001년1월소장단회의REV2_토공계획_구조물공사시공계획서_B-1,B-1-1노선변경실정보고" xfId="84"/>
    <cellStyle name="_2001년1월소장단회의REV2_토공계획_구조물공사시공계획서_B-1,B-1-1노선변경실정보고_10.1 하수관로 공사비 산출근거(20090730)" xfId="85"/>
    <cellStyle name="_2001년1월소장단회의REV2_토공계획_구조물공사시공계획서_B-1,B-1-1노선변경실정보고_BTL개략사업비-당진군V4" xfId="86"/>
    <cellStyle name="_2001년1월소장단회의REV2_토공계획_구조물공사시공계획서_BTL개략사업비-당진군V4" xfId="87"/>
    <cellStyle name="_2001년1월소장단회의REV2_토공계획_토공사시공계획서" xfId="88"/>
    <cellStyle name="_2001년1월소장단회의REV2_토공계획_토공사시공계획서(포)" xfId="89"/>
    <cellStyle name="_2001년1월소장단회의REV2_토공계획_토공사시공계획서(포)_10.1 하수관로 공사비 산출근거(20090730)" xfId="90"/>
    <cellStyle name="_2001년1월소장단회의REV2_토공계획_토공사시공계획서(포)_B-1,B-1-1노선변경실정보고" xfId="91"/>
    <cellStyle name="_2001년1월소장단회의REV2_토공계획_토공사시공계획서(포)_B-1,B-1-1노선변경실정보고_10.1 하수관로 공사비 산출근거(20090730)" xfId="92"/>
    <cellStyle name="_2001년1월소장단회의REV2_토공계획_토공사시공계획서(포)_B-1,B-1-1노선변경실정보고_BTL개략사업비-당진군V4" xfId="93"/>
    <cellStyle name="_2001년1월소장단회의REV2_토공계획_토공사시공계획서(포)_BTL개략사업비-당진군V4" xfId="94"/>
    <cellStyle name="_2001년1월소장단회의REV2_토공계획_토공사시공계획서_10.1 하수관로 공사비 산출근거(20090730)" xfId="95"/>
    <cellStyle name="_2001년1월소장단회의REV2_토공계획_토공사시공계획서_B-1,B-1-1노선변경실정보고" xfId="96"/>
    <cellStyle name="_2001년1월소장단회의REV2_토공계획_토공사시공계획서_B-1,B-1-1노선변경실정보고_10.1 하수관로 공사비 산출근거(20090730)" xfId="97"/>
    <cellStyle name="_2001년1월소장단회의REV2_토공계획_토공사시공계획서_B-1,B-1-1노선변경실정보고_BTL개략사업비-당진군V4" xfId="98"/>
    <cellStyle name="_2001년1월소장단회의REV2_토공계획_토공사시공계획서_BTL개략사업비-당진군V4" xfId="99"/>
    <cellStyle name="_2001년1월소장단회의REV2_토공시공계획서(효)" xfId="100"/>
    <cellStyle name="_2001년1월소장단회의REV2_토공시공계획서(효)_10.1 하수관로 공사비 산출근거(20090730)" xfId="101"/>
    <cellStyle name="_2001년1월소장단회의REV2_토공시공계획서(효)_B-1,B-1-1노선변경실정보고" xfId="102"/>
    <cellStyle name="_2001년1월소장단회의REV2_토공시공계획서(효)_B-1,B-1-1노선변경실정보고_10.1 하수관로 공사비 산출근거(20090730)" xfId="103"/>
    <cellStyle name="_2001년1월소장단회의REV2_토공시공계획서(효)_B-1,B-1-1노선변경실정보고_BTL개략사업비-당진군V4" xfId="104"/>
    <cellStyle name="_2001년1월소장단회의REV2_토공시공계획서(효)_BTL개략사업비-당진군V4" xfId="105"/>
    <cellStyle name="_2001년1월소장단회의REV2_토공시공계획서(효)_구조물공사시공계획서" xfId="106"/>
    <cellStyle name="_2001년1월소장단회의REV2_토공시공계획서(효)_구조물공사시공계획서_10.1 하수관로 공사비 산출근거(20090730)" xfId="107"/>
    <cellStyle name="_2001년1월소장단회의REV2_토공시공계획서(효)_구조물공사시공계획서_B-1,B-1-1노선변경실정보고" xfId="108"/>
    <cellStyle name="_2001년1월소장단회의REV2_토공시공계획서(효)_구조물공사시공계획서_B-1,B-1-1노선변경실정보고_10.1 하수관로 공사비 산출근거(20090730)" xfId="109"/>
    <cellStyle name="_2001년1월소장단회의REV2_토공시공계획서(효)_구조물공사시공계획서_B-1,B-1-1노선변경실정보고_BTL개략사업비-당진군V4" xfId="110"/>
    <cellStyle name="_2001년1월소장단회의REV2_토공시공계획서(효)_구조물공사시공계획서_BTL개략사업비-당진군V4" xfId="111"/>
    <cellStyle name="_2001년1월소장단회의REV2_토공시공계획서(효)_토공사시공계획서" xfId="112"/>
    <cellStyle name="_2001년1월소장단회의REV2_토공시공계획서(효)_토공사시공계획서(포)" xfId="113"/>
    <cellStyle name="_2001년1월소장단회의REV2_토공시공계획서(효)_토공사시공계획서(포)_10.1 하수관로 공사비 산출근거(20090730)" xfId="114"/>
    <cellStyle name="_2001년1월소장단회의REV2_토공시공계획서(효)_토공사시공계획서(포)_B-1,B-1-1노선변경실정보고" xfId="115"/>
    <cellStyle name="_2001년1월소장단회의REV2_토공시공계획서(효)_토공사시공계획서(포)_B-1,B-1-1노선변경실정보고_10.1 하수관로 공사비 산출근거(20090730)" xfId="116"/>
    <cellStyle name="_2001년1월소장단회의REV2_토공시공계획서(효)_토공사시공계획서(포)_B-1,B-1-1노선변경실정보고_BTL개략사업비-당진군V4" xfId="117"/>
    <cellStyle name="_2001년1월소장단회의REV2_토공시공계획서(효)_토공사시공계획서(포)_BTL개략사업비-당진군V4" xfId="118"/>
    <cellStyle name="_2001년1월소장단회의REV2_토공시공계획서(효)_토공사시공계획서_10.1 하수관로 공사비 산출근거(20090730)" xfId="119"/>
    <cellStyle name="_2001년1월소장단회의REV2_토공시공계획서(효)_토공사시공계획서_B-1,B-1-1노선변경실정보고" xfId="120"/>
    <cellStyle name="_2001년1월소장단회의REV2_토공시공계획서(효)_토공사시공계획서_B-1,B-1-1노선변경실정보고_10.1 하수관로 공사비 산출근거(20090730)" xfId="121"/>
    <cellStyle name="_2001년1월소장단회의REV2_토공시공계획서(효)_토공사시공계획서_B-1,B-1-1노선변경실정보고_BTL개략사업비-당진군V4" xfId="122"/>
    <cellStyle name="_2001년1월소장단회의REV2_토공시공계획서(효)_토공사시공계획서_BTL개략사업비-당진군V4" xfId="123"/>
    <cellStyle name="_2001년1월소장회의" xfId="124"/>
    <cellStyle name="_2001년1월소장회의_10.1 하수관로 공사비 산출근거(20090730)" xfId="125"/>
    <cellStyle name="_2001년1월소장회의_B-1,B-1-1노선변경실정보고" xfId="126"/>
    <cellStyle name="_2001년1월소장회의_B-1,B-1-1노선변경실정보고_10.1 하수관로 공사비 산출근거(20090730)" xfId="127"/>
    <cellStyle name="_2001년1월소장회의_B-1,B-1-1노선변경실정보고_BTL개략사업비-당진군V4" xfId="128"/>
    <cellStyle name="_2001년1월소장회의_BTL개략사업비-당진군V4" xfId="129"/>
    <cellStyle name="_2001년1월소장회의_토공계획" xfId="130"/>
    <cellStyle name="_2001년1월소장회의_토공계획_10.1 하수관로 공사비 산출근거(20090730)" xfId="131"/>
    <cellStyle name="_2001년1월소장회의_토공계획_B-1,B-1-1노선변경실정보고" xfId="132"/>
    <cellStyle name="_2001년1월소장회의_토공계획_B-1,B-1-1노선변경실정보고_10.1 하수관로 공사비 산출근거(20090730)" xfId="133"/>
    <cellStyle name="_2001년1월소장회의_토공계획_B-1,B-1-1노선변경실정보고_BTL개략사업비-당진군V4" xfId="134"/>
    <cellStyle name="_2001년1월소장회의_토공계획_BTL개략사업비-당진군V4" xfId="135"/>
    <cellStyle name="_2001년1월소장회의_토공계획_구조물공사시공계획서" xfId="136"/>
    <cellStyle name="_2001년1월소장회의_토공계획_구조물공사시공계획서_10.1 하수관로 공사비 산출근거(20090730)" xfId="137"/>
    <cellStyle name="_2001년1월소장회의_토공계획_구조물공사시공계획서_B-1,B-1-1노선변경실정보고" xfId="138"/>
    <cellStyle name="_2001년1월소장회의_토공계획_구조물공사시공계획서_B-1,B-1-1노선변경실정보고_10.1 하수관로 공사비 산출근거(20090730)" xfId="139"/>
    <cellStyle name="_2001년1월소장회의_토공계획_구조물공사시공계획서_B-1,B-1-1노선변경실정보고_BTL개략사업비-당진군V4" xfId="140"/>
    <cellStyle name="_2001년1월소장회의_토공계획_구조물공사시공계획서_BTL개략사업비-당진군V4" xfId="141"/>
    <cellStyle name="_2001년1월소장회의_토공계획_토공사시공계획서" xfId="142"/>
    <cellStyle name="_2001년1월소장회의_토공계획_토공사시공계획서(포)" xfId="143"/>
    <cellStyle name="_2001년1월소장회의_토공계획_토공사시공계획서(포)_10.1 하수관로 공사비 산출근거(20090730)" xfId="144"/>
    <cellStyle name="_2001년1월소장회의_토공계획_토공사시공계획서(포)_B-1,B-1-1노선변경실정보고" xfId="145"/>
    <cellStyle name="_2001년1월소장회의_토공계획_토공사시공계획서(포)_B-1,B-1-1노선변경실정보고_10.1 하수관로 공사비 산출근거(20090730)" xfId="146"/>
    <cellStyle name="_2001년1월소장회의_토공계획_토공사시공계획서(포)_B-1,B-1-1노선변경실정보고_BTL개략사업비-당진군V4" xfId="147"/>
    <cellStyle name="_2001년1월소장회의_토공계획_토공사시공계획서(포)_BTL개략사업비-당진군V4" xfId="148"/>
    <cellStyle name="_2001년1월소장회의_토공계획_토공사시공계획서_10.1 하수관로 공사비 산출근거(20090730)" xfId="149"/>
    <cellStyle name="_2001년1월소장회의_토공계획_토공사시공계획서_B-1,B-1-1노선변경실정보고" xfId="150"/>
    <cellStyle name="_2001년1월소장회의_토공계획_토공사시공계획서_B-1,B-1-1노선변경실정보고_10.1 하수관로 공사비 산출근거(20090730)" xfId="151"/>
    <cellStyle name="_2001년1월소장회의_토공계획_토공사시공계획서_B-1,B-1-1노선변경실정보고_BTL개략사업비-당진군V4" xfId="152"/>
    <cellStyle name="_2001년1월소장회의_토공계획_토공사시공계획서_BTL개략사업비-당진군V4" xfId="153"/>
    <cellStyle name="_2001년1월소장회의_토공시공계획서(효)" xfId="154"/>
    <cellStyle name="_2001년1월소장회의_토공시공계획서(효)_10.1 하수관로 공사비 산출근거(20090730)" xfId="155"/>
    <cellStyle name="_2001년1월소장회의_토공시공계획서(효)_B-1,B-1-1노선변경실정보고" xfId="156"/>
    <cellStyle name="_2001년1월소장회의_토공시공계획서(효)_B-1,B-1-1노선변경실정보고_10.1 하수관로 공사비 산출근거(20090730)" xfId="157"/>
    <cellStyle name="_2001년1월소장회의_토공시공계획서(효)_B-1,B-1-1노선변경실정보고_BTL개략사업비-당진군V4" xfId="158"/>
    <cellStyle name="_2001년1월소장회의_토공시공계획서(효)_BTL개략사업비-당진군V4" xfId="159"/>
    <cellStyle name="_2001년1월소장회의_토공시공계획서(효)_구조물공사시공계획서" xfId="160"/>
    <cellStyle name="_2001년1월소장회의_토공시공계획서(효)_구조물공사시공계획서_10.1 하수관로 공사비 산출근거(20090730)" xfId="161"/>
    <cellStyle name="_2001년1월소장회의_토공시공계획서(효)_구조물공사시공계획서_B-1,B-1-1노선변경실정보고" xfId="162"/>
    <cellStyle name="_2001년1월소장회의_토공시공계획서(효)_구조물공사시공계획서_B-1,B-1-1노선변경실정보고_10.1 하수관로 공사비 산출근거(20090730)" xfId="163"/>
    <cellStyle name="_2001년1월소장회의_토공시공계획서(효)_구조물공사시공계획서_B-1,B-1-1노선변경실정보고_BTL개략사업비-당진군V4" xfId="164"/>
    <cellStyle name="_2001년1월소장회의_토공시공계획서(효)_구조물공사시공계획서_BTL개략사업비-당진군V4" xfId="165"/>
    <cellStyle name="_2001년1월소장회의_토공시공계획서(효)_토공사시공계획서" xfId="166"/>
    <cellStyle name="_2001년1월소장회의_토공시공계획서(효)_토공사시공계획서(포)" xfId="167"/>
    <cellStyle name="_2001년1월소장회의_토공시공계획서(효)_토공사시공계획서(포)_10.1 하수관로 공사비 산출근거(20090730)" xfId="168"/>
    <cellStyle name="_2001년1월소장회의_토공시공계획서(효)_토공사시공계획서(포)_B-1,B-1-1노선변경실정보고" xfId="169"/>
    <cellStyle name="_2001년1월소장회의_토공시공계획서(효)_토공사시공계획서(포)_B-1,B-1-1노선변경실정보고_10.1 하수관로 공사비 산출근거(20090730)" xfId="170"/>
    <cellStyle name="_2001년1월소장회의_토공시공계획서(효)_토공사시공계획서(포)_B-1,B-1-1노선변경실정보고_BTL개략사업비-당진군V4" xfId="171"/>
    <cellStyle name="_2001년1월소장회의_토공시공계획서(효)_토공사시공계획서(포)_BTL개략사업비-당진군V4" xfId="172"/>
    <cellStyle name="_2001년1월소장회의_토공시공계획서(효)_토공사시공계획서_10.1 하수관로 공사비 산출근거(20090730)" xfId="173"/>
    <cellStyle name="_2001년1월소장회의_토공시공계획서(효)_토공사시공계획서_B-1,B-1-1노선변경실정보고" xfId="174"/>
    <cellStyle name="_2001년1월소장회의_토공시공계획서(효)_토공사시공계획서_B-1,B-1-1노선변경실정보고_10.1 하수관로 공사비 산출근거(20090730)" xfId="175"/>
    <cellStyle name="_2001년1월소장회의_토공시공계획서(효)_토공사시공계획서_B-1,B-1-1노선변경실정보고_BTL개략사업비-당진군V4" xfId="176"/>
    <cellStyle name="_2001년1월소장회의_토공시공계획서(효)_토공사시공계획서_BTL개략사업비-당진군V4" xfId="177"/>
    <cellStyle name="_2002상수도통계(총괄)" xfId="178"/>
    <cellStyle name="_FCST (2)" xfId="179"/>
    <cellStyle name="_금산내역서" xfId="180"/>
    <cellStyle name="_금산전기용량서(R2)" xfId="181"/>
    <cellStyle name="_부대시설물수량산출" xfId="182"/>
    <cellStyle name="_사진대지" xfId="183"/>
    <cellStyle name="_사진대지_10.1 하수관로 공사비 산출근거(20090730)" xfId="184"/>
    <cellStyle name="_사진대지_B-1,B-1-1노선변경실정보고" xfId="185"/>
    <cellStyle name="_사진대지_B-1,B-1-1노선변경실정보고_10.1 하수관로 공사비 산출근거(20090730)" xfId="186"/>
    <cellStyle name="_사진대지_B-1,B-1-1노선변경실정보고_BTL개략사업비-당진군V4" xfId="187"/>
    <cellStyle name="_사진대지_BTL개략사업비-당진군V4" xfId="188"/>
    <cellStyle name="_수량" xfId="189"/>
    <cellStyle name="_수량_1" xfId="190"/>
    <cellStyle name="_수량_2" xfId="191"/>
    <cellStyle name="_수량1" xfId="192"/>
    <cellStyle name="_수량1_1" xfId="193"/>
    <cellStyle name="_수량2" xfId="194"/>
    <cellStyle name="_수량2_1" xfId="195"/>
    <cellStyle name="_수량last" xfId="196"/>
    <cellStyle name="_수량last_1" xfId="197"/>
    <cellStyle name="_수량last_2" xfId="198"/>
    <cellStyle name="_영동내역서" xfId="199"/>
    <cellStyle name="_영동전기용량서(R1)" xfId="200"/>
    <cellStyle name="_유재복차장(CP10,17,HP5100_mail)" xfId="201"/>
    <cellStyle name="_유지관리비" xfId="202"/>
    <cellStyle name="_전력운영비" xfId="203"/>
    <cellStyle name="_토공계획" xfId="204"/>
    <cellStyle name="_토공계획_10.1 하수관로 공사비 산출근거(20090730)" xfId="205"/>
    <cellStyle name="_토공계획_B-1,B-1-1노선변경실정보고" xfId="206"/>
    <cellStyle name="_토공계획_B-1,B-1-1노선변경실정보고_10.1 하수관로 공사비 산출근거(20090730)" xfId="207"/>
    <cellStyle name="_토공계획_B-1,B-1-1노선변경실정보고_BTL개략사업비-당진군V4" xfId="208"/>
    <cellStyle name="_토공계획_BTL개략사업비-당진군V4" xfId="209"/>
    <cellStyle name="_토공계획_구조물공사시공계획서" xfId="210"/>
    <cellStyle name="_토공계획_구조물공사시공계획서_10.1 하수관로 공사비 산출근거(20090730)" xfId="211"/>
    <cellStyle name="_토공계획_구조물공사시공계획서_B-1,B-1-1노선변경실정보고" xfId="212"/>
    <cellStyle name="_토공계획_구조물공사시공계획서_B-1,B-1-1노선변경실정보고_10.1 하수관로 공사비 산출근거(20090730)" xfId="213"/>
    <cellStyle name="_토공계획_구조물공사시공계획서_B-1,B-1-1노선변경실정보고_BTL개략사업비-당진군V4" xfId="214"/>
    <cellStyle name="_토공계획_구조물공사시공계획서_BTL개략사업비-당진군V4" xfId="215"/>
    <cellStyle name="_토공계획_토공사시공계획서" xfId="216"/>
    <cellStyle name="_토공계획_토공사시공계획서(포)" xfId="217"/>
    <cellStyle name="_토공계획_토공사시공계획서(포)_10.1 하수관로 공사비 산출근거(20090730)" xfId="218"/>
    <cellStyle name="_토공계획_토공사시공계획서(포)_B-1,B-1-1노선변경실정보고" xfId="219"/>
    <cellStyle name="_토공계획_토공사시공계획서(포)_B-1,B-1-1노선변경실정보고_10.1 하수관로 공사비 산출근거(20090730)" xfId="220"/>
    <cellStyle name="_토공계획_토공사시공계획서(포)_B-1,B-1-1노선변경실정보고_BTL개략사업비-당진군V4" xfId="221"/>
    <cellStyle name="_토공계획_토공사시공계획서(포)_BTL개략사업비-당진군V4" xfId="222"/>
    <cellStyle name="_토공계획_토공사시공계획서_10.1 하수관로 공사비 산출근거(20090730)" xfId="223"/>
    <cellStyle name="_토공계획_토공사시공계획서_B-1,B-1-1노선변경실정보고" xfId="224"/>
    <cellStyle name="_토공계획_토공사시공계획서_B-1,B-1-1노선변경실정보고_10.1 하수관로 공사비 산출근거(20090730)" xfId="225"/>
    <cellStyle name="_토공계획_토공사시공계획서_B-1,B-1-1노선변경실정보고_BTL개략사업비-당진군V4" xfId="226"/>
    <cellStyle name="_토공계획_토공사시공계획서_BTL개략사업비-당진군V4" xfId="227"/>
    <cellStyle name="_토공시공계획서(효)" xfId="228"/>
    <cellStyle name="_토공시공계획서(효)_10.1 하수관로 공사비 산출근거(20090730)" xfId="229"/>
    <cellStyle name="_토공시공계획서(효)_B-1,B-1-1노선변경실정보고" xfId="230"/>
    <cellStyle name="_토공시공계획서(효)_B-1,B-1-1노선변경실정보고_10.1 하수관로 공사비 산출근거(20090730)" xfId="231"/>
    <cellStyle name="_토공시공계획서(효)_B-1,B-1-1노선변경실정보고_BTL개략사업비-당진군V4" xfId="232"/>
    <cellStyle name="_토공시공계획서(효)_BTL개략사업비-당진군V4" xfId="233"/>
    <cellStyle name="_토공시공계획서(효)_구조물공사시공계획서" xfId="234"/>
    <cellStyle name="_토공시공계획서(효)_구조물공사시공계획서_10.1 하수관로 공사비 산출근거(20090730)" xfId="235"/>
    <cellStyle name="_토공시공계획서(효)_구조물공사시공계획서_B-1,B-1-1노선변경실정보고" xfId="236"/>
    <cellStyle name="_토공시공계획서(효)_구조물공사시공계획서_B-1,B-1-1노선변경실정보고_10.1 하수관로 공사비 산출근거(20090730)" xfId="237"/>
    <cellStyle name="_토공시공계획서(효)_구조물공사시공계획서_B-1,B-1-1노선변경실정보고_BTL개략사업비-당진군V4" xfId="238"/>
    <cellStyle name="_토공시공계획서(효)_구조물공사시공계획서_BTL개략사업비-당진군V4" xfId="239"/>
    <cellStyle name="_토공시공계획서(효)_토공사시공계획서" xfId="240"/>
    <cellStyle name="_토공시공계획서(효)_토공사시공계획서(포)" xfId="241"/>
    <cellStyle name="_토공시공계획서(효)_토공사시공계획서(포)_10.1 하수관로 공사비 산출근거(20090730)" xfId="242"/>
    <cellStyle name="_토공시공계획서(효)_토공사시공계획서(포)_B-1,B-1-1노선변경실정보고" xfId="243"/>
    <cellStyle name="_토공시공계획서(효)_토공사시공계획서(포)_B-1,B-1-1노선변경실정보고_10.1 하수관로 공사비 산출근거(20090730)" xfId="244"/>
    <cellStyle name="_토공시공계획서(효)_토공사시공계획서(포)_B-1,B-1-1노선변경실정보고_BTL개략사업비-당진군V4" xfId="245"/>
    <cellStyle name="_토공시공계획서(효)_토공사시공계획서(포)_BTL개략사업비-당진군V4" xfId="246"/>
    <cellStyle name="_토공시공계획서(효)_토공사시공계획서_10.1 하수관로 공사비 산출근거(20090730)" xfId="247"/>
    <cellStyle name="_토공시공계획서(효)_토공사시공계획서_B-1,B-1-1노선변경실정보고" xfId="248"/>
    <cellStyle name="_토공시공계획서(효)_토공사시공계획서_B-1,B-1-1노선변경실정보고_10.1 하수관로 공사비 산출근거(20090730)" xfId="249"/>
    <cellStyle name="_토공시공계획서(효)_토공사시공계획서_B-1,B-1-1노선변경실정보고_BTL개략사업비-당진군V4" xfId="250"/>
    <cellStyle name="_토공시공계획서(효)_토공사시공계획서_BTL개략사업비-당진군V4" xfId="251"/>
    <cellStyle name="´þ" xfId="252"/>
    <cellStyle name="´þ·¯" xfId="253"/>
    <cellStyle name="’E‰Y [0.00]_laroux" xfId="254"/>
    <cellStyle name="’E‰Y_laroux" xfId="255"/>
    <cellStyle name="°ia¤¼o " xfId="256"/>
    <cellStyle name="°íá¤¼ò¼ýá¡" xfId="257"/>
    <cellStyle name="°ia¤aa " xfId="258"/>
    <cellStyle name="°ia¤aa·a1" xfId="259"/>
    <cellStyle name="°íá¤ãâ·â1" xfId="260"/>
    <cellStyle name="°íá¤ãâ·â2" xfId="261"/>
    <cellStyle name="¾È°ÇÈ¸°è¹ýÀÎ" xfId="262"/>
    <cellStyle name="2)" xfId="263"/>
    <cellStyle name="2) 2" xfId="264"/>
    <cellStyle name="20% - 강조색1 2" xfId="265"/>
    <cellStyle name="20% - 강조색1 2 2" xfId="266"/>
    <cellStyle name="20% - 강조색2 2" xfId="267"/>
    <cellStyle name="20% - 강조색2 2 2" xfId="268"/>
    <cellStyle name="20% - 강조색3 2" xfId="269"/>
    <cellStyle name="20% - 강조색3 2 2" xfId="270"/>
    <cellStyle name="20% - 강조색4 2" xfId="271"/>
    <cellStyle name="20% - 강조색4 2 2" xfId="272"/>
    <cellStyle name="20% - 강조색5 2" xfId="273"/>
    <cellStyle name="20% - 강조색5 2 2" xfId="274"/>
    <cellStyle name="20% - 강조색6 2" xfId="275"/>
    <cellStyle name="20% - 강조색6 2 2" xfId="276"/>
    <cellStyle name="³?a" xfId="277"/>
    <cellStyle name="³¯â¥" xfId="278"/>
    <cellStyle name="40% - 강조색1 2" xfId="279"/>
    <cellStyle name="40% - 강조색1 2 2" xfId="280"/>
    <cellStyle name="40% - 강조색2 2" xfId="281"/>
    <cellStyle name="40% - 강조색2 2 2" xfId="282"/>
    <cellStyle name="40% - 강조색3 2" xfId="283"/>
    <cellStyle name="40% - 강조색3 2 2" xfId="284"/>
    <cellStyle name="40% - 강조색4 2" xfId="285"/>
    <cellStyle name="40% - 강조색4 2 2" xfId="286"/>
    <cellStyle name="40% - 강조색5 2" xfId="287"/>
    <cellStyle name="40% - 강조색5 2 2" xfId="288"/>
    <cellStyle name="40% - 강조색6 2" xfId="289"/>
    <cellStyle name="40% - 강조색6 2 2" xfId="290"/>
    <cellStyle name="60" xfId="291"/>
    <cellStyle name="60% - 강조색1 2" xfId="292"/>
    <cellStyle name="60% - 강조색1 2 2" xfId="293"/>
    <cellStyle name="60% - 강조색2 2" xfId="294"/>
    <cellStyle name="60% - 강조색2 2 2" xfId="295"/>
    <cellStyle name="60% - 강조색3 2" xfId="296"/>
    <cellStyle name="60% - 강조색3 2 2" xfId="297"/>
    <cellStyle name="60% - 강조색4 2" xfId="298"/>
    <cellStyle name="60% - 강조색4 2 2" xfId="299"/>
    <cellStyle name="60% - 강조색5 2" xfId="300"/>
    <cellStyle name="60% - 강조색5 2 2" xfId="301"/>
    <cellStyle name="60% - 강조색6 2" xfId="302"/>
    <cellStyle name="60% - 강조색6 2 2" xfId="303"/>
    <cellStyle name="a [0]_OTD thru NOR " xfId="304"/>
    <cellStyle name="A¨­￠￢￠O [0]_INQUIRY ￠?￥i¨u¡AAⓒ￢Aⓒª " xfId="305"/>
    <cellStyle name="A¨­￠￢￠O_INQUIRY ￠?￥i¨u¡AAⓒ￢Aⓒª " xfId="306"/>
    <cellStyle name="A1" xfId="307"/>
    <cellStyle name="ÅëÈ­ [0]_¿¹»ê¼­" xfId="308"/>
    <cellStyle name="AeE­ [0]_±a¼uAe½A " xfId="309"/>
    <cellStyle name="ÅëÈ­ [0]_¼ÕÀÍ¿¹»ê" xfId="310"/>
    <cellStyle name="AeE­ [0]_¼OAI¿¹≫e" xfId="311"/>
    <cellStyle name="ÅëÈ­ [0]_7°èÈ¹ " xfId="312"/>
    <cellStyle name="AeE­ [0]_A¾CO½A¼³ " xfId="313"/>
    <cellStyle name="ÅëÈ­ [0]_ÀÎ°Çºñ,¿ÜÁÖºñ" xfId="314"/>
    <cellStyle name="AeE­ [0]_AI°Cºn,μμ±Þºn" xfId="315"/>
    <cellStyle name="ÅëÈ­ [0]_INQUIRY ¿µ¾÷ÃßÁø " xfId="316"/>
    <cellStyle name="AeE­ [0]_INQUIRY ¿μ¾÷AßAø " xfId="317"/>
    <cellStyle name="ÅëÈ­ [0]_laroux" xfId="318"/>
    <cellStyle name="AeE­ [0]_laroux_1" xfId="319"/>
    <cellStyle name="ÅëÈ­ [0]_laroux_1" xfId="320"/>
    <cellStyle name="AeE­ [0]_laroux_1_06.농림수산업" xfId="321"/>
    <cellStyle name="ÅëÈ­ [0]_laroux_1_06.농림수산업" xfId="322"/>
    <cellStyle name="AeE­ [0]_laroux_1_10.주택건설" xfId="323"/>
    <cellStyle name="ÅëÈ­ [0]_laroux_1_10.주택건설" xfId="324"/>
    <cellStyle name="AeE­ [0]_laroux_1_10.주택건설1" xfId="325"/>
    <cellStyle name="ÅëÈ­ [0]_laroux_1_10.주택건설1" xfId="326"/>
    <cellStyle name="AeE­ [0]_laroux_1_16.공공행정및 사법1" xfId="327"/>
    <cellStyle name="ÅëÈ­ [0]_laroux_1_16.공공행정및 사법1" xfId="328"/>
    <cellStyle name="AeE­ [0]_laroux_1_2. 행정구역" xfId="329"/>
    <cellStyle name="ÅëÈ­ [0]_laroux_1_2. 행정구역" xfId="330"/>
    <cellStyle name="AeE­ [0]_laroux_1_2.읍,면.동별 세대 및 인구" xfId="331"/>
    <cellStyle name="ÅëÈ­ [0]_laroux_1_2.읍,면.동별 세대 및 인구" xfId="332"/>
    <cellStyle name="AeE­ [0]_laroux_1_43-06농림" xfId="333"/>
    <cellStyle name="ÅëÈ­ [0]_laroux_1_43-06농림" xfId="334"/>
    <cellStyle name="AeE­ [0]_laroux_1_43-10주택" xfId="335"/>
    <cellStyle name="ÅëÈ­ [0]_laroux_1_43-10주택" xfId="336"/>
    <cellStyle name="AeE­ [0]_laroux_1_용인보완" xfId="337"/>
    <cellStyle name="ÅëÈ­ [0]_laroux_1_용인보완" xfId="338"/>
    <cellStyle name="AeE­ [0]_laroux_1_행정과" xfId="339"/>
    <cellStyle name="ÅëÈ­ [0]_laroux_1_행정과" xfId="340"/>
    <cellStyle name="AeE­ [0]_laroux_2" xfId="341"/>
    <cellStyle name="ÅëÈ­ [0]_laroux_2" xfId="342"/>
    <cellStyle name="AeE­ [0]_laroux_2_06.농림수산업" xfId="343"/>
    <cellStyle name="ÅëÈ­ [0]_laroux_2_06.농림수산업" xfId="344"/>
    <cellStyle name="AeE­ [0]_laroux_2_10.주택건설" xfId="345"/>
    <cellStyle name="ÅëÈ­ [0]_laroux_2_10.주택건설" xfId="346"/>
    <cellStyle name="AeE­ [0]_laroux_2_10.주택건설1" xfId="347"/>
    <cellStyle name="ÅëÈ­ [0]_laroux_2_10.주택건설1" xfId="348"/>
    <cellStyle name="AeE­ [0]_laroux_2_16.공공행정및 사법1" xfId="349"/>
    <cellStyle name="ÅëÈ­ [0]_laroux_2_16.공공행정및 사법1" xfId="350"/>
    <cellStyle name="AeE­ [0]_laroux_2_2. 행정구역" xfId="351"/>
    <cellStyle name="ÅëÈ­ [0]_laroux_2_2. 행정구역" xfId="352"/>
    <cellStyle name="AeE­ [0]_laroux_2_2.읍,면.동별 세대 및 인구" xfId="353"/>
    <cellStyle name="ÅëÈ­ [0]_laroux_2_2.읍,면.동별 세대 및 인구" xfId="354"/>
    <cellStyle name="AeE­ [0]_laroux_2_41-06농림16" xfId="355"/>
    <cellStyle name="ÅëÈ­ [0]_laroux_2_41-06농림16" xfId="356"/>
    <cellStyle name="AeE­ [0]_laroux_2_41-06농림16_06.농림수산업" xfId="357"/>
    <cellStyle name="ÅëÈ­ [0]_laroux_2_41-06농림16_06.농림수산업" xfId="358"/>
    <cellStyle name="AeE­ [0]_laroux_2_41-06농림16_10.주택건설" xfId="359"/>
    <cellStyle name="ÅëÈ­ [0]_laroux_2_41-06농림16_10.주택건설" xfId="360"/>
    <cellStyle name="AeE­ [0]_laroux_2_41-06농림16_10.주택건설1" xfId="361"/>
    <cellStyle name="ÅëÈ­ [0]_laroux_2_41-06농림16_10.주택건설1" xfId="362"/>
    <cellStyle name="AeE­ [0]_laroux_2_41-06농림16_16.공공행정및 사법1" xfId="363"/>
    <cellStyle name="ÅëÈ­ [0]_laroux_2_41-06농림16_16.공공행정및 사법1" xfId="364"/>
    <cellStyle name="AeE­ [0]_laroux_2_41-06농림16_2. 행정구역" xfId="365"/>
    <cellStyle name="ÅëÈ­ [0]_laroux_2_41-06농림16_2. 행정구역" xfId="366"/>
    <cellStyle name="AeE­ [0]_laroux_2_41-06농림16_2.읍,면.동별 세대 및 인구" xfId="367"/>
    <cellStyle name="ÅëÈ­ [0]_laroux_2_41-06농림16_2.읍,면.동별 세대 및 인구" xfId="368"/>
    <cellStyle name="AeE­ [0]_laroux_2_41-06농림16_43-06농림" xfId="369"/>
    <cellStyle name="ÅëÈ­ [0]_laroux_2_41-06농림16_43-06농림" xfId="370"/>
    <cellStyle name="AeE­ [0]_laroux_2_41-06농림16_43-10주택" xfId="371"/>
    <cellStyle name="ÅëÈ­ [0]_laroux_2_41-06농림16_43-10주택" xfId="372"/>
    <cellStyle name="AeE­ [0]_laroux_2_41-06농림16_용인보완" xfId="373"/>
    <cellStyle name="ÅëÈ­ [0]_laroux_2_41-06농림16_용인보완" xfId="374"/>
    <cellStyle name="AeE­ [0]_laroux_2_41-06농림16_행정과" xfId="375"/>
    <cellStyle name="ÅëÈ­ [0]_laroux_2_41-06농림16_행정과" xfId="376"/>
    <cellStyle name="AeE­ [0]_laroux_2_41-06농림41" xfId="377"/>
    <cellStyle name="ÅëÈ­ [0]_laroux_2_41-06농림41" xfId="378"/>
    <cellStyle name="AeE­ [0]_laroux_2_43-06농림" xfId="379"/>
    <cellStyle name="ÅëÈ­ [0]_laroux_2_43-06농림" xfId="380"/>
    <cellStyle name="AeE­ [0]_laroux_2_43-10주택" xfId="381"/>
    <cellStyle name="ÅëÈ­ [0]_laroux_2_43-10주택" xfId="382"/>
    <cellStyle name="AeE­ [0]_laroux_2_용인보완" xfId="383"/>
    <cellStyle name="ÅëÈ­ [0]_laroux_2_용인보완" xfId="384"/>
    <cellStyle name="AeE­ [0]_laroux_2_행정과" xfId="385"/>
    <cellStyle name="ÅëÈ­ [0]_laroux_2_행정과" xfId="386"/>
    <cellStyle name="AeE­ [0]_Sheet1" xfId="387"/>
    <cellStyle name="ÅëÈ­ [0]_Sheet1" xfId="388"/>
    <cellStyle name="AeE­ [0]_Sheet1_06.농림수산업" xfId="389"/>
    <cellStyle name="ÅëÈ­ [0]_Sheet1_06.농림수산업" xfId="390"/>
    <cellStyle name="AeE­ [0]_Sheet1_10.주택건설" xfId="391"/>
    <cellStyle name="ÅëÈ­ [0]_Sheet1_10.주택건설" xfId="392"/>
    <cellStyle name="AeE­ [0]_Sheet1_10.주택건설1" xfId="393"/>
    <cellStyle name="ÅëÈ­ [0]_Sheet1_10.주택건설1" xfId="394"/>
    <cellStyle name="AeE­ [0]_Sheet1_16.공공행정및 사법1" xfId="395"/>
    <cellStyle name="ÅëÈ­ [0]_Sheet1_16.공공행정및 사법1" xfId="396"/>
    <cellStyle name="AeE­ [0]_Sheet1_2. 행정구역" xfId="397"/>
    <cellStyle name="ÅëÈ­ [0]_Sheet1_2. 행정구역" xfId="398"/>
    <cellStyle name="AeE­ [0]_Sheet1_2.읍,면.동별 세대 및 인구" xfId="399"/>
    <cellStyle name="ÅëÈ­ [0]_Sheet1_2.읍,면.동별 세대 및 인구" xfId="400"/>
    <cellStyle name="AeE­ [0]_Sheet1_43-06농림" xfId="401"/>
    <cellStyle name="ÅëÈ­ [0]_Sheet1_43-06농림" xfId="402"/>
    <cellStyle name="AeE­ [0]_Sheet1_43-10주택" xfId="403"/>
    <cellStyle name="ÅëÈ­ [0]_Sheet1_43-10주택" xfId="404"/>
    <cellStyle name="AeE­ [0]_Sheet1_용인보완" xfId="405"/>
    <cellStyle name="ÅëÈ­ [0]_Sheet1_용인보완" xfId="406"/>
    <cellStyle name="AeE­ [0]_Sheet1_행정과" xfId="407"/>
    <cellStyle name="ÅëÈ­ [0]_Sheet1_행정과" xfId="408"/>
    <cellStyle name="ÅëÈ­_¿¹»ê¼­" xfId="409"/>
    <cellStyle name="AeE­_±a¼uAe½A " xfId="410"/>
    <cellStyle name="ÅëÈ­_¼ÕÀÍ¿¹»ê" xfId="411"/>
    <cellStyle name="AeE­_¼OAI¿¹≫e" xfId="412"/>
    <cellStyle name="ÅëÈ­_7°èÈ¹ " xfId="413"/>
    <cellStyle name="AeE­_7°eE¹$" xfId="414"/>
    <cellStyle name="ÅëÈ­_ÀÎ°Çºñ,¿ÜÁÖºñ" xfId="415"/>
    <cellStyle name="AeE­_AI°Cºn,μμ±Þºn" xfId="416"/>
    <cellStyle name="ÅëÈ­_INQUIRY ¿µ¾÷ÃßÁø " xfId="417"/>
    <cellStyle name="AeE­_INQUIRY ¿μ¾÷AßAø " xfId="418"/>
    <cellStyle name="ÅëÈ­_laroux" xfId="419"/>
    <cellStyle name="AeE­_laroux_1" xfId="420"/>
    <cellStyle name="ÅëÈ­_laroux_1" xfId="421"/>
    <cellStyle name="AeE­_laroux_1_06.농림수산업" xfId="422"/>
    <cellStyle name="ÅëÈ­_laroux_1_06.농림수산업" xfId="423"/>
    <cellStyle name="AeE­_laroux_1_10.주택건설" xfId="424"/>
    <cellStyle name="ÅëÈ­_laroux_1_10.주택건설" xfId="425"/>
    <cellStyle name="AeE­_laroux_1_10.주택건설1" xfId="426"/>
    <cellStyle name="ÅëÈ­_laroux_1_10.주택건설1" xfId="427"/>
    <cellStyle name="AeE­_laroux_1_16.공공행정및 사법1" xfId="428"/>
    <cellStyle name="ÅëÈ­_laroux_1_16.공공행정및 사법1" xfId="429"/>
    <cellStyle name="AeE­_laroux_1_2. 행정구역" xfId="430"/>
    <cellStyle name="ÅëÈ­_laroux_1_2. 행정구역" xfId="431"/>
    <cellStyle name="AeE­_laroux_1_2.읍,면.동별 세대 및 인구" xfId="432"/>
    <cellStyle name="ÅëÈ­_laroux_1_2.읍,면.동별 세대 및 인구" xfId="433"/>
    <cellStyle name="AeE­_laroux_1_43-06농림" xfId="434"/>
    <cellStyle name="ÅëÈ­_laroux_1_43-06농림" xfId="435"/>
    <cellStyle name="AeE­_laroux_1_43-10주택" xfId="436"/>
    <cellStyle name="ÅëÈ­_laroux_1_43-10주택" xfId="437"/>
    <cellStyle name="AeE­_laroux_1_용인보완" xfId="438"/>
    <cellStyle name="ÅëÈ­_laroux_1_용인보완" xfId="439"/>
    <cellStyle name="AeE­_laroux_1_행정과" xfId="440"/>
    <cellStyle name="ÅëÈ­_laroux_1_행정과" xfId="441"/>
    <cellStyle name="AeE­_laroux_2" xfId="442"/>
    <cellStyle name="ÅëÈ­_laroux_2" xfId="443"/>
    <cellStyle name="AeE­_laroux_2_06.농림수산업" xfId="444"/>
    <cellStyle name="ÅëÈ­_laroux_2_06.농림수산업" xfId="445"/>
    <cellStyle name="AeE­_laroux_2_10.주택건설" xfId="446"/>
    <cellStyle name="ÅëÈ­_laroux_2_10.주택건설" xfId="447"/>
    <cellStyle name="AeE­_laroux_2_10.주택건설1" xfId="448"/>
    <cellStyle name="ÅëÈ­_laroux_2_10.주택건설1" xfId="449"/>
    <cellStyle name="AeE­_laroux_2_16.공공행정및 사법1" xfId="450"/>
    <cellStyle name="ÅëÈ­_laroux_2_16.공공행정및 사법1" xfId="451"/>
    <cellStyle name="AeE­_laroux_2_2. 행정구역" xfId="452"/>
    <cellStyle name="ÅëÈ­_laroux_2_2. 행정구역" xfId="453"/>
    <cellStyle name="AeE­_laroux_2_2.읍,면.동별 세대 및 인구" xfId="454"/>
    <cellStyle name="ÅëÈ­_laroux_2_2.읍,면.동별 세대 및 인구" xfId="455"/>
    <cellStyle name="AeE­_laroux_2_41-06농림16" xfId="456"/>
    <cellStyle name="ÅëÈ­_laroux_2_41-06농림16" xfId="457"/>
    <cellStyle name="AeE­_laroux_2_41-06농림16_06.농림수산업" xfId="458"/>
    <cellStyle name="ÅëÈ­_laroux_2_41-06농림16_06.농림수산업" xfId="459"/>
    <cellStyle name="AeE­_laroux_2_41-06농림16_10.주택건설" xfId="460"/>
    <cellStyle name="ÅëÈ­_laroux_2_41-06농림16_10.주택건설" xfId="461"/>
    <cellStyle name="AeE­_laroux_2_41-06농림16_10.주택건설1" xfId="462"/>
    <cellStyle name="ÅëÈ­_laroux_2_41-06농림16_10.주택건설1" xfId="463"/>
    <cellStyle name="AeE­_laroux_2_41-06농림16_16.공공행정및 사법1" xfId="464"/>
    <cellStyle name="ÅëÈ­_laroux_2_41-06농림16_16.공공행정및 사법1" xfId="465"/>
    <cellStyle name="AeE­_laroux_2_41-06농림16_2. 행정구역" xfId="466"/>
    <cellStyle name="ÅëÈ­_laroux_2_41-06농림16_2. 행정구역" xfId="467"/>
    <cellStyle name="AeE­_laroux_2_41-06농림16_2.읍,면.동별 세대 및 인구" xfId="468"/>
    <cellStyle name="ÅëÈ­_laroux_2_41-06농림16_2.읍,면.동별 세대 및 인구" xfId="469"/>
    <cellStyle name="AeE­_laroux_2_41-06농림16_43-06농림" xfId="470"/>
    <cellStyle name="ÅëÈ­_laroux_2_41-06농림16_43-06농림" xfId="471"/>
    <cellStyle name="AeE­_laroux_2_41-06농림16_43-10주택" xfId="472"/>
    <cellStyle name="ÅëÈ­_laroux_2_41-06농림16_43-10주택" xfId="473"/>
    <cellStyle name="AeE­_laroux_2_41-06농림16_용인보완" xfId="474"/>
    <cellStyle name="ÅëÈ­_laroux_2_41-06농림16_용인보완" xfId="475"/>
    <cellStyle name="AeE­_laroux_2_41-06농림16_행정과" xfId="476"/>
    <cellStyle name="ÅëÈ­_laroux_2_41-06농림16_행정과" xfId="477"/>
    <cellStyle name="AeE­_laroux_2_41-06농림41" xfId="478"/>
    <cellStyle name="ÅëÈ­_laroux_2_41-06농림41" xfId="479"/>
    <cellStyle name="AeE­_laroux_2_43-06농림" xfId="480"/>
    <cellStyle name="ÅëÈ­_laroux_2_43-06농림" xfId="481"/>
    <cellStyle name="AeE­_laroux_2_43-10주택" xfId="482"/>
    <cellStyle name="ÅëÈ­_laroux_2_43-10주택" xfId="483"/>
    <cellStyle name="AeE­_laroux_2_용인보완" xfId="484"/>
    <cellStyle name="ÅëÈ­_laroux_2_용인보완" xfId="485"/>
    <cellStyle name="AeE­_laroux_2_행정과" xfId="486"/>
    <cellStyle name="ÅëÈ­_laroux_2_행정과" xfId="487"/>
    <cellStyle name="AeE­_Sheet1" xfId="488"/>
    <cellStyle name="ÅëÈ­_Sheet1" xfId="489"/>
    <cellStyle name="AeE­_Sheet1_06.농림수산업" xfId="490"/>
    <cellStyle name="ÅëÈ­_Sheet1_06.농림수산업" xfId="491"/>
    <cellStyle name="AeE­_Sheet1_10.주택건설" xfId="492"/>
    <cellStyle name="ÅëÈ­_Sheet1_10.주택건설" xfId="493"/>
    <cellStyle name="AeE­_Sheet1_10.주택건설1" xfId="494"/>
    <cellStyle name="ÅëÈ­_Sheet1_10.주택건설1" xfId="495"/>
    <cellStyle name="AeE­_Sheet1_16.공공행정및 사법1" xfId="496"/>
    <cellStyle name="ÅëÈ­_Sheet1_16.공공행정및 사법1" xfId="497"/>
    <cellStyle name="AeE­_Sheet1_2. 행정구역" xfId="498"/>
    <cellStyle name="ÅëÈ­_Sheet1_2. 행정구역" xfId="499"/>
    <cellStyle name="AeE­_Sheet1_2.읍,면.동별 세대 및 인구" xfId="500"/>
    <cellStyle name="ÅëÈ­_Sheet1_2.읍,면.동별 세대 및 인구" xfId="501"/>
    <cellStyle name="AeE­_Sheet1_41-06농림16" xfId="502"/>
    <cellStyle name="ÅëÈ­_Sheet1_41-06농림16" xfId="503"/>
    <cellStyle name="AeE­_Sheet1_41-06농림16_06.농림수산업" xfId="504"/>
    <cellStyle name="ÅëÈ­_Sheet1_41-06농림16_06.농림수산업" xfId="505"/>
    <cellStyle name="AeE­_Sheet1_41-06농림16_10.주택건설" xfId="506"/>
    <cellStyle name="ÅëÈ­_Sheet1_41-06농림16_10.주택건설" xfId="507"/>
    <cellStyle name="AeE­_Sheet1_41-06농림16_10.주택건설1" xfId="508"/>
    <cellStyle name="ÅëÈ­_Sheet1_41-06농림16_10.주택건설1" xfId="509"/>
    <cellStyle name="AeE­_Sheet1_41-06농림16_16.공공행정및 사법1" xfId="510"/>
    <cellStyle name="ÅëÈ­_Sheet1_41-06농림16_16.공공행정및 사법1" xfId="511"/>
    <cellStyle name="AeE­_Sheet1_41-06농림16_2. 행정구역" xfId="512"/>
    <cellStyle name="ÅëÈ­_Sheet1_41-06농림16_2. 행정구역" xfId="513"/>
    <cellStyle name="AeE­_Sheet1_41-06농림16_2.읍,면.동별 세대 및 인구" xfId="514"/>
    <cellStyle name="ÅëÈ­_Sheet1_41-06농림16_2.읍,면.동별 세대 및 인구" xfId="515"/>
    <cellStyle name="AeE­_Sheet1_41-06농림16_43-06농림" xfId="516"/>
    <cellStyle name="ÅëÈ­_Sheet1_41-06농림16_43-06농림" xfId="517"/>
    <cellStyle name="AeE­_Sheet1_41-06농림16_43-10주택" xfId="518"/>
    <cellStyle name="ÅëÈ­_Sheet1_41-06농림16_43-10주택" xfId="519"/>
    <cellStyle name="AeE­_Sheet1_41-06농림16_용인보완" xfId="520"/>
    <cellStyle name="ÅëÈ­_Sheet1_41-06농림16_용인보완" xfId="521"/>
    <cellStyle name="AeE­_Sheet1_41-06농림16_행정과" xfId="522"/>
    <cellStyle name="ÅëÈ­_Sheet1_41-06농림16_행정과" xfId="523"/>
    <cellStyle name="AeE­_Sheet1_41-06농림41" xfId="524"/>
    <cellStyle name="ÅëÈ­_Sheet1_41-06농림41" xfId="525"/>
    <cellStyle name="AeE­_Sheet1_43-06농림" xfId="526"/>
    <cellStyle name="ÅëÈ­_Sheet1_43-06농림" xfId="527"/>
    <cellStyle name="AeE­_Sheet1_43-10주택" xfId="528"/>
    <cellStyle name="ÅëÈ­_Sheet1_43-10주택" xfId="529"/>
    <cellStyle name="AeE­_Sheet1_용인보완" xfId="530"/>
    <cellStyle name="ÅëÈ­_Sheet1_용인보완" xfId="531"/>
    <cellStyle name="AeE­_Sheet1_행정과" xfId="532"/>
    <cellStyle name="ÅëÈ­_Sheet1_행정과" xfId="533"/>
    <cellStyle name="AeE¡ⓒ [0]_INQUIRY ￠?￥i¨u¡AAⓒ￢Aⓒª " xfId="534"/>
    <cellStyle name="AeE¡ⓒ_INQUIRY ￠?￥i¨u¡AAⓒ￢Aⓒª " xfId="535"/>
    <cellStyle name="Æu¼ " xfId="536"/>
    <cellStyle name="Æû¼¾æ®" xfId="537"/>
    <cellStyle name="ALIGNMENT" xfId="538"/>
    <cellStyle name="ÄÞ¸¶ [0]_¿¹»ê¼­" xfId="539"/>
    <cellStyle name="AÞ¸¶ [0]_±a¼uAe½A " xfId="540"/>
    <cellStyle name="ÄÞ¸¶ [0]_¼ÕÀÍ¿¹»ê" xfId="541"/>
    <cellStyle name="AÞ¸¶ [0]_¼OAI¿¹≫e" xfId="542"/>
    <cellStyle name="ÄÞ¸¶ [0]_7°èÈ¹ " xfId="543"/>
    <cellStyle name="AÞ¸¶ [0]_A¾CO½A¼³ " xfId="544"/>
    <cellStyle name="ÄÞ¸¶ [0]_ÀÎ°Çºñ,¿ÜÁÖºñ" xfId="545"/>
    <cellStyle name="AÞ¸¶ [0]_AI°Cºn,μμ±Þºn" xfId="546"/>
    <cellStyle name="ÄÞ¸¶ [0]_INQUIRY ¿µ¾÷ÃßÁø " xfId="547"/>
    <cellStyle name="AÞ¸¶ [0]_INQUIRY ¿μ¾÷AßAø " xfId="548"/>
    <cellStyle name="ÄÞ¸¶ [0]_laroux" xfId="549"/>
    <cellStyle name="AÞ¸¶ [0]_laroux_1" xfId="550"/>
    <cellStyle name="ÄÞ¸¶ [0]_laroux_1" xfId="551"/>
    <cellStyle name="AÞ¸¶ [0]_Sheet1" xfId="552"/>
    <cellStyle name="ÄÞ¸¶ [0]_Sheet1" xfId="553"/>
    <cellStyle name="AÞ¸¶ [0]_Sheet1_06.농림수산업" xfId="554"/>
    <cellStyle name="ÄÞ¸¶ [0]_Sheet1_06.농림수산업" xfId="555"/>
    <cellStyle name="AÞ¸¶ [0]_Sheet1_10.주택건설" xfId="556"/>
    <cellStyle name="ÄÞ¸¶ [0]_Sheet1_10.주택건설" xfId="557"/>
    <cellStyle name="AÞ¸¶ [0]_Sheet1_10.주택건설1" xfId="558"/>
    <cellStyle name="ÄÞ¸¶ [0]_Sheet1_10.주택건설1" xfId="559"/>
    <cellStyle name="AÞ¸¶ [0]_Sheet1_16.공공행정및 사법1" xfId="560"/>
    <cellStyle name="ÄÞ¸¶ [0]_Sheet1_16.공공행정및 사법1" xfId="561"/>
    <cellStyle name="AÞ¸¶ [0]_Sheet1_2. 행정구역" xfId="562"/>
    <cellStyle name="ÄÞ¸¶ [0]_Sheet1_2. 행정구역" xfId="563"/>
    <cellStyle name="AÞ¸¶ [0]_Sheet1_2.읍,면.동별 세대 및 인구" xfId="564"/>
    <cellStyle name="ÄÞ¸¶ [0]_Sheet1_2.읍,면.동별 세대 및 인구" xfId="565"/>
    <cellStyle name="AÞ¸¶ [0]_Sheet1_43-06농림" xfId="566"/>
    <cellStyle name="ÄÞ¸¶ [0]_Sheet1_43-06농림" xfId="567"/>
    <cellStyle name="AÞ¸¶ [0]_Sheet1_43-10주택" xfId="568"/>
    <cellStyle name="ÄÞ¸¶ [0]_Sheet1_43-10주택" xfId="569"/>
    <cellStyle name="AÞ¸¶ [0]_Sheet1_용인보완" xfId="570"/>
    <cellStyle name="ÄÞ¸¶ [0]_Sheet1_용인보완" xfId="571"/>
    <cellStyle name="AÞ¸¶ [0]_Sheet1_행정과" xfId="572"/>
    <cellStyle name="ÄÞ¸¶ [0]_Sheet1_행정과" xfId="573"/>
    <cellStyle name="ÄÞ¸¶_¿¹»ê¼­" xfId="574"/>
    <cellStyle name="AÞ¸¶_±a¼uAe½A " xfId="575"/>
    <cellStyle name="ÄÞ¸¶_¼ÕÀÍ¿¹»ê" xfId="576"/>
    <cellStyle name="AÞ¸¶_¼OAI¿¹≫e" xfId="577"/>
    <cellStyle name="ÄÞ¸¶_7°èÈ¹ " xfId="578"/>
    <cellStyle name="AÞ¸¶_A¾CO½A¼³ " xfId="579"/>
    <cellStyle name="ÄÞ¸¶_ÀÎ°Çºñ,¿ÜÁÖºñ" xfId="580"/>
    <cellStyle name="AÞ¸¶_AI°Cºn,μμ±Þºn" xfId="581"/>
    <cellStyle name="ÄÞ¸¶_INQUIRY ¿µ¾÷ÃßÁø " xfId="582"/>
    <cellStyle name="AÞ¸¶_INQUIRY ¿μ¾÷AßAø " xfId="583"/>
    <cellStyle name="ÄÞ¸¶_laroux" xfId="584"/>
    <cellStyle name="AÞ¸¶_laroux_1" xfId="585"/>
    <cellStyle name="ÄÞ¸¶_laroux_1" xfId="586"/>
    <cellStyle name="AÞ¸¶_Sheet1" xfId="587"/>
    <cellStyle name="ÄÞ¸¶_Sheet1" xfId="588"/>
    <cellStyle name="AÞ¸¶_Sheet1_06.농림수산업" xfId="589"/>
    <cellStyle name="ÄÞ¸¶_Sheet1_06.농림수산업" xfId="590"/>
    <cellStyle name="AÞ¸¶_Sheet1_10.주택건설" xfId="591"/>
    <cellStyle name="ÄÞ¸¶_Sheet1_10.주택건설" xfId="592"/>
    <cellStyle name="AÞ¸¶_Sheet1_10.주택건설1" xfId="593"/>
    <cellStyle name="ÄÞ¸¶_Sheet1_10.주택건설1" xfId="594"/>
    <cellStyle name="AÞ¸¶_Sheet1_16.공공행정및 사법1" xfId="595"/>
    <cellStyle name="ÄÞ¸¶_Sheet1_16.공공행정및 사법1" xfId="596"/>
    <cellStyle name="AÞ¸¶_Sheet1_2. 행정구역" xfId="597"/>
    <cellStyle name="ÄÞ¸¶_Sheet1_2. 행정구역" xfId="598"/>
    <cellStyle name="AÞ¸¶_Sheet1_2.읍,면.동별 세대 및 인구" xfId="599"/>
    <cellStyle name="ÄÞ¸¶_Sheet1_2.읍,면.동별 세대 및 인구" xfId="600"/>
    <cellStyle name="AÞ¸¶_Sheet1_41-06농림16" xfId="601"/>
    <cellStyle name="ÄÞ¸¶_Sheet1_41-06농림16" xfId="602"/>
    <cellStyle name="AÞ¸¶_Sheet1_41-06농림16_06.농림수산업" xfId="603"/>
    <cellStyle name="ÄÞ¸¶_Sheet1_41-06농림16_06.농림수산업" xfId="604"/>
    <cellStyle name="AÞ¸¶_Sheet1_41-06농림16_10.주택건설" xfId="605"/>
    <cellStyle name="ÄÞ¸¶_Sheet1_41-06농림16_10.주택건설" xfId="606"/>
    <cellStyle name="AÞ¸¶_Sheet1_41-06농림16_10.주택건설1" xfId="607"/>
    <cellStyle name="ÄÞ¸¶_Sheet1_41-06농림16_10.주택건설1" xfId="608"/>
    <cellStyle name="AÞ¸¶_Sheet1_41-06농림16_16.공공행정및 사법1" xfId="609"/>
    <cellStyle name="ÄÞ¸¶_Sheet1_41-06농림16_16.공공행정및 사법1" xfId="610"/>
    <cellStyle name="AÞ¸¶_Sheet1_41-06농림16_2. 행정구역" xfId="611"/>
    <cellStyle name="ÄÞ¸¶_Sheet1_41-06농림16_2. 행정구역" xfId="612"/>
    <cellStyle name="AÞ¸¶_Sheet1_41-06농림16_2.읍,면.동별 세대 및 인구" xfId="613"/>
    <cellStyle name="ÄÞ¸¶_Sheet1_41-06농림16_2.읍,면.동별 세대 및 인구" xfId="614"/>
    <cellStyle name="AÞ¸¶_Sheet1_41-06농림16_43-06농림" xfId="615"/>
    <cellStyle name="ÄÞ¸¶_Sheet1_41-06농림16_43-06농림" xfId="616"/>
    <cellStyle name="AÞ¸¶_Sheet1_41-06농림16_43-10주택" xfId="617"/>
    <cellStyle name="ÄÞ¸¶_Sheet1_41-06농림16_43-10주택" xfId="618"/>
    <cellStyle name="AÞ¸¶_Sheet1_41-06농림16_용인보완" xfId="619"/>
    <cellStyle name="ÄÞ¸¶_Sheet1_41-06농림16_용인보완" xfId="620"/>
    <cellStyle name="AÞ¸¶_Sheet1_41-06농림16_행정과" xfId="621"/>
    <cellStyle name="ÄÞ¸¶_Sheet1_41-06농림16_행정과" xfId="622"/>
    <cellStyle name="AÞ¸¶_Sheet1_41-06농림41" xfId="623"/>
    <cellStyle name="ÄÞ¸¶_Sheet1_41-06농림41" xfId="624"/>
    <cellStyle name="AÞ¸¶_Sheet1_43-06농림" xfId="625"/>
    <cellStyle name="ÄÞ¸¶_Sheet1_43-06농림" xfId="626"/>
    <cellStyle name="AÞ¸¶_Sheet1_43-10주택" xfId="627"/>
    <cellStyle name="ÄÞ¸¶_Sheet1_43-10주택" xfId="628"/>
    <cellStyle name="AÞ¸¶_Sheet1_용인보완" xfId="629"/>
    <cellStyle name="ÄÞ¸¶_Sheet1_용인보완" xfId="630"/>
    <cellStyle name="AÞ¸¶_Sheet1_행정과" xfId="631"/>
    <cellStyle name="ÄÞ¸¶_Sheet1_행정과" xfId="632"/>
    <cellStyle name="Àú¸®¼ö" xfId="633"/>
    <cellStyle name="Àú¸®¼ö0" xfId="634"/>
    <cellStyle name="Au¸r " xfId="635"/>
    <cellStyle name="Au¸r¼" xfId="636"/>
    <cellStyle name="_x0002_b" xfId="637"/>
    <cellStyle name="Background" xfId="638"/>
    <cellStyle name="body" xfId="639"/>
    <cellStyle name="BoldHdr" xfId="640"/>
    <cellStyle name="Bridge " xfId="641"/>
    <cellStyle name="C_TITLE" xfId="642"/>
    <cellStyle name="C¡IA¨ª_¡ic¨u¡A¨￢I¨￢¡Æ AN¡Æe " xfId="643"/>
    <cellStyle name="Ç¥ÁØ_#3E4¿î»ê" xfId="644"/>
    <cellStyle name="C￥AØ_¿μ¾÷CoE² " xfId="645"/>
    <cellStyle name="Ç¥ÁØ_»ç¾÷ºÎº° ÃÑ°è " xfId="646"/>
    <cellStyle name="C￥AØ_≫c¾÷ºIº° AN°e " xfId="647"/>
    <cellStyle name="Ç¥ÁØ_¼ÕÀÍ¿¹»ê" xfId="648"/>
    <cellStyle name="C￥AØ_¼OAI¿¹≫e" xfId="649"/>
    <cellStyle name="Ç¥ÁØ_5-1±¤°í " xfId="650"/>
    <cellStyle name="C￥AØ_95,96 ºn±³ " xfId="651"/>
    <cellStyle name="Ç¥ÁØ_95,96 ºñ±³ " xfId="652"/>
    <cellStyle name="C￥AØ_Æi¼º¸RCA " xfId="653"/>
    <cellStyle name="Ç¥ÁØ_ÀÎ°Çºñ,¿ÜÁÖºñ" xfId="654"/>
    <cellStyle name="C￥AØ_AI°Cºn,μμ±Þºn" xfId="655"/>
    <cellStyle name="Ç¥ÁØ_laroux" xfId="656"/>
    <cellStyle name="C￥AØ_laroux_1" xfId="657"/>
    <cellStyle name="Ç¥ÁØ_laroux_1" xfId="658"/>
    <cellStyle name="C￥AØ_laroux_1_Sheet1" xfId="659"/>
    <cellStyle name="Ç¥ÁØ_laroux_1_Sheet1" xfId="660"/>
    <cellStyle name="C￥AØ_laroux_2" xfId="661"/>
    <cellStyle name="Ç¥ÁØ_laroux_2" xfId="662"/>
    <cellStyle name="C￥AØ_laroux_2_Sheet1" xfId="663"/>
    <cellStyle name="Ç¥ÁØ_laroux_2_Sheet1" xfId="664"/>
    <cellStyle name="C￥AØ_laroux_3" xfId="665"/>
    <cellStyle name="Ç¥ÁØ_laroux_3" xfId="666"/>
    <cellStyle name="C￥AØ_laroux_4" xfId="667"/>
    <cellStyle name="Ç¥ÁØ_laroux_4" xfId="668"/>
    <cellStyle name="C￥AØ_laroux_Sheet1" xfId="669"/>
    <cellStyle name="Ç¥ÁØ_laroux_Sheet1" xfId="670"/>
    <cellStyle name="C￥AØ_page 2 " xfId="671"/>
    <cellStyle name="Ç¥ÁØ_page 2 " xfId="672"/>
    <cellStyle name="C￥AØ_page 2 _중앙연구소+용역인원사번_03.02.21" xfId="673"/>
    <cellStyle name="Ç¥ÁØ_page 2 _중앙연구소+용역인원사번_03.02.21" xfId="674"/>
    <cellStyle name="C￥AØ_page 2 _중앙연구소+용역인원사번_03.02.21_NEGS" xfId="675"/>
    <cellStyle name="Ç¥ÁØ_page 2 _중앙연구소+용역인원사번_03.02.21_NEGS" xfId="676"/>
    <cellStyle name="C￥AØ_PERSONAL" xfId="677"/>
    <cellStyle name="Ç¥ÁØ_Sheet1" xfId="678"/>
    <cellStyle name="Calc Currency (0)" xfId="679"/>
    <cellStyle name="category" xfId="680"/>
    <cellStyle name="Çõ»ê" xfId="681"/>
    <cellStyle name="Co≫" xfId="682"/>
    <cellStyle name="ColHdr" xfId="683"/>
    <cellStyle name="Column Headings" xfId="684"/>
    <cellStyle name="Comma" xfId="685"/>
    <cellStyle name="Comma [0]" xfId="686"/>
    <cellStyle name="comma zerodec" xfId="687"/>
    <cellStyle name="comma zerodec 2" xfId="688"/>
    <cellStyle name="Comma 地0]_Values_우수공~1" xfId="689"/>
    <cellStyle name="Comma_ SG&amp;A Bridge " xfId="690"/>
    <cellStyle name="Comma0" xfId="691"/>
    <cellStyle name="Company Info" xfId="692"/>
    <cellStyle name="Contents Heading 1" xfId="693"/>
    <cellStyle name="Contents Heading 2" xfId="694"/>
    <cellStyle name="Contents Heading 3" xfId="695"/>
    <cellStyle name="Copied" xfId="696"/>
    <cellStyle name="CoverHeadline1" xfId="697"/>
    <cellStyle name="Curr" xfId="698"/>
    <cellStyle name="Curren" xfId="699"/>
    <cellStyle name="Currency" xfId="700"/>
    <cellStyle name="Currency [0]" xfId="701"/>
    <cellStyle name="Currency_ SG&amp;A Bridge " xfId="702"/>
    <cellStyle name="Currency0" xfId="703"/>
    <cellStyle name="Currency1" xfId="704"/>
    <cellStyle name="Currency1 2" xfId="705"/>
    <cellStyle name="Data" xfId="706"/>
    <cellStyle name="Date" xfId="707"/>
    <cellStyle name="Date 2" xfId="708"/>
    <cellStyle name="Date 2 2" xfId="709"/>
    <cellStyle name="Dezimal [0]_laroux" xfId="710"/>
    <cellStyle name="Dezimal_laroux" xfId="711"/>
    <cellStyle name="Display" xfId="712"/>
    <cellStyle name="Display Price" xfId="713"/>
    <cellStyle name="Dollar (zero dec)" xfId="714"/>
    <cellStyle name="Dollar (zero dec) 2" xfId="715"/>
    <cellStyle name="EA" xfId="716"/>
    <cellStyle name="E­æo±" xfId="717"/>
    <cellStyle name="E­æo±a" xfId="718"/>
    <cellStyle name="È­æó±âè£" xfId="719"/>
    <cellStyle name="È­æó±âè£0" xfId="720"/>
    <cellStyle name="eet1_Q1" xfId="721"/>
    <cellStyle name="Entered" xfId="722"/>
    <cellStyle name="Euro" xfId="723"/>
    <cellStyle name="F2" xfId="724"/>
    <cellStyle name="F3" xfId="725"/>
    <cellStyle name="F4" xfId="726"/>
    <cellStyle name="F5" xfId="727"/>
    <cellStyle name="F6" xfId="728"/>
    <cellStyle name="F7" xfId="729"/>
    <cellStyle name="F8" xfId="730"/>
    <cellStyle name="FinePrint" xfId="731"/>
    <cellStyle name="Fixed" xfId="732"/>
    <cellStyle name="Fixed 2" xfId="733"/>
    <cellStyle name="Fixed 2 2" xfId="734"/>
    <cellStyle name="Followed Hyperlink" xfId="735"/>
    <cellStyle name="G" xfId="736"/>
    <cellStyle name="Grey" xfId="737"/>
    <cellStyle name="head" xfId="738"/>
    <cellStyle name="head 1" xfId="739"/>
    <cellStyle name="head 1-1" xfId="740"/>
    <cellStyle name="HEADER" xfId="741"/>
    <cellStyle name="Header 2" xfId="742"/>
    <cellStyle name="Header1" xfId="743"/>
    <cellStyle name="Header2" xfId="744"/>
    <cellStyle name="Header2 2" xfId="745"/>
    <cellStyle name="Header2 2 2" xfId="746"/>
    <cellStyle name="Header2 3" xfId="747"/>
    <cellStyle name="Heading" xfId="748"/>
    <cellStyle name="Heading 1" xfId="749"/>
    <cellStyle name="Heading 2" xfId="750"/>
    <cellStyle name="Heading 3" xfId="751"/>
    <cellStyle name="HEADING1" xfId="752"/>
    <cellStyle name="HEADING1 2" xfId="753"/>
    <cellStyle name="HEADING2" xfId="754"/>
    <cellStyle name="HEADING2 2" xfId="755"/>
    <cellStyle name="Heading2Divider" xfId="756"/>
    <cellStyle name="Heading3" xfId="757"/>
    <cellStyle name="Heading4" xfId="758"/>
    <cellStyle name="Hyperlink" xfId="759"/>
    <cellStyle name="Hyperlink 2" xfId="760"/>
    <cellStyle name="Hyperlink_NEGS" xfId="761"/>
    <cellStyle name="Input" xfId="762"/>
    <cellStyle name="Input [yellow]" xfId="763"/>
    <cellStyle name="Input [yellow] 2" xfId="764"/>
    <cellStyle name="Input Price" xfId="765"/>
    <cellStyle name="Input Quantity" xfId="766"/>
    <cellStyle name="Input Single Cell" xfId="767"/>
    <cellStyle name="InputBodyCurr" xfId="768"/>
    <cellStyle name="InputBodyDate" xfId="769"/>
    <cellStyle name="InputBodyText" xfId="770"/>
    <cellStyle name="InputColor" xfId="771"/>
    <cellStyle name="Item" xfId="772"/>
    <cellStyle name="Item Input" xfId="773"/>
    <cellStyle name="Midtitle" xfId="774"/>
    <cellStyle name="Milliers [0]_Arabian Spec" xfId="775"/>
    <cellStyle name="Milliers_Arabian Spec" xfId="776"/>
    <cellStyle name="mma_CASH &amp; DSO" xfId="777"/>
    <cellStyle name="Model" xfId="778"/>
    <cellStyle name="Mon?aire [0]_Arabian Spec" xfId="779"/>
    <cellStyle name="Mon?aire_Arabian Spec" xfId="780"/>
    <cellStyle name="no dec" xfId="781"/>
    <cellStyle name="Normal - Style1" xfId="782"/>
    <cellStyle name="Normal - Style1 2" xfId="783"/>
    <cellStyle name="Normal - Style2" xfId="784"/>
    <cellStyle name="Normal - Style3" xfId="785"/>
    <cellStyle name="Normal - Style4" xfId="786"/>
    <cellStyle name="Normal - Style5" xfId="787"/>
    <cellStyle name="Normal - Style6" xfId="788"/>
    <cellStyle name="Normal - Style7" xfId="789"/>
    <cellStyle name="Normal - Style8" xfId="790"/>
    <cellStyle name="Normal - 유형1" xfId="791"/>
    <cellStyle name="Normal_ SG&amp;A Bridge " xfId="792"/>
    <cellStyle name="NUM_" xfId="793"/>
    <cellStyle name="N䁯rmal_MCOE Summary (5)_98선급금" xfId="794"/>
    <cellStyle name="Œ…?æ맖?e [0.00]_laroux" xfId="795"/>
    <cellStyle name="Œ…?æ맖?e_laroux" xfId="796"/>
    <cellStyle name="oh" xfId="797"/>
    <cellStyle name="Output Single Cell" xfId="798"/>
    <cellStyle name="Package Size" xfId="799"/>
    <cellStyle name="Percent" xfId="800"/>
    <cellStyle name="Percent [2]" xfId="801"/>
    <cellStyle name="Percent_01.원봉토공(3.14)" xfId="802"/>
    <cellStyle name="Print Heading" xfId="803"/>
    <cellStyle name="Ʀ" xfId="804"/>
    <cellStyle name="R_TITLE" xfId="805"/>
    <cellStyle name="Recipe" xfId="806"/>
    <cellStyle name="Recipe Heading" xfId="807"/>
    <cellStyle name="Recipe_하수관거계획 사업비" xfId="808"/>
    <cellStyle name="Revenue" xfId="809"/>
    <cellStyle name="RevList" xfId="810"/>
    <cellStyle name="rld Wide" xfId="811"/>
    <cellStyle name="RptTitle" xfId="812"/>
    <cellStyle name="SHIM" xfId="813"/>
    <cellStyle name="Standard_laroux" xfId="814"/>
    <cellStyle name="subhead" xfId="815"/>
    <cellStyle name="SubHeading" xfId="816"/>
    <cellStyle name="Subtotal" xfId="817"/>
    <cellStyle name="Subtotal 1" xfId="818"/>
    <cellStyle name="Suggested Quantity" xfId="819"/>
    <cellStyle name="testtitle" xfId="820"/>
    <cellStyle name="Title" xfId="821"/>
    <cellStyle name="title [1]" xfId="822"/>
    <cellStyle name="title [2]" xfId="823"/>
    <cellStyle name="ton" xfId="824"/>
    <cellStyle name="Total" xfId="825"/>
    <cellStyle name="Total 2" xfId="826"/>
    <cellStyle name="Total 2 2" xfId="827"/>
    <cellStyle name="Total 2 3" xfId="828"/>
    <cellStyle name="TotalCurr" xfId="829"/>
    <cellStyle name="TotalHdr" xfId="830"/>
    <cellStyle name="UM" xfId="831"/>
    <cellStyle name="UM 2" xfId="832"/>
    <cellStyle name="W?rung [0]_laroux" xfId="833"/>
    <cellStyle name="W?rung_FixerSetupDlg" xfId="834"/>
    <cellStyle name="강조색1 2" xfId="835"/>
    <cellStyle name="강조색1 2 2" xfId="836"/>
    <cellStyle name="강조색2 2" xfId="837"/>
    <cellStyle name="강조색2 2 2" xfId="838"/>
    <cellStyle name="강조색3 2" xfId="839"/>
    <cellStyle name="강조색3 2 2" xfId="840"/>
    <cellStyle name="강조색4 2" xfId="841"/>
    <cellStyle name="강조색4 2 2" xfId="842"/>
    <cellStyle name="강조색5 2" xfId="843"/>
    <cellStyle name="강조색5 2 2" xfId="844"/>
    <cellStyle name="강조색6 2" xfId="845"/>
    <cellStyle name="강조색6 2 2" xfId="846"/>
    <cellStyle name="경고문 2" xfId="847"/>
    <cellStyle name="경고문 2 2" xfId="848"/>
    <cellStyle name="계산 2" xfId="849"/>
    <cellStyle name="계산 2 2" xfId="850"/>
    <cellStyle name="계산 2 3" xfId="851"/>
    <cellStyle name="고정소숫점" xfId="852"/>
    <cellStyle name="고정소숫점 2" xfId="853"/>
    <cellStyle name="고정소숫점 2 2" xfId="854"/>
    <cellStyle name="고정소숫점 2 3" xfId="855"/>
    <cellStyle name="고정출력1" xfId="856"/>
    <cellStyle name="고정출력1 2" xfId="857"/>
    <cellStyle name="고정출력1 2 2" xfId="858"/>
    <cellStyle name="고정출력1 2 3" xfId="859"/>
    <cellStyle name="고정출력2" xfId="860"/>
    <cellStyle name="고정출력2 2" xfId="861"/>
    <cellStyle name="고정출력2 2 2" xfId="862"/>
    <cellStyle name="고정출력2 2 3" xfId="863"/>
    <cellStyle name="공사원가계산서(조경)" xfId="864"/>
    <cellStyle name="공종-규격" xfId="865"/>
    <cellStyle name="과정별배정" xfId="866"/>
    <cellStyle name="咬訌裝?INCOM1" xfId="867"/>
    <cellStyle name="咬訌裝?INCOM10" xfId="868"/>
    <cellStyle name="咬訌裝?INCOM2" xfId="869"/>
    <cellStyle name="咬訌裝?INCOM3" xfId="870"/>
    <cellStyle name="咬訌裝?INCOM4" xfId="871"/>
    <cellStyle name="咬訌裝?INCOM5" xfId="872"/>
    <cellStyle name="咬訌裝?INCOM6" xfId="873"/>
    <cellStyle name="咬訌裝?INCOM7" xfId="874"/>
    <cellStyle name="咬訌裝?INCOM8" xfId="875"/>
    <cellStyle name="咬訌裝?INCOM9" xfId="876"/>
    <cellStyle name="咬訌裝?PRIB11" xfId="877"/>
    <cellStyle name="나쁨 2" xfId="878"/>
    <cellStyle name="나쁨 2 2" xfId="879"/>
    <cellStyle name="날짜" xfId="880"/>
    <cellStyle name="날짜 2" xfId="881"/>
    <cellStyle name="날짜 2 2" xfId="882"/>
    <cellStyle name="날짜 2 3" xfId="883"/>
    <cellStyle name="내역서" xfId="884"/>
    <cellStyle name="내역서 2" xfId="885"/>
    <cellStyle name="년도" xfId="886"/>
    <cellStyle name="단위-&quot;*&quot;" xfId="887"/>
    <cellStyle name="단위-%" xfId="888"/>
    <cellStyle name="단위-kg" xfId="889"/>
    <cellStyle name="단위-m" xfId="890"/>
    <cellStyle name="단위-㎡" xfId="891"/>
    <cellStyle name="단위-㎡/개소" xfId="892"/>
    <cellStyle name="단위-㎡_10.0 재정계획(20090730)" xfId="893"/>
    <cellStyle name="단위-㎥" xfId="894"/>
    <cellStyle name="단위-t=" xfId="895"/>
    <cellStyle name="달러" xfId="896"/>
    <cellStyle name="달러 2" xfId="897"/>
    <cellStyle name="달러 2 2" xfId="898"/>
    <cellStyle name="달러 2 3" xfId="899"/>
    <cellStyle name="대공종" xfId="900"/>
    <cellStyle name="뒤에 오는 하이퍼링크" xfId="901"/>
    <cellStyle name="똿뗦먛귟 [0.00]_laroux" xfId="902"/>
    <cellStyle name="똿뗦먛귟_laroux" xfId="903"/>
    <cellStyle name="메모 2" xfId="904"/>
    <cellStyle name="메모 2 2" xfId="905"/>
    <cellStyle name="메모 2 3" xfId="906"/>
    <cellStyle name="믅됞 [0.00]_laroux" xfId="907"/>
    <cellStyle name="믅됞_laroux" xfId="908"/>
    <cellStyle name="백 " xfId="909"/>
    <cellStyle name="백만단위로" xfId="910"/>
    <cellStyle name="백분율" xfId="2" builtinId="5"/>
    <cellStyle name="백분율 [0]" xfId="911"/>
    <cellStyle name="백분율 [2]" xfId="912"/>
    <cellStyle name="백분율 10" xfId="913"/>
    <cellStyle name="백분율 10 2" xfId="914"/>
    <cellStyle name="백분율 11" xfId="915"/>
    <cellStyle name="백분율 11 2" xfId="916"/>
    <cellStyle name="백분율 12" xfId="917"/>
    <cellStyle name="백분율 12 2" xfId="918"/>
    <cellStyle name="백분율 13" xfId="919"/>
    <cellStyle name="백분율 13 2" xfId="920"/>
    <cellStyle name="백분율 14" xfId="921"/>
    <cellStyle name="백분율 14 2" xfId="922"/>
    <cellStyle name="백분율 15" xfId="923"/>
    <cellStyle name="백분율 15 2" xfId="924"/>
    <cellStyle name="백분율 16" xfId="925"/>
    <cellStyle name="백분율 16 2" xfId="926"/>
    <cellStyle name="백분율 17" xfId="927"/>
    <cellStyle name="백분율 17 2" xfId="928"/>
    <cellStyle name="백분율 18" xfId="929"/>
    <cellStyle name="백분율 18 2" xfId="930"/>
    <cellStyle name="백분율 19" xfId="931"/>
    <cellStyle name="백분율 19 2" xfId="932"/>
    <cellStyle name="백분율 2" xfId="933"/>
    <cellStyle name="백분율 2 2" xfId="934"/>
    <cellStyle name="백분율 2 3" xfId="935"/>
    <cellStyle name="백분율 20" xfId="936"/>
    <cellStyle name="백분율 20 2" xfId="937"/>
    <cellStyle name="백분율 21" xfId="938"/>
    <cellStyle name="백분율 21 2" xfId="939"/>
    <cellStyle name="백분율 22" xfId="940"/>
    <cellStyle name="백분율 22 2" xfId="941"/>
    <cellStyle name="백분율 23" xfId="942"/>
    <cellStyle name="백분율 23 2" xfId="943"/>
    <cellStyle name="백분율 24" xfId="944"/>
    <cellStyle name="백분율 25" xfId="945"/>
    <cellStyle name="백분율 26" xfId="946"/>
    <cellStyle name="백분율 27" xfId="947"/>
    <cellStyle name="백분율 28" xfId="948"/>
    <cellStyle name="백분율 29" xfId="949"/>
    <cellStyle name="백분율 3" xfId="950"/>
    <cellStyle name="백분율 3 2" xfId="951"/>
    <cellStyle name="백분율 3 3" xfId="952"/>
    <cellStyle name="백분율 3 4" xfId="953"/>
    <cellStyle name="백분율 3 5" xfId="954"/>
    <cellStyle name="백분율 30" xfId="955"/>
    <cellStyle name="백분율 31" xfId="956"/>
    <cellStyle name="백분율 32" xfId="957"/>
    <cellStyle name="백분율 33" xfId="958"/>
    <cellStyle name="백분율 34" xfId="959"/>
    <cellStyle name="백분율 35" xfId="960"/>
    <cellStyle name="백분율 36" xfId="961"/>
    <cellStyle name="백분율 37" xfId="962"/>
    <cellStyle name="백분율 38" xfId="963"/>
    <cellStyle name="백분율 39" xfId="964"/>
    <cellStyle name="백분율 4" xfId="965"/>
    <cellStyle name="백분율 4 2" xfId="966"/>
    <cellStyle name="백분율 4 3" xfId="967"/>
    <cellStyle name="백분율 40" xfId="968"/>
    <cellStyle name="백분율 41" xfId="969"/>
    <cellStyle name="백분율 42" xfId="970"/>
    <cellStyle name="백분율 43" xfId="971"/>
    <cellStyle name="백분율 44" xfId="972"/>
    <cellStyle name="백분율 45" xfId="973"/>
    <cellStyle name="백분율 46" xfId="974"/>
    <cellStyle name="백분율 47" xfId="975"/>
    <cellStyle name="백분율 48" xfId="976"/>
    <cellStyle name="백분율 49" xfId="977"/>
    <cellStyle name="백분율 5" xfId="978"/>
    <cellStyle name="백분율 5 2" xfId="979"/>
    <cellStyle name="백분율 50" xfId="980"/>
    <cellStyle name="백분율 51" xfId="981"/>
    <cellStyle name="백분율 52" xfId="982"/>
    <cellStyle name="백분율 53" xfId="983"/>
    <cellStyle name="백분율 54" xfId="984"/>
    <cellStyle name="백분율 55" xfId="985"/>
    <cellStyle name="백분율 6" xfId="986"/>
    <cellStyle name="백분율 6 2" xfId="987"/>
    <cellStyle name="백분율 6 3" xfId="988"/>
    <cellStyle name="백분율 7" xfId="989"/>
    <cellStyle name="백분율 7 2" xfId="990"/>
    <cellStyle name="백분율 8" xfId="991"/>
    <cellStyle name="백분율 8 2" xfId="992"/>
    <cellStyle name="백분율 9" xfId="993"/>
    <cellStyle name="백분율 9 2" xfId="994"/>
    <cellStyle name="보통 2" xfId="995"/>
    <cellStyle name="보통 2 2" xfId="996"/>
    <cellStyle name="분기" xfId="997"/>
    <cellStyle name="뷭?_BOOKSHIP" xfId="998"/>
    <cellStyle name="산출식" xfId="999"/>
    <cellStyle name="설명 텍스트 2" xfId="1000"/>
    <cellStyle name="설명 텍스트 2 2" xfId="1001"/>
    <cellStyle name="셀 확인 2" xfId="1002"/>
    <cellStyle name="셀 확인 2 2" xfId="1003"/>
    <cellStyle name="소공종" xfId="1004"/>
    <cellStyle name="수량" xfId="1005"/>
    <cellStyle name="숫자(R)" xfId="1006"/>
    <cellStyle name="쉼표 [0]" xfId="1" builtinId="6"/>
    <cellStyle name="쉼표 [0] 10" xfId="1007"/>
    <cellStyle name="쉼표 [0] 10 2" xfId="1008"/>
    <cellStyle name="쉼표 [0] 10 3" xfId="1009"/>
    <cellStyle name="쉼표 [0] 11" xfId="1010"/>
    <cellStyle name="쉼표 [0] 12" xfId="1011"/>
    <cellStyle name="쉼표 [0] 13" xfId="1012"/>
    <cellStyle name="쉼표 [0] 14" xfId="1013"/>
    <cellStyle name="쉼표 [0] 14 2" xfId="1014"/>
    <cellStyle name="쉼표 [0] 15" xfId="1015"/>
    <cellStyle name="쉼표 [0] 16" xfId="1016"/>
    <cellStyle name="쉼표 [0] 17" xfId="1017"/>
    <cellStyle name="쉼표 [0] 18" xfId="1018"/>
    <cellStyle name="쉼표 [0] 19" xfId="1019"/>
    <cellStyle name="쉼표 [0] 2" xfId="1020"/>
    <cellStyle name="쉼표 [0] 2 2" xfId="1021"/>
    <cellStyle name="쉼표 [0] 2 2 2" xfId="1022"/>
    <cellStyle name="쉼표 [0] 2 2 3" xfId="1023"/>
    <cellStyle name="쉼표 [0] 2 2 4" xfId="1024"/>
    <cellStyle name="쉼표 [0] 2 3" xfId="1025"/>
    <cellStyle name="쉼표 [0] 2 4" xfId="1026"/>
    <cellStyle name="쉼표 [0] 20" xfId="1027"/>
    <cellStyle name="쉼표 [0] 21" xfId="1028"/>
    <cellStyle name="쉼표 [0] 23" xfId="1029"/>
    <cellStyle name="쉼표 [0] 26" xfId="1030"/>
    <cellStyle name="쉼표 [0] 28" xfId="1031"/>
    <cellStyle name="쉼표 [0] 3" xfId="1032"/>
    <cellStyle name="쉼표 [0] 3 2" xfId="1033"/>
    <cellStyle name="쉼표 [0] 3 2 2" xfId="1034"/>
    <cellStyle name="쉼표 [0] 3 2 3" xfId="1035"/>
    <cellStyle name="쉼표 [0] 3 2 4" xfId="1036"/>
    <cellStyle name="쉼표 [0] 3 2 5" xfId="1037"/>
    <cellStyle name="쉼표 [0] 3 3" xfId="1038"/>
    <cellStyle name="쉼표 [0] 3 4" xfId="1039"/>
    <cellStyle name="쉼표 [0] 3 5" xfId="1040"/>
    <cellStyle name="쉼표 [0] 4" xfId="1041"/>
    <cellStyle name="쉼표 [0] 4 2" xfId="1042"/>
    <cellStyle name="쉼표 [0] 4 2 2" xfId="1043"/>
    <cellStyle name="쉼표 [0] 4 2 3" xfId="1044"/>
    <cellStyle name="쉼표 [0] 4 3" xfId="1045"/>
    <cellStyle name="쉼표 [0] 4 3 2" xfId="1046"/>
    <cellStyle name="쉼표 [0] 4 4" xfId="1047"/>
    <cellStyle name="쉼표 [0] 4 5" xfId="1048"/>
    <cellStyle name="쉼표 [0] 4 6" xfId="1049"/>
    <cellStyle name="쉼표 [0] 4 7" xfId="1050"/>
    <cellStyle name="쉼표 [0] 5" xfId="1051"/>
    <cellStyle name="쉼표 [0] 5 2" xfId="1052"/>
    <cellStyle name="쉼표 [0] 5 3" xfId="1053"/>
    <cellStyle name="쉼표 [0] 5 4" xfId="1054"/>
    <cellStyle name="쉼표 [0] 5 5" xfId="1055"/>
    <cellStyle name="쉼표 [0] 6" xfId="1056"/>
    <cellStyle name="쉼표 [0] 6 2" xfId="1057"/>
    <cellStyle name="쉼표 [0] 6 3" xfId="1058"/>
    <cellStyle name="쉼표 [0] 6 4" xfId="1059"/>
    <cellStyle name="쉼표 [0] 7" xfId="1060"/>
    <cellStyle name="쉼표 [0] 7 2" xfId="1061"/>
    <cellStyle name="쉼표 [0] 8" xfId="1062"/>
    <cellStyle name="쉼표 [0] 9" xfId="1063"/>
    <cellStyle name="쉼표 [0] 9 2" xfId="1064"/>
    <cellStyle name="스타일 1" xfId="1065"/>
    <cellStyle name="스타일 10" xfId="1066"/>
    <cellStyle name="스타일 11" xfId="1067"/>
    <cellStyle name="스타일 12" xfId="1068"/>
    <cellStyle name="스타일 13" xfId="1069"/>
    <cellStyle name="스타일 14" xfId="1070"/>
    <cellStyle name="스타일 15" xfId="1071"/>
    <cellStyle name="스타일 16" xfId="1072"/>
    <cellStyle name="스타일 17" xfId="1073"/>
    <cellStyle name="스타일 2" xfId="1074"/>
    <cellStyle name="스타일 3" xfId="1075"/>
    <cellStyle name="스타일 4" xfId="1076"/>
    <cellStyle name="스타일 5" xfId="1077"/>
    <cellStyle name="스타일 6" xfId="1078"/>
    <cellStyle name="스타일 7" xfId="1079"/>
    <cellStyle name="스타일 8" xfId="1080"/>
    <cellStyle name="스타일 9" xfId="1081"/>
    <cellStyle name="식" xfId="1082"/>
    <cellStyle name="식_벽제대수선비-박주임(020914)" xfId="1083"/>
    <cellStyle name="식_벽제대수선비-박주임(020914)_k3(토목-유지관리산출)" xfId="1084"/>
    <cellStyle name="식_벽제-일산" xfId="1085"/>
    <cellStyle name="식_벽제-일산(예비품내역)-기계" xfId="1086"/>
    <cellStyle name="식_벽제-일산(예비품내역)-기계_k3(토목-유지관리산출)" xfId="1087"/>
    <cellStyle name="식_벽제-일산(전기예비품내역)" xfId="1088"/>
    <cellStyle name="식_벽제-일산(전기예비품내역)_k3(토목-유지관리산출)" xfId="1089"/>
    <cellStyle name="식_벽제-일산_k3(토목-유지관리산출)" xfId="1090"/>
    <cellStyle name="식_벽제-일산운영비용(백인성)" xfId="1091"/>
    <cellStyle name="식_벽제-일산운영비용(백인성)_k3(토목-유지관리산출)" xfId="1092"/>
    <cellStyle name="식_벽제-일산운영비용정부제출(020913)" xfId="1093"/>
    <cellStyle name="식_벽제-일산운영비용정부제출(020913)_k3(토목-유지관리산출)" xfId="1094"/>
    <cellStyle name="식_벽제-일산운영비용정부제출(020913)-가장중요" xfId="1095"/>
    <cellStyle name="식_벽제-일산운영비용정부제출(020913)-가장중요_k3(토목-유지관리산출)" xfId="1096"/>
    <cellStyle name="식_일산대수선비-작업중_bmku" xfId="1097"/>
    <cellStyle name="식_일산대수선비-작업중_bmku_k3(토목-유지관리산출)" xfId="1098"/>
    <cellStyle name="식_진부-대화SWT(제출용)" xfId="1099"/>
    <cellStyle name="식_진부-대화SWT(제출용)_k3(토목-유지관리산출)" xfId="1100"/>
    <cellStyle name="안건회계법인" xfId="1101"/>
    <cellStyle name="양식-타이틀" xfId="1102"/>
    <cellStyle name="연결된 셀 2" xfId="1103"/>
    <cellStyle name="연결된 셀 2 2" xfId="1104"/>
    <cellStyle name="왼쪽2" xfId="1105"/>
    <cellStyle name="요약 2" xfId="1106"/>
    <cellStyle name="요약 2 2" xfId="1107"/>
    <cellStyle name="요약 2 3" xfId="1108"/>
    <cellStyle name="우괄호_박심배수구조물공" xfId="1109"/>
    <cellStyle name="우측양괄호" xfId="1110"/>
    <cellStyle name="원" xfId="1111"/>
    <cellStyle name="유1" xfId="1112"/>
    <cellStyle name="일반" xfId="1113"/>
    <cellStyle name="일정_K200창정비 (2)" xfId="1114"/>
    <cellStyle name="입력 2" xfId="1115"/>
    <cellStyle name="입력 2 2" xfId="1116"/>
    <cellStyle name="입력 2 3" xfId="1117"/>
    <cellStyle name="자리수" xfId="1118"/>
    <cellStyle name="자리수 2" xfId="1119"/>
    <cellStyle name="자리수 2 2" xfId="1120"/>
    <cellStyle name="자리수 2 3" xfId="1121"/>
    <cellStyle name="자리수0" xfId="1122"/>
    <cellStyle name="자리수0 2" xfId="1123"/>
    <cellStyle name="자리수0 2 2" xfId="1124"/>
    <cellStyle name="자리수0 2 3" xfId="1125"/>
    <cellStyle name="제곱" xfId="1126"/>
    <cellStyle name="제목 1 2" xfId="1127"/>
    <cellStyle name="제목 1 2 2" xfId="1128"/>
    <cellStyle name="제목 2 2" xfId="1129"/>
    <cellStyle name="제목 2 2 2" xfId="1130"/>
    <cellStyle name="제목 3 2" xfId="1131"/>
    <cellStyle name="제목 3 2 2" xfId="1132"/>
    <cellStyle name="제목 4 2" xfId="1133"/>
    <cellStyle name="제목 4 2 2" xfId="1134"/>
    <cellStyle name="제목 5" xfId="1135"/>
    <cellStyle name="제목 5 2" xfId="1136"/>
    <cellStyle name="제목 5 2 2" xfId="1137"/>
    <cellStyle name="제목 6" xfId="1138"/>
    <cellStyle name="제목[1 줄]" xfId="1139"/>
    <cellStyle name="제목[2줄 아래]" xfId="1140"/>
    <cellStyle name="제목[2줄 위]" xfId="1141"/>
    <cellStyle name="제목1" xfId="1142"/>
    <cellStyle name="좋음 2" xfId="1143"/>
    <cellStyle name="좋음 2 2" xfId="1144"/>
    <cellStyle name="좌괄호_박심배수구조물공" xfId="1145"/>
    <cellStyle name="좌측양괄호" xfId="1146"/>
    <cellStyle name="지정되지 않음" xfId="1147"/>
    <cellStyle name="출력 2" xfId="1148"/>
    <cellStyle name="출력 2 2" xfId="1149"/>
    <cellStyle name="출력 2 3" xfId="1150"/>
    <cellStyle name="콤" xfId="1151"/>
    <cellStyle name="콤_용인시확인필요개발사업(확인)" xfId="1152"/>
    <cellStyle name="콤마 " xfId="1153"/>
    <cellStyle name="콤마 [" xfId="1154"/>
    <cellStyle name="콤마 [0]" xfId="1155"/>
    <cellStyle name="콤마 [1]" xfId="1156"/>
    <cellStyle name="콤마 [1] 2" xfId="1157"/>
    <cellStyle name="콤마 [2]" xfId="1158"/>
    <cellStyle name="콤마 [2] 2" xfId="1159"/>
    <cellStyle name="콤마_  종  합  " xfId="1160"/>
    <cellStyle name="큐준_주택수주_주택용지_1" xfId="1161"/>
    <cellStyle name="통" xfId="1162"/>
    <cellStyle name="통_용인시확인필요개발사업(확인)" xfId="1163"/>
    <cellStyle name="통화 [" xfId="1164"/>
    <cellStyle name="통화 [0] 2" xfId="1165"/>
    <cellStyle name="통화 [0㉝〸" xfId="1166"/>
    <cellStyle name="퍼센트" xfId="1167"/>
    <cellStyle name="퍼센트 2" xfId="1168"/>
    <cellStyle name="퍼센트 2 2" xfId="1169"/>
    <cellStyle name="퍼센트 2 3" xfId="1170"/>
    <cellStyle name="평" xfId="1171"/>
    <cellStyle name="평_벽제대수선비-박주임(020914)" xfId="1172"/>
    <cellStyle name="평_벽제대수선비-박주임(020914)_k3(토목-유지관리산출)" xfId="1173"/>
    <cellStyle name="평_벽제-일산" xfId="1174"/>
    <cellStyle name="평_벽제-일산(예비품내역)-기계" xfId="1175"/>
    <cellStyle name="평_벽제-일산(예비품내역)-기계_k3(토목-유지관리산출)" xfId="1176"/>
    <cellStyle name="평_벽제-일산(전기예비품내역)" xfId="1177"/>
    <cellStyle name="평_벽제-일산(전기예비품내역)_k3(토목-유지관리산출)" xfId="1178"/>
    <cellStyle name="평_벽제-일산_k3(토목-유지관리산출)" xfId="1179"/>
    <cellStyle name="평_벽제-일산운영비용(백인성)" xfId="1180"/>
    <cellStyle name="평_벽제-일산운영비용(백인성)_k3(토목-유지관리산출)" xfId="1181"/>
    <cellStyle name="평_벽제-일산운영비용정부제출(020913)" xfId="1182"/>
    <cellStyle name="평_벽제-일산운영비용정부제출(020913)_k3(토목-유지관리산출)" xfId="1183"/>
    <cellStyle name="평_벽제-일산운영비용정부제출(020913)-가장중요" xfId="1184"/>
    <cellStyle name="평_벽제-일산운영비용정부제출(020913)-가장중요_k3(토목-유지관리산출)" xfId="1185"/>
    <cellStyle name="평_일산대수선비-작업중_bmku" xfId="1186"/>
    <cellStyle name="평_일산대수선비-작업중_bmku_k3(토목-유지관리산출)" xfId="1187"/>
    <cellStyle name="평_진부-대화SWT(제출용)" xfId="1188"/>
    <cellStyle name="평_진부-대화SWT(제출용)_k3(토목-유지관리산출)" xfId="1189"/>
    <cellStyle name="표" xfId="1190"/>
    <cellStyle name="표_용인시확인필요개발사업(확인)" xfId="1191"/>
    <cellStyle name="표서식" xfId="1192"/>
    <cellStyle name="표준" xfId="0" builtinId="0"/>
    <cellStyle name="표준 10" xfId="1193"/>
    <cellStyle name="표준 10 2" xfId="1194"/>
    <cellStyle name="표준 10 2 2" xfId="1195"/>
    <cellStyle name="표준 10 2 3" xfId="1196"/>
    <cellStyle name="표준 10 3" xfId="1197"/>
    <cellStyle name="표준 10 4" xfId="1198"/>
    <cellStyle name="표준 10 5" xfId="1199"/>
    <cellStyle name="표준 100" xfId="1200"/>
    <cellStyle name="표준 100 2" xfId="1201"/>
    <cellStyle name="표준 100 2 2" xfId="1202"/>
    <cellStyle name="표준 100 3" xfId="1203"/>
    <cellStyle name="표준 101" xfId="1204"/>
    <cellStyle name="표준 101 2" xfId="1205"/>
    <cellStyle name="표준 101 2 2" xfId="1206"/>
    <cellStyle name="표준 101 3" xfId="1207"/>
    <cellStyle name="표준 102" xfId="1208"/>
    <cellStyle name="표준 102 2" xfId="1209"/>
    <cellStyle name="표준 102 3" xfId="1210"/>
    <cellStyle name="표준 103" xfId="1211"/>
    <cellStyle name="표준 103 2" xfId="1212"/>
    <cellStyle name="표준 104" xfId="1213"/>
    <cellStyle name="표준 104 2" xfId="1214"/>
    <cellStyle name="표준 105" xfId="1215"/>
    <cellStyle name="표준 105 2" xfId="1216"/>
    <cellStyle name="표준 106" xfId="1217"/>
    <cellStyle name="표준 107" xfId="1218"/>
    <cellStyle name="표준 108" xfId="1219"/>
    <cellStyle name="표준 109" xfId="1220"/>
    <cellStyle name="표준 11" xfId="1221"/>
    <cellStyle name="표준 11 2" xfId="1222"/>
    <cellStyle name="표준 11 2 2" xfId="1223"/>
    <cellStyle name="표준 11 2 3" xfId="1224"/>
    <cellStyle name="표준 11 3" xfId="1225"/>
    <cellStyle name="표준 11 4" xfId="1226"/>
    <cellStyle name="표준 110" xfId="1227"/>
    <cellStyle name="표준 111" xfId="1228"/>
    <cellStyle name="표준 112" xfId="1229"/>
    <cellStyle name="표준 113" xfId="1230"/>
    <cellStyle name="표준 114" xfId="1231"/>
    <cellStyle name="표준 115" xfId="1232"/>
    <cellStyle name="표준 116" xfId="1233"/>
    <cellStyle name="표준 117" xfId="1234"/>
    <cellStyle name="표준 117 2" xfId="1235"/>
    <cellStyle name="표준 117 2 2" xfId="1236"/>
    <cellStyle name="표준 117 3" xfId="1237"/>
    <cellStyle name="표준 118" xfId="1238"/>
    <cellStyle name="표준 118 2" xfId="1239"/>
    <cellStyle name="표준 118 2 2" xfId="1240"/>
    <cellStyle name="표준 118 3" xfId="1241"/>
    <cellStyle name="표준 119" xfId="1242"/>
    <cellStyle name="표준 119 2" xfId="1243"/>
    <cellStyle name="표준 119 2 2" xfId="1244"/>
    <cellStyle name="표준 119 3" xfId="1245"/>
    <cellStyle name="표준 12" xfId="1246"/>
    <cellStyle name="표준 12 2" xfId="1247"/>
    <cellStyle name="표준 12 2 2" xfId="1248"/>
    <cellStyle name="표준 12 2 3" xfId="1249"/>
    <cellStyle name="표준 12 3" xfId="1250"/>
    <cellStyle name="표준 12 4" xfId="1251"/>
    <cellStyle name="표준 12 5" xfId="1252"/>
    <cellStyle name="표준 120" xfId="1253"/>
    <cellStyle name="표준 121" xfId="1254"/>
    <cellStyle name="표준 122" xfId="1255"/>
    <cellStyle name="표준 123" xfId="1256"/>
    <cellStyle name="표준 124" xfId="1257"/>
    <cellStyle name="표준 125" xfId="1258"/>
    <cellStyle name="표준 126" xfId="1259"/>
    <cellStyle name="표준 127" xfId="1260"/>
    <cellStyle name="표준 128" xfId="1261"/>
    <cellStyle name="표준 129" xfId="1262"/>
    <cellStyle name="표준 13" xfId="1263"/>
    <cellStyle name="표준 13 2" xfId="1264"/>
    <cellStyle name="표준 13 2 2" xfId="1265"/>
    <cellStyle name="표준 13 3" xfId="1266"/>
    <cellStyle name="표준 13 4" xfId="1267"/>
    <cellStyle name="표준 130" xfId="1268"/>
    <cellStyle name="표준 131" xfId="1269"/>
    <cellStyle name="표준 132" xfId="1270"/>
    <cellStyle name="표준 133" xfId="1271"/>
    <cellStyle name="표준 134" xfId="1272"/>
    <cellStyle name="표준 135" xfId="1273"/>
    <cellStyle name="표준 136" xfId="1274"/>
    <cellStyle name="표준 137" xfId="1275"/>
    <cellStyle name="표준 138" xfId="1276"/>
    <cellStyle name="표준 139" xfId="1277"/>
    <cellStyle name="표준 14" xfId="1278"/>
    <cellStyle name="표준 14 2" xfId="1279"/>
    <cellStyle name="표준 14 2 2" xfId="1280"/>
    <cellStyle name="표준 14 2 3" xfId="1281"/>
    <cellStyle name="표준 14 3" xfId="1282"/>
    <cellStyle name="표준 14 4" xfId="1283"/>
    <cellStyle name="표준 14 5" xfId="1284"/>
    <cellStyle name="표준 140" xfId="1285"/>
    <cellStyle name="표준 141" xfId="1286"/>
    <cellStyle name="표준 142" xfId="1287"/>
    <cellStyle name="표준 143" xfId="1288"/>
    <cellStyle name="표준 144" xfId="1289"/>
    <cellStyle name="표준 145" xfId="1290"/>
    <cellStyle name="표준 146" xfId="1291"/>
    <cellStyle name="표준 147" xfId="1292"/>
    <cellStyle name="표준 148" xfId="1293"/>
    <cellStyle name="표준 149" xfId="1294"/>
    <cellStyle name="표준 15" xfId="1295"/>
    <cellStyle name="표준 15 2" xfId="1296"/>
    <cellStyle name="표준 15 2 2" xfId="1297"/>
    <cellStyle name="표준 15 3" xfId="1298"/>
    <cellStyle name="표준 150" xfId="1299"/>
    <cellStyle name="표준 151" xfId="1300"/>
    <cellStyle name="표준 152" xfId="1301"/>
    <cellStyle name="표준 153" xfId="1302"/>
    <cellStyle name="표준 154" xfId="1303"/>
    <cellStyle name="표준 155" xfId="1304"/>
    <cellStyle name="표준 156" xfId="1305"/>
    <cellStyle name="표준 157" xfId="1306"/>
    <cellStyle name="표준 158" xfId="1307"/>
    <cellStyle name="표준 159" xfId="1308"/>
    <cellStyle name="표준 16" xfId="1309"/>
    <cellStyle name="표준 16 2" xfId="1310"/>
    <cellStyle name="표준 16 2 2" xfId="1311"/>
    <cellStyle name="표준 16 3" xfId="1312"/>
    <cellStyle name="표준 160" xfId="1313"/>
    <cellStyle name="표준 161" xfId="1314"/>
    <cellStyle name="표준 162" xfId="1315"/>
    <cellStyle name="표준 163" xfId="1316"/>
    <cellStyle name="표준 164" xfId="1317"/>
    <cellStyle name="표준 165" xfId="1318"/>
    <cellStyle name="표준 166" xfId="1319"/>
    <cellStyle name="표준 167" xfId="1320"/>
    <cellStyle name="표준 168" xfId="1321"/>
    <cellStyle name="표준 169" xfId="1322"/>
    <cellStyle name="표준 17" xfId="1323"/>
    <cellStyle name="표준 17 2" xfId="1324"/>
    <cellStyle name="표준 17 2 2" xfId="1325"/>
    <cellStyle name="표준 17 3" xfId="1326"/>
    <cellStyle name="표준 170" xfId="1327"/>
    <cellStyle name="표준 171" xfId="1328"/>
    <cellStyle name="표준 172" xfId="1329"/>
    <cellStyle name="표준 173" xfId="1330"/>
    <cellStyle name="표준 174" xfId="1331"/>
    <cellStyle name="표준 175" xfId="1332"/>
    <cellStyle name="표준 176" xfId="1333"/>
    <cellStyle name="표준 177" xfId="1334"/>
    <cellStyle name="표준 178" xfId="1335"/>
    <cellStyle name="표준 179" xfId="1336"/>
    <cellStyle name="표준 18" xfId="1337"/>
    <cellStyle name="표준 18 2" xfId="1338"/>
    <cellStyle name="표준 18 2 2" xfId="1339"/>
    <cellStyle name="표준 18 3" xfId="1340"/>
    <cellStyle name="표준 180" xfId="1341"/>
    <cellStyle name="표준 181" xfId="1342"/>
    <cellStyle name="표준 182" xfId="1343"/>
    <cellStyle name="표준 183" xfId="1344"/>
    <cellStyle name="표준 184" xfId="1345"/>
    <cellStyle name="표준 185" xfId="1346"/>
    <cellStyle name="표준 185 2" xfId="1347"/>
    <cellStyle name="표준 186" xfId="1348"/>
    <cellStyle name="표준 186 2" xfId="1349"/>
    <cellStyle name="표준 187" xfId="1350"/>
    <cellStyle name="표준 188" xfId="1351"/>
    <cellStyle name="표준 189" xfId="1352"/>
    <cellStyle name="표준 19" xfId="1353"/>
    <cellStyle name="표준 19 2" xfId="1354"/>
    <cellStyle name="표준 19 2 2" xfId="1355"/>
    <cellStyle name="표준 19 2 3" xfId="1356"/>
    <cellStyle name="표준 19 3" xfId="1357"/>
    <cellStyle name="표준 19 4" xfId="1358"/>
    <cellStyle name="표준 2" xfId="1359"/>
    <cellStyle name="표준 2 10" xfId="1360"/>
    <cellStyle name="표준 2 11" xfId="1361"/>
    <cellStyle name="표준 2 12" xfId="1362"/>
    <cellStyle name="표준 2 13" xfId="1363"/>
    <cellStyle name="표준 2 14" xfId="1364"/>
    <cellStyle name="표준 2 15" xfId="1365"/>
    <cellStyle name="표준 2 2" xfId="1366"/>
    <cellStyle name="표준 2 2 2" xfId="1367"/>
    <cellStyle name="표준 2 2 2 2" xfId="1368"/>
    <cellStyle name="표준 2 2 2 3" xfId="1369"/>
    <cellStyle name="표준 2 2 3" xfId="1370"/>
    <cellStyle name="표준 2 2 4" xfId="1371"/>
    <cellStyle name="표준 2 2 4 2" xfId="1372"/>
    <cellStyle name="표준 2 2 5" xfId="1373"/>
    <cellStyle name="표준 2 2 6" xfId="1374"/>
    <cellStyle name="표준 2 2 7" xfId="1375"/>
    <cellStyle name="표준 2 3" xfId="1376"/>
    <cellStyle name="표준 2 3 2" xfId="1377"/>
    <cellStyle name="표준 2 3 2 2" xfId="1378"/>
    <cellStyle name="표준 2 3 3" xfId="1379"/>
    <cellStyle name="표준 2 3 4" xfId="1380"/>
    <cellStyle name="표준 2 3 5" xfId="1381"/>
    <cellStyle name="표준 2 3 6" xfId="1382"/>
    <cellStyle name="표준 2 4" xfId="1383"/>
    <cellStyle name="표준 2 4 2" xfId="1384"/>
    <cellStyle name="표준 2 4 3" xfId="1385"/>
    <cellStyle name="표준 2 5" xfId="1386"/>
    <cellStyle name="표준 2 5 2" xfId="1387"/>
    <cellStyle name="표준 2 6" xfId="1388"/>
    <cellStyle name="표준 2 7" xfId="1389"/>
    <cellStyle name="표준 2 8" xfId="1390"/>
    <cellStyle name="표준 2 9" xfId="1391"/>
    <cellStyle name="표준 2_소규모공공하수처리장수질분석일지(2011년)" xfId="1392"/>
    <cellStyle name="표준 20" xfId="1393"/>
    <cellStyle name="표준 20 2" xfId="1394"/>
    <cellStyle name="표준 20 2 2" xfId="1395"/>
    <cellStyle name="표준 20 2 2 2" xfId="1396"/>
    <cellStyle name="표준 20 3" xfId="1397"/>
    <cellStyle name="표준 20 3 2" xfId="1398"/>
    <cellStyle name="표준 20 3 2 2" xfId="1399"/>
    <cellStyle name="표준 20 4" xfId="1400"/>
    <cellStyle name="표준 20 4 2" xfId="1401"/>
    <cellStyle name="표준 20 4 2 2" xfId="1402"/>
    <cellStyle name="표준 20 5" xfId="1403"/>
    <cellStyle name="표준 20 5 2" xfId="1404"/>
    <cellStyle name="표준 20 5 2 2" xfId="1405"/>
    <cellStyle name="표준 20 6" xfId="1406"/>
    <cellStyle name="표준 20 6 2" xfId="1407"/>
    <cellStyle name="표준 20 7" xfId="1408"/>
    <cellStyle name="표준 21" xfId="1409"/>
    <cellStyle name="표준 21 2" xfId="1410"/>
    <cellStyle name="표준 21 2 2" xfId="1411"/>
    <cellStyle name="표준 21 2 2 2" xfId="1412"/>
    <cellStyle name="표준 21 2 3" xfId="1413"/>
    <cellStyle name="표준 21 3" xfId="1414"/>
    <cellStyle name="표준 21 3 2" xfId="1415"/>
    <cellStyle name="표준 21 3 2 2" xfId="1416"/>
    <cellStyle name="표준 21 4" xfId="1417"/>
    <cellStyle name="표준 21 4 2" xfId="1418"/>
    <cellStyle name="표준 21 4 2 2" xfId="1419"/>
    <cellStyle name="표준 21 5" xfId="1420"/>
    <cellStyle name="표준 21 5 2" xfId="1421"/>
    <cellStyle name="표준 21 5 2 2" xfId="1422"/>
    <cellStyle name="표준 21 6" xfId="1423"/>
    <cellStyle name="표준 21 6 2" xfId="1424"/>
    <cellStyle name="표준 21 7" xfId="1425"/>
    <cellStyle name="표준 21 8" xfId="1426"/>
    <cellStyle name="표준 22" xfId="1427"/>
    <cellStyle name="표준 22 2" xfId="1428"/>
    <cellStyle name="표준 22 2 2" xfId="1429"/>
    <cellStyle name="표준 22 2 2 2" xfId="1430"/>
    <cellStyle name="표준 22 3" xfId="1431"/>
    <cellStyle name="표준 22 3 2" xfId="1432"/>
    <cellStyle name="표준 22 3 2 2" xfId="1433"/>
    <cellStyle name="표준 22 4" xfId="1434"/>
    <cellStyle name="표준 22 4 2" xfId="1435"/>
    <cellStyle name="표준 22 4 2 2" xfId="1436"/>
    <cellStyle name="표준 22 5" xfId="1437"/>
    <cellStyle name="표준 22 5 2" xfId="1438"/>
    <cellStyle name="표준 22 5 2 2" xfId="1439"/>
    <cellStyle name="표준 22 6" xfId="1440"/>
    <cellStyle name="표준 22 6 2" xfId="1441"/>
    <cellStyle name="표준 22 7" xfId="1442"/>
    <cellStyle name="표준 23" xfId="1443"/>
    <cellStyle name="표준 23 2" xfId="1444"/>
    <cellStyle name="표준 23 2 2" xfId="1445"/>
    <cellStyle name="표준 23 2 3" xfId="1446"/>
    <cellStyle name="표준 23 3" xfId="1447"/>
    <cellStyle name="표준 23 4" xfId="1448"/>
    <cellStyle name="표준 24" xfId="1449"/>
    <cellStyle name="표준 24 2" xfId="1450"/>
    <cellStyle name="표준 24 2 2" xfId="1451"/>
    <cellStyle name="표준 24 3" xfId="1452"/>
    <cellStyle name="표준 25" xfId="1453"/>
    <cellStyle name="표준 25 2" xfId="1454"/>
    <cellStyle name="표준 25 2 2" xfId="1455"/>
    <cellStyle name="표준 25 2 3" xfId="1456"/>
    <cellStyle name="표준 25 3" xfId="1457"/>
    <cellStyle name="표준 25 4" xfId="1458"/>
    <cellStyle name="표준 256" xfId="1459"/>
    <cellStyle name="표준 256 2" xfId="1460"/>
    <cellStyle name="표준 256 2 2" xfId="1461"/>
    <cellStyle name="표준 257" xfId="1462"/>
    <cellStyle name="표준 257 2" xfId="1463"/>
    <cellStyle name="표준 257 2 2" xfId="1464"/>
    <cellStyle name="표준 258" xfId="1465"/>
    <cellStyle name="표준 258 2" xfId="1466"/>
    <cellStyle name="표준 258 2 2" xfId="1467"/>
    <cellStyle name="표준 259" xfId="1468"/>
    <cellStyle name="표준 259 2" xfId="1469"/>
    <cellStyle name="표준 259 2 2" xfId="1470"/>
    <cellStyle name="표준 26" xfId="1471"/>
    <cellStyle name="표준 26 2" xfId="1472"/>
    <cellStyle name="표준 26 2 2" xfId="1473"/>
    <cellStyle name="표준 26 3" xfId="1474"/>
    <cellStyle name="표준 260" xfId="1475"/>
    <cellStyle name="표준 260 2" xfId="1476"/>
    <cellStyle name="표준 260 2 2" xfId="1477"/>
    <cellStyle name="표준 261" xfId="1478"/>
    <cellStyle name="표준 261 2" xfId="1479"/>
    <cellStyle name="표준 261 2 2" xfId="1480"/>
    <cellStyle name="표준 262" xfId="1481"/>
    <cellStyle name="표준 262 2" xfId="1482"/>
    <cellStyle name="표준 262 2 2" xfId="1483"/>
    <cellStyle name="표준 263" xfId="1484"/>
    <cellStyle name="표준 263 2" xfId="1485"/>
    <cellStyle name="표준 263 2 2" xfId="1486"/>
    <cellStyle name="표준 264" xfId="1487"/>
    <cellStyle name="표준 264 2" xfId="1488"/>
    <cellStyle name="표준 264 2 2" xfId="1489"/>
    <cellStyle name="표준 265" xfId="1490"/>
    <cellStyle name="표준 265 2" xfId="1491"/>
    <cellStyle name="표준 265 2 2" xfId="1492"/>
    <cellStyle name="표준 266" xfId="1493"/>
    <cellStyle name="표준 266 2" xfId="1494"/>
    <cellStyle name="표준 266 2 2" xfId="1495"/>
    <cellStyle name="표준 267" xfId="1496"/>
    <cellStyle name="표준 267 2" xfId="1497"/>
    <cellStyle name="표준 267 2 2" xfId="1498"/>
    <cellStyle name="표준 268" xfId="1499"/>
    <cellStyle name="표준 268 2" xfId="1500"/>
    <cellStyle name="표준 268 2 2" xfId="1501"/>
    <cellStyle name="표준 269" xfId="1502"/>
    <cellStyle name="표준 269 2" xfId="1503"/>
    <cellStyle name="표준 269 2 2" xfId="1504"/>
    <cellStyle name="표준 27" xfId="1505"/>
    <cellStyle name="표준 27 2" xfId="1506"/>
    <cellStyle name="표준 27 2 2" xfId="1507"/>
    <cellStyle name="표준 27 3" xfId="1508"/>
    <cellStyle name="표준 270" xfId="1509"/>
    <cellStyle name="표준 270 2" xfId="1510"/>
    <cellStyle name="표준 270 2 2" xfId="1511"/>
    <cellStyle name="표준 271" xfId="1512"/>
    <cellStyle name="표준 271 2" xfId="1513"/>
    <cellStyle name="표준 271 2 2" xfId="1514"/>
    <cellStyle name="표준 272" xfId="1515"/>
    <cellStyle name="표준 272 2" xfId="1516"/>
    <cellStyle name="표준 272 2 2" xfId="1517"/>
    <cellStyle name="표준 273" xfId="1518"/>
    <cellStyle name="표준 273 2" xfId="1519"/>
    <cellStyle name="표준 273 2 2" xfId="1520"/>
    <cellStyle name="표준 274" xfId="1521"/>
    <cellStyle name="표준 274 2" xfId="1522"/>
    <cellStyle name="표준 274 2 2" xfId="1523"/>
    <cellStyle name="표준 275" xfId="1524"/>
    <cellStyle name="표준 275 2" xfId="1525"/>
    <cellStyle name="표준 275 2 2" xfId="1526"/>
    <cellStyle name="표준 276" xfId="1527"/>
    <cellStyle name="표준 276 2" xfId="1528"/>
    <cellStyle name="표준 276 2 2" xfId="1529"/>
    <cellStyle name="표준 277" xfId="1530"/>
    <cellStyle name="표준 277 2" xfId="1531"/>
    <cellStyle name="표준 277 2 2" xfId="1532"/>
    <cellStyle name="표준 278" xfId="1533"/>
    <cellStyle name="표준 278 2" xfId="1534"/>
    <cellStyle name="표준 278 2 2" xfId="1535"/>
    <cellStyle name="표준 279" xfId="1536"/>
    <cellStyle name="표준 279 2" xfId="1537"/>
    <cellStyle name="표준 279 2 2" xfId="1538"/>
    <cellStyle name="표준 28" xfId="1539"/>
    <cellStyle name="표준 28 2" xfId="1540"/>
    <cellStyle name="표준 28 2 2" xfId="1541"/>
    <cellStyle name="표준 28 2 3" xfId="1542"/>
    <cellStyle name="표준 28 3" xfId="1543"/>
    <cellStyle name="표준 28 4" xfId="1544"/>
    <cellStyle name="표준 280" xfId="1545"/>
    <cellStyle name="표준 280 2" xfId="1546"/>
    <cellStyle name="표준 280 2 2" xfId="1547"/>
    <cellStyle name="표준 281" xfId="1548"/>
    <cellStyle name="표준 281 2" xfId="1549"/>
    <cellStyle name="표준 281 2 2" xfId="1550"/>
    <cellStyle name="표준 282" xfId="1551"/>
    <cellStyle name="표준 282 2" xfId="1552"/>
    <cellStyle name="표준 282 2 2" xfId="1553"/>
    <cellStyle name="표준 283" xfId="1554"/>
    <cellStyle name="표준 283 2" xfId="1555"/>
    <cellStyle name="표준 283 2 2" xfId="1556"/>
    <cellStyle name="표준 284" xfId="1557"/>
    <cellStyle name="표준 284 2" xfId="1558"/>
    <cellStyle name="표준 284 2 2" xfId="1559"/>
    <cellStyle name="표준 285" xfId="1560"/>
    <cellStyle name="표준 285 2" xfId="1561"/>
    <cellStyle name="표준 285 2 2" xfId="1562"/>
    <cellStyle name="표준 286" xfId="1563"/>
    <cellStyle name="표준 286 2" xfId="1564"/>
    <cellStyle name="표준 286 2 2" xfId="1565"/>
    <cellStyle name="표준 287" xfId="1566"/>
    <cellStyle name="표준 287 2" xfId="1567"/>
    <cellStyle name="표준 287 2 2" xfId="1568"/>
    <cellStyle name="표준 288" xfId="1569"/>
    <cellStyle name="표준 288 2" xfId="1570"/>
    <cellStyle name="표준 288 2 2" xfId="1571"/>
    <cellStyle name="표준 289" xfId="1572"/>
    <cellStyle name="표준 289 2" xfId="1573"/>
    <cellStyle name="표준 289 2 2" xfId="1574"/>
    <cellStyle name="표준 29" xfId="1575"/>
    <cellStyle name="표준 29 2" xfId="1576"/>
    <cellStyle name="표준 29 2 2" xfId="1577"/>
    <cellStyle name="표준 29 3" xfId="1578"/>
    <cellStyle name="표준 290" xfId="1579"/>
    <cellStyle name="표준 290 2" xfId="1580"/>
    <cellStyle name="표준 290 2 2" xfId="1581"/>
    <cellStyle name="표준 291" xfId="1582"/>
    <cellStyle name="표준 291 2" xfId="1583"/>
    <cellStyle name="표준 291 2 2" xfId="1584"/>
    <cellStyle name="표준 292" xfId="1585"/>
    <cellStyle name="표준 292 2" xfId="1586"/>
    <cellStyle name="표준 292 2 2" xfId="1587"/>
    <cellStyle name="표준 293" xfId="1588"/>
    <cellStyle name="표준 293 2" xfId="1589"/>
    <cellStyle name="표준 293 2 2" xfId="1590"/>
    <cellStyle name="표준 294" xfId="1591"/>
    <cellStyle name="표준 294 2" xfId="1592"/>
    <cellStyle name="표준 294 2 2" xfId="1593"/>
    <cellStyle name="표준 295" xfId="1594"/>
    <cellStyle name="표준 295 2" xfId="1595"/>
    <cellStyle name="표준 295 2 2" xfId="1596"/>
    <cellStyle name="표준 296" xfId="1597"/>
    <cellStyle name="표준 296 2" xfId="1598"/>
    <cellStyle name="표준 296 2 2" xfId="1599"/>
    <cellStyle name="표준 297" xfId="1600"/>
    <cellStyle name="표준 297 2" xfId="1601"/>
    <cellStyle name="표준 297 2 2" xfId="1602"/>
    <cellStyle name="표준 298" xfId="1603"/>
    <cellStyle name="표준 298 2" xfId="1604"/>
    <cellStyle name="표준 298 2 2" xfId="1605"/>
    <cellStyle name="표준 299" xfId="1606"/>
    <cellStyle name="표준 299 2" xfId="1607"/>
    <cellStyle name="표준 299 2 2" xfId="1608"/>
    <cellStyle name="표준 3" xfId="1609"/>
    <cellStyle name="표준 3 2" xfId="1610"/>
    <cellStyle name="표준 3 2 2" xfId="1611"/>
    <cellStyle name="표준 3 2 3" xfId="1612"/>
    <cellStyle name="표준 3 2 4" xfId="1613"/>
    <cellStyle name="표준 3 2 5" xfId="1614"/>
    <cellStyle name="표준 3 3" xfId="1615"/>
    <cellStyle name="표준 3 3 2" xfId="1616"/>
    <cellStyle name="표준 3 4" xfId="1617"/>
    <cellStyle name="표준 3 4 2" xfId="1618"/>
    <cellStyle name="표준 3 4 3" xfId="1619"/>
    <cellStyle name="표준 3 4 4" xfId="1620"/>
    <cellStyle name="표준 3 5" xfId="1621"/>
    <cellStyle name="표준 3 6" xfId="1622"/>
    <cellStyle name="표준 30" xfId="1623"/>
    <cellStyle name="표준 30 2" xfId="1624"/>
    <cellStyle name="표준 30 2 2" xfId="1625"/>
    <cellStyle name="표준 30 2 3" xfId="1626"/>
    <cellStyle name="표준 30 3" xfId="1627"/>
    <cellStyle name="표준 30 4" xfId="1628"/>
    <cellStyle name="표준 300" xfId="1629"/>
    <cellStyle name="표준 300 2" xfId="1630"/>
    <cellStyle name="표준 300 2 2" xfId="1631"/>
    <cellStyle name="표준 301" xfId="1632"/>
    <cellStyle name="표준 301 2" xfId="1633"/>
    <cellStyle name="표준 301 2 2" xfId="1634"/>
    <cellStyle name="표준 302" xfId="1635"/>
    <cellStyle name="표준 302 2" xfId="1636"/>
    <cellStyle name="표준 302 2 2" xfId="1637"/>
    <cellStyle name="표준 303" xfId="1638"/>
    <cellStyle name="표준 303 2" xfId="1639"/>
    <cellStyle name="표준 303 2 2" xfId="1640"/>
    <cellStyle name="표준 304" xfId="1641"/>
    <cellStyle name="표준 304 2" xfId="1642"/>
    <cellStyle name="표준 304 2 2" xfId="1643"/>
    <cellStyle name="표준 305" xfId="1644"/>
    <cellStyle name="표준 305 2" xfId="1645"/>
    <cellStyle name="표준 305 2 2" xfId="1646"/>
    <cellStyle name="표준 306" xfId="1647"/>
    <cellStyle name="표준 306 2" xfId="1648"/>
    <cellStyle name="표준 306 2 2" xfId="1649"/>
    <cellStyle name="표준 307" xfId="1650"/>
    <cellStyle name="표준 307 2" xfId="1651"/>
    <cellStyle name="표준 307 2 2" xfId="1652"/>
    <cellStyle name="표준 308" xfId="1653"/>
    <cellStyle name="표준 308 2" xfId="1654"/>
    <cellStyle name="표준 308 2 2" xfId="1655"/>
    <cellStyle name="표준 309" xfId="1656"/>
    <cellStyle name="표준 309 2" xfId="1657"/>
    <cellStyle name="표준 309 2 2" xfId="1658"/>
    <cellStyle name="표준 31" xfId="1659"/>
    <cellStyle name="표준 31 2" xfId="1660"/>
    <cellStyle name="표준 31 2 2" xfId="1661"/>
    <cellStyle name="표준 31 3" xfId="1662"/>
    <cellStyle name="표준 310" xfId="1663"/>
    <cellStyle name="표준 310 2" xfId="1664"/>
    <cellStyle name="표준 310 2 2" xfId="1665"/>
    <cellStyle name="표준 311" xfId="1666"/>
    <cellStyle name="표준 311 2" xfId="1667"/>
    <cellStyle name="표준 311 2 2" xfId="1668"/>
    <cellStyle name="표준 312" xfId="1669"/>
    <cellStyle name="표준 312 2" xfId="1670"/>
    <cellStyle name="표준 312 2 2" xfId="1671"/>
    <cellStyle name="표준 313" xfId="1672"/>
    <cellStyle name="표준 313 2" xfId="1673"/>
    <cellStyle name="표준 313 2 2" xfId="1674"/>
    <cellStyle name="표준 314" xfId="1675"/>
    <cellStyle name="표준 314 2" xfId="1676"/>
    <cellStyle name="표준 314 2 2" xfId="1677"/>
    <cellStyle name="표준 315" xfId="1678"/>
    <cellStyle name="표준 315 2" xfId="1679"/>
    <cellStyle name="표준 315 2 2" xfId="1680"/>
    <cellStyle name="표준 316" xfId="1681"/>
    <cellStyle name="표준 316 2" xfId="1682"/>
    <cellStyle name="표준 316 2 2" xfId="1683"/>
    <cellStyle name="표준 317" xfId="1684"/>
    <cellStyle name="표준 317 2" xfId="1685"/>
    <cellStyle name="표준 317 2 2" xfId="1686"/>
    <cellStyle name="표준 318" xfId="1687"/>
    <cellStyle name="표준 318 2" xfId="1688"/>
    <cellStyle name="표준 318 2 2" xfId="1689"/>
    <cellStyle name="표준 319" xfId="1690"/>
    <cellStyle name="표준 319 2" xfId="1691"/>
    <cellStyle name="표준 319 2 2" xfId="1692"/>
    <cellStyle name="표준 32" xfId="1693"/>
    <cellStyle name="표준 32 2" xfId="1694"/>
    <cellStyle name="표준 32 2 2" xfId="1695"/>
    <cellStyle name="표준 32 3" xfId="1696"/>
    <cellStyle name="표준 320" xfId="1697"/>
    <cellStyle name="표준 320 2" xfId="1698"/>
    <cellStyle name="표준 320 2 2" xfId="1699"/>
    <cellStyle name="표준 321" xfId="1700"/>
    <cellStyle name="표준 321 2" xfId="1701"/>
    <cellStyle name="표준 321 2 2" xfId="1702"/>
    <cellStyle name="표준 322" xfId="1703"/>
    <cellStyle name="표준 322 2" xfId="1704"/>
    <cellStyle name="표준 322 2 2" xfId="1705"/>
    <cellStyle name="표준 323" xfId="1706"/>
    <cellStyle name="표준 323 2" xfId="1707"/>
    <cellStyle name="표준 323 2 2" xfId="1708"/>
    <cellStyle name="표준 324" xfId="1709"/>
    <cellStyle name="표준 324 2" xfId="1710"/>
    <cellStyle name="표준 324 2 2" xfId="1711"/>
    <cellStyle name="표준 325" xfId="1712"/>
    <cellStyle name="표준 325 2" xfId="1713"/>
    <cellStyle name="표준 325 2 2" xfId="1714"/>
    <cellStyle name="표준 326" xfId="1715"/>
    <cellStyle name="표준 326 2" xfId="1716"/>
    <cellStyle name="표준 326 2 2" xfId="1717"/>
    <cellStyle name="표준 327" xfId="1718"/>
    <cellStyle name="표준 327 2" xfId="1719"/>
    <cellStyle name="표준 327 2 2" xfId="1720"/>
    <cellStyle name="표준 328" xfId="1721"/>
    <cellStyle name="표준 329" xfId="1722"/>
    <cellStyle name="표준 33" xfId="1723"/>
    <cellStyle name="표준 33 2" xfId="1724"/>
    <cellStyle name="표준 33 2 2" xfId="1725"/>
    <cellStyle name="표준 33 3" xfId="1726"/>
    <cellStyle name="표준 330" xfId="1727"/>
    <cellStyle name="표준 331" xfId="1728"/>
    <cellStyle name="표준 332" xfId="1729"/>
    <cellStyle name="표준 333" xfId="1730"/>
    <cellStyle name="표준 334" xfId="1731"/>
    <cellStyle name="표준 335" xfId="1732"/>
    <cellStyle name="표준 335 2" xfId="1733"/>
    <cellStyle name="표준 336" xfId="1734"/>
    <cellStyle name="표준 337" xfId="1735"/>
    <cellStyle name="표준 338" xfId="1736"/>
    <cellStyle name="표준 339" xfId="1737"/>
    <cellStyle name="표준 34" xfId="1738"/>
    <cellStyle name="표준 34 2" xfId="1739"/>
    <cellStyle name="표준 34 2 2" xfId="1740"/>
    <cellStyle name="표준 34 3" xfId="1741"/>
    <cellStyle name="표준 340" xfId="1742"/>
    <cellStyle name="표준 341" xfId="1743"/>
    <cellStyle name="표준 342" xfId="1744"/>
    <cellStyle name="표준 343" xfId="1745"/>
    <cellStyle name="표준 344" xfId="1746"/>
    <cellStyle name="표준 345" xfId="1747"/>
    <cellStyle name="표준 346" xfId="1748"/>
    <cellStyle name="표준 347" xfId="1749"/>
    <cellStyle name="표준 348" xfId="1750"/>
    <cellStyle name="표준 349" xfId="1751"/>
    <cellStyle name="표준 35" xfId="1752"/>
    <cellStyle name="표준 35 2" xfId="1753"/>
    <cellStyle name="표준 35 2 2" xfId="1754"/>
    <cellStyle name="표준 35 3" xfId="1755"/>
    <cellStyle name="표준 350" xfId="1756"/>
    <cellStyle name="표준 351" xfId="1757"/>
    <cellStyle name="표준 352" xfId="1758"/>
    <cellStyle name="표준 353" xfId="1759"/>
    <cellStyle name="표준 354" xfId="1760"/>
    <cellStyle name="표준 355" xfId="1761"/>
    <cellStyle name="표준 36" xfId="1762"/>
    <cellStyle name="표준 36 2" xfId="1763"/>
    <cellStyle name="표준 36 2 2" xfId="1764"/>
    <cellStyle name="표준 36 3" xfId="1765"/>
    <cellStyle name="표준 37" xfId="1766"/>
    <cellStyle name="표준 37 2" xfId="1767"/>
    <cellStyle name="표준 37 2 2" xfId="1768"/>
    <cellStyle name="표준 37 3" xfId="1769"/>
    <cellStyle name="표준 38" xfId="1770"/>
    <cellStyle name="표준 38 2" xfId="1771"/>
    <cellStyle name="표준 38 2 2" xfId="1772"/>
    <cellStyle name="표준 38 2 2 2" xfId="1773"/>
    <cellStyle name="표준 38 3" xfId="1774"/>
    <cellStyle name="표준 38 3 2" xfId="1775"/>
    <cellStyle name="표준 38 3 2 2" xfId="1776"/>
    <cellStyle name="표준 38 4" xfId="1777"/>
    <cellStyle name="표준 38 4 2" xfId="1778"/>
    <cellStyle name="표준 38 4 2 2" xfId="1779"/>
    <cellStyle name="표준 38 5" xfId="1780"/>
    <cellStyle name="표준 38 5 2" xfId="1781"/>
    <cellStyle name="표준 38 6" xfId="1782"/>
    <cellStyle name="표준 39" xfId="1783"/>
    <cellStyle name="표준 39 2" xfId="1784"/>
    <cellStyle name="표준 39 2 2" xfId="1785"/>
    <cellStyle name="표준 39 2 2 2" xfId="1786"/>
    <cellStyle name="표준 39 3" xfId="1787"/>
    <cellStyle name="표준 39 3 2" xfId="1788"/>
    <cellStyle name="표준 39 3 2 2" xfId="1789"/>
    <cellStyle name="표준 39 4" xfId="1790"/>
    <cellStyle name="표준 39 4 2" xfId="1791"/>
    <cellStyle name="표준 39 4 2 2" xfId="1792"/>
    <cellStyle name="표준 39 5" xfId="1793"/>
    <cellStyle name="표준 39 5 2" xfId="1794"/>
    <cellStyle name="표준 39 6" xfId="1795"/>
    <cellStyle name="표준 4" xfId="3"/>
    <cellStyle name="표준 4 2" xfId="1796"/>
    <cellStyle name="표준 4 2 2" xfId="1797"/>
    <cellStyle name="표준 4 2 2 2" xfId="1798"/>
    <cellStyle name="표준 4 2 3" xfId="1799"/>
    <cellStyle name="표준 4 3" xfId="1800"/>
    <cellStyle name="표준 4 3 2" xfId="1801"/>
    <cellStyle name="표준 4 3 3" xfId="1802"/>
    <cellStyle name="표준 4 4" xfId="1803"/>
    <cellStyle name="표준 4 5" xfId="1804"/>
    <cellStyle name="표준 4 6" xfId="1805"/>
    <cellStyle name="표준 40" xfId="1806"/>
    <cellStyle name="표준 40 2" xfId="1807"/>
    <cellStyle name="표준 40 2 2" xfId="1808"/>
    <cellStyle name="표준 40 2 2 2" xfId="1809"/>
    <cellStyle name="표준 40 3" xfId="1810"/>
    <cellStyle name="표준 40 3 2" xfId="1811"/>
    <cellStyle name="표준 40 3 2 2" xfId="1812"/>
    <cellStyle name="표준 40 4" xfId="1813"/>
    <cellStyle name="표준 40 4 2" xfId="1814"/>
    <cellStyle name="표준 40 4 2 2" xfId="1815"/>
    <cellStyle name="표준 40 5" xfId="1816"/>
    <cellStyle name="표준 40 5 2" xfId="1817"/>
    <cellStyle name="표준 40 6" xfId="1818"/>
    <cellStyle name="표준 41" xfId="1819"/>
    <cellStyle name="표준 41 2" xfId="1820"/>
    <cellStyle name="표준 41 2 2" xfId="1821"/>
    <cellStyle name="표준 41 2 2 2" xfId="1822"/>
    <cellStyle name="표준 41 3" xfId="1823"/>
    <cellStyle name="표준 41 3 2" xfId="1824"/>
    <cellStyle name="표준 41 3 2 2" xfId="1825"/>
    <cellStyle name="표준 41 4" xfId="1826"/>
    <cellStyle name="표준 41 4 2" xfId="1827"/>
    <cellStyle name="표준 41 4 2 2" xfId="1828"/>
    <cellStyle name="표준 41 5" xfId="1829"/>
    <cellStyle name="표준 41 5 2" xfId="1830"/>
    <cellStyle name="표준 41 6" xfId="1831"/>
    <cellStyle name="표준 42" xfId="1832"/>
    <cellStyle name="표준 42 2" xfId="1833"/>
    <cellStyle name="표준 42 2 2" xfId="1834"/>
    <cellStyle name="표준 42 2 2 2" xfId="1835"/>
    <cellStyle name="표준 42 3" xfId="1836"/>
    <cellStyle name="표준 42 3 2" xfId="1837"/>
    <cellStyle name="표준 42 3 2 2" xfId="1838"/>
    <cellStyle name="표준 42 4" xfId="1839"/>
    <cellStyle name="표준 42 4 2" xfId="1840"/>
    <cellStyle name="표준 42 4 2 2" xfId="1841"/>
    <cellStyle name="표준 42 5" xfId="1842"/>
    <cellStyle name="표준 42 5 2" xfId="1843"/>
    <cellStyle name="표준 42 6" xfId="1844"/>
    <cellStyle name="표준 43" xfId="1845"/>
    <cellStyle name="표준 43 2" xfId="1846"/>
    <cellStyle name="표준 43 2 2" xfId="1847"/>
    <cellStyle name="표준 43 3" xfId="1848"/>
    <cellStyle name="표준 44" xfId="1849"/>
    <cellStyle name="표준 44 2" xfId="1850"/>
    <cellStyle name="표준 44 2 2" xfId="1851"/>
    <cellStyle name="표준 44 2 2 2" xfId="1852"/>
    <cellStyle name="표준 44 3" xfId="1853"/>
    <cellStyle name="표준 44 3 2" xfId="1854"/>
    <cellStyle name="표준 44 3 2 2" xfId="1855"/>
    <cellStyle name="표준 44 4" xfId="1856"/>
    <cellStyle name="표준 44 4 2" xfId="1857"/>
    <cellStyle name="표준 44 4 2 2" xfId="1858"/>
    <cellStyle name="표준 44 5" xfId="1859"/>
    <cellStyle name="표준 44 5 2" xfId="1860"/>
    <cellStyle name="표준 44 6" xfId="1861"/>
    <cellStyle name="표준 45" xfId="1862"/>
    <cellStyle name="표준 45 2" xfId="1863"/>
    <cellStyle name="표준 45 2 2" xfId="1864"/>
    <cellStyle name="표준 45 2 2 2" xfId="1865"/>
    <cellStyle name="표준 45 3" xfId="1866"/>
    <cellStyle name="표준 45 3 2" xfId="1867"/>
    <cellStyle name="표준 45 3 2 2" xfId="1868"/>
    <cellStyle name="표준 45 4" xfId="1869"/>
    <cellStyle name="표준 45 4 2" xfId="1870"/>
    <cellStyle name="표준 45 4 2 2" xfId="1871"/>
    <cellStyle name="표준 45 5" xfId="1872"/>
    <cellStyle name="표준 45 5 2" xfId="1873"/>
    <cellStyle name="표준 45 6" xfId="1874"/>
    <cellStyle name="표준 46" xfId="1875"/>
    <cellStyle name="표준 46 2" xfId="1876"/>
    <cellStyle name="표준 46 2 2" xfId="1877"/>
    <cellStyle name="표준 46 2 2 2" xfId="1878"/>
    <cellStyle name="표준 46 3" xfId="1879"/>
    <cellStyle name="표준 46 3 2" xfId="1880"/>
    <cellStyle name="표준 46 3 2 2" xfId="1881"/>
    <cellStyle name="표준 46 4" xfId="1882"/>
    <cellStyle name="표준 46 4 2" xfId="1883"/>
    <cellStyle name="표준 46 4 2 2" xfId="1884"/>
    <cellStyle name="표준 46 5" xfId="1885"/>
    <cellStyle name="표준 46 5 2" xfId="1886"/>
    <cellStyle name="표준 46 6" xfId="1887"/>
    <cellStyle name="표준 47" xfId="1888"/>
    <cellStyle name="표준 47 2" xfId="1889"/>
    <cellStyle name="표준 47 2 2" xfId="1890"/>
    <cellStyle name="표준 47 2 2 2" xfId="1891"/>
    <cellStyle name="표준 47 3" xfId="1892"/>
    <cellStyle name="표준 47 3 2" xfId="1893"/>
    <cellStyle name="표준 47 3 2 2" xfId="1894"/>
    <cellStyle name="표준 47 4" xfId="1895"/>
    <cellStyle name="표준 47 4 2" xfId="1896"/>
    <cellStyle name="표준 47 4 2 2" xfId="1897"/>
    <cellStyle name="표준 47 5" xfId="1898"/>
    <cellStyle name="표준 47 5 2" xfId="1899"/>
    <cellStyle name="표준 47 6" xfId="1900"/>
    <cellStyle name="표준 48" xfId="1901"/>
    <cellStyle name="표준 48 2" xfId="1902"/>
    <cellStyle name="표준 48 2 2" xfId="1903"/>
    <cellStyle name="표준 48 2 2 2" xfId="1904"/>
    <cellStyle name="표준 48 3" xfId="1905"/>
    <cellStyle name="표준 48 3 2" xfId="1906"/>
    <cellStyle name="표준 48 3 2 2" xfId="1907"/>
    <cellStyle name="표준 48 4" xfId="1908"/>
    <cellStyle name="표준 48 4 2" xfId="1909"/>
    <cellStyle name="표준 48 4 2 2" xfId="1910"/>
    <cellStyle name="표준 48 5" xfId="1911"/>
    <cellStyle name="표준 48 5 2" xfId="1912"/>
    <cellStyle name="표준 48 6" xfId="1913"/>
    <cellStyle name="표준 49" xfId="1914"/>
    <cellStyle name="표준 49 2" xfId="1915"/>
    <cellStyle name="표준 49 2 2" xfId="1916"/>
    <cellStyle name="표준 49 2 2 2" xfId="1917"/>
    <cellStyle name="표준 49 3" xfId="1918"/>
    <cellStyle name="표준 49 3 2" xfId="1919"/>
    <cellStyle name="표준 49 3 2 2" xfId="1920"/>
    <cellStyle name="표준 49 4" xfId="1921"/>
    <cellStyle name="표준 49 4 2" xfId="1922"/>
    <cellStyle name="표준 49 4 2 2" xfId="1923"/>
    <cellStyle name="표준 49 5" xfId="1924"/>
    <cellStyle name="표준 49 5 2" xfId="1925"/>
    <cellStyle name="표준 49 6" xfId="1926"/>
    <cellStyle name="표준 5" xfId="1927"/>
    <cellStyle name="표준 5 2" xfId="1928"/>
    <cellStyle name="표준 5 2 2" xfId="1929"/>
    <cellStyle name="표준 5 2 2 2" xfId="1930"/>
    <cellStyle name="표준 5 2 3" xfId="1931"/>
    <cellStyle name="표준 5 3" xfId="1932"/>
    <cellStyle name="표준 5 3 2" xfId="1933"/>
    <cellStyle name="표준 5 4" xfId="1934"/>
    <cellStyle name="표준 5 5" xfId="1935"/>
    <cellStyle name="표준 50" xfId="1936"/>
    <cellStyle name="표준 50 2" xfId="1937"/>
    <cellStyle name="표준 50 2 2" xfId="1938"/>
    <cellStyle name="표준 50 2 2 2" xfId="1939"/>
    <cellStyle name="표준 50 3" xfId="1940"/>
    <cellStyle name="표준 50 3 2" xfId="1941"/>
    <cellStyle name="표준 50 3 2 2" xfId="1942"/>
    <cellStyle name="표준 50 4" xfId="1943"/>
    <cellStyle name="표준 50 4 2" xfId="1944"/>
    <cellStyle name="표준 50 4 2 2" xfId="1945"/>
    <cellStyle name="표준 50 5" xfId="1946"/>
    <cellStyle name="표준 50 5 2" xfId="1947"/>
    <cellStyle name="표준 50 6" xfId="1948"/>
    <cellStyle name="표준 51" xfId="1949"/>
    <cellStyle name="표준 51 2" xfId="1950"/>
    <cellStyle name="표준 51 2 2" xfId="1951"/>
    <cellStyle name="표준 51 2 2 2" xfId="1952"/>
    <cellStyle name="표준 51 3" xfId="1953"/>
    <cellStyle name="표준 51 3 2" xfId="1954"/>
    <cellStyle name="표준 51 3 2 2" xfId="1955"/>
    <cellStyle name="표준 51 4" xfId="1956"/>
    <cellStyle name="표준 51 4 2" xfId="1957"/>
    <cellStyle name="표준 51 4 2 2" xfId="1958"/>
    <cellStyle name="표준 51 5" xfId="1959"/>
    <cellStyle name="표준 51 5 2" xfId="1960"/>
    <cellStyle name="표준 51 6" xfId="1961"/>
    <cellStyle name="표준 52" xfId="1962"/>
    <cellStyle name="표준 52 2" xfId="1963"/>
    <cellStyle name="표준 52 2 2" xfId="1964"/>
    <cellStyle name="표준 52 2 2 2" xfId="1965"/>
    <cellStyle name="표준 52 3" xfId="1966"/>
    <cellStyle name="표준 52 3 2" xfId="1967"/>
    <cellStyle name="표준 52 3 2 2" xfId="1968"/>
    <cellStyle name="표준 52 4" xfId="1969"/>
    <cellStyle name="표준 52 4 2" xfId="1970"/>
    <cellStyle name="표준 52 4 2 2" xfId="1971"/>
    <cellStyle name="표준 52 5" xfId="1972"/>
    <cellStyle name="표준 52 5 2" xfId="1973"/>
    <cellStyle name="표준 52 6" xfId="1974"/>
    <cellStyle name="표준 53" xfId="1975"/>
    <cellStyle name="표준 53 2" xfId="1976"/>
    <cellStyle name="표준 53 2 2" xfId="1977"/>
    <cellStyle name="표준 53 2 2 2" xfId="1978"/>
    <cellStyle name="표준 53 3" xfId="1979"/>
    <cellStyle name="표준 53 3 2" xfId="1980"/>
    <cellStyle name="표준 53 3 2 2" xfId="1981"/>
    <cellStyle name="표준 53 4" xfId="1982"/>
    <cellStyle name="표준 53 4 2" xfId="1983"/>
    <cellStyle name="표준 53 4 2 2" xfId="1984"/>
    <cellStyle name="표준 53 5" xfId="1985"/>
    <cellStyle name="표준 53 5 2" xfId="1986"/>
    <cellStyle name="표준 53 6" xfId="1987"/>
    <cellStyle name="표준 54" xfId="1988"/>
    <cellStyle name="표준 54 2" xfId="1989"/>
    <cellStyle name="표준 54 2 2" xfId="1990"/>
    <cellStyle name="표준 54 2 2 2" xfId="1991"/>
    <cellStyle name="표준 54 3" xfId="1992"/>
    <cellStyle name="표준 54 3 2" xfId="1993"/>
    <cellStyle name="표준 54 3 2 2" xfId="1994"/>
    <cellStyle name="표준 54 4" xfId="1995"/>
    <cellStyle name="표준 54 4 2" xfId="1996"/>
    <cellStyle name="표준 54 4 2 2" xfId="1997"/>
    <cellStyle name="표준 54 5" xfId="1998"/>
    <cellStyle name="표준 54 5 2" xfId="1999"/>
    <cellStyle name="표준 54 6" xfId="2000"/>
    <cellStyle name="표준 55" xfId="2001"/>
    <cellStyle name="표준 55 2" xfId="2002"/>
    <cellStyle name="표준 55 2 2" xfId="2003"/>
    <cellStyle name="표준 55 2 2 2" xfId="2004"/>
    <cellStyle name="표준 55 3" xfId="2005"/>
    <cellStyle name="표준 55 3 2" xfId="2006"/>
    <cellStyle name="표준 55 3 2 2" xfId="2007"/>
    <cellStyle name="표준 55 4" xfId="2008"/>
    <cellStyle name="표준 55 4 2" xfId="2009"/>
    <cellStyle name="표준 55 4 2 2" xfId="2010"/>
    <cellStyle name="표준 55 5" xfId="2011"/>
    <cellStyle name="표준 55 5 2" xfId="2012"/>
    <cellStyle name="표준 55 6" xfId="2013"/>
    <cellStyle name="표준 56" xfId="2014"/>
    <cellStyle name="표준 56 2" xfId="2015"/>
    <cellStyle name="표준 56 2 2" xfId="2016"/>
    <cellStyle name="표준 56 2 2 2" xfId="2017"/>
    <cellStyle name="표준 56 3" xfId="2018"/>
    <cellStyle name="표준 56 3 2" xfId="2019"/>
    <cellStyle name="표준 56 3 2 2" xfId="2020"/>
    <cellStyle name="표준 56 4" xfId="2021"/>
    <cellStyle name="표준 56 4 2" xfId="2022"/>
    <cellStyle name="표준 56 4 2 2" xfId="2023"/>
    <cellStyle name="표준 56 5" xfId="2024"/>
    <cellStyle name="표준 56 5 2" xfId="2025"/>
    <cellStyle name="표준 56 6" xfId="2026"/>
    <cellStyle name="표준 57" xfId="2027"/>
    <cellStyle name="표준 57 2" xfId="2028"/>
    <cellStyle name="표준 57 2 2" xfId="2029"/>
    <cellStyle name="표준 57 2 2 2" xfId="2030"/>
    <cellStyle name="표준 57 3" xfId="2031"/>
    <cellStyle name="표준 57 3 2" xfId="2032"/>
    <cellStyle name="표준 57 3 2 2" xfId="2033"/>
    <cellStyle name="표준 57 4" xfId="2034"/>
    <cellStyle name="표준 57 4 2" xfId="2035"/>
    <cellStyle name="표준 57 4 2 2" xfId="2036"/>
    <cellStyle name="표준 57 5" xfId="2037"/>
    <cellStyle name="표준 57 5 2" xfId="2038"/>
    <cellStyle name="표준 57 6" xfId="2039"/>
    <cellStyle name="표준 58" xfId="2040"/>
    <cellStyle name="표준 58 2" xfId="2041"/>
    <cellStyle name="표준 58 2 2" xfId="2042"/>
    <cellStyle name="표준 58 2 2 2" xfId="2043"/>
    <cellStyle name="표준 58 3" xfId="2044"/>
    <cellStyle name="표준 58 3 2" xfId="2045"/>
    <cellStyle name="표준 58 3 2 2" xfId="2046"/>
    <cellStyle name="표준 58 4" xfId="2047"/>
    <cellStyle name="표준 58 4 2" xfId="2048"/>
    <cellStyle name="표준 58 4 2 2" xfId="2049"/>
    <cellStyle name="표준 58 5" xfId="2050"/>
    <cellStyle name="표준 58 5 2" xfId="2051"/>
    <cellStyle name="표준 58 6" xfId="2052"/>
    <cellStyle name="표준 59" xfId="2053"/>
    <cellStyle name="표준 59 2" xfId="2054"/>
    <cellStyle name="표준 59 2 2" xfId="2055"/>
    <cellStyle name="표준 59 2 2 2" xfId="2056"/>
    <cellStyle name="표준 59 3" xfId="2057"/>
    <cellStyle name="표준 59 3 2" xfId="2058"/>
    <cellStyle name="표준 59 3 2 2" xfId="2059"/>
    <cellStyle name="표준 59 4" xfId="2060"/>
    <cellStyle name="표준 59 4 2" xfId="2061"/>
    <cellStyle name="표준 59 4 2 2" xfId="2062"/>
    <cellStyle name="표준 59 5" xfId="2063"/>
    <cellStyle name="표준 59 5 2" xfId="2064"/>
    <cellStyle name="표준 59 6" xfId="2065"/>
    <cellStyle name="표준 6" xfId="2066"/>
    <cellStyle name="표준 6 2" xfId="2067"/>
    <cellStyle name="표준 6 2 2" xfId="2068"/>
    <cellStyle name="표준 6 2 2 2" xfId="2069"/>
    <cellStyle name="표준 6 3" xfId="2070"/>
    <cellStyle name="표준 6 4" xfId="2071"/>
    <cellStyle name="표준 6 5" xfId="2072"/>
    <cellStyle name="표준 60" xfId="2073"/>
    <cellStyle name="표준 60 2" xfId="2074"/>
    <cellStyle name="표준 60 2 2" xfId="2075"/>
    <cellStyle name="표준 60 2 2 2" xfId="2076"/>
    <cellStyle name="표준 60 3" xfId="2077"/>
    <cellStyle name="표준 60 3 2" xfId="2078"/>
    <cellStyle name="표준 60 3 2 2" xfId="2079"/>
    <cellStyle name="표준 60 4" xfId="2080"/>
    <cellStyle name="표준 60 4 2" xfId="2081"/>
    <cellStyle name="표준 60 4 2 2" xfId="2082"/>
    <cellStyle name="표준 60 5" xfId="2083"/>
    <cellStyle name="표준 60 5 2" xfId="2084"/>
    <cellStyle name="표준 60 6" xfId="2085"/>
    <cellStyle name="표준 61" xfId="2086"/>
    <cellStyle name="표준 61 2" xfId="2087"/>
    <cellStyle name="표준 61 2 2" xfId="2088"/>
    <cellStyle name="표준 61 2 2 2" xfId="2089"/>
    <cellStyle name="표준 61 3" xfId="2090"/>
    <cellStyle name="표준 61 3 2" xfId="2091"/>
    <cellStyle name="표준 61 3 2 2" xfId="2092"/>
    <cellStyle name="표준 61 4" xfId="2093"/>
    <cellStyle name="표준 61 4 2" xfId="2094"/>
    <cellStyle name="표준 61 4 2 2" xfId="2095"/>
    <cellStyle name="표준 61 5" xfId="2096"/>
    <cellStyle name="표준 61 5 2" xfId="2097"/>
    <cellStyle name="표준 61 6" xfId="2098"/>
    <cellStyle name="표준 62" xfId="2099"/>
    <cellStyle name="표준 62 2" xfId="2100"/>
    <cellStyle name="표준 62 2 2" xfId="2101"/>
    <cellStyle name="표준 62 3" xfId="2102"/>
    <cellStyle name="표준 63" xfId="2103"/>
    <cellStyle name="표준 63 2" xfId="2104"/>
    <cellStyle name="표준 63 2 2" xfId="2105"/>
    <cellStyle name="표준 63 3" xfId="2106"/>
    <cellStyle name="표준 64" xfId="2107"/>
    <cellStyle name="표준 64 2" xfId="2108"/>
    <cellStyle name="표준 64 2 2" xfId="2109"/>
    <cellStyle name="표준 64 3" xfId="2110"/>
    <cellStyle name="표준 65" xfId="2111"/>
    <cellStyle name="표준 65 2" xfId="2112"/>
    <cellStyle name="표준 65 2 2" xfId="2113"/>
    <cellStyle name="표준 65 3" xfId="2114"/>
    <cellStyle name="표준 66" xfId="2115"/>
    <cellStyle name="표준 66 2" xfId="2116"/>
    <cellStyle name="표준 66 2 2" xfId="2117"/>
    <cellStyle name="표준 66 3" xfId="2118"/>
    <cellStyle name="표준 67" xfId="2119"/>
    <cellStyle name="표준 67 2" xfId="2120"/>
    <cellStyle name="표준 67 2 2" xfId="2121"/>
    <cellStyle name="표준 67 3" xfId="2122"/>
    <cellStyle name="표준 68" xfId="2123"/>
    <cellStyle name="표준 68 2" xfId="2124"/>
    <cellStyle name="표준 68 2 2" xfId="2125"/>
    <cellStyle name="표준 68 3" xfId="2126"/>
    <cellStyle name="표준 69" xfId="2127"/>
    <cellStyle name="표준 69 2" xfId="2128"/>
    <cellStyle name="표준 69 2 2" xfId="2129"/>
    <cellStyle name="표준 69 3" xfId="2130"/>
    <cellStyle name="표준 7" xfId="2131"/>
    <cellStyle name="표준 7 2" xfId="2132"/>
    <cellStyle name="표준 7 2 2" xfId="2133"/>
    <cellStyle name="표준 7 2 2 2" xfId="2134"/>
    <cellStyle name="표준 7 3" xfId="2135"/>
    <cellStyle name="표준 7 3 2" xfId="2136"/>
    <cellStyle name="표준 7 4" xfId="2137"/>
    <cellStyle name="표준 7 5" xfId="2138"/>
    <cellStyle name="표준 70" xfId="2139"/>
    <cellStyle name="표준 70 2" xfId="2140"/>
    <cellStyle name="표준 70 2 2" xfId="2141"/>
    <cellStyle name="표준 70 3" xfId="2142"/>
    <cellStyle name="표준 71" xfId="2143"/>
    <cellStyle name="표준 71 2" xfId="2144"/>
    <cellStyle name="표준 71 2 2" xfId="2145"/>
    <cellStyle name="표준 71 3" xfId="2146"/>
    <cellStyle name="표준 72" xfId="2147"/>
    <cellStyle name="표준 72 2" xfId="2148"/>
    <cellStyle name="표준 72 2 2" xfId="2149"/>
    <cellStyle name="표준 72 3" xfId="2150"/>
    <cellStyle name="표준 73" xfId="2151"/>
    <cellStyle name="표준 73 2" xfId="2152"/>
    <cellStyle name="표준 73 2 2" xfId="2153"/>
    <cellStyle name="표준 73 3" xfId="2154"/>
    <cellStyle name="표준 74" xfId="2155"/>
    <cellStyle name="표준 74 2" xfId="2156"/>
    <cellStyle name="표준 74 2 2" xfId="2157"/>
    <cellStyle name="표준 74 3" xfId="2158"/>
    <cellStyle name="표준 75" xfId="2159"/>
    <cellStyle name="표준 75 2" xfId="2160"/>
    <cellStyle name="표준 75 2 2" xfId="2161"/>
    <cellStyle name="표준 75 3" xfId="2162"/>
    <cellStyle name="표준 76" xfId="2163"/>
    <cellStyle name="표준 76 2" xfId="2164"/>
    <cellStyle name="표준 76 2 2" xfId="2165"/>
    <cellStyle name="표준 76 3" xfId="2166"/>
    <cellStyle name="표준 77" xfId="2167"/>
    <cellStyle name="표준 77 2" xfId="2168"/>
    <cellStyle name="표준 77 2 2" xfId="2169"/>
    <cellStyle name="표준 77 3" xfId="2170"/>
    <cellStyle name="표준 78" xfId="2171"/>
    <cellStyle name="표준 78 2" xfId="2172"/>
    <cellStyle name="표준 78 2 2" xfId="2173"/>
    <cellStyle name="표준 78 3" xfId="2174"/>
    <cellStyle name="표준 79" xfId="2175"/>
    <cellStyle name="표준 79 2" xfId="2176"/>
    <cellStyle name="표준 79 2 2" xfId="2177"/>
    <cellStyle name="표준 79 3" xfId="2178"/>
    <cellStyle name="표준 8" xfId="2179"/>
    <cellStyle name="표준 8 2" xfId="2180"/>
    <cellStyle name="표준 8 2 2" xfId="2181"/>
    <cellStyle name="표준 8 2 2 2" xfId="2182"/>
    <cellStyle name="표준 8 2 3" xfId="2183"/>
    <cellStyle name="표준 8 2 4" xfId="2184"/>
    <cellStyle name="표준 8 3" xfId="2185"/>
    <cellStyle name="표준 8 3 2" xfId="2186"/>
    <cellStyle name="표준 8 3 3" xfId="2187"/>
    <cellStyle name="표준 8 4" xfId="2188"/>
    <cellStyle name="표준 8 5" xfId="2189"/>
    <cellStyle name="표준 80" xfId="2190"/>
    <cellStyle name="표준 80 2" xfId="2191"/>
    <cellStyle name="표준 80 2 2" xfId="2192"/>
    <cellStyle name="표준 80 3" xfId="2193"/>
    <cellStyle name="표준 81" xfId="2194"/>
    <cellStyle name="표준 81 2" xfId="2195"/>
    <cellStyle name="표준 81 2 2" xfId="2196"/>
    <cellStyle name="표준 81 3" xfId="2197"/>
    <cellStyle name="표준 82" xfId="2198"/>
    <cellStyle name="표준 82 2" xfId="2199"/>
    <cellStyle name="표준 82 2 2" xfId="2200"/>
    <cellStyle name="표준 82 3" xfId="2201"/>
    <cellStyle name="표준 83" xfId="2202"/>
    <cellStyle name="표준 83 2" xfId="2203"/>
    <cellStyle name="표준 83 2 2" xfId="2204"/>
    <cellStyle name="표준 83 3" xfId="2205"/>
    <cellStyle name="표준 84" xfId="2206"/>
    <cellStyle name="표준 84 2" xfId="2207"/>
    <cellStyle name="표준 84 2 2" xfId="2208"/>
    <cellStyle name="표준 84 3" xfId="2209"/>
    <cellStyle name="표준 85" xfId="2210"/>
    <cellStyle name="표준 85 2" xfId="2211"/>
    <cellStyle name="표준 85 2 2" xfId="2212"/>
    <cellStyle name="표준 85 3" xfId="2213"/>
    <cellStyle name="표준 86" xfId="2214"/>
    <cellStyle name="표준 86 2" xfId="2215"/>
    <cellStyle name="표준 86 2 2" xfId="2216"/>
    <cellStyle name="표준 86 3" xfId="2217"/>
    <cellStyle name="표준 87" xfId="2218"/>
    <cellStyle name="표준 87 2" xfId="2219"/>
    <cellStyle name="표준 87 2 2" xfId="2220"/>
    <cellStyle name="표준 87 3" xfId="2221"/>
    <cellStyle name="표준 88" xfId="2222"/>
    <cellStyle name="표준 88 2" xfId="2223"/>
    <cellStyle name="표준 88 2 2" xfId="2224"/>
    <cellStyle name="표준 88 3" xfId="2225"/>
    <cellStyle name="표준 89" xfId="2226"/>
    <cellStyle name="표준 89 2" xfId="2227"/>
    <cellStyle name="표준 89 2 2" xfId="2228"/>
    <cellStyle name="표준 89 3" xfId="2229"/>
    <cellStyle name="표준 9" xfId="2230"/>
    <cellStyle name="표준 9 2" xfId="2231"/>
    <cellStyle name="표준 9 2 2" xfId="2232"/>
    <cellStyle name="표준 9 2 3" xfId="2233"/>
    <cellStyle name="표준 9 3" xfId="2234"/>
    <cellStyle name="표준 9 3 2" xfId="2235"/>
    <cellStyle name="표준 9 3 3" xfId="2236"/>
    <cellStyle name="표준 9 4" xfId="2237"/>
    <cellStyle name="표준 9 4 2" xfId="2238"/>
    <cellStyle name="표준 9 5" xfId="2239"/>
    <cellStyle name="표준 9 6" xfId="2240"/>
    <cellStyle name="표준 90" xfId="2241"/>
    <cellStyle name="표준 90 2" xfId="2242"/>
    <cellStyle name="표준 90 2 2" xfId="2243"/>
    <cellStyle name="표준 90 3" xfId="2244"/>
    <cellStyle name="표준 91" xfId="2245"/>
    <cellStyle name="표준 91 2" xfId="2246"/>
    <cellStyle name="표준 91 2 2" xfId="2247"/>
    <cellStyle name="표준 91 3" xfId="2248"/>
    <cellStyle name="표준 92" xfId="2249"/>
    <cellStyle name="표준 92 2" xfId="2250"/>
    <cellStyle name="표준 92 2 2" xfId="2251"/>
    <cellStyle name="표준 92 3" xfId="2252"/>
    <cellStyle name="표준 93" xfId="2253"/>
    <cellStyle name="표준 93 2" xfId="2254"/>
    <cellStyle name="표준 93 2 2" xfId="2255"/>
    <cellStyle name="표준 93 3" xfId="2256"/>
    <cellStyle name="표준 94" xfId="2257"/>
    <cellStyle name="표준 94 2" xfId="2258"/>
    <cellStyle name="표준 94 2 2" xfId="2259"/>
    <cellStyle name="표준 94 3" xfId="2260"/>
    <cellStyle name="표준 95" xfId="2261"/>
    <cellStyle name="표준 95 2" xfId="2262"/>
    <cellStyle name="표준 95 2 2" xfId="2263"/>
    <cellStyle name="표준 95 3" xfId="2264"/>
    <cellStyle name="표준 96" xfId="2265"/>
    <cellStyle name="표준 96 2" xfId="2266"/>
    <cellStyle name="표준 96 2 2" xfId="2267"/>
    <cellStyle name="표준 96 3" xfId="2268"/>
    <cellStyle name="표준 97" xfId="2269"/>
    <cellStyle name="표준 97 2" xfId="2270"/>
    <cellStyle name="표준 97 2 2" xfId="2271"/>
    <cellStyle name="표준 97 3" xfId="2272"/>
    <cellStyle name="표준 98" xfId="2273"/>
    <cellStyle name="표준 98 2" xfId="2274"/>
    <cellStyle name="표준 98 2 2" xfId="2275"/>
    <cellStyle name="표준 98 3" xfId="2276"/>
    <cellStyle name="표준 99" xfId="2277"/>
    <cellStyle name="표준 99 2" xfId="2278"/>
    <cellStyle name="표준 99 2 2" xfId="2279"/>
    <cellStyle name="표준 99 3" xfId="2280"/>
    <cellStyle name="標準_Akia(F）-8" xfId="2281"/>
    <cellStyle name="표준JKDH" xfId="2282"/>
    <cellStyle name="하이퍼링크 2" xfId="2283"/>
    <cellStyle name="하이퍼링크 2 2" xfId="2284"/>
    <cellStyle name="하이퍼링크 2 3" xfId="2285"/>
    <cellStyle name="하이퍼링크 3" xfId="2286"/>
    <cellStyle name="하이퍼링크 4" xfId="2287"/>
    <cellStyle name="합계" xfId="2288"/>
    <cellStyle name="합산" xfId="2289"/>
    <cellStyle name="합산 2" xfId="2290"/>
    <cellStyle name="합산 2 2" xfId="2291"/>
    <cellStyle name="합산 2 3" xfId="2292"/>
    <cellStyle name="화폐기호" xfId="2293"/>
    <cellStyle name="화폐기호 2" xfId="2294"/>
    <cellStyle name="화폐기호 2 2" xfId="2295"/>
    <cellStyle name="화폐기호 2 3" xfId="2296"/>
    <cellStyle name="화폐기호0" xfId="2297"/>
    <cellStyle name="화폐기호0 2" xfId="2298"/>
    <cellStyle name="화폐기호0 2 2" xfId="2299"/>
    <cellStyle name="화폐기호0 2 3" xfId="2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285;&#51061;\&#44277;&#50976;&#48169;\W_EXCEL\ABUT\source\P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96;&#50976;&#52384;\&#51204;&#52404;&#44277;&#50976;\My%20Documents\&#44608;&#49345;&#54840;\&#54532;&#47196;&#51229;&#53944;\&#51652;&#54665;&#51473;&#51064;%20&#44163;\&#45824;&#44396;&#45804;&#49436;&#52380;\excel\PROJECT\&#51109;&#45796;&#47532;&#52380;\PROJECT\&#51473;&#50521;&#54616;&#49688;&#52376;&#47532;&#51109;\&#51648;&#48152;&#48372;&#44053;&#44277;(&#51473;&#5052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1%20&#49548;&#50836;&#49324;&#50629;&#48708;-&#44148;&#54868;&#49688;&#5122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.2%20&#50976;&#51648;&#44288;&#47532;&#48708;-&#44148;&#54868;&#49688;&#512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설계조건 "/>
      <sheetName val="PILE "/>
      <sheetName val="6PILE  (돌출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차수공개요"/>
      <sheetName val="차수공집계표"/>
      <sheetName val="차수공산출서(1)"/>
      <sheetName val="차수공산출서(2)"/>
      <sheetName val="차수공산출서(3)"/>
      <sheetName val="차수공산출서(4)"/>
      <sheetName val="차수공산출서(5)"/>
      <sheetName val="차수공산출서(6)"/>
      <sheetName val="차수공산출서(7)"/>
      <sheetName val="차수공산출서(8)"/>
      <sheetName val="차수공산출서(9)"/>
      <sheetName val="차수공산출서(10)"/>
      <sheetName val="차수공산출서(11)"/>
      <sheetName val="차수공산출서(12)"/>
      <sheetName val="차수공산출서(13)"/>
      <sheetName val="차수공산출서(14)"/>
      <sheetName val="차수공산출서(15)"/>
      <sheetName val="차수공산출서(16)"/>
      <sheetName val="차수공산출서(17)"/>
      <sheetName val="차수공산출서(18)"/>
      <sheetName val="차수공산출서(19)"/>
      <sheetName val="차수공산출서(20)"/>
      <sheetName val="차수공산출서(21)"/>
      <sheetName val="차수공산출서(22)"/>
      <sheetName val="차수공산출서(23)"/>
      <sheetName val="차수공산출서(24)"/>
      <sheetName val="차수공산출서(25)"/>
      <sheetName val="차수공산출서(26)"/>
      <sheetName val="차수공산출서(27)"/>
      <sheetName val="바닥판"/>
      <sheetName val="입력DATA"/>
      <sheetName val="입찰안"/>
    </sheetNames>
    <sheetDataSet>
      <sheetData sheetId="0"/>
      <sheetData sheetId="1">
        <row r="6">
          <cell r="B6" t="str">
            <v>90+10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(출력x)"/>
      <sheetName val="1.소요사업비"/>
      <sheetName val="1.2 음성처리구역"/>
      <sheetName val="1.2.2 공공하수처리시설 신증설"/>
      <sheetName val="1.2.3 공공하수처리시설 기능정상화"/>
      <sheetName val="1.2.4 오수간선및차집관로 교체및보수"/>
      <sheetName val="가.굴착교체(음성-간선)"/>
      <sheetName val="나.전체보수(음성-간선)"/>
      <sheetName val="다.부분보수(음성-간선)"/>
      <sheetName val="라.맨홀보수(음성-간선)"/>
      <sheetName val="마.우수토실개량(음성-간선)"/>
      <sheetName val="1.2.5 오수관로신설"/>
      <sheetName val="가.관로신설(음성-오수지선)"/>
      <sheetName val="나.배수설비(음성)"/>
      <sheetName val="다.맨홀펌프장(음성)"/>
      <sheetName val="1.2.6 오수관로 교체및보수"/>
      <sheetName val="가.굴착교체(음성-오수지선)"/>
      <sheetName val="나.전체보수(음성-오수지선)"/>
      <sheetName val="다.부분보수(음성-오수지선)"/>
      <sheetName val="1.2.7 우수관로신설"/>
      <sheetName val="가.관로신설(음성-우수지선)"/>
      <sheetName val="1.2.8 우수관로 교체 및 보수"/>
      <sheetName val="가.굴착교체(음성-우수)"/>
      <sheetName val="1.2.9 하수저류시설"/>
      <sheetName val="1.3 금왕처리구역"/>
      <sheetName val="1.3.2 공공하수처리시설 신증설"/>
      <sheetName val="1.3.3 공공하수처리시설 기능정상화"/>
      <sheetName val="1.3.4 오수간선및차집관로 교체및보수"/>
      <sheetName val="가.굴착교체(금왕-간선)"/>
      <sheetName val="나.전체보수(금왕-간선)"/>
      <sheetName val="다.부분보수(금왕-간선)"/>
      <sheetName val="라.맨홀보수(금왕-간선)"/>
      <sheetName val="마.우수토실개량(금왕-간선)"/>
      <sheetName val="1.3.5 오수관로신설"/>
      <sheetName val="가.관로신설(금왕-오수지선)"/>
      <sheetName val="나.배수설비(금왕)"/>
      <sheetName val="다.맨홀펌프장(금왕)"/>
      <sheetName val="1.3.6 오수관로 교체및보수"/>
      <sheetName val="가.굴착교체(금왕-오수지선)"/>
      <sheetName val="1.3.7 우수관로 교체 및 보수"/>
      <sheetName val="가.굴착교체(금왕-우수)"/>
      <sheetName val="1.3.8 하수저류시설"/>
      <sheetName val="1.3.9 하수찌꺼지 처리시설"/>
      <sheetName val="1.4 대소처리구역"/>
      <sheetName val="1.4.2 공공하수처리시설 신증설"/>
      <sheetName val="1.4.3 공공하수처리시설 기능정상화"/>
      <sheetName val="1.4.4 오수간선및차집관로 교체및보수"/>
      <sheetName val="가.굴착교체(대소-간선)"/>
      <sheetName val="나.전체보수(대소-간선)"/>
      <sheetName val="다.부분보수(대소-간선)"/>
      <sheetName val="라.맨홀보수(대소-간선)"/>
      <sheetName val="마.우수토실개량(대소-간선)"/>
      <sheetName val="1.4.5 오수관로신설"/>
      <sheetName val="가.관로신설(대소-오수지선)"/>
      <sheetName val="나.배수설비(대소)"/>
      <sheetName val="다.맨홀펌프장(대소)"/>
      <sheetName val="1.4.6 오수관로 교체및보수"/>
      <sheetName val="가.굴착교체(대소-오수지선)"/>
      <sheetName val="나.전체보수(대소-오수지선)"/>
      <sheetName val="다.부분보수(대소-오수지선)"/>
      <sheetName val="1.4.7 우수관로 교체 및 보수"/>
      <sheetName val="가.굴착교체(대소-우수)"/>
      <sheetName val="1.4.8 하수저류시설"/>
      <sheetName val="1.5 생극처리구역"/>
      <sheetName val="1.5.2 공공하수처리시설 신증설"/>
      <sheetName val="1.5.3 공공하수처리시설 기능정상화"/>
      <sheetName val="1.5.4 오수간선및차집관로 교체및보수"/>
      <sheetName val="가.굴착교체(생극-간선)"/>
      <sheetName val="나.전체보수(생극-간선)"/>
      <sheetName val="다.부분보수(생극-간선)"/>
      <sheetName val="라.맨홀보수(생극-간선)"/>
      <sheetName val="마.우수토실개량(생극-간선)"/>
      <sheetName val="1.5.5 오수관로신설"/>
      <sheetName val="가.관로신설(생극-오수지선)"/>
      <sheetName val="나.배수설비(생극)"/>
      <sheetName val="다.맨홀펌프장(생극)"/>
      <sheetName val="1.5.6 오수관로 교체및보수"/>
      <sheetName val="가.굴착교체(생극-오수지선)"/>
      <sheetName val="나.전체보수(생극-오수지선)"/>
      <sheetName val="다.부분보수(생극-오수지선)"/>
      <sheetName val="1.5.7 우수관로 교체 및 보수"/>
      <sheetName val="가.굴착교체(생극-우수)"/>
      <sheetName val="1.5.8 하수저류시설"/>
      <sheetName val="1.6 감곡처리구역"/>
      <sheetName val="1.6.2 공공하수처리시설 신증설"/>
      <sheetName val="1.6.3 공공하수처리시설 기능정상화"/>
      <sheetName val="1.6.4 오수간선및차집관로 교체및보수"/>
      <sheetName val="가.굴착교체(감곡-간선)"/>
      <sheetName val="나.전체보수(감곡-간선)"/>
      <sheetName val="다.부분보수(감곡-간선)"/>
      <sheetName val="라.맨홀보수(감곡-간선)"/>
      <sheetName val="마.우수토실개량(감곡-간선)"/>
      <sheetName val="1.6.5 오수관로신설"/>
      <sheetName val="가.관로신설(감곡-오수지선)"/>
      <sheetName val="나.배수설비(감곡)"/>
      <sheetName val="다.맨홀펌프장(감곡)"/>
      <sheetName val="1.6.6 오수관로 교체및보수"/>
      <sheetName val="가.굴착교체(감곡-오수지선)"/>
      <sheetName val="나.전체보수(감곡-오수지선)"/>
      <sheetName val="다.부분보수(감곡-오수지선)"/>
      <sheetName val="1.6.7 우수관로 교체 및 보수"/>
      <sheetName val="가.굴착교체(감곡-우수)"/>
      <sheetName val="1.6.8 하수저류시설"/>
      <sheetName val="1.7 맹동처리구역"/>
      <sheetName val="1.7.2 공공하수처리시설 신증설"/>
      <sheetName val="1.7.3 오수관로신설"/>
      <sheetName val="가.관로신설(맹동-오수지선)"/>
      <sheetName val="나.배수설비(맹동)"/>
      <sheetName val="소규모(출력x)"/>
      <sheetName val="1.9 소규모처리구역"/>
      <sheetName val="1.9.1 한벌"/>
      <sheetName val="가.공사비산출(한벌)"/>
      <sheetName val="1.9.2 사창"/>
      <sheetName val="가.공사비산출(사창)"/>
      <sheetName val="1.9.3 소이"/>
      <sheetName val="1.9.4 원남"/>
      <sheetName val="1.9.5 주천"/>
      <sheetName val="가.공사비산출(주천)"/>
      <sheetName val="1.9.7 본대"/>
      <sheetName val="가.공사비산출(본대)"/>
    </sheetNames>
    <sheetDataSet>
      <sheetData sheetId="0"/>
      <sheetData sheetId="1"/>
      <sheetData sheetId="2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5837</v>
          </cell>
          <cell r="F8">
            <v>3518</v>
          </cell>
          <cell r="G8">
            <v>0</v>
          </cell>
          <cell r="H8">
            <v>0</v>
          </cell>
        </row>
        <row r="9">
          <cell r="E9">
            <v>0</v>
          </cell>
          <cell r="F9">
            <v>435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2064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2499</v>
          </cell>
          <cell r="G11">
            <v>0</v>
          </cell>
          <cell r="H11">
            <v>0</v>
          </cell>
        </row>
        <row r="12">
          <cell r="E12">
            <v>1108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1047</v>
          </cell>
          <cell r="F13">
            <v>2344</v>
          </cell>
          <cell r="G13">
            <v>2035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E15">
            <v>1047</v>
          </cell>
          <cell r="F15">
            <v>2344</v>
          </cell>
          <cell r="G15">
            <v>2035</v>
          </cell>
          <cell r="H15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</row>
        <row r="8">
          <cell r="E8">
            <v>21676</v>
          </cell>
          <cell r="F8">
            <v>5634</v>
          </cell>
          <cell r="G8">
            <v>0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3065</v>
          </cell>
          <cell r="F13">
            <v>3152</v>
          </cell>
          <cell r="G13">
            <v>1087</v>
          </cell>
          <cell r="H13">
            <v>1051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E16">
            <v>10143</v>
          </cell>
          <cell r="G16">
            <v>0</v>
          </cell>
          <cell r="H16">
            <v>9399.5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E19">
            <v>5842</v>
          </cell>
        </row>
      </sheetData>
      <sheetData sheetId="25">
        <row r="56">
          <cell r="B56">
            <v>10143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9241</v>
          </cell>
          <cell r="F8">
            <v>5829</v>
          </cell>
          <cell r="G8">
            <v>0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3150</v>
          </cell>
          <cell r="F13">
            <v>1229</v>
          </cell>
          <cell r="G13">
            <v>669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E15">
            <v>3150</v>
          </cell>
          <cell r="F15">
            <v>1229</v>
          </cell>
          <cell r="G15">
            <v>669</v>
          </cell>
          <cell r="H15">
            <v>0</v>
          </cell>
        </row>
        <row r="16">
          <cell r="E16">
            <v>22214</v>
          </cell>
          <cell r="F16">
            <v>0</v>
          </cell>
          <cell r="H16">
            <v>11387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44">
        <row r="56">
          <cell r="B56">
            <v>22214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6288</v>
          </cell>
          <cell r="F8">
            <v>586</v>
          </cell>
          <cell r="G8">
            <v>3362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1376</v>
          </cell>
          <cell r="F13">
            <v>0</v>
          </cell>
          <cell r="G13">
            <v>0</v>
          </cell>
          <cell r="H13">
            <v>1531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6">
          <cell r="E16">
            <v>6045.5</v>
          </cell>
          <cell r="G16">
            <v>0</v>
          </cell>
          <cell r="H16">
            <v>6336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64">
        <row r="56">
          <cell r="B56">
            <v>6045.5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E8">
            <v>6563</v>
          </cell>
          <cell r="F8">
            <v>591</v>
          </cell>
          <cell r="G8">
            <v>1889</v>
          </cell>
          <cell r="H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E13">
            <v>780</v>
          </cell>
          <cell r="F13">
            <v>3373</v>
          </cell>
          <cell r="G13">
            <v>2353</v>
          </cell>
          <cell r="H13">
            <v>395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8">
          <cell r="E8">
            <v>3988</v>
          </cell>
          <cell r="F8">
            <v>0</v>
          </cell>
          <cell r="G8">
            <v>0</v>
          </cell>
          <cell r="H8">
            <v>0</v>
          </cell>
        </row>
        <row r="16">
          <cell r="E16">
            <v>3722</v>
          </cell>
          <cell r="F16">
            <v>2309.3999999999996</v>
          </cell>
          <cell r="G16">
            <v>0</v>
          </cell>
          <cell r="H16">
            <v>7206.5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</sheetData>
      <sheetData sheetId="104"/>
      <sheetData sheetId="105"/>
      <sheetData sheetId="106"/>
      <sheetData sheetId="107"/>
      <sheetData sheetId="108">
        <row r="8">
          <cell r="E8">
            <v>23070.457536924412</v>
          </cell>
          <cell r="F8">
            <v>0</v>
          </cell>
          <cell r="H8">
            <v>0</v>
          </cell>
        </row>
        <row r="16">
          <cell r="E16">
            <v>8552.5424630755861</v>
          </cell>
          <cell r="H16">
            <v>0</v>
          </cell>
        </row>
      </sheetData>
      <sheetData sheetId="109">
        <row r="5">
          <cell r="E5">
            <v>3680</v>
          </cell>
          <cell r="F5">
            <v>0</v>
          </cell>
          <cell r="G5">
            <v>0</v>
          </cell>
          <cell r="H5">
            <v>0</v>
          </cell>
        </row>
        <row r="8">
          <cell r="E8">
            <v>5490</v>
          </cell>
          <cell r="F8">
            <v>0</v>
          </cell>
          <cell r="G8">
            <v>0</v>
          </cell>
          <cell r="H8">
            <v>0</v>
          </cell>
        </row>
        <row r="11">
          <cell r="E11">
            <v>5488</v>
          </cell>
          <cell r="F11">
            <v>0</v>
          </cell>
          <cell r="G11">
            <v>0</v>
          </cell>
          <cell r="H11">
            <v>0</v>
          </cell>
        </row>
        <row r="14">
          <cell r="E14">
            <v>5680</v>
          </cell>
          <cell r="F14">
            <v>0</v>
          </cell>
          <cell r="G14">
            <v>0</v>
          </cell>
          <cell r="H14">
            <v>0</v>
          </cell>
        </row>
        <row r="17">
          <cell r="E17">
            <v>7027</v>
          </cell>
          <cell r="F17">
            <v>0</v>
          </cell>
          <cell r="G17">
            <v>0</v>
          </cell>
          <cell r="H17">
            <v>0</v>
          </cell>
        </row>
        <row r="20">
          <cell r="E20">
            <v>4258</v>
          </cell>
          <cell r="F20">
            <v>0</v>
          </cell>
          <cell r="G20">
            <v>0</v>
          </cell>
          <cell r="H20">
            <v>0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총괄"/>
      <sheetName val="2.2 공공하수처리시설"/>
      <sheetName val="2.3 슬러지처리시설"/>
      <sheetName val="2.4 분뇨처리시설"/>
      <sheetName val="2.4 하수관로"/>
      <sheetName val="2.4.1 관로시설"/>
      <sheetName val="2.4.2 펌프시설"/>
    </sheetNames>
    <sheetDataSet>
      <sheetData sheetId="0">
        <row r="8">
          <cell r="C8">
            <v>43921</v>
          </cell>
          <cell r="D8">
            <v>44358</v>
          </cell>
          <cell r="E8">
            <v>44934</v>
          </cell>
          <cell r="F8">
            <v>46036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zoomScale="115" zoomScaleNormal="55" zoomScaleSheetLayoutView="115" workbookViewId="0">
      <selection activeCell="E6" sqref="E6"/>
    </sheetView>
    <sheetView workbookViewId="1">
      <selection activeCell="I9" sqref="I9"/>
    </sheetView>
  </sheetViews>
  <sheetFormatPr defaultRowHeight="16.5"/>
  <cols>
    <col min="1" max="3" width="7.625" customWidth="1"/>
    <col min="4" max="4" width="9.625" customWidth="1"/>
    <col min="5" max="9" width="8.125" customWidth="1"/>
    <col min="10" max="10" width="5.625" customWidth="1"/>
    <col min="11" max="14" width="9.625" customWidth="1"/>
    <col min="15" max="15" width="7.375" customWidth="1"/>
    <col min="16" max="16" width="9.625" customWidth="1"/>
    <col min="17" max="17" width="7" customWidth="1"/>
  </cols>
  <sheetData>
    <row r="1" spans="1:10" ht="20.100000000000001" customHeight="1">
      <c r="A1" s="5" t="s">
        <v>394</v>
      </c>
    </row>
    <row r="2" spans="1:10" ht="20.100000000000001" customHeight="1">
      <c r="A2" s="6" t="s">
        <v>395</v>
      </c>
    </row>
    <row r="3" spans="1:10" ht="20.100000000000001" customHeight="1">
      <c r="A3" s="6"/>
      <c r="J3" s="8" t="s">
        <v>34</v>
      </c>
    </row>
    <row r="4" spans="1:10" s="7" customFormat="1" ht="20.100000000000001" customHeight="1">
      <c r="A4" s="381" t="s">
        <v>44</v>
      </c>
      <c r="B4" s="382"/>
      <c r="C4" s="382"/>
      <c r="D4" s="383"/>
      <c r="E4" s="333" t="s">
        <v>18</v>
      </c>
      <c r="F4" s="328" t="s">
        <v>19</v>
      </c>
      <c r="G4" s="328" t="s">
        <v>21</v>
      </c>
      <c r="H4" s="328" t="s">
        <v>23</v>
      </c>
      <c r="I4" s="328" t="s">
        <v>25</v>
      </c>
      <c r="J4" s="14" t="s">
        <v>27</v>
      </c>
    </row>
    <row r="5" spans="1:10" s="7" customFormat="1" ht="20.100000000000001" customHeight="1">
      <c r="A5" s="388" t="s">
        <v>110</v>
      </c>
      <c r="B5" s="389"/>
      <c r="C5" s="389"/>
      <c r="D5" s="334" t="s">
        <v>74</v>
      </c>
      <c r="E5" s="324">
        <f>SUM(F5:I5)</f>
        <v>402722.9</v>
      </c>
      <c r="F5" s="325">
        <f>+F9+F45</f>
        <v>187629.5</v>
      </c>
      <c r="G5" s="325">
        <f t="shared" ref="G5:I5" si="0">+G9+G45</f>
        <v>75422.399999999994</v>
      </c>
      <c r="H5" s="325">
        <f t="shared" si="0"/>
        <v>56329</v>
      </c>
      <c r="I5" s="325">
        <f t="shared" si="0"/>
        <v>83342</v>
      </c>
      <c r="J5" s="13" t="s">
        <v>45</v>
      </c>
    </row>
    <row r="6" spans="1:10" s="7" customFormat="1" ht="20.100000000000001" customHeight="1">
      <c r="A6" s="390"/>
      <c r="B6" s="391"/>
      <c r="C6" s="391"/>
      <c r="D6" s="12" t="s">
        <v>46</v>
      </c>
      <c r="E6" s="116">
        <f t="shared" ref="E6:E48" si="1">SUM(F6:I6)</f>
        <v>126069</v>
      </c>
      <c r="F6" s="117">
        <f>+F10+F46</f>
        <v>85576</v>
      </c>
      <c r="G6" s="117">
        <f t="shared" ref="G6:I8" si="2">+G10+G46</f>
        <v>10103</v>
      </c>
      <c r="H6" s="117">
        <f t="shared" si="2"/>
        <v>6749</v>
      </c>
      <c r="I6" s="117">
        <f t="shared" si="2"/>
        <v>23641</v>
      </c>
      <c r="J6" s="12" t="s">
        <v>45</v>
      </c>
    </row>
    <row r="7" spans="1:10" s="7" customFormat="1" ht="20.100000000000001" customHeight="1">
      <c r="A7" s="390"/>
      <c r="B7" s="391"/>
      <c r="C7" s="391"/>
      <c r="D7" s="12" t="s">
        <v>30</v>
      </c>
      <c r="E7" s="116">
        <f t="shared" si="1"/>
        <v>245973.91221995925</v>
      </c>
      <c r="F7" s="117">
        <f>+F11+F47</f>
        <v>84408.5</v>
      </c>
      <c r="G7" s="117">
        <f t="shared" si="2"/>
        <v>52284.412219959268</v>
      </c>
      <c r="H7" s="117">
        <f t="shared" si="2"/>
        <v>49580</v>
      </c>
      <c r="I7" s="117">
        <f t="shared" si="2"/>
        <v>59701</v>
      </c>
      <c r="J7" s="12" t="s">
        <v>45</v>
      </c>
    </row>
    <row r="8" spans="1:10" s="7" customFormat="1" ht="20.100000000000001" customHeight="1">
      <c r="A8" s="392"/>
      <c r="B8" s="393"/>
      <c r="C8" s="393"/>
      <c r="D8" s="335" t="s">
        <v>32</v>
      </c>
      <c r="E8" s="326">
        <f t="shared" si="1"/>
        <v>21332.987780040734</v>
      </c>
      <c r="F8" s="327">
        <f>+F12+F48</f>
        <v>17645</v>
      </c>
      <c r="G8" s="327">
        <f t="shared" si="2"/>
        <v>3687.987780040733</v>
      </c>
      <c r="H8" s="327">
        <f t="shared" si="2"/>
        <v>0</v>
      </c>
      <c r="I8" s="327">
        <f t="shared" si="2"/>
        <v>0</v>
      </c>
      <c r="J8" s="108" t="s">
        <v>45</v>
      </c>
    </row>
    <row r="9" spans="1:10" s="7" customFormat="1" ht="20.100000000000001" customHeight="1">
      <c r="A9" s="395" t="s">
        <v>59</v>
      </c>
      <c r="B9" s="394" t="s">
        <v>73</v>
      </c>
      <c r="C9" s="394"/>
      <c r="D9" s="112" t="s">
        <v>74</v>
      </c>
      <c r="E9" s="123">
        <f t="shared" si="1"/>
        <v>223473.9</v>
      </c>
      <c r="F9" s="124">
        <f>+F13+F33</f>
        <v>143708.5</v>
      </c>
      <c r="G9" s="124">
        <f t="shared" ref="G9:I9" si="3">+G13+G33</f>
        <v>31064.400000000001</v>
      </c>
      <c r="H9" s="124">
        <f t="shared" si="3"/>
        <v>11395</v>
      </c>
      <c r="I9" s="128">
        <f t="shared" si="3"/>
        <v>37306</v>
      </c>
      <c r="J9" s="127" t="s">
        <v>45</v>
      </c>
    </row>
    <row r="10" spans="1:10" s="7" customFormat="1" ht="20.100000000000001" customHeight="1">
      <c r="A10" s="396"/>
      <c r="B10" s="376"/>
      <c r="C10" s="376"/>
      <c r="D10" s="110" t="s">
        <v>46</v>
      </c>
      <c r="E10" s="118">
        <f t="shared" si="1"/>
        <v>126069</v>
      </c>
      <c r="F10" s="119">
        <f>+F14+F34</f>
        <v>85576</v>
      </c>
      <c r="G10" s="119">
        <f t="shared" ref="G10:I12" si="4">+G14+G34</f>
        <v>10103</v>
      </c>
      <c r="H10" s="119">
        <f t="shared" si="4"/>
        <v>6749</v>
      </c>
      <c r="I10" s="119">
        <f t="shared" si="4"/>
        <v>23641</v>
      </c>
      <c r="J10" s="110" t="s">
        <v>45</v>
      </c>
    </row>
    <row r="11" spans="1:10" s="7" customFormat="1" ht="20.100000000000001" customHeight="1">
      <c r="A11" s="396"/>
      <c r="B11" s="376"/>
      <c r="C11" s="376"/>
      <c r="D11" s="110" t="s">
        <v>30</v>
      </c>
      <c r="E11" s="118">
        <f t="shared" si="1"/>
        <v>66724.912219959268</v>
      </c>
      <c r="F11" s="119">
        <f>+F15+F35</f>
        <v>40487.5</v>
      </c>
      <c r="G11" s="119">
        <f t="shared" si="4"/>
        <v>7926.4122199592666</v>
      </c>
      <c r="H11" s="119">
        <f t="shared" si="4"/>
        <v>4646</v>
      </c>
      <c r="I11" s="119">
        <f t="shared" si="4"/>
        <v>13665</v>
      </c>
      <c r="J11" s="110" t="s">
        <v>45</v>
      </c>
    </row>
    <row r="12" spans="1:10" s="7" customFormat="1" ht="20.100000000000001" customHeight="1">
      <c r="A12" s="396"/>
      <c r="B12" s="376"/>
      <c r="C12" s="376"/>
      <c r="D12" s="110" t="s">
        <v>32</v>
      </c>
      <c r="E12" s="118">
        <f t="shared" si="1"/>
        <v>21332.987780040734</v>
      </c>
      <c r="F12" s="119">
        <f>+F16+F36</f>
        <v>17645</v>
      </c>
      <c r="G12" s="119">
        <f t="shared" si="4"/>
        <v>3687.987780040733</v>
      </c>
      <c r="H12" s="119">
        <f t="shared" si="4"/>
        <v>0</v>
      </c>
      <c r="I12" s="119">
        <f t="shared" si="4"/>
        <v>0</v>
      </c>
      <c r="J12" s="110" t="s">
        <v>45</v>
      </c>
    </row>
    <row r="13" spans="1:10" s="7" customFormat="1" ht="20.100000000000001" customHeight="1">
      <c r="A13" s="396"/>
      <c r="B13" s="376" t="s">
        <v>49</v>
      </c>
      <c r="C13" s="376" t="s">
        <v>47</v>
      </c>
      <c r="D13" s="110" t="s">
        <v>74</v>
      </c>
      <c r="E13" s="118">
        <f t="shared" si="1"/>
        <v>191850.9</v>
      </c>
      <c r="F13" s="119">
        <f>+F17+F21+F25+F29</f>
        <v>112085.5</v>
      </c>
      <c r="G13" s="119">
        <f t="shared" ref="G13:I13" si="5">+G17+G21+G25+G29</f>
        <v>31064.400000000001</v>
      </c>
      <c r="H13" s="119">
        <f t="shared" si="5"/>
        <v>11395</v>
      </c>
      <c r="I13" s="119">
        <f t="shared" si="5"/>
        <v>37306</v>
      </c>
      <c r="J13" s="110" t="s">
        <v>45</v>
      </c>
    </row>
    <row r="14" spans="1:10" s="7" customFormat="1" ht="20.100000000000001" customHeight="1">
      <c r="A14" s="396"/>
      <c r="B14" s="376"/>
      <c r="C14" s="376"/>
      <c r="D14" s="110" t="s">
        <v>46</v>
      </c>
      <c r="E14" s="118">
        <f t="shared" si="1"/>
        <v>103933</v>
      </c>
      <c r="F14" s="119">
        <f t="shared" ref="F14:I14" si="6">+F18+F22+F26+F30</f>
        <v>63440</v>
      </c>
      <c r="G14" s="119">
        <f t="shared" si="6"/>
        <v>10103</v>
      </c>
      <c r="H14" s="119">
        <f t="shared" si="6"/>
        <v>6749</v>
      </c>
      <c r="I14" s="119">
        <f t="shared" si="6"/>
        <v>23641</v>
      </c>
      <c r="J14" s="110" t="s">
        <v>45</v>
      </c>
    </row>
    <row r="15" spans="1:10" s="7" customFormat="1" ht="20.100000000000001" customHeight="1">
      <c r="A15" s="396"/>
      <c r="B15" s="376"/>
      <c r="C15" s="376"/>
      <c r="D15" s="110" t="s">
        <v>30</v>
      </c>
      <c r="E15" s="118">
        <f t="shared" si="1"/>
        <v>57237.912219959268</v>
      </c>
      <c r="F15" s="119">
        <f t="shared" ref="F15:I15" si="7">+F19+F23+F27+F31</f>
        <v>31000.5</v>
      </c>
      <c r="G15" s="119">
        <f t="shared" si="7"/>
        <v>7926.4122199592666</v>
      </c>
      <c r="H15" s="119">
        <f t="shared" si="7"/>
        <v>4646</v>
      </c>
      <c r="I15" s="119">
        <f t="shared" si="7"/>
        <v>13665</v>
      </c>
      <c r="J15" s="110" t="s">
        <v>45</v>
      </c>
    </row>
    <row r="16" spans="1:10" s="7" customFormat="1" ht="20.100000000000001" customHeight="1">
      <c r="A16" s="396"/>
      <c r="B16" s="376"/>
      <c r="C16" s="376"/>
      <c r="D16" s="110" t="s">
        <v>32</v>
      </c>
      <c r="E16" s="118">
        <f t="shared" si="1"/>
        <v>21332.987780040734</v>
      </c>
      <c r="F16" s="119">
        <f t="shared" ref="F16:I16" si="8">+F20+F24+F28+F32</f>
        <v>17645</v>
      </c>
      <c r="G16" s="119">
        <f t="shared" si="8"/>
        <v>3687.987780040733</v>
      </c>
      <c r="H16" s="119">
        <f t="shared" si="8"/>
        <v>0</v>
      </c>
      <c r="I16" s="119">
        <f t="shared" si="8"/>
        <v>0</v>
      </c>
      <c r="J16" s="110" t="s">
        <v>45</v>
      </c>
    </row>
    <row r="17" spans="1:10" s="7" customFormat="1" ht="20.100000000000001" customHeight="1">
      <c r="A17" s="396"/>
      <c r="B17" s="376"/>
      <c r="C17" s="376" t="s">
        <v>35</v>
      </c>
      <c r="D17" s="110" t="s">
        <v>74</v>
      </c>
      <c r="E17" s="118">
        <f t="shared" si="1"/>
        <v>78762.899999999994</v>
      </c>
      <c r="F17" s="119">
        <f>'3.2 처리구역별 재원조달계획'!F44+'3.2 처리구역별 재원조달계획'!F100+'3.2 처리구역별 재원조달계획'!F148+'3.2 처리구역별 재원조달계획'!F228</f>
        <v>42124.5</v>
      </c>
      <c r="G17" s="119">
        <f>'3.2 처리구역별 재원조달계획'!G44+'3.2 처리구역별 재원조달계획'!G100+'3.2 처리구역별 재원조달계획'!G148+'3.2 처리구역별 재원조달계획'!G228</f>
        <v>2309.3999999999996</v>
      </c>
      <c r="H17" s="119">
        <f>'3.2 처리구역별 재원조달계획'!H44+'3.2 처리구역별 재원조달계획'!H100+'3.2 처리구역별 재원조달계획'!H148+'3.2 처리구역별 재원조달계획'!H228</f>
        <v>0</v>
      </c>
      <c r="I17" s="119">
        <f>'3.2 처리구역별 재원조달계획'!I44+'3.2 처리구역별 재원조달계획'!I100+'3.2 처리구역별 재원조달계획'!I148+'3.2 처리구역별 재원조달계획'!I228</f>
        <v>34329</v>
      </c>
      <c r="J17" s="110" t="s">
        <v>45</v>
      </c>
    </row>
    <row r="18" spans="1:10" s="7" customFormat="1" ht="20.100000000000001" customHeight="1">
      <c r="A18" s="396"/>
      <c r="B18" s="376"/>
      <c r="C18" s="376"/>
      <c r="D18" s="110" t="s">
        <v>46</v>
      </c>
      <c r="E18" s="118">
        <f t="shared" si="1"/>
        <v>40117</v>
      </c>
      <c r="F18" s="119">
        <f>'3.2 처리구역별 재원조달계획'!F45+'3.2 처리구역별 재원조달계획'!F101+'3.2 처리구역별 재원조달계획'!F149+'3.2 처리구역별 재원조달계획'!F229</f>
        <v>16349</v>
      </c>
      <c r="G18" s="119">
        <f>'3.2 처리구역별 재원조달계획'!G45+'3.2 처리구역별 재원조달계획'!G101+'3.2 처리구역별 재원조달계획'!G149+'3.2 처리구역별 재원조달계획'!G229</f>
        <v>1617</v>
      </c>
      <c r="H18" s="119">
        <f>'3.2 처리구역별 재원조달계획'!H45+'3.2 처리구역별 재원조달계획'!H101+'3.2 처리구역별 재원조달계획'!H149+'3.2 처리구역별 재원조달계획'!H229</f>
        <v>0</v>
      </c>
      <c r="I18" s="119">
        <f>'3.2 처리구역별 재원조달계획'!I45+'3.2 처리구역별 재원조달계획'!I101+'3.2 처리구역별 재원조달계획'!I149+'3.2 처리구역별 재원조달계획'!I229</f>
        <v>22151</v>
      </c>
      <c r="J18" s="110" t="s">
        <v>45</v>
      </c>
    </row>
    <row r="19" spans="1:10" s="7" customFormat="1" ht="20.100000000000001" customHeight="1">
      <c r="A19" s="396"/>
      <c r="B19" s="376"/>
      <c r="C19" s="376"/>
      <c r="D19" s="110" t="s">
        <v>30</v>
      </c>
      <c r="E19" s="118">
        <f t="shared" si="1"/>
        <v>21000.9</v>
      </c>
      <c r="F19" s="119">
        <f>'3.2 처리구역별 재원조달계획'!F46+'3.2 처리구역별 재원조달계획'!F102+'3.2 처리구역별 재원조달계획'!F150+'3.2 처리구역별 재원조달계획'!F230</f>
        <v>8130.5</v>
      </c>
      <c r="G19" s="119">
        <f>'3.2 처리구역별 재원조달계획'!G46+'3.2 처리구역별 재원조달계획'!G102+'3.2 처리구역별 재원조달계획'!G150+'3.2 처리구역별 재원조달계획'!G230</f>
        <v>692.39999999999964</v>
      </c>
      <c r="H19" s="119">
        <f>'3.2 처리구역별 재원조달계획'!H46+'3.2 처리구역별 재원조달계획'!H102+'3.2 처리구역별 재원조달계획'!H150+'3.2 처리구역별 재원조달계획'!H230</f>
        <v>0</v>
      </c>
      <c r="I19" s="119">
        <f>'3.2 처리구역별 재원조달계획'!I46+'3.2 처리구역별 재원조달계획'!I102+'3.2 처리구역별 재원조달계획'!I150+'3.2 처리구역별 재원조달계획'!I230</f>
        <v>12178</v>
      </c>
      <c r="J19" s="110" t="s">
        <v>45</v>
      </c>
    </row>
    <row r="20" spans="1:10" s="7" customFormat="1" ht="20.100000000000001" customHeight="1">
      <c r="A20" s="396"/>
      <c r="B20" s="376"/>
      <c r="C20" s="376"/>
      <c r="D20" s="110" t="s">
        <v>32</v>
      </c>
      <c r="E20" s="118">
        <f t="shared" si="1"/>
        <v>17645</v>
      </c>
      <c r="F20" s="119">
        <f>'3.2 처리구역별 재원조달계획'!F47+'3.2 처리구역별 재원조달계획'!F103+'3.2 처리구역별 재원조달계획'!F151+'3.2 처리구역별 재원조달계획'!F231</f>
        <v>17645</v>
      </c>
      <c r="G20" s="119">
        <f>'3.2 처리구역별 재원조달계획'!G47+'3.2 처리구역별 재원조달계획'!G103+'3.2 처리구역별 재원조달계획'!G151+'3.2 처리구역별 재원조달계획'!G231</f>
        <v>0</v>
      </c>
      <c r="H20" s="119">
        <f>'3.2 처리구역별 재원조달계획'!H47+'3.2 처리구역별 재원조달계획'!H103+'3.2 처리구역별 재원조달계획'!H151+'3.2 처리구역별 재원조달계획'!H231</f>
        <v>0</v>
      </c>
      <c r="I20" s="119">
        <f>'3.2 처리구역별 재원조달계획'!I47+'3.2 처리구역별 재원조달계획'!I103+'3.2 처리구역별 재원조달계획'!I151+'3.2 처리구역별 재원조달계획'!I231</f>
        <v>0</v>
      </c>
      <c r="J20" s="110" t="s">
        <v>45</v>
      </c>
    </row>
    <row r="21" spans="1:10" s="7" customFormat="1" ht="20.100000000000001" customHeight="1">
      <c r="A21" s="396"/>
      <c r="B21" s="376"/>
      <c r="C21" s="376" t="s">
        <v>39</v>
      </c>
      <c r="D21" s="110" t="s">
        <v>74</v>
      </c>
      <c r="E21" s="118">
        <f t="shared" si="1"/>
        <v>107246</v>
      </c>
      <c r="F21" s="119">
        <f>'3.2 처리구역별 재원조달계획'!F12+'3.2 처리구역별 재원조달계획'!F60+'3.2 처리구역별 재원조달계획'!F116+'3.2 처리구역별 재원조달계획'!F164+'3.2 처리구역별 재원조달계획'!F196+'3.2 처리구역별 재원조달계획'!F248</f>
        <v>64119</v>
      </c>
      <c r="G21" s="119">
        <f>'3.2 처리구역별 재원조달계획'!G12+'3.2 처리구역별 재원조달계획'!G60+'3.2 처리구역별 재원조달계획'!G116+'3.2 처리구역별 재원조달계획'!G164+'3.2 처리구역별 재원조달계획'!G196+'3.2 처리구역별 재원조달계획'!G248</f>
        <v>28755</v>
      </c>
      <c r="H21" s="119">
        <f>'3.2 처리구역별 재원조달계획'!H12+'3.2 처리구역별 재원조달계획'!H60+'3.2 처리구역별 재원조달계획'!H116+'3.2 처리구역별 재원조달계획'!H164+'3.2 처리구역별 재원조달계획'!H196+'3.2 처리구역별 재원조달계획'!H248</f>
        <v>11395</v>
      </c>
      <c r="I21" s="119">
        <f>'3.2 처리구역별 재원조달계획'!I12+'3.2 처리구역별 재원조달계획'!I60+'3.2 처리구역별 재원조달계획'!I116+'3.2 처리구역별 재원조달계획'!I164+'3.2 처리구역별 재원조달계획'!I196+'3.2 처리구역별 재원조달계획'!I248</f>
        <v>2977</v>
      </c>
      <c r="J21" s="110" t="s">
        <v>45</v>
      </c>
    </row>
    <row r="22" spans="1:10" s="7" customFormat="1" ht="20.100000000000001" customHeight="1">
      <c r="A22" s="396"/>
      <c r="B22" s="376"/>
      <c r="C22" s="376"/>
      <c r="D22" s="110" t="s">
        <v>46</v>
      </c>
      <c r="E22" s="118">
        <f t="shared" si="1"/>
        <v>59727</v>
      </c>
      <c r="F22" s="119">
        <f>'3.2 처리구역별 재원조달계획'!F13+'3.2 처리구역별 재원조달계획'!F61+'3.2 처리구역별 재원조달계획'!F117+'3.2 처리구역별 재원조달계획'!F165+'3.2 처리구역별 재원조달계획'!F197+'3.2 처리구역별 재원조달계획'!F249</f>
        <v>43002</v>
      </c>
      <c r="G22" s="119">
        <f>'3.2 처리구역별 재원조달계획'!G13+'3.2 처리구역별 재원조달계획'!G61+'3.2 처리구역별 재원조달계획'!G117+'3.2 처리구역별 재원조달계획'!G165+'3.2 처리구역별 재원조달계획'!G197+'3.2 처리구역별 재원조달계획'!G249</f>
        <v>8486</v>
      </c>
      <c r="H22" s="119">
        <f>'3.2 처리구역별 재원조달계획'!H13+'3.2 처리구역별 재원조달계획'!H61+'3.2 처리구역별 재원조달계획'!H117+'3.2 처리구역별 재원조달계획'!H165+'3.2 처리구역별 재원조달계획'!H197+'3.2 처리구역별 재원조달계획'!H249</f>
        <v>6749</v>
      </c>
      <c r="I22" s="119">
        <f>'3.2 처리구역별 재원조달계획'!I13+'3.2 처리구역별 재원조달계획'!I61+'3.2 처리구역별 재원조달계획'!I117+'3.2 처리구역별 재원조달계획'!I165+'3.2 처리구역별 재원조달계획'!I197+'3.2 처리구역별 재원조달계획'!I249</f>
        <v>1490</v>
      </c>
      <c r="J22" s="110" t="s">
        <v>45</v>
      </c>
    </row>
    <row r="23" spans="1:10" s="7" customFormat="1" ht="20.100000000000001" customHeight="1">
      <c r="A23" s="396"/>
      <c r="B23" s="376"/>
      <c r="C23" s="376"/>
      <c r="D23" s="110" t="s">
        <v>30</v>
      </c>
      <c r="E23" s="118">
        <f t="shared" si="1"/>
        <v>34484.012219959266</v>
      </c>
      <c r="F23" s="119">
        <f>'3.2 처리구역별 재원조달계획'!F14+'3.2 처리구역별 재원조달계획'!F62+'3.2 처리구역별 재원조달계획'!F118+'3.2 처리구역별 재원조달계획'!F166+'3.2 처리구역별 재원조달계획'!F198+'3.2 처리구역별 재원조달계획'!F250</f>
        <v>21117</v>
      </c>
      <c r="G23" s="119">
        <f>'3.2 처리구역별 재원조달계획'!G14+'3.2 처리구역별 재원조달계획'!G62+'3.2 처리구역별 재원조달계획'!G118+'3.2 처리구역별 재원조달계획'!G166+'3.2 처리구역별 재원조달계획'!G198+'3.2 처리구역별 재원조달계획'!G250</f>
        <v>7234.012219959267</v>
      </c>
      <c r="H23" s="119">
        <f>'3.2 처리구역별 재원조달계획'!H14+'3.2 처리구역별 재원조달계획'!H62+'3.2 처리구역별 재원조달계획'!H118+'3.2 처리구역별 재원조달계획'!H166+'3.2 처리구역별 재원조달계획'!H198+'3.2 처리구역별 재원조달계획'!H250</f>
        <v>4646</v>
      </c>
      <c r="I23" s="119">
        <f>'3.2 처리구역별 재원조달계획'!I14+'3.2 처리구역별 재원조달계획'!I62+'3.2 처리구역별 재원조달계획'!I118+'3.2 처리구역별 재원조달계획'!I166+'3.2 처리구역별 재원조달계획'!I198+'3.2 처리구역별 재원조달계획'!I250</f>
        <v>1487</v>
      </c>
      <c r="J23" s="110" t="s">
        <v>45</v>
      </c>
    </row>
    <row r="24" spans="1:10" s="7" customFormat="1" ht="20.100000000000001" customHeight="1">
      <c r="A24" s="396"/>
      <c r="B24" s="376"/>
      <c r="C24" s="376"/>
      <c r="D24" s="110" t="s">
        <v>32</v>
      </c>
      <c r="E24" s="118">
        <f t="shared" si="1"/>
        <v>3687.987780040733</v>
      </c>
      <c r="F24" s="119">
        <f>'3.2 처리구역별 재원조달계획'!F15+'3.2 처리구역별 재원조달계획'!F63+'3.2 처리구역별 재원조달계획'!F119+'3.2 처리구역별 재원조달계획'!F167+'3.2 처리구역별 재원조달계획'!F199+'3.2 처리구역별 재원조달계획'!F251</f>
        <v>0</v>
      </c>
      <c r="G24" s="119">
        <f>'3.2 처리구역별 재원조달계획'!G15+'3.2 처리구역별 재원조달계획'!G63+'3.2 처리구역별 재원조달계획'!G119+'3.2 처리구역별 재원조달계획'!G167+'3.2 처리구역별 재원조달계획'!G199+'3.2 처리구역별 재원조달계획'!G251</f>
        <v>3687.987780040733</v>
      </c>
      <c r="H24" s="119">
        <f>'3.2 처리구역별 재원조달계획'!H15+'3.2 처리구역별 재원조달계획'!H63+'3.2 처리구역별 재원조달계획'!H119+'3.2 처리구역별 재원조달계획'!H167+'3.2 처리구역별 재원조달계획'!H199+'3.2 처리구역별 재원조달계획'!H251</f>
        <v>0</v>
      </c>
      <c r="I24" s="119">
        <f>'3.2 처리구역별 재원조달계획'!I15+'3.2 처리구역별 재원조달계획'!I63+'3.2 처리구역별 재원조달계획'!I119+'3.2 처리구역별 재원조달계획'!I167+'3.2 처리구역별 재원조달계획'!I199+'3.2 처리구역별 재원조달계획'!I251</f>
        <v>0</v>
      </c>
      <c r="J24" s="110" t="s">
        <v>45</v>
      </c>
    </row>
    <row r="25" spans="1:10" s="7" customFormat="1" ht="20.100000000000001" customHeight="1">
      <c r="A25" s="396"/>
      <c r="B25" s="376"/>
      <c r="C25" s="376" t="s">
        <v>69</v>
      </c>
      <c r="D25" s="110" t="s">
        <v>74</v>
      </c>
      <c r="E25" s="118">
        <f t="shared" si="1"/>
        <v>0</v>
      </c>
      <c r="F25" s="119">
        <f>'3.2 처리구역별 재원조달계획'!F36+'3.2 처리구역별 재원조달계획'!F88+'3.2 처리구역별 재원조달계획'!F140+'3.2 처리구역별 재원조달계획'!F188+'3.2 처리구역별 재원조달계획'!F220</f>
        <v>0</v>
      </c>
      <c r="G25" s="119">
        <f>'3.2 처리구역별 재원조달계획'!G36+'3.2 처리구역별 재원조달계획'!G88+'3.2 처리구역별 재원조달계획'!G140+'3.2 처리구역별 재원조달계획'!G188+'3.2 처리구역별 재원조달계획'!G220</f>
        <v>0</v>
      </c>
      <c r="H25" s="119">
        <f>'3.2 처리구역별 재원조달계획'!H36+'3.2 처리구역별 재원조달계획'!H88+'3.2 처리구역별 재원조달계획'!H140+'3.2 처리구역별 재원조달계획'!H188+'3.2 처리구역별 재원조달계획'!H220</f>
        <v>0</v>
      </c>
      <c r="I25" s="119">
        <f>'3.2 처리구역별 재원조달계획'!I36+'3.2 처리구역별 재원조달계획'!I88+'3.2 처리구역별 재원조달계획'!I140+'3.2 처리구역별 재원조달계획'!I188+'3.2 처리구역별 재원조달계획'!I220</f>
        <v>0</v>
      </c>
      <c r="J25" s="110" t="s">
        <v>45</v>
      </c>
    </row>
    <row r="26" spans="1:10" s="7" customFormat="1" ht="20.100000000000001" customHeight="1">
      <c r="A26" s="396"/>
      <c r="B26" s="376"/>
      <c r="C26" s="376"/>
      <c r="D26" s="110" t="s">
        <v>46</v>
      </c>
      <c r="E26" s="118">
        <f t="shared" si="1"/>
        <v>0</v>
      </c>
      <c r="F26" s="119">
        <f>'3.2 처리구역별 재원조달계획'!F37+'3.2 처리구역별 재원조달계획'!F89+'3.2 처리구역별 재원조달계획'!F141+'3.2 처리구역별 재원조달계획'!F189+'3.2 처리구역별 재원조달계획'!F221</f>
        <v>0</v>
      </c>
      <c r="G26" s="119">
        <f>'3.2 처리구역별 재원조달계획'!G37+'3.2 처리구역별 재원조달계획'!G89+'3.2 처리구역별 재원조달계획'!G141+'3.2 처리구역별 재원조달계획'!G189+'3.2 처리구역별 재원조달계획'!G221</f>
        <v>0</v>
      </c>
      <c r="H26" s="119">
        <f>'3.2 처리구역별 재원조달계획'!H37+'3.2 처리구역별 재원조달계획'!H89+'3.2 처리구역별 재원조달계획'!H141+'3.2 처리구역별 재원조달계획'!H189+'3.2 처리구역별 재원조달계획'!H221</f>
        <v>0</v>
      </c>
      <c r="I26" s="119">
        <f>'3.2 처리구역별 재원조달계획'!I37+'3.2 처리구역별 재원조달계획'!I89+'3.2 처리구역별 재원조달계획'!I141+'3.2 처리구역별 재원조달계획'!I189+'3.2 처리구역별 재원조달계획'!I221</f>
        <v>0</v>
      </c>
      <c r="J26" s="110" t="s">
        <v>45</v>
      </c>
    </row>
    <row r="27" spans="1:10" s="7" customFormat="1" ht="20.100000000000001" customHeight="1">
      <c r="A27" s="396"/>
      <c r="B27" s="376"/>
      <c r="C27" s="376"/>
      <c r="D27" s="110" t="s">
        <v>30</v>
      </c>
      <c r="E27" s="118">
        <f t="shared" si="1"/>
        <v>0</v>
      </c>
      <c r="F27" s="119">
        <f>'3.2 처리구역별 재원조달계획'!F38+'3.2 처리구역별 재원조달계획'!F90+'3.2 처리구역별 재원조달계획'!F142+'3.2 처리구역별 재원조달계획'!F190+'3.2 처리구역별 재원조달계획'!F222</f>
        <v>0</v>
      </c>
      <c r="G27" s="119">
        <f>'3.2 처리구역별 재원조달계획'!G38+'3.2 처리구역별 재원조달계획'!G90+'3.2 처리구역별 재원조달계획'!G142+'3.2 처리구역별 재원조달계획'!G190+'3.2 처리구역별 재원조달계획'!G222</f>
        <v>0</v>
      </c>
      <c r="H27" s="119">
        <f>'3.2 처리구역별 재원조달계획'!H38+'3.2 처리구역별 재원조달계획'!H90+'3.2 처리구역별 재원조달계획'!H142+'3.2 처리구역별 재원조달계획'!H190+'3.2 처리구역별 재원조달계획'!H222</f>
        <v>0</v>
      </c>
      <c r="I27" s="119">
        <f>'3.2 처리구역별 재원조달계획'!I38+'3.2 처리구역별 재원조달계획'!I90+'3.2 처리구역별 재원조달계획'!I142+'3.2 처리구역별 재원조달계획'!I190+'3.2 처리구역별 재원조달계획'!I222</f>
        <v>0</v>
      </c>
      <c r="J27" s="110" t="s">
        <v>45</v>
      </c>
    </row>
    <row r="28" spans="1:10" s="7" customFormat="1" ht="20.100000000000001" customHeight="1">
      <c r="A28" s="396"/>
      <c r="B28" s="376"/>
      <c r="C28" s="376"/>
      <c r="D28" s="110" t="s">
        <v>32</v>
      </c>
      <c r="E28" s="118">
        <f t="shared" si="1"/>
        <v>0</v>
      </c>
      <c r="F28" s="119">
        <f>'3.2 처리구역별 재원조달계획'!F39+'3.2 처리구역별 재원조달계획'!F91+'3.2 처리구역별 재원조달계획'!F143+'3.2 처리구역별 재원조달계획'!F191</f>
        <v>0</v>
      </c>
      <c r="G28" s="119">
        <f>'3.2 처리구역별 재원조달계획'!G39+'3.2 처리구역별 재원조달계획'!G91+'3.2 처리구역별 재원조달계획'!G143+'3.2 처리구역별 재원조달계획'!G191</f>
        <v>0</v>
      </c>
      <c r="H28" s="119">
        <f>'3.2 처리구역별 재원조달계획'!H39+'3.2 처리구역별 재원조달계획'!H91+'3.2 처리구역별 재원조달계획'!H143+'3.2 처리구역별 재원조달계획'!H191</f>
        <v>0</v>
      </c>
      <c r="I28" s="119">
        <f>'3.2 처리구역별 재원조달계획'!I39+'3.2 처리구역별 재원조달계획'!I91+'3.2 처리구역별 재원조달계획'!I143+'3.2 처리구역별 재원조달계획'!I191</f>
        <v>0</v>
      </c>
      <c r="J28" s="110" t="s">
        <v>45</v>
      </c>
    </row>
    <row r="29" spans="1:10" s="7" customFormat="1" ht="20.100000000000001" customHeight="1">
      <c r="A29" s="396"/>
      <c r="B29" s="376"/>
      <c r="C29" s="376" t="s">
        <v>150</v>
      </c>
      <c r="D29" s="110" t="s">
        <v>2</v>
      </c>
      <c r="E29" s="118">
        <f t="shared" ref="E29:E32" si="9">SUM(F29:I29)</f>
        <v>5842</v>
      </c>
      <c r="F29" s="119">
        <f>'3.2 처리구역별 재원조달계획'!F92</f>
        <v>5842</v>
      </c>
      <c r="G29" s="119">
        <f>'3.2 처리구역별 재원조달계획'!G92</f>
        <v>0</v>
      </c>
      <c r="H29" s="119">
        <f>'3.2 처리구역별 재원조달계획'!H92</f>
        <v>0</v>
      </c>
      <c r="I29" s="119">
        <f>'3.2 처리구역별 재원조달계획'!I92</f>
        <v>0</v>
      </c>
      <c r="J29" s="110" t="s">
        <v>45</v>
      </c>
    </row>
    <row r="30" spans="1:10" s="7" customFormat="1" ht="20.100000000000001" customHeight="1">
      <c r="A30" s="396"/>
      <c r="B30" s="376"/>
      <c r="C30" s="376"/>
      <c r="D30" s="110" t="s">
        <v>46</v>
      </c>
      <c r="E30" s="118">
        <f t="shared" si="9"/>
        <v>4089</v>
      </c>
      <c r="F30" s="119">
        <f>'3.2 처리구역별 재원조달계획'!F93</f>
        <v>4089</v>
      </c>
      <c r="G30" s="119">
        <f>'3.2 처리구역별 재원조달계획'!G93</f>
        <v>0</v>
      </c>
      <c r="H30" s="119">
        <f>'3.2 처리구역별 재원조달계획'!H93</f>
        <v>0</v>
      </c>
      <c r="I30" s="119">
        <f>'3.2 처리구역별 재원조달계획'!I93</f>
        <v>0</v>
      </c>
      <c r="J30" s="110" t="s">
        <v>45</v>
      </c>
    </row>
    <row r="31" spans="1:10" s="7" customFormat="1" ht="20.100000000000001" customHeight="1">
      <c r="A31" s="396"/>
      <c r="B31" s="376"/>
      <c r="C31" s="376"/>
      <c r="D31" s="110" t="s">
        <v>30</v>
      </c>
      <c r="E31" s="118">
        <f t="shared" si="9"/>
        <v>1753</v>
      </c>
      <c r="F31" s="119">
        <f>'3.2 처리구역별 재원조달계획'!F94</f>
        <v>1753</v>
      </c>
      <c r="G31" s="119">
        <f>'3.2 처리구역별 재원조달계획'!G94</f>
        <v>0</v>
      </c>
      <c r="H31" s="119">
        <f>'3.2 처리구역별 재원조달계획'!H94</f>
        <v>0</v>
      </c>
      <c r="I31" s="119">
        <f>'3.2 처리구역별 재원조달계획'!I94</f>
        <v>0</v>
      </c>
      <c r="J31" s="110" t="s">
        <v>45</v>
      </c>
    </row>
    <row r="32" spans="1:10" s="7" customFormat="1" ht="20.100000000000001" customHeight="1">
      <c r="A32" s="397"/>
      <c r="B32" s="377"/>
      <c r="C32" s="377"/>
      <c r="D32" s="111" t="s">
        <v>32</v>
      </c>
      <c r="E32" s="121">
        <f t="shared" si="9"/>
        <v>0</v>
      </c>
      <c r="F32" s="122">
        <f>'3.2 처리구역별 재원조달계획'!F95</f>
        <v>0</v>
      </c>
      <c r="G32" s="122">
        <f>'3.2 처리구역별 재원조달계획'!G95</f>
        <v>0</v>
      </c>
      <c r="H32" s="122">
        <f>'3.2 처리구역별 재원조달계획'!H95</f>
        <v>0</v>
      </c>
      <c r="I32" s="122">
        <f>'3.2 처리구역별 재원조달계획'!I95</f>
        <v>0</v>
      </c>
      <c r="J32" s="111" t="s">
        <v>45</v>
      </c>
    </row>
    <row r="33" spans="1:10" s="7" customFormat="1" ht="20.100000000000001" customHeight="1">
      <c r="A33" s="384" t="s">
        <v>59</v>
      </c>
      <c r="B33" s="378" t="s">
        <v>58</v>
      </c>
      <c r="C33" s="385" t="s">
        <v>47</v>
      </c>
      <c r="D33" s="112" t="s">
        <v>74</v>
      </c>
      <c r="E33" s="123">
        <f t="shared" si="1"/>
        <v>31623</v>
      </c>
      <c r="F33" s="124">
        <f>+F37+F41</f>
        <v>31623</v>
      </c>
      <c r="G33" s="124">
        <f t="shared" ref="G33:I33" si="10">+G37+G41</f>
        <v>0</v>
      </c>
      <c r="H33" s="124">
        <f t="shared" si="10"/>
        <v>0</v>
      </c>
      <c r="I33" s="124">
        <f t="shared" si="10"/>
        <v>0</v>
      </c>
      <c r="J33" s="109" t="s">
        <v>45</v>
      </c>
    </row>
    <row r="34" spans="1:10" s="7" customFormat="1" ht="20.100000000000001" customHeight="1">
      <c r="A34" s="386"/>
      <c r="B34" s="379"/>
      <c r="C34" s="376"/>
      <c r="D34" s="110" t="s">
        <v>46</v>
      </c>
      <c r="E34" s="118">
        <f t="shared" si="1"/>
        <v>22136</v>
      </c>
      <c r="F34" s="119">
        <f t="shared" ref="F34:I36" si="11">+F38+F42</f>
        <v>22136</v>
      </c>
      <c r="G34" s="119">
        <f t="shared" si="11"/>
        <v>0</v>
      </c>
      <c r="H34" s="119">
        <f t="shared" si="11"/>
        <v>0</v>
      </c>
      <c r="I34" s="119">
        <f t="shared" si="11"/>
        <v>0</v>
      </c>
      <c r="J34" s="106" t="s">
        <v>45</v>
      </c>
    </row>
    <row r="35" spans="1:10" s="7" customFormat="1" ht="20.100000000000001" customHeight="1">
      <c r="A35" s="386"/>
      <c r="B35" s="379"/>
      <c r="C35" s="376"/>
      <c r="D35" s="110" t="s">
        <v>30</v>
      </c>
      <c r="E35" s="118">
        <f t="shared" si="1"/>
        <v>9486.9999999999982</v>
      </c>
      <c r="F35" s="119">
        <f t="shared" si="11"/>
        <v>9486.9999999999982</v>
      </c>
      <c r="G35" s="119">
        <f t="shared" si="11"/>
        <v>0</v>
      </c>
      <c r="H35" s="119">
        <f t="shared" si="11"/>
        <v>0</v>
      </c>
      <c r="I35" s="119">
        <f t="shared" si="11"/>
        <v>0</v>
      </c>
      <c r="J35" s="106" t="s">
        <v>45</v>
      </c>
    </row>
    <row r="36" spans="1:10" s="7" customFormat="1" ht="20.100000000000001" customHeight="1">
      <c r="A36" s="386"/>
      <c r="B36" s="379"/>
      <c r="C36" s="376"/>
      <c r="D36" s="110" t="s">
        <v>32</v>
      </c>
      <c r="E36" s="118">
        <f t="shared" si="1"/>
        <v>0</v>
      </c>
      <c r="F36" s="119">
        <f t="shared" si="11"/>
        <v>0</v>
      </c>
      <c r="G36" s="119">
        <f t="shared" si="11"/>
        <v>0</v>
      </c>
      <c r="H36" s="119">
        <f t="shared" si="11"/>
        <v>0</v>
      </c>
      <c r="I36" s="119">
        <f t="shared" si="11"/>
        <v>0</v>
      </c>
      <c r="J36" s="106" t="s">
        <v>45</v>
      </c>
    </row>
    <row r="37" spans="1:10" s="7" customFormat="1" ht="20.100000000000001" customHeight="1">
      <c r="A37" s="386"/>
      <c r="B37" s="379"/>
      <c r="C37" s="376" t="s">
        <v>70</v>
      </c>
      <c r="D37" s="110" t="s">
        <v>74</v>
      </c>
      <c r="E37" s="118">
        <f t="shared" si="1"/>
        <v>8552.5424630755861</v>
      </c>
      <c r="F37" s="119">
        <f>'[3]소규모(출력x)'!$E$16</f>
        <v>8552.5424630755861</v>
      </c>
      <c r="G37" s="119">
        <f>'[3]소규모(출력x)'!$F$16</f>
        <v>0</v>
      </c>
      <c r="H37" s="119">
        <f>'[3]소규모(출력x)'!$G$16</f>
        <v>0</v>
      </c>
      <c r="I37" s="119">
        <f>'[3]소규모(출력x)'!$H$16</f>
        <v>0</v>
      </c>
      <c r="J37" s="106" t="s">
        <v>45</v>
      </c>
    </row>
    <row r="38" spans="1:10" s="7" customFormat="1" ht="20.100000000000001" customHeight="1">
      <c r="A38" s="386"/>
      <c r="B38" s="379"/>
      <c r="C38" s="376"/>
      <c r="D38" s="110" t="s">
        <v>46</v>
      </c>
      <c r="E38" s="120">
        <f t="shared" ref="E38:E39" si="12">SUM(F38:I38)</f>
        <v>5987</v>
      </c>
      <c r="F38" s="114">
        <f>+ROUND((F37-F40)*$J38,0)</f>
        <v>5987</v>
      </c>
      <c r="G38" s="114">
        <f t="shared" ref="G38:I38" si="13">+ROUND((G37-G40)*$J38,0)</f>
        <v>0</v>
      </c>
      <c r="H38" s="114">
        <f t="shared" si="13"/>
        <v>0</v>
      </c>
      <c r="I38" s="114">
        <f t="shared" si="13"/>
        <v>0</v>
      </c>
      <c r="J38" s="104">
        <v>0.7</v>
      </c>
    </row>
    <row r="39" spans="1:10" s="7" customFormat="1" ht="20.100000000000001" customHeight="1">
      <c r="A39" s="386"/>
      <c r="B39" s="379"/>
      <c r="C39" s="376"/>
      <c r="D39" s="110" t="s">
        <v>30</v>
      </c>
      <c r="E39" s="120">
        <f t="shared" si="12"/>
        <v>2565.5424630755861</v>
      </c>
      <c r="F39" s="114">
        <f>+F37-F40-F38</f>
        <v>2565.5424630755861</v>
      </c>
      <c r="G39" s="114">
        <f t="shared" ref="G39:I39" si="14">+G37-G40-G38</f>
        <v>0</v>
      </c>
      <c r="H39" s="114">
        <f t="shared" si="14"/>
        <v>0</v>
      </c>
      <c r="I39" s="114">
        <f t="shared" si="14"/>
        <v>0</v>
      </c>
      <c r="J39" s="104">
        <v>0.3</v>
      </c>
    </row>
    <row r="40" spans="1:10" s="7" customFormat="1" ht="20.100000000000001" customHeight="1">
      <c r="A40" s="386"/>
      <c r="B40" s="379"/>
      <c r="C40" s="376"/>
      <c r="D40" s="110" t="s">
        <v>32</v>
      </c>
      <c r="E40" s="118">
        <f t="shared" si="1"/>
        <v>0</v>
      </c>
      <c r="F40" s="119">
        <v>0</v>
      </c>
      <c r="G40" s="119">
        <v>0</v>
      </c>
      <c r="H40" s="119">
        <v>0</v>
      </c>
      <c r="I40" s="119">
        <v>0</v>
      </c>
      <c r="J40" s="106" t="s">
        <v>45</v>
      </c>
    </row>
    <row r="41" spans="1:10" s="7" customFormat="1" ht="20.100000000000001" customHeight="1">
      <c r="A41" s="386"/>
      <c r="B41" s="379"/>
      <c r="C41" s="376" t="s">
        <v>39</v>
      </c>
      <c r="D41" s="110" t="s">
        <v>74</v>
      </c>
      <c r="E41" s="118">
        <f t="shared" si="1"/>
        <v>23070.457536924412</v>
      </c>
      <c r="F41" s="119">
        <f>'[3]소규모(출력x)'!$E$8</f>
        <v>23070.457536924412</v>
      </c>
      <c r="G41" s="119">
        <f>'[3]소규모(출력x)'!$F$8</f>
        <v>0</v>
      </c>
      <c r="H41" s="119">
        <f>'[3]소규모(출력x)'!$G$8</f>
        <v>0</v>
      </c>
      <c r="I41" s="119">
        <f>'[3]소규모(출력x)'!$H$8</f>
        <v>0</v>
      </c>
      <c r="J41" s="106" t="s">
        <v>45</v>
      </c>
    </row>
    <row r="42" spans="1:10" s="7" customFormat="1" ht="20.100000000000001" customHeight="1">
      <c r="A42" s="386"/>
      <c r="B42" s="379"/>
      <c r="C42" s="376"/>
      <c r="D42" s="110" t="s">
        <v>46</v>
      </c>
      <c r="E42" s="120">
        <f t="shared" ref="E42:E43" si="15">SUM(F42:I42)</f>
        <v>16149</v>
      </c>
      <c r="F42" s="114">
        <f>+ROUND((F41-F44)*$J42,0)</f>
        <v>16149</v>
      </c>
      <c r="G42" s="114">
        <f t="shared" ref="G42:I42" si="16">+ROUND((G41-G44)*$J42,0)</f>
        <v>0</v>
      </c>
      <c r="H42" s="114">
        <f t="shared" si="16"/>
        <v>0</v>
      </c>
      <c r="I42" s="114">
        <f t="shared" si="16"/>
        <v>0</v>
      </c>
      <c r="J42" s="104">
        <v>0.7</v>
      </c>
    </row>
    <row r="43" spans="1:10" s="7" customFormat="1" ht="20.100000000000001" customHeight="1">
      <c r="A43" s="386"/>
      <c r="B43" s="379"/>
      <c r="C43" s="376"/>
      <c r="D43" s="110" t="s">
        <v>30</v>
      </c>
      <c r="E43" s="120">
        <f t="shared" si="15"/>
        <v>6921.4575369244121</v>
      </c>
      <c r="F43" s="114">
        <f>+F41-F44-F42</f>
        <v>6921.4575369244121</v>
      </c>
      <c r="G43" s="114">
        <f t="shared" ref="G43:I43" si="17">+G41-G44-G42</f>
        <v>0</v>
      </c>
      <c r="H43" s="114">
        <f t="shared" si="17"/>
        <v>0</v>
      </c>
      <c r="I43" s="114">
        <f t="shared" si="17"/>
        <v>0</v>
      </c>
      <c r="J43" s="104">
        <v>0.3</v>
      </c>
    </row>
    <row r="44" spans="1:10" s="7" customFormat="1" ht="20.100000000000001" customHeight="1">
      <c r="A44" s="387"/>
      <c r="B44" s="380"/>
      <c r="C44" s="377"/>
      <c r="D44" s="111" t="s">
        <v>32</v>
      </c>
      <c r="E44" s="125">
        <f t="shared" ref="E44" si="18">SUM(F44:I44)</f>
        <v>0</v>
      </c>
      <c r="F44" s="126">
        <v>0</v>
      </c>
      <c r="G44" s="126">
        <v>0</v>
      </c>
      <c r="H44" s="126">
        <v>0</v>
      </c>
      <c r="I44" s="126">
        <v>0</v>
      </c>
      <c r="J44" s="107" t="s">
        <v>45</v>
      </c>
    </row>
    <row r="45" spans="1:10" s="7" customFormat="1" ht="20.100000000000001" customHeight="1">
      <c r="A45" s="384" t="s">
        <v>48</v>
      </c>
      <c r="B45" s="385"/>
      <c r="C45" s="385"/>
      <c r="D45" s="112" t="s">
        <v>74</v>
      </c>
      <c r="E45" s="123">
        <f t="shared" si="1"/>
        <v>179249</v>
      </c>
      <c r="F45" s="124">
        <f>'[4]2.1 총괄'!C8</f>
        <v>43921</v>
      </c>
      <c r="G45" s="124">
        <f>'[4]2.1 총괄'!D8</f>
        <v>44358</v>
      </c>
      <c r="H45" s="124">
        <f>'[4]2.1 총괄'!E8</f>
        <v>44934</v>
      </c>
      <c r="I45" s="124">
        <f>'[4]2.1 총괄'!F8</f>
        <v>46036</v>
      </c>
      <c r="J45" s="109" t="s">
        <v>45</v>
      </c>
    </row>
    <row r="46" spans="1:10" s="7" customFormat="1" ht="20.100000000000001" customHeight="1">
      <c r="A46" s="386"/>
      <c r="B46" s="376"/>
      <c r="C46" s="376"/>
      <c r="D46" s="110" t="s">
        <v>46</v>
      </c>
      <c r="E46" s="118">
        <f t="shared" si="1"/>
        <v>0</v>
      </c>
      <c r="F46" s="119">
        <v>0</v>
      </c>
      <c r="G46" s="119">
        <v>0</v>
      </c>
      <c r="H46" s="119">
        <v>0</v>
      </c>
      <c r="I46" s="119">
        <v>0</v>
      </c>
      <c r="J46" s="106" t="s">
        <v>45</v>
      </c>
    </row>
    <row r="47" spans="1:10" s="7" customFormat="1" ht="20.100000000000001" customHeight="1">
      <c r="A47" s="386"/>
      <c r="B47" s="376"/>
      <c r="C47" s="376"/>
      <c r="D47" s="110" t="s">
        <v>30</v>
      </c>
      <c r="E47" s="118">
        <f t="shared" si="1"/>
        <v>179249</v>
      </c>
      <c r="F47" s="119">
        <f>+F45</f>
        <v>43921</v>
      </c>
      <c r="G47" s="119">
        <f t="shared" ref="G47:I47" si="19">+G45</f>
        <v>44358</v>
      </c>
      <c r="H47" s="119">
        <f t="shared" si="19"/>
        <v>44934</v>
      </c>
      <c r="I47" s="119">
        <f t="shared" si="19"/>
        <v>46036</v>
      </c>
      <c r="J47" s="106" t="s">
        <v>45</v>
      </c>
    </row>
    <row r="48" spans="1:10" s="7" customFormat="1" ht="20.100000000000001" customHeight="1">
      <c r="A48" s="387"/>
      <c r="B48" s="377"/>
      <c r="C48" s="377"/>
      <c r="D48" s="111" t="s">
        <v>32</v>
      </c>
      <c r="E48" s="125">
        <f t="shared" si="1"/>
        <v>0</v>
      </c>
      <c r="F48" s="126">
        <v>0</v>
      </c>
      <c r="G48" s="126">
        <v>0</v>
      </c>
      <c r="H48" s="126">
        <v>0</v>
      </c>
      <c r="I48" s="126">
        <v>0</v>
      </c>
      <c r="J48" s="107" t="s">
        <v>45</v>
      </c>
    </row>
    <row r="49" s="7" customFormat="1" ht="12"/>
    <row r="50" s="7" customFormat="1" ht="12"/>
    <row r="51" s="7" customFormat="1" ht="12"/>
    <row r="52" s="7" customFormat="1" ht="12"/>
    <row r="53" s="7" customFormat="1" ht="12"/>
    <row r="54" s="7" customFormat="1" ht="12"/>
    <row r="55" s="7" customFormat="1" ht="12"/>
    <row r="56" s="7" customFormat="1" ht="12"/>
    <row r="57" s="7" customFormat="1" ht="12"/>
    <row r="58" s="7" customFormat="1" ht="12"/>
    <row r="59" s="7" customFormat="1" ht="12"/>
    <row r="60" s="7" customFormat="1" ht="12"/>
    <row r="61" s="7" customFormat="1" ht="12"/>
    <row r="62" s="7" customFormat="1" ht="12"/>
    <row r="63" s="7" customFormat="1" ht="12"/>
    <row r="64" s="7" customFormat="1" ht="12"/>
    <row r="65" s="7" customFormat="1" ht="12"/>
    <row r="66" s="7" customFormat="1" ht="12"/>
    <row r="67" s="7" customFormat="1" ht="12"/>
    <row r="68" s="7" customFormat="1" ht="12"/>
    <row r="69" s="7" customFormat="1" ht="12"/>
    <row r="70" s="7" customFormat="1" ht="12"/>
    <row r="71" s="7" customFormat="1" ht="12"/>
    <row r="72" s="7" customFormat="1" ht="12"/>
    <row r="73" s="7" customFormat="1" ht="12"/>
    <row r="74" s="7" customFormat="1" ht="12"/>
    <row r="75" s="7" customFormat="1" ht="12"/>
    <row r="76" s="7" customFormat="1" ht="12"/>
    <row r="77" s="7" customFormat="1" ht="12"/>
    <row r="78" s="7" customFormat="1" ht="12"/>
    <row r="79" s="7" customFormat="1" ht="12"/>
    <row r="80" s="7" customFormat="1" ht="12"/>
    <row r="81" s="7" customFormat="1" ht="12"/>
    <row r="82" s="7" customFormat="1" ht="12"/>
    <row r="83" s="7" customFormat="1" ht="12"/>
    <row r="84" s="7" customFormat="1" ht="12"/>
    <row r="85" s="7" customFormat="1" ht="12"/>
    <row r="86" s="7" customFormat="1" ht="12"/>
    <row r="87" s="7" customFormat="1" ht="12"/>
  </sheetData>
  <mergeCells count="16">
    <mergeCell ref="B13:B32"/>
    <mergeCell ref="B33:B44"/>
    <mergeCell ref="A4:D4"/>
    <mergeCell ref="A45:C48"/>
    <mergeCell ref="A5:C8"/>
    <mergeCell ref="B9:C12"/>
    <mergeCell ref="C13:C16"/>
    <mergeCell ref="C17:C20"/>
    <mergeCell ref="C21:C24"/>
    <mergeCell ref="C25:C28"/>
    <mergeCell ref="C33:C36"/>
    <mergeCell ref="C37:C40"/>
    <mergeCell ref="A9:A32"/>
    <mergeCell ref="A33:A44"/>
    <mergeCell ref="C41:C44"/>
    <mergeCell ref="C29:C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H4" sqref="H4"/>
    </sheetView>
    <sheetView workbookViewId="1">
      <selection activeCell="H10" sqref="H10"/>
    </sheetView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8" width="9.625" style="1" bestFit="1" customWidth="1"/>
    <col min="9" max="9" width="12.125" style="1" bestFit="1" customWidth="1"/>
    <col min="10" max="16384" width="9" style="1"/>
  </cols>
  <sheetData>
    <row r="1" spans="1:10" ht="18" customHeight="1">
      <c r="A1" s="5" t="s">
        <v>160</v>
      </c>
    </row>
    <row r="2" spans="1:10" ht="39.950000000000003" customHeight="1">
      <c r="A2" s="4" t="s">
        <v>0</v>
      </c>
      <c r="B2" s="44" t="s">
        <v>6</v>
      </c>
      <c r="C2" s="101" t="s">
        <v>5</v>
      </c>
      <c r="D2" s="46" t="s">
        <v>1</v>
      </c>
      <c r="E2" s="101" t="s">
        <v>8</v>
      </c>
      <c r="F2" s="101" t="s">
        <v>3</v>
      </c>
      <c r="G2" s="47" t="s">
        <v>4</v>
      </c>
      <c r="H2" s="70" t="s">
        <v>81</v>
      </c>
      <c r="I2" s="72" t="s">
        <v>82</v>
      </c>
    </row>
    <row r="3" spans="1:10" ht="25.5" customHeight="1">
      <c r="A3" s="505" t="s">
        <v>121</v>
      </c>
      <c r="B3" s="507">
        <v>2000</v>
      </c>
      <c r="C3" s="509">
        <v>10143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42">
        <v>1313940</v>
      </c>
      <c r="I3" s="43">
        <f>+ROUND(G3*H3/1000000,0)</f>
        <v>397</v>
      </c>
    </row>
    <row r="4" spans="1:10" ht="18" customHeight="1">
      <c r="A4" s="506"/>
      <c r="B4" s="508"/>
      <c r="C4" s="510"/>
      <c r="D4" s="102" t="s">
        <v>123</v>
      </c>
      <c r="E4" s="24">
        <v>708</v>
      </c>
      <c r="F4" s="24">
        <v>321</v>
      </c>
      <c r="G4" s="24">
        <f t="shared" ref="G4:G5" si="0">+ROUND(E4*F4/1000,0)</f>
        <v>227</v>
      </c>
      <c r="H4" s="42">
        <v>1313940</v>
      </c>
      <c r="I4" s="43">
        <f t="shared" ref="I4:I5" si="1">+ROUND(G4*H4/1000000,0)</f>
        <v>298</v>
      </c>
    </row>
    <row r="5" spans="1:10" ht="18" customHeight="1">
      <c r="A5" s="506"/>
      <c r="B5" s="508"/>
      <c r="C5" s="510"/>
      <c r="D5" s="102" t="s">
        <v>124</v>
      </c>
      <c r="E5" s="24">
        <v>3661</v>
      </c>
      <c r="F5" s="24">
        <v>321</v>
      </c>
      <c r="G5" s="24">
        <f t="shared" si="0"/>
        <v>1175</v>
      </c>
      <c r="H5" s="42">
        <v>1313940</v>
      </c>
      <c r="I5" s="43">
        <f t="shared" si="1"/>
        <v>1544</v>
      </c>
    </row>
    <row r="6" spans="1:10" ht="18" customHeight="1">
      <c r="A6" s="506"/>
      <c r="B6" s="508"/>
      <c r="C6" s="510"/>
      <c r="D6" s="27" t="s">
        <v>2</v>
      </c>
      <c r="E6" s="28">
        <f>SUM(E3:E5)</f>
        <v>5311</v>
      </c>
      <c r="F6" s="29">
        <v>0</v>
      </c>
      <c r="G6" s="28">
        <f>SUM(G3:G5)</f>
        <v>1704</v>
      </c>
      <c r="H6" s="69"/>
      <c r="I6" s="71">
        <f>SUM(I3:I5)</f>
        <v>2239</v>
      </c>
      <c r="J6" s="11"/>
    </row>
    <row r="7" spans="1:10" ht="18" customHeight="1">
      <c r="A7" s="514" t="s">
        <v>125</v>
      </c>
      <c r="B7" s="508">
        <v>4000</v>
      </c>
      <c r="C7" s="515">
        <v>23289</v>
      </c>
      <c r="D7" s="102" t="s">
        <v>127</v>
      </c>
      <c r="E7" s="31">
        <v>4780</v>
      </c>
      <c r="F7" s="24">
        <v>310</v>
      </c>
      <c r="G7" s="24">
        <f t="shared" ref="G7:G14" si="2">+ROUND(E7*F7/1000,0)</f>
        <v>1482</v>
      </c>
      <c r="H7" s="42">
        <v>1313940</v>
      </c>
      <c r="I7" s="43">
        <f t="shared" ref="I7:I14" si="3">+ROUND(G7*H7/1000000,0)</f>
        <v>1947</v>
      </c>
    </row>
    <row r="8" spans="1:10" ht="18" customHeight="1">
      <c r="A8" s="506"/>
      <c r="B8" s="508"/>
      <c r="C8" s="510"/>
      <c r="D8" s="102" t="s">
        <v>128</v>
      </c>
      <c r="E8" s="31">
        <v>430</v>
      </c>
      <c r="F8" s="24">
        <v>310</v>
      </c>
      <c r="G8" s="24">
        <f t="shared" si="2"/>
        <v>133</v>
      </c>
      <c r="H8" s="42">
        <v>1313940</v>
      </c>
      <c r="I8" s="43">
        <f t="shared" si="3"/>
        <v>175</v>
      </c>
    </row>
    <row r="9" spans="1:10" ht="18" customHeight="1">
      <c r="A9" s="506"/>
      <c r="B9" s="508"/>
      <c r="C9" s="510"/>
      <c r="D9" s="102" t="s">
        <v>129</v>
      </c>
      <c r="E9" s="31">
        <v>941</v>
      </c>
      <c r="F9" s="24">
        <v>310</v>
      </c>
      <c r="G9" s="24">
        <f t="shared" si="2"/>
        <v>292</v>
      </c>
      <c r="H9" s="42">
        <v>1313940</v>
      </c>
      <c r="I9" s="43">
        <f t="shared" si="3"/>
        <v>384</v>
      </c>
    </row>
    <row r="10" spans="1:10" ht="18" customHeight="1">
      <c r="A10" s="506"/>
      <c r="B10" s="508"/>
      <c r="C10" s="510"/>
      <c r="D10" s="102" t="s">
        <v>376</v>
      </c>
      <c r="E10" s="31">
        <v>354</v>
      </c>
      <c r="F10" s="24">
        <v>310</v>
      </c>
      <c r="G10" s="24">
        <f t="shared" si="2"/>
        <v>110</v>
      </c>
      <c r="H10" s="42">
        <v>1313940</v>
      </c>
      <c r="I10" s="43">
        <f t="shared" si="3"/>
        <v>145</v>
      </c>
    </row>
    <row r="11" spans="1:10" ht="18" customHeight="1">
      <c r="A11" s="506"/>
      <c r="B11" s="508"/>
      <c r="C11" s="510"/>
      <c r="D11" s="102" t="s">
        <v>131</v>
      </c>
      <c r="E11" s="31">
        <v>1495</v>
      </c>
      <c r="F11" s="24">
        <v>310</v>
      </c>
      <c r="G11" s="24">
        <f t="shared" si="2"/>
        <v>463</v>
      </c>
      <c r="H11" s="42">
        <v>1313940</v>
      </c>
      <c r="I11" s="43">
        <f t="shared" si="3"/>
        <v>608</v>
      </c>
    </row>
    <row r="12" spans="1:10" ht="18" customHeight="1">
      <c r="A12" s="506"/>
      <c r="B12" s="508"/>
      <c r="C12" s="510"/>
      <c r="D12" s="102" t="s">
        <v>132</v>
      </c>
      <c r="E12" s="31">
        <v>976</v>
      </c>
      <c r="F12" s="24">
        <v>262</v>
      </c>
      <c r="G12" s="24">
        <f t="shared" si="2"/>
        <v>256</v>
      </c>
      <c r="H12" s="42">
        <v>1313940</v>
      </c>
      <c r="I12" s="43">
        <f t="shared" si="3"/>
        <v>336</v>
      </c>
    </row>
    <row r="13" spans="1:10" ht="18" customHeight="1">
      <c r="A13" s="511"/>
      <c r="B13" s="512"/>
      <c r="C13" s="513"/>
      <c r="D13" s="36" t="s">
        <v>2</v>
      </c>
      <c r="E13" s="37">
        <f>SUM(E7:E12)</f>
        <v>8976</v>
      </c>
      <c r="F13" s="52"/>
      <c r="G13" s="37">
        <f>SUM(G7:G12)</f>
        <v>2736</v>
      </c>
      <c r="H13" s="39"/>
      <c r="I13" s="40">
        <f>SUM(I7:I12)</f>
        <v>3595</v>
      </c>
    </row>
    <row r="14" spans="1:10" ht="26.25" customHeight="1">
      <c r="A14" s="505" t="s">
        <v>126</v>
      </c>
      <c r="B14" s="507">
        <v>750</v>
      </c>
      <c r="C14" s="509">
        <v>6625</v>
      </c>
      <c r="D14" s="49" t="s">
        <v>133</v>
      </c>
      <c r="E14" s="42">
        <v>208</v>
      </c>
      <c r="F14" s="50">
        <v>257</v>
      </c>
      <c r="G14" s="42">
        <f t="shared" si="2"/>
        <v>53</v>
      </c>
      <c r="H14" s="42">
        <v>1313940</v>
      </c>
      <c r="I14" s="43">
        <f t="shared" si="3"/>
        <v>70</v>
      </c>
    </row>
    <row r="15" spans="1:10" ht="18" customHeight="1">
      <c r="A15" s="506"/>
      <c r="B15" s="508"/>
      <c r="C15" s="510"/>
      <c r="D15" s="34"/>
      <c r="E15" s="24"/>
      <c r="F15" s="35"/>
      <c r="G15" s="24"/>
      <c r="H15" s="42"/>
      <c r="I15" s="43"/>
    </row>
    <row r="16" spans="1:10" ht="18" customHeight="1">
      <c r="A16" s="511"/>
      <c r="B16" s="512"/>
      <c r="C16" s="513"/>
      <c r="D16" s="36" t="s">
        <v>2</v>
      </c>
      <c r="E16" s="37">
        <f>SUM(E14:E15)</f>
        <v>208</v>
      </c>
      <c r="F16" s="38"/>
      <c r="G16" s="37">
        <f>SUM(G14:G15)</f>
        <v>53</v>
      </c>
      <c r="H16" s="39"/>
      <c r="I16" s="40">
        <f>SUM(I14:I15)</f>
        <v>70</v>
      </c>
    </row>
    <row r="17" spans="1:1" ht="18" customHeight="1">
      <c r="A17" s="2" t="s">
        <v>13</v>
      </c>
    </row>
    <row r="18" spans="1:1" ht="18" customHeight="1">
      <c r="A18" s="3" t="s">
        <v>14</v>
      </c>
    </row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9">
    <mergeCell ref="A3:A6"/>
    <mergeCell ref="B3:B6"/>
    <mergeCell ref="C3:C6"/>
    <mergeCell ref="A14:A16"/>
    <mergeCell ref="B14:B16"/>
    <mergeCell ref="C14:C16"/>
    <mergeCell ref="A7:A13"/>
    <mergeCell ref="B7:B13"/>
    <mergeCell ref="C7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14" sqref="D14"/>
    </sheetView>
    <sheetView workbookViewId="1"/>
  </sheetViews>
  <sheetFormatPr defaultRowHeight="12"/>
  <cols>
    <col min="1" max="1" width="13.75" style="1" customWidth="1"/>
    <col min="2" max="3" width="9" style="1"/>
    <col min="4" max="4" width="25.875" style="1" customWidth="1"/>
    <col min="5" max="9" width="12.625" style="1" customWidth="1"/>
    <col min="10" max="16384" width="9" style="1"/>
  </cols>
  <sheetData>
    <row r="1" spans="1:10" ht="18" customHeight="1">
      <c r="A1" s="5" t="s">
        <v>52</v>
      </c>
    </row>
    <row r="2" spans="1:10" ht="27.75" customHeight="1">
      <c r="A2" s="4" t="s">
        <v>0</v>
      </c>
      <c r="B2" s="44" t="s">
        <v>11</v>
      </c>
      <c r="C2" s="45" t="s">
        <v>5</v>
      </c>
      <c r="D2" s="46" t="s">
        <v>1</v>
      </c>
      <c r="E2" s="45" t="s">
        <v>8</v>
      </c>
      <c r="F2" s="45" t="s">
        <v>3</v>
      </c>
      <c r="G2" s="47" t="s">
        <v>4</v>
      </c>
      <c r="H2" s="45" t="s">
        <v>7</v>
      </c>
      <c r="I2" s="48" t="s">
        <v>10</v>
      </c>
    </row>
    <row r="3" spans="1:10" ht="25.5" customHeight="1">
      <c r="A3" s="516" t="s">
        <v>134</v>
      </c>
      <c r="B3" s="507">
        <v>10000</v>
      </c>
      <c r="C3" s="509">
        <v>1095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51">
        <f>+G3/$B$3</f>
        <v>3.0200000000000001E-2</v>
      </c>
      <c r="I3" s="43">
        <f>+ROUND($C$3*H3,0)</f>
        <v>33</v>
      </c>
    </row>
    <row r="4" spans="1:10" ht="17.100000000000001" customHeight="1">
      <c r="A4" s="514"/>
      <c r="B4" s="508"/>
      <c r="C4" s="510"/>
      <c r="D4" s="26" t="s">
        <v>135</v>
      </c>
      <c r="E4" s="24">
        <v>708</v>
      </c>
      <c r="F4" s="24">
        <v>321</v>
      </c>
      <c r="G4" s="24">
        <f t="shared" ref="G4" si="0">+ROUND(E4*F4/1000,0)</f>
        <v>227</v>
      </c>
      <c r="H4" s="32">
        <f t="shared" ref="H4" si="1">+G4/$B$3</f>
        <v>2.2700000000000001E-2</v>
      </c>
      <c r="I4" s="25">
        <f t="shared" ref="I4:I6" si="2">+ROUND($C$3*H4,0)</f>
        <v>25</v>
      </c>
    </row>
    <row r="5" spans="1:10" ht="17.100000000000001" customHeight="1">
      <c r="A5" s="514"/>
      <c r="B5" s="508"/>
      <c r="C5" s="510"/>
      <c r="D5" s="27" t="s">
        <v>15</v>
      </c>
      <c r="E5" s="28">
        <f>SUM(E3:E4)</f>
        <v>1650</v>
      </c>
      <c r="F5" s="29">
        <v>0</v>
      </c>
      <c r="G5" s="28">
        <f>SUM(G3:G4)</f>
        <v>529</v>
      </c>
      <c r="H5" s="33">
        <f>+G5/$B$3</f>
        <v>5.2900000000000003E-2</v>
      </c>
      <c r="I5" s="30">
        <f>SUM(I3:I4)</f>
        <v>58</v>
      </c>
      <c r="J5" s="11"/>
    </row>
    <row r="6" spans="1:10" ht="17.100000000000001" customHeight="1">
      <c r="A6" s="514"/>
      <c r="B6" s="508"/>
      <c r="C6" s="510"/>
      <c r="D6" s="26" t="s">
        <v>136</v>
      </c>
      <c r="E6" s="24">
        <v>3661</v>
      </c>
      <c r="F6" s="24">
        <v>321</v>
      </c>
      <c r="G6" s="24">
        <f t="shared" ref="G6" si="3">+ROUND(E6*F6/1000,0)</f>
        <v>1175</v>
      </c>
      <c r="H6" s="32">
        <f>+G6/$B$3</f>
        <v>0.11749999999999999</v>
      </c>
      <c r="I6" s="25">
        <f t="shared" si="2"/>
        <v>129</v>
      </c>
    </row>
    <row r="7" spans="1:10" ht="17.100000000000001" customHeight="1">
      <c r="A7" s="514"/>
      <c r="B7" s="508"/>
      <c r="C7" s="510"/>
      <c r="D7" s="26"/>
      <c r="E7" s="31"/>
      <c r="F7" s="24"/>
      <c r="G7" s="24"/>
      <c r="H7" s="32"/>
      <c r="I7" s="25"/>
    </row>
    <row r="8" spans="1:10" ht="17.100000000000001" customHeight="1">
      <c r="A8" s="514"/>
      <c r="B8" s="508"/>
      <c r="C8" s="510"/>
      <c r="D8" s="27" t="s">
        <v>16</v>
      </c>
      <c r="E8" s="28">
        <f>SUM(E6:E7)</f>
        <v>3661</v>
      </c>
      <c r="F8" s="29"/>
      <c r="G8" s="28">
        <f>SUM(G6:G7)</f>
        <v>1175</v>
      </c>
      <c r="H8" s="33">
        <f t="shared" ref="H8:H9" si="4">+G8/$B$3</f>
        <v>0.11749999999999999</v>
      </c>
      <c r="I8" s="54">
        <f>SUM(I6:I7)</f>
        <v>129</v>
      </c>
      <c r="J8" s="11"/>
    </row>
    <row r="9" spans="1:10" ht="17.100000000000001" customHeight="1">
      <c r="A9" s="517"/>
      <c r="B9" s="512"/>
      <c r="C9" s="513"/>
      <c r="D9" s="55" t="s">
        <v>53</v>
      </c>
      <c r="E9" s="56">
        <f>+E5+E8</f>
        <v>5311</v>
      </c>
      <c r="F9" s="56"/>
      <c r="G9" s="56">
        <f>+G5+G8</f>
        <v>1704</v>
      </c>
      <c r="H9" s="57">
        <f t="shared" si="4"/>
        <v>0.1704</v>
      </c>
      <c r="I9" s="58">
        <f>+I5+I8</f>
        <v>187</v>
      </c>
      <c r="J9" s="11"/>
    </row>
    <row r="10" spans="1:10" ht="18" customHeight="1">
      <c r="A10" s="2" t="s">
        <v>12</v>
      </c>
    </row>
    <row r="11" spans="1:10" ht="18" customHeight="1"/>
    <row r="12" spans="1:10" ht="18" customHeight="1"/>
    <row r="13" spans="1:10" ht="18" customHeight="1"/>
    <row r="14" spans="1:10" ht="18" customHeight="1"/>
    <row r="15" spans="1:10" ht="18" customHeight="1"/>
    <row r="16" spans="1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</sheetData>
  <mergeCells count="3">
    <mergeCell ref="A3:A9"/>
    <mergeCell ref="B3:B9"/>
    <mergeCell ref="C3:C9"/>
  </mergeCells>
  <phoneticPr fontId="2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A15" sqref="A15:A17"/>
    </sheetView>
    <sheetView workbookViewId="1"/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9" width="9" style="1"/>
    <col min="10" max="10" width="10.5" style="1" bestFit="1" customWidth="1"/>
    <col min="11" max="16384" width="9" style="1"/>
  </cols>
  <sheetData>
    <row r="1" spans="1:11" ht="18" customHeight="1">
      <c r="A1" s="5" t="s">
        <v>90</v>
      </c>
    </row>
    <row r="2" spans="1:11" ht="39.950000000000003" customHeight="1">
      <c r="A2" s="4" t="s">
        <v>0</v>
      </c>
      <c r="B2" s="44" t="s">
        <v>6</v>
      </c>
      <c r="C2" s="45" t="s">
        <v>5</v>
      </c>
      <c r="D2" s="46" t="s">
        <v>1</v>
      </c>
      <c r="E2" s="45" t="s">
        <v>8</v>
      </c>
      <c r="F2" s="45" t="s">
        <v>3</v>
      </c>
      <c r="G2" s="47" t="s">
        <v>4</v>
      </c>
      <c r="H2" s="520" t="s">
        <v>7</v>
      </c>
      <c r="I2" s="520"/>
      <c r="J2" s="48" t="s">
        <v>10</v>
      </c>
    </row>
    <row r="3" spans="1:11" ht="25.5" customHeight="1">
      <c r="A3" s="516" t="s">
        <v>92</v>
      </c>
      <c r="B3" s="523">
        <v>2000</v>
      </c>
      <c r="C3" s="522">
        <v>9954</v>
      </c>
      <c r="D3" s="96" t="s">
        <v>95</v>
      </c>
      <c r="E3" s="97">
        <v>942</v>
      </c>
      <c r="F3" s="97">
        <v>321</v>
      </c>
      <c r="G3" s="97">
        <f>+ROUND(E3*F3/1000,0)</f>
        <v>302</v>
      </c>
      <c r="H3" s="521">
        <f>+G3/$B$3</f>
        <v>0.151</v>
      </c>
      <c r="I3" s="521"/>
      <c r="J3" s="98">
        <f>+ROUND($C$3*H3,0)</f>
        <v>1503</v>
      </c>
    </row>
    <row r="4" spans="1:11" ht="18" customHeight="1">
      <c r="A4" s="506"/>
      <c r="B4" s="508"/>
      <c r="C4" s="510"/>
      <c r="D4" s="94" t="s">
        <v>96</v>
      </c>
      <c r="E4" s="24">
        <v>708</v>
      </c>
      <c r="F4" s="24">
        <v>321</v>
      </c>
      <c r="G4" s="24">
        <f t="shared" ref="G4:G5" si="0">+ROUND(E4*F4/1000,0)</f>
        <v>227</v>
      </c>
      <c r="H4" s="519">
        <f t="shared" ref="H4:H6" si="1">+G4/$B$3</f>
        <v>0.1135</v>
      </c>
      <c r="I4" s="519"/>
      <c r="J4" s="25">
        <f t="shared" ref="J4:J6" si="2">+ROUND($C$3*H4,0)</f>
        <v>1130</v>
      </c>
    </row>
    <row r="5" spans="1:11" ht="18" customHeight="1">
      <c r="A5" s="506"/>
      <c r="B5" s="508"/>
      <c r="C5" s="510"/>
      <c r="D5" s="94" t="s">
        <v>97</v>
      </c>
      <c r="E5" s="24">
        <v>3661</v>
      </c>
      <c r="F5" s="24">
        <v>321</v>
      </c>
      <c r="G5" s="24">
        <f t="shared" si="0"/>
        <v>1175</v>
      </c>
      <c r="H5" s="519">
        <f t="shared" si="1"/>
        <v>0.58750000000000002</v>
      </c>
      <c r="I5" s="519"/>
      <c r="J5" s="25">
        <f t="shared" si="2"/>
        <v>5848</v>
      </c>
    </row>
    <row r="6" spans="1:11" ht="18" customHeight="1">
      <c r="A6" s="506"/>
      <c r="B6" s="508"/>
      <c r="C6" s="510"/>
      <c r="D6" s="94"/>
      <c r="E6" s="24">
        <v>0</v>
      </c>
      <c r="F6" s="24">
        <v>0</v>
      </c>
      <c r="G6" s="24">
        <v>0</v>
      </c>
      <c r="H6" s="519">
        <f t="shared" si="1"/>
        <v>0</v>
      </c>
      <c r="I6" s="519"/>
      <c r="J6" s="25">
        <f t="shared" si="2"/>
        <v>0</v>
      </c>
    </row>
    <row r="7" spans="1:11" ht="18" customHeight="1">
      <c r="A7" s="511"/>
      <c r="B7" s="512"/>
      <c r="C7" s="513"/>
      <c r="D7" s="36" t="s">
        <v>2</v>
      </c>
      <c r="E7" s="37">
        <f>SUM(E3:E6)</f>
        <v>5311</v>
      </c>
      <c r="F7" s="52">
        <v>0</v>
      </c>
      <c r="G7" s="37">
        <f>SUM(G3:G6)</f>
        <v>1704</v>
      </c>
      <c r="H7" s="518">
        <f>+G7/$B$3</f>
        <v>0.85199999999999998</v>
      </c>
      <c r="I7" s="518"/>
      <c r="J7" s="40">
        <f>SUM(J3:J6)</f>
        <v>8481</v>
      </c>
      <c r="K7" s="11"/>
    </row>
    <row r="8" spans="1:11" ht="18" customHeight="1">
      <c r="A8" s="505" t="s">
        <v>93</v>
      </c>
      <c r="B8" s="507">
        <v>4000</v>
      </c>
      <c r="C8" s="509">
        <v>16342</v>
      </c>
      <c r="D8" s="95" t="s">
        <v>98</v>
      </c>
      <c r="E8" s="42">
        <v>4780</v>
      </c>
      <c r="F8" s="42">
        <v>310</v>
      </c>
      <c r="G8" s="42">
        <f t="shared" ref="G8" si="3">+ROUND(E8*F8/1000,0)</f>
        <v>1482</v>
      </c>
      <c r="H8" s="51">
        <f>+G8/$B$8</f>
        <v>0.3705</v>
      </c>
      <c r="I8" s="51">
        <f t="shared" ref="I8:I14" si="4">+G8/$G$14</f>
        <v>0.52853067047075608</v>
      </c>
      <c r="J8" s="43">
        <f>+ROUND($C$8*H8,0)</f>
        <v>6055</v>
      </c>
    </row>
    <row r="9" spans="1:11" ht="18" customHeight="1">
      <c r="A9" s="514"/>
      <c r="B9" s="508"/>
      <c r="C9" s="515"/>
      <c r="D9" s="94" t="s">
        <v>99</v>
      </c>
      <c r="E9" s="31">
        <v>430</v>
      </c>
      <c r="F9" s="24">
        <v>310</v>
      </c>
      <c r="G9" s="24">
        <f t="shared" ref="G9" si="5">+ROUND(E9*F9/1000,0)</f>
        <v>133</v>
      </c>
      <c r="H9" s="32">
        <f>+G9/$B$8</f>
        <v>3.3250000000000002E-2</v>
      </c>
      <c r="I9" s="32">
        <f t="shared" si="4"/>
        <v>4.7432239657631957E-2</v>
      </c>
      <c r="J9" s="25">
        <f t="shared" ref="J9:J13" si="6">+ROUND($C$8*H9,0)</f>
        <v>543</v>
      </c>
    </row>
    <row r="10" spans="1:11" ht="18" customHeight="1">
      <c r="A10" s="506"/>
      <c r="B10" s="508"/>
      <c r="C10" s="510"/>
      <c r="D10" s="26" t="s">
        <v>100</v>
      </c>
      <c r="E10" s="31">
        <v>941</v>
      </c>
      <c r="F10" s="24">
        <v>310</v>
      </c>
      <c r="G10" s="24">
        <f t="shared" ref="G10:G16" si="7">+ROUND(E10*F10/1000,0)</f>
        <v>292</v>
      </c>
      <c r="H10" s="32">
        <f t="shared" ref="H10:H14" si="8">+G10/$B$8</f>
        <v>7.2999999999999995E-2</v>
      </c>
      <c r="I10" s="32">
        <f t="shared" si="4"/>
        <v>0.10413694721825963</v>
      </c>
      <c r="J10" s="25">
        <f t="shared" si="6"/>
        <v>1193</v>
      </c>
    </row>
    <row r="11" spans="1:11" ht="18" customHeight="1">
      <c r="A11" s="506"/>
      <c r="B11" s="508"/>
      <c r="C11" s="510"/>
      <c r="D11" s="26" t="s">
        <v>101</v>
      </c>
      <c r="E11" s="31">
        <v>575</v>
      </c>
      <c r="F11" s="24">
        <v>310</v>
      </c>
      <c r="G11" s="24">
        <f t="shared" si="7"/>
        <v>178</v>
      </c>
      <c r="H11" s="32">
        <f t="shared" si="8"/>
        <v>4.4499999999999998E-2</v>
      </c>
      <c r="I11" s="32">
        <f t="shared" si="4"/>
        <v>6.3480741797432239E-2</v>
      </c>
      <c r="J11" s="25">
        <f t="shared" si="6"/>
        <v>727</v>
      </c>
    </row>
    <row r="12" spans="1:11" ht="18" customHeight="1">
      <c r="A12" s="506"/>
      <c r="B12" s="508"/>
      <c r="C12" s="510"/>
      <c r="D12" s="26" t="s">
        <v>102</v>
      </c>
      <c r="E12" s="31">
        <v>1495</v>
      </c>
      <c r="F12" s="24">
        <v>310</v>
      </c>
      <c r="G12" s="24">
        <f t="shared" si="7"/>
        <v>463</v>
      </c>
      <c r="H12" s="32">
        <f t="shared" si="8"/>
        <v>0.11575000000000001</v>
      </c>
      <c r="I12" s="32">
        <f t="shared" si="4"/>
        <v>0.1651212553495007</v>
      </c>
      <c r="J12" s="25">
        <f t="shared" si="6"/>
        <v>1892</v>
      </c>
    </row>
    <row r="13" spans="1:11" ht="18" customHeight="1">
      <c r="A13" s="506"/>
      <c r="B13" s="508"/>
      <c r="C13" s="510"/>
      <c r="D13" s="26" t="s">
        <v>103</v>
      </c>
      <c r="E13" s="31">
        <v>976</v>
      </c>
      <c r="F13" s="24">
        <v>262</v>
      </c>
      <c r="G13" s="24">
        <f t="shared" si="7"/>
        <v>256</v>
      </c>
      <c r="H13" s="32">
        <f t="shared" si="8"/>
        <v>6.4000000000000001E-2</v>
      </c>
      <c r="I13" s="32">
        <f t="shared" si="4"/>
        <v>9.1298145506419404E-2</v>
      </c>
      <c r="J13" s="25">
        <f t="shared" si="6"/>
        <v>1046</v>
      </c>
    </row>
    <row r="14" spans="1:11" ht="18" customHeight="1">
      <c r="A14" s="511"/>
      <c r="B14" s="512"/>
      <c r="C14" s="513"/>
      <c r="D14" s="36" t="s">
        <v>2</v>
      </c>
      <c r="E14" s="37">
        <f>SUM(E8:E13)</f>
        <v>9197</v>
      </c>
      <c r="F14" s="52"/>
      <c r="G14" s="37">
        <f>SUM(G8:G13)</f>
        <v>2804</v>
      </c>
      <c r="H14" s="39">
        <f t="shared" si="8"/>
        <v>0.70099999999999996</v>
      </c>
      <c r="I14" s="39">
        <f t="shared" si="4"/>
        <v>1</v>
      </c>
      <c r="J14" s="53">
        <f>SUM(J8:J13)</f>
        <v>11456</v>
      </c>
    </row>
    <row r="15" spans="1:11" ht="30.75" customHeight="1">
      <c r="A15" s="505" t="s">
        <v>94</v>
      </c>
      <c r="B15" s="507">
        <v>1200</v>
      </c>
      <c r="C15" s="509">
        <v>6502</v>
      </c>
      <c r="D15" s="49" t="s">
        <v>104</v>
      </c>
      <c r="E15" s="42">
        <v>208</v>
      </c>
      <c r="F15" s="50">
        <v>257</v>
      </c>
      <c r="G15" s="42">
        <f t="shared" si="7"/>
        <v>53</v>
      </c>
      <c r="H15" s="51">
        <f>+G15/$B$15</f>
        <v>4.4166666666666667E-2</v>
      </c>
      <c r="I15" s="51">
        <f>+G15/$G$17</f>
        <v>1</v>
      </c>
      <c r="J15" s="43">
        <f>+ROUND($C$15*H15,0)</f>
        <v>287</v>
      </c>
    </row>
    <row r="16" spans="1:11" ht="18" customHeight="1">
      <c r="A16" s="506"/>
      <c r="B16" s="508"/>
      <c r="C16" s="510"/>
      <c r="D16" s="34"/>
      <c r="E16" s="24"/>
      <c r="F16" s="35"/>
      <c r="G16" s="24">
        <f t="shared" si="7"/>
        <v>0</v>
      </c>
      <c r="H16" s="32">
        <f>+G16/$B$15</f>
        <v>0</v>
      </c>
      <c r="I16" s="32">
        <f>+G16/$G$17</f>
        <v>0</v>
      </c>
      <c r="J16" s="25">
        <f>+ROUND($C$15*I16,0)</f>
        <v>0</v>
      </c>
    </row>
    <row r="17" spans="1:10" ht="18" customHeight="1">
      <c r="A17" s="511"/>
      <c r="B17" s="512"/>
      <c r="C17" s="513"/>
      <c r="D17" s="36" t="s">
        <v>2</v>
      </c>
      <c r="E17" s="37">
        <f>SUM(E15:E16)</f>
        <v>208</v>
      </c>
      <c r="F17" s="38"/>
      <c r="G17" s="37">
        <f>SUM(G15:G16)</f>
        <v>53</v>
      </c>
      <c r="H17" s="39">
        <f>+G17/$B$15</f>
        <v>4.4166666666666667E-2</v>
      </c>
      <c r="I17" s="39">
        <f>+G17/$G$17</f>
        <v>1</v>
      </c>
      <c r="J17" s="40">
        <f>SUM(J15:J16)</f>
        <v>287</v>
      </c>
    </row>
    <row r="18" spans="1:10" ht="18" customHeight="1">
      <c r="A18" s="2" t="s">
        <v>105</v>
      </c>
    </row>
    <row r="19" spans="1:10" ht="18" customHeight="1">
      <c r="A19" s="99" t="s">
        <v>106</v>
      </c>
    </row>
    <row r="20" spans="1:10" ht="18" customHeight="1"/>
    <row r="21" spans="1:10" ht="18" customHeight="1"/>
    <row r="22" spans="1:10" ht="18" customHeight="1"/>
    <row r="23" spans="1:10" ht="18" customHeight="1"/>
    <row r="24" spans="1:10" ht="18" customHeight="1"/>
    <row r="25" spans="1:10" ht="18" customHeight="1"/>
    <row r="26" spans="1:10" ht="18" customHeight="1"/>
    <row r="27" spans="1:10" ht="18" customHeight="1"/>
    <row r="28" spans="1:10" ht="18" customHeight="1"/>
    <row r="29" spans="1:10" ht="18" customHeight="1"/>
    <row r="30" spans="1:10" ht="18" customHeight="1"/>
    <row r="31" spans="1:10" ht="18" customHeight="1"/>
    <row r="32" spans="1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</sheetData>
  <mergeCells count="15">
    <mergeCell ref="A3:A7"/>
    <mergeCell ref="B3:B7"/>
    <mergeCell ref="A8:A14"/>
    <mergeCell ref="B8:B14"/>
    <mergeCell ref="A15:A17"/>
    <mergeCell ref="B15:B17"/>
    <mergeCell ref="C8:C14"/>
    <mergeCell ref="C15:C17"/>
    <mergeCell ref="H7:I7"/>
    <mergeCell ref="H6:I6"/>
    <mergeCell ref="H2:I2"/>
    <mergeCell ref="H3:I3"/>
    <mergeCell ref="H4:I4"/>
    <mergeCell ref="H5:I5"/>
    <mergeCell ref="C3:C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D18" sqref="D18"/>
    </sheetView>
    <sheetView workbookViewId="1"/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8" width="9" style="1"/>
    <col min="9" max="9" width="12.125" style="1" bestFit="1" customWidth="1"/>
    <col min="10" max="10" width="10.875" style="84" customWidth="1"/>
    <col min="11" max="16384" width="9" style="1"/>
  </cols>
  <sheetData>
    <row r="1" spans="1:10" ht="18" customHeight="1">
      <c r="A1" s="5" t="s">
        <v>51</v>
      </c>
    </row>
    <row r="2" spans="1:10" ht="39.950000000000003" customHeight="1">
      <c r="A2" s="4" t="s">
        <v>0</v>
      </c>
      <c r="B2" s="44" t="s">
        <v>6</v>
      </c>
      <c r="C2" s="68" t="s">
        <v>5</v>
      </c>
      <c r="D2" s="46" t="s">
        <v>1</v>
      </c>
      <c r="E2" s="68" t="s">
        <v>8</v>
      </c>
      <c r="F2" s="68" t="s">
        <v>3</v>
      </c>
      <c r="G2" s="47" t="s">
        <v>4</v>
      </c>
      <c r="H2" s="70" t="s">
        <v>81</v>
      </c>
      <c r="I2" s="85" t="s">
        <v>82</v>
      </c>
      <c r="J2" s="93" t="s">
        <v>83</v>
      </c>
    </row>
    <row r="3" spans="1:10" ht="18" customHeight="1">
      <c r="A3" s="505" t="s">
        <v>121</v>
      </c>
      <c r="B3" s="507">
        <v>2000</v>
      </c>
      <c r="C3" s="509">
        <v>9954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42">
        <v>959988</v>
      </c>
      <c r="I3" s="86">
        <f>+ROUND(G3*H3/1000,0)</f>
        <v>289916</v>
      </c>
      <c r="J3" s="92"/>
    </row>
    <row r="4" spans="1:10" ht="18" customHeight="1">
      <c r="A4" s="506"/>
      <c r="B4" s="508"/>
      <c r="C4" s="510"/>
      <c r="D4" s="102" t="s">
        <v>123</v>
      </c>
      <c r="E4" s="24">
        <v>708</v>
      </c>
      <c r="F4" s="24">
        <v>321</v>
      </c>
      <c r="G4" s="24">
        <f t="shared" ref="G4:G5" si="0">+ROUND(E4*F4/1000,0)</f>
        <v>227</v>
      </c>
      <c r="H4" s="42"/>
      <c r="I4" s="86">
        <v>774460</v>
      </c>
      <c r="J4" s="89" t="s">
        <v>84</v>
      </c>
    </row>
    <row r="5" spans="1:10" ht="18" customHeight="1">
      <c r="A5" s="506"/>
      <c r="B5" s="508"/>
      <c r="C5" s="510"/>
      <c r="D5" s="102" t="s">
        <v>124</v>
      </c>
      <c r="E5" s="24">
        <v>3661</v>
      </c>
      <c r="F5" s="24">
        <v>321</v>
      </c>
      <c r="G5" s="24">
        <f t="shared" si="0"/>
        <v>1175</v>
      </c>
      <c r="H5" s="42"/>
      <c r="I5" s="86">
        <v>619806</v>
      </c>
      <c r="J5" s="89" t="s">
        <v>85</v>
      </c>
    </row>
    <row r="6" spans="1:10" ht="18" customHeight="1">
      <c r="A6" s="506"/>
      <c r="B6" s="508"/>
      <c r="C6" s="510"/>
      <c r="D6" s="27" t="s">
        <v>2</v>
      </c>
      <c r="E6" s="28">
        <f>SUM(E3:E5)</f>
        <v>5311</v>
      </c>
      <c r="F6" s="29">
        <v>0</v>
      </c>
      <c r="G6" s="28">
        <f>SUM(G3:G5)</f>
        <v>1704</v>
      </c>
      <c r="H6" s="69"/>
      <c r="I6" s="87">
        <f>SUM(I3:I5)</f>
        <v>1684182</v>
      </c>
      <c r="J6" s="90"/>
    </row>
    <row r="7" spans="1:10" ht="18" customHeight="1">
      <c r="A7" s="514" t="s">
        <v>125</v>
      </c>
      <c r="B7" s="508">
        <v>4000</v>
      </c>
      <c r="C7" s="515">
        <v>22862</v>
      </c>
      <c r="D7" s="102" t="s">
        <v>127</v>
      </c>
      <c r="E7" s="31">
        <v>4780</v>
      </c>
      <c r="F7" s="24">
        <v>310</v>
      </c>
      <c r="G7" s="24">
        <f t="shared" ref="G7:G12" si="1">+ROUND(E7*F7/1000,0)</f>
        <v>1482</v>
      </c>
      <c r="H7" s="42">
        <v>959988</v>
      </c>
      <c r="I7" s="86">
        <f>+ROUND(G7*H7/1000,0)</f>
        <v>1422702</v>
      </c>
      <c r="J7" s="89"/>
    </row>
    <row r="8" spans="1:10" ht="18" customHeight="1">
      <c r="A8" s="506"/>
      <c r="B8" s="508"/>
      <c r="C8" s="510"/>
      <c r="D8" s="102" t="s">
        <v>128</v>
      </c>
      <c r="E8" s="31">
        <v>430</v>
      </c>
      <c r="F8" s="24">
        <v>310</v>
      </c>
      <c r="G8" s="24">
        <f t="shared" si="1"/>
        <v>133</v>
      </c>
      <c r="H8" s="42">
        <v>959988</v>
      </c>
      <c r="I8" s="86">
        <f t="shared" ref="I8:I12" si="2">+ROUND(G8*H8/1000,0)</f>
        <v>127678</v>
      </c>
      <c r="J8" s="89"/>
    </row>
    <row r="9" spans="1:10" ht="18" customHeight="1">
      <c r="A9" s="506"/>
      <c r="B9" s="508"/>
      <c r="C9" s="510"/>
      <c r="D9" s="102" t="s">
        <v>129</v>
      </c>
      <c r="E9" s="31">
        <v>941</v>
      </c>
      <c r="F9" s="24">
        <v>310</v>
      </c>
      <c r="G9" s="24">
        <f t="shared" si="1"/>
        <v>292</v>
      </c>
      <c r="H9" s="42">
        <v>959988</v>
      </c>
      <c r="I9" s="86">
        <f t="shared" si="2"/>
        <v>280316</v>
      </c>
      <c r="J9" s="89"/>
    </row>
    <row r="10" spans="1:10" ht="18" customHeight="1">
      <c r="A10" s="506"/>
      <c r="B10" s="508"/>
      <c r="C10" s="510"/>
      <c r="D10" s="102" t="s">
        <v>130</v>
      </c>
      <c r="E10" s="31">
        <v>575</v>
      </c>
      <c r="F10" s="24">
        <v>310</v>
      </c>
      <c r="G10" s="24">
        <f t="shared" si="1"/>
        <v>178</v>
      </c>
      <c r="H10" s="42">
        <v>959988</v>
      </c>
      <c r="I10" s="86">
        <f t="shared" si="2"/>
        <v>170878</v>
      </c>
      <c r="J10" s="89"/>
    </row>
    <row r="11" spans="1:10" ht="18" customHeight="1">
      <c r="A11" s="506"/>
      <c r="B11" s="508"/>
      <c r="C11" s="510"/>
      <c r="D11" s="102" t="s">
        <v>131</v>
      </c>
      <c r="E11" s="31">
        <v>1495</v>
      </c>
      <c r="F11" s="24">
        <v>310</v>
      </c>
      <c r="G11" s="24">
        <f t="shared" si="1"/>
        <v>463</v>
      </c>
      <c r="H11" s="42">
        <v>959988</v>
      </c>
      <c r="I11" s="86">
        <f t="shared" si="2"/>
        <v>444474</v>
      </c>
      <c r="J11" s="89"/>
    </row>
    <row r="12" spans="1:10" ht="18" customHeight="1">
      <c r="A12" s="506"/>
      <c r="B12" s="508"/>
      <c r="C12" s="510"/>
      <c r="D12" s="102" t="s">
        <v>132</v>
      </c>
      <c r="E12" s="31">
        <v>976</v>
      </c>
      <c r="F12" s="24">
        <v>262</v>
      </c>
      <c r="G12" s="24">
        <f t="shared" si="1"/>
        <v>256</v>
      </c>
      <c r="H12" s="42">
        <v>959988</v>
      </c>
      <c r="I12" s="86">
        <f t="shared" si="2"/>
        <v>245757</v>
      </c>
      <c r="J12" s="89"/>
    </row>
    <row r="13" spans="1:10" ht="18" customHeight="1">
      <c r="A13" s="511"/>
      <c r="B13" s="512"/>
      <c r="C13" s="513"/>
      <c r="D13" s="36" t="s">
        <v>2</v>
      </c>
      <c r="E13" s="37">
        <f>SUM(E7:E12)</f>
        <v>9197</v>
      </c>
      <c r="F13" s="52"/>
      <c r="G13" s="37">
        <f>SUM(G7:G12)</f>
        <v>2804</v>
      </c>
      <c r="H13" s="39"/>
      <c r="I13" s="88">
        <f>SUM(I7:I12)</f>
        <v>2691805</v>
      </c>
      <c r="J13" s="91"/>
    </row>
    <row r="14" spans="1:10" ht="18" customHeight="1">
      <c r="A14" s="505" t="s">
        <v>126</v>
      </c>
      <c r="B14" s="507">
        <v>750</v>
      </c>
      <c r="C14" s="509">
        <v>6502</v>
      </c>
      <c r="D14" s="49" t="s">
        <v>133</v>
      </c>
      <c r="E14" s="42">
        <v>208</v>
      </c>
      <c r="F14" s="50">
        <v>257</v>
      </c>
      <c r="G14" s="42">
        <f t="shared" ref="G14" si="3">+ROUND(E14*F14/1000,0)</f>
        <v>53</v>
      </c>
      <c r="H14" s="42"/>
      <c r="I14" s="86">
        <v>807349</v>
      </c>
      <c r="J14" s="92" t="s">
        <v>86</v>
      </c>
    </row>
    <row r="15" spans="1:10" ht="18" customHeight="1">
      <c r="A15" s="506"/>
      <c r="B15" s="508"/>
      <c r="C15" s="510"/>
      <c r="D15" s="34"/>
      <c r="E15" s="24"/>
      <c r="F15" s="35"/>
      <c r="G15" s="24"/>
      <c r="H15" s="42"/>
      <c r="I15" s="86"/>
      <c r="J15" s="89"/>
    </row>
    <row r="16" spans="1:10" ht="18" customHeight="1">
      <c r="A16" s="511"/>
      <c r="B16" s="512"/>
      <c r="C16" s="513"/>
      <c r="D16" s="36" t="s">
        <v>2</v>
      </c>
      <c r="E16" s="37">
        <f>SUM(E14:E15)</f>
        <v>208</v>
      </c>
      <c r="F16" s="38"/>
      <c r="G16" s="37">
        <f>SUM(G14:G15)</f>
        <v>53</v>
      </c>
      <c r="H16" s="39"/>
      <c r="I16" s="88">
        <f>SUM(I14:I15)</f>
        <v>807349</v>
      </c>
      <c r="J16" s="91"/>
    </row>
    <row r="17" spans="1:1" ht="18" customHeight="1">
      <c r="A17" s="2"/>
    </row>
    <row r="18" spans="1:1" ht="18" customHeight="1">
      <c r="A18" s="3"/>
    </row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9">
    <mergeCell ref="A14:A16"/>
    <mergeCell ref="B14:B16"/>
    <mergeCell ref="C14:C16"/>
    <mergeCell ref="A3:A6"/>
    <mergeCell ref="B3:B6"/>
    <mergeCell ref="C3:C6"/>
    <mergeCell ref="A7:A13"/>
    <mergeCell ref="B7:B13"/>
    <mergeCell ref="C7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/>
    <sheetView workbookViewId="1"/>
  </sheetViews>
  <sheetFormatPr defaultRowHeight="12"/>
  <cols>
    <col min="1" max="1" width="13.75" style="1" customWidth="1"/>
    <col min="2" max="3" width="9" style="1"/>
    <col min="4" max="4" width="21.125" style="1" bestFit="1" customWidth="1"/>
    <col min="5" max="5" width="9" style="1"/>
    <col min="6" max="6" width="13" style="1" customWidth="1"/>
    <col min="7" max="7" width="12.375" style="1" customWidth="1"/>
    <col min="8" max="8" width="9.625" style="1" bestFit="1" customWidth="1"/>
    <col min="9" max="9" width="12.125" style="1" bestFit="1" customWidth="1"/>
    <col min="10" max="16384" width="9" style="1"/>
  </cols>
  <sheetData>
    <row r="1" spans="1:10" ht="18" customHeight="1">
      <c r="A1" s="5" t="s">
        <v>51</v>
      </c>
    </row>
    <row r="2" spans="1:10" ht="39.950000000000003" customHeight="1">
      <c r="A2" s="4" t="s">
        <v>0</v>
      </c>
      <c r="B2" s="44" t="s">
        <v>6</v>
      </c>
      <c r="C2" s="66" t="s">
        <v>5</v>
      </c>
      <c r="D2" s="46" t="s">
        <v>1</v>
      </c>
      <c r="E2" s="66" t="s">
        <v>8</v>
      </c>
      <c r="F2" s="66" t="s">
        <v>3</v>
      </c>
      <c r="G2" s="47" t="s">
        <v>4</v>
      </c>
      <c r="H2" s="70" t="s">
        <v>81</v>
      </c>
      <c r="I2" s="72" t="s">
        <v>82</v>
      </c>
    </row>
    <row r="3" spans="1:10" ht="25.5" customHeight="1">
      <c r="A3" s="505" t="s">
        <v>121</v>
      </c>
      <c r="B3" s="507">
        <v>2000</v>
      </c>
      <c r="C3" s="509">
        <v>9954</v>
      </c>
      <c r="D3" s="41" t="s">
        <v>122</v>
      </c>
      <c r="E3" s="42">
        <v>942</v>
      </c>
      <c r="F3" s="42">
        <v>321</v>
      </c>
      <c r="G3" s="42">
        <f>+ROUND(E3*F3/1000,0)</f>
        <v>302</v>
      </c>
      <c r="H3" s="42">
        <v>2409600</v>
      </c>
      <c r="I3" s="43">
        <f>+ROUND(G3*H3/1000000,0)</f>
        <v>728</v>
      </c>
    </row>
    <row r="4" spans="1:10" ht="18" customHeight="1">
      <c r="A4" s="506"/>
      <c r="B4" s="508"/>
      <c r="C4" s="510"/>
      <c r="D4" s="67" t="s">
        <v>123</v>
      </c>
      <c r="E4" s="24">
        <v>708</v>
      </c>
      <c r="F4" s="24">
        <v>321</v>
      </c>
      <c r="G4" s="24">
        <f t="shared" ref="G4:G5" si="0">+ROUND(E4*F4/1000,0)</f>
        <v>227</v>
      </c>
      <c r="H4" s="42">
        <v>2409600</v>
      </c>
      <c r="I4" s="43">
        <f t="shared" ref="I4:I5" si="1">+ROUND(G4*H4/1000000,0)</f>
        <v>547</v>
      </c>
    </row>
    <row r="5" spans="1:10" ht="18" customHeight="1">
      <c r="A5" s="506"/>
      <c r="B5" s="508"/>
      <c r="C5" s="510"/>
      <c r="D5" s="67" t="s">
        <v>124</v>
      </c>
      <c r="E5" s="24">
        <v>3661</v>
      </c>
      <c r="F5" s="24">
        <v>321</v>
      </c>
      <c r="G5" s="24">
        <f t="shared" si="0"/>
        <v>1175</v>
      </c>
      <c r="H5" s="42">
        <v>2409600</v>
      </c>
      <c r="I5" s="43">
        <f t="shared" si="1"/>
        <v>2831</v>
      </c>
    </row>
    <row r="6" spans="1:10" ht="18" customHeight="1">
      <c r="A6" s="506"/>
      <c r="B6" s="508"/>
      <c r="C6" s="510"/>
      <c r="D6" s="27" t="s">
        <v>2</v>
      </c>
      <c r="E6" s="28">
        <f>SUM(E3:E5)</f>
        <v>5311</v>
      </c>
      <c r="F6" s="29">
        <v>0</v>
      </c>
      <c r="G6" s="28">
        <f>SUM(G3:G5)</f>
        <v>1704</v>
      </c>
      <c r="H6" s="69"/>
      <c r="I6" s="71">
        <f>SUM(I3:I5)</f>
        <v>4106</v>
      </c>
      <c r="J6" s="11"/>
    </row>
    <row r="7" spans="1:10" ht="18" customHeight="1">
      <c r="A7" s="514" t="s">
        <v>125</v>
      </c>
      <c r="B7" s="508">
        <v>4000</v>
      </c>
      <c r="C7" s="515">
        <v>22862</v>
      </c>
      <c r="D7" s="67" t="s">
        <v>127</v>
      </c>
      <c r="E7" s="31">
        <v>4780</v>
      </c>
      <c r="F7" s="24">
        <v>310</v>
      </c>
      <c r="G7" s="24">
        <f t="shared" ref="G7:G14" si="2">+ROUND(E7*F7/1000,0)</f>
        <v>1482</v>
      </c>
      <c r="H7" s="42">
        <v>2409600</v>
      </c>
      <c r="I7" s="43">
        <f t="shared" ref="I7:I14" si="3">+ROUND(G7*H7/1000000,0)</f>
        <v>3571</v>
      </c>
    </row>
    <row r="8" spans="1:10" ht="18" customHeight="1">
      <c r="A8" s="506"/>
      <c r="B8" s="508"/>
      <c r="C8" s="510"/>
      <c r="D8" s="67" t="s">
        <v>128</v>
      </c>
      <c r="E8" s="31">
        <v>430</v>
      </c>
      <c r="F8" s="24">
        <v>310</v>
      </c>
      <c r="G8" s="24">
        <f t="shared" si="2"/>
        <v>133</v>
      </c>
      <c r="H8" s="42">
        <v>2409600</v>
      </c>
      <c r="I8" s="43">
        <f t="shared" si="3"/>
        <v>320</v>
      </c>
    </row>
    <row r="9" spans="1:10" ht="18" customHeight="1">
      <c r="A9" s="506"/>
      <c r="B9" s="508"/>
      <c r="C9" s="510"/>
      <c r="D9" s="67" t="s">
        <v>129</v>
      </c>
      <c r="E9" s="31">
        <v>941</v>
      </c>
      <c r="F9" s="24">
        <v>310</v>
      </c>
      <c r="G9" s="24">
        <f t="shared" si="2"/>
        <v>292</v>
      </c>
      <c r="H9" s="42">
        <v>2409600</v>
      </c>
      <c r="I9" s="43">
        <f t="shared" si="3"/>
        <v>704</v>
      </c>
    </row>
    <row r="10" spans="1:10" ht="18" customHeight="1">
      <c r="A10" s="506"/>
      <c r="B10" s="508"/>
      <c r="C10" s="510"/>
      <c r="D10" s="67" t="s">
        <v>130</v>
      </c>
      <c r="E10" s="31">
        <v>575</v>
      </c>
      <c r="F10" s="24">
        <v>310</v>
      </c>
      <c r="G10" s="24">
        <f t="shared" si="2"/>
        <v>178</v>
      </c>
      <c r="H10" s="42">
        <v>2409600</v>
      </c>
      <c r="I10" s="43">
        <f t="shared" si="3"/>
        <v>429</v>
      </c>
    </row>
    <row r="11" spans="1:10" ht="18" customHeight="1">
      <c r="A11" s="506"/>
      <c r="B11" s="508"/>
      <c r="C11" s="510"/>
      <c r="D11" s="67" t="s">
        <v>131</v>
      </c>
      <c r="E11" s="31">
        <v>1495</v>
      </c>
      <c r="F11" s="24">
        <v>310</v>
      </c>
      <c r="G11" s="24">
        <f t="shared" si="2"/>
        <v>463</v>
      </c>
      <c r="H11" s="42">
        <v>2409600</v>
      </c>
      <c r="I11" s="43">
        <f t="shared" si="3"/>
        <v>1116</v>
      </c>
    </row>
    <row r="12" spans="1:10" ht="18" customHeight="1">
      <c r="A12" s="506"/>
      <c r="B12" s="508"/>
      <c r="C12" s="510"/>
      <c r="D12" s="67" t="s">
        <v>132</v>
      </c>
      <c r="E12" s="31">
        <v>976</v>
      </c>
      <c r="F12" s="24">
        <v>262</v>
      </c>
      <c r="G12" s="24">
        <f t="shared" si="2"/>
        <v>256</v>
      </c>
      <c r="H12" s="42">
        <v>2409600</v>
      </c>
      <c r="I12" s="43">
        <f t="shared" si="3"/>
        <v>617</v>
      </c>
    </row>
    <row r="13" spans="1:10" ht="18" customHeight="1">
      <c r="A13" s="511"/>
      <c r="B13" s="512"/>
      <c r="C13" s="513"/>
      <c r="D13" s="36" t="s">
        <v>2</v>
      </c>
      <c r="E13" s="37">
        <f>SUM(E7:E12)</f>
        <v>9197</v>
      </c>
      <c r="F13" s="52"/>
      <c r="G13" s="37">
        <f>SUM(G7:G12)</f>
        <v>2804</v>
      </c>
      <c r="H13" s="39"/>
      <c r="I13" s="40">
        <f>SUM(I7:I12)</f>
        <v>6757</v>
      </c>
    </row>
    <row r="14" spans="1:10" ht="26.25" customHeight="1">
      <c r="A14" s="505" t="s">
        <v>126</v>
      </c>
      <c r="B14" s="507">
        <v>750</v>
      </c>
      <c r="C14" s="509">
        <v>6502</v>
      </c>
      <c r="D14" s="49" t="s">
        <v>133</v>
      </c>
      <c r="E14" s="42">
        <v>208</v>
      </c>
      <c r="F14" s="50">
        <v>257</v>
      </c>
      <c r="G14" s="42">
        <f t="shared" si="2"/>
        <v>53</v>
      </c>
      <c r="H14" s="42">
        <v>2409600</v>
      </c>
      <c r="I14" s="43">
        <f t="shared" si="3"/>
        <v>128</v>
      </c>
    </row>
    <row r="15" spans="1:10" ht="18" customHeight="1">
      <c r="A15" s="506"/>
      <c r="B15" s="508"/>
      <c r="C15" s="510"/>
      <c r="D15" s="34"/>
      <c r="E15" s="24"/>
      <c r="F15" s="35"/>
      <c r="G15" s="24"/>
      <c r="H15" s="42"/>
      <c r="I15" s="43"/>
    </row>
    <row r="16" spans="1:10" ht="18" customHeight="1">
      <c r="A16" s="511"/>
      <c r="B16" s="512"/>
      <c r="C16" s="513"/>
      <c r="D16" s="36" t="s">
        <v>2</v>
      </c>
      <c r="E16" s="37">
        <f>SUM(E14:E15)</f>
        <v>208</v>
      </c>
      <c r="F16" s="38"/>
      <c r="G16" s="37">
        <f>SUM(G14:G15)</f>
        <v>53</v>
      </c>
      <c r="H16" s="39"/>
      <c r="I16" s="40">
        <f>SUM(I14:I15)</f>
        <v>128</v>
      </c>
    </row>
    <row r="17" spans="1:1" ht="18" customHeight="1">
      <c r="A17" s="2" t="s">
        <v>13</v>
      </c>
    </row>
    <row r="18" spans="1:1" ht="18" customHeight="1">
      <c r="A18" s="3" t="s">
        <v>14</v>
      </c>
    </row>
    <row r="19" spans="1:1" ht="18" customHeight="1"/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</sheetData>
  <mergeCells count="9">
    <mergeCell ref="A14:A16"/>
    <mergeCell ref="B14:B16"/>
    <mergeCell ref="C14:C16"/>
    <mergeCell ref="A3:A6"/>
    <mergeCell ref="B3:B6"/>
    <mergeCell ref="C3:C6"/>
    <mergeCell ref="A7:A13"/>
    <mergeCell ref="B7:B13"/>
    <mergeCell ref="C7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4"/>
  <sheetViews>
    <sheetView view="pageBreakPreview" topLeftCell="A118" zoomScale="115" zoomScaleNormal="70" zoomScaleSheetLayoutView="115" workbookViewId="0">
      <selection activeCell="E33" sqref="E33:G44"/>
    </sheetView>
    <sheetView topLeftCell="A58" workbookViewId="1">
      <selection activeCell="P88" sqref="P88"/>
    </sheetView>
  </sheetViews>
  <sheetFormatPr defaultRowHeight="16.5"/>
  <cols>
    <col min="1" max="2" width="8.625" style="177" customWidth="1"/>
    <col min="3" max="4" width="9.625" style="177" customWidth="1"/>
    <col min="5" max="9" width="7.625" style="178" customWidth="1"/>
    <col min="10" max="10" width="5.625" style="177" customWidth="1"/>
    <col min="11" max="14" width="9.625" style="177" customWidth="1"/>
    <col min="15" max="15" width="7.375" style="177" customWidth="1"/>
    <col min="16" max="16" width="9.625" style="177" customWidth="1"/>
    <col min="17" max="17" width="7" style="177" customWidth="1"/>
    <col min="18" max="16384" width="9" style="177"/>
  </cols>
  <sheetData>
    <row r="1" spans="1:17" ht="20.45" customHeight="1">
      <c r="A1" s="176" t="s">
        <v>396</v>
      </c>
    </row>
    <row r="2" spans="1:17" ht="20.45" customHeight="1">
      <c r="A2" s="176"/>
      <c r="J2" s="179" t="s">
        <v>34</v>
      </c>
    </row>
    <row r="3" spans="1:17" s="65" customFormat="1" ht="20.45" customHeight="1">
      <c r="A3" s="323" t="s">
        <v>71</v>
      </c>
      <c r="B3" s="430" t="s">
        <v>17</v>
      </c>
      <c r="C3" s="430"/>
      <c r="D3" s="430"/>
      <c r="E3" s="343" t="s">
        <v>2</v>
      </c>
      <c r="F3" s="343" t="s">
        <v>20</v>
      </c>
      <c r="G3" s="343" t="s">
        <v>22</v>
      </c>
      <c r="H3" s="343" t="s">
        <v>143</v>
      </c>
      <c r="I3" s="343" t="s">
        <v>26</v>
      </c>
      <c r="J3" s="344" t="s">
        <v>28</v>
      </c>
    </row>
    <row r="4" spans="1:17" s="65" customFormat="1" ht="20.45" customHeight="1">
      <c r="A4" s="423" t="s">
        <v>110</v>
      </c>
      <c r="B4" s="426" t="s">
        <v>80</v>
      </c>
      <c r="C4" s="426"/>
      <c r="D4" s="330" t="s">
        <v>18</v>
      </c>
      <c r="E4" s="113">
        <f>SUM(F4:I4)</f>
        <v>223473.9</v>
      </c>
      <c r="F4" s="113">
        <f t="shared" ref="F4:I7" si="0">F8+F40+F96+F144+F192+F272+F224</f>
        <v>143708.5</v>
      </c>
      <c r="G4" s="113">
        <f t="shared" si="0"/>
        <v>31064.400000000001</v>
      </c>
      <c r="H4" s="113">
        <f t="shared" si="0"/>
        <v>11395</v>
      </c>
      <c r="I4" s="113">
        <f t="shared" si="0"/>
        <v>37306</v>
      </c>
      <c r="J4" s="105"/>
    </row>
    <row r="5" spans="1:17" s="65" customFormat="1" ht="20.45" customHeight="1">
      <c r="A5" s="424"/>
      <c r="B5" s="404"/>
      <c r="C5" s="404"/>
      <c r="D5" s="329" t="s">
        <v>29</v>
      </c>
      <c r="E5" s="114">
        <f t="shared" ref="E5:E187" si="1">SUM(F5:I5)</f>
        <v>126070</v>
      </c>
      <c r="F5" s="114">
        <f t="shared" si="0"/>
        <v>85577</v>
      </c>
      <c r="G5" s="114">
        <f t="shared" si="0"/>
        <v>10103</v>
      </c>
      <c r="H5" s="114">
        <f t="shared" si="0"/>
        <v>6749</v>
      </c>
      <c r="I5" s="114">
        <f t="shared" si="0"/>
        <v>23641</v>
      </c>
      <c r="J5" s="104"/>
    </row>
    <row r="6" spans="1:17" s="65" customFormat="1" ht="20.45" customHeight="1">
      <c r="A6" s="424"/>
      <c r="B6" s="404"/>
      <c r="C6" s="404"/>
      <c r="D6" s="329" t="s">
        <v>31</v>
      </c>
      <c r="E6" s="114">
        <f t="shared" si="1"/>
        <v>66723.912219959268</v>
      </c>
      <c r="F6" s="114">
        <f t="shared" si="0"/>
        <v>40486.5</v>
      </c>
      <c r="G6" s="114">
        <f t="shared" si="0"/>
        <v>7926.4122199592666</v>
      </c>
      <c r="H6" s="114">
        <f t="shared" si="0"/>
        <v>4646</v>
      </c>
      <c r="I6" s="114">
        <f t="shared" si="0"/>
        <v>13665</v>
      </c>
      <c r="J6" s="104"/>
    </row>
    <row r="7" spans="1:17" s="65" customFormat="1" ht="20.45" customHeight="1">
      <c r="A7" s="425"/>
      <c r="B7" s="427"/>
      <c r="C7" s="427"/>
      <c r="D7" s="339" t="s">
        <v>33</v>
      </c>
      <c r="E7" s="340">
        <f t="shared" si="1"/>
        <v>21332.987780040734</v>
      </c>
      <c r="F7" s="340">
        <f t="shared" si="0"/>
        <v>17645</v>
      </c>
      <c r="G7" s="340">
        <f t="shared" si="0"/>
        <v>3687.987780040733</v>
      </c>
      <c r="H7" s="340">
        <f t="shared" si="0"/>
        <v>0</v>
      </c>
      <c r="I7" s="340">
        <f t="shared" si="0"/>
        <v>0</v>
      </c>
      <c r="J7" s="341"/>
    </row>
    <row r="8" spans="1:17" s="65" customFormat="1" ht="18" customHeight="1">
      <c r="A8" s="435" t="s">
        <v>152</v>
      </c>
      <c r="B8" s="431" t="s">
        <v>72</v>
      </c>
      <c r="C8" s="431"/>
      <c r="D8" s="336" t="s">
        <v>18</v>
      </c>
      <c r="E8" s="337">
        <f t="shared" ref="E8:E39" si="2">SUM(F8:I8)</f>
        <v>18388</v>
      </c>
      <c r="F8" s="337">
        <f>F12+F36</f>
        <v>7992</v>
      </c>
      <c r="G8" s="337">
        <f t="shared" ref="G8:I8" si="3">G12+G36</f>
        <v>8361</v>
      </c>
      <c r="H8" s="337">
        <f t="shared" si="3"/>
        <v>2035</v>
      </c>
      <c r="I8" s="337">
        <f t="shared" si="3"/>
        <v>0</v>
      </c>
      <c r="J8" s="338"/>
    </row>
    <row r="9" spans="1:17" s="65" customFormat="1" ht="18" customHeight="1">
      <c r="A9" s="436"/>
      <c r="B9" s="404"/>
      <c r="C9" s="404"/>
      <c r="D9" s="329" t="s">
        <v>29</v>
      </c>
      <c r="E9" s="114">
        <f t="shared" si="2"/>
        <v>8826</v>
      </c>
      <c r="F9" s="114">
        <f t="shared" ref="F9:I9" si="4">F13+F37</f>
        <v>5386</v>
      </c>
      <c r="G9" s="114">
        <f t="shared" si="4"/>
        <v>2422</v>
      </c>
      <c r="H9" s="114">
        <f t="shared" si="4"/>
        <v>1018</v>
      </c>
      <c r="I9" s="114">
        <f t="shared" si="4"/>
        <v>0</v>
      </c>
      <c r="J9" s="104"/>
    </row>
    <row r="10" spans="1:17" s="65" customFormat="1" ht="18" customHeight="1">
      <c r="A10" s="436"/>
      <c r="B10" s="404"/>
      <c r="C10" s="404"/>
      <c r="D10" s="329" t="s">
        <v>31</v>
      </c>
      <c r="E10" s="114">
        <f t="shared" si="2"/>
        <v>6044</v>
      </c>
      <c r="F10" s="114">
        <f t="shared" ref="F10:I10" si="5">F14+F38</f>
        <v>2606</v>
      </c>
      <c r="G10" s="114">
        <f t="shared" si="5"/>
        <v>2421</v>
      </c>
      <c r="H10" s="114">
        <f t="shared" si="5"/>
        <v>1017</v>
      </c>
      <c r="I10" s="114">
        <f t="shared" si="5"/>
        <v>0</v>
      </c>
      <c r="J10" s="104"/>
    </row>
    <row r="11" spans="1:17" s="65" customFormat="1" ht="18" customHeight="1">
      <c r="A11" s="436"/>
      <c r="B11" s="404"/>
      <c r="C11" s="404"/>
      <c r="D11" s="329" t="s">
        <v>33</v>
      </c>
      <c r="E11" s="114">
        <f t="shared" si="2"/>
        <v>0</v>
      </c>
      <c r="F11" s="114">
        <f t="shared" ref="F11:I11" si="6">F15+F39</f>
        <v>0</v>
      </c>
      <c r="G11" s="114">
        <f t="shared" si="6"/>
        <v>0</v>
      </c>
      <c r="H11" s="114">
        <f t="shared" si="6"/>
        <v>0</v>
      </c>
      <c r="I11" s="114">
        <f t="shared" si="6"/>
        <v>0</v>
      </c>
      <c r="J11" s="104"/>
    </row>
    <row r="12" spans="1:17" s="65" customFormat="1" ht="18" customHeight="1">
      <c r="A12" s="436"/>
      <c r="B12" s="404" t="s">
        <v>40</v>
      </c>
      <c r="C12" s="404" t="s">
        <v>76</v>
      </c>
      <c r="D12" s="329" t="s">
        <v>18</v>
      </c>
      <c r="E12" s="114">
        <f t="shared" si="2"/>
        <v>18388</v>
      </c>
      <c r="F12" s="114">
        <f>F16+F24+F32+F20+F28</f>
        <v>7992</v>
      </c>
      <c r="G12" s="114">
        <f t="shared" ref="G12:I12" si="7">G16+G24+G32+G20+G28</f>
        <v>8361</v>
      </c>
      <c r="H12" s="114">
        <f t="shared" si="7"/>
        <v>2035</v>
      </c>
      <c r="I12" s="114">
        <f t="shared" si="7"/>
        <v>0</v>
      </c>
      <c r="J12" s="104"/>
    </row>
    <row r="13" spans="1:17" s="65" customFormat="1" ht="18" customHeight="1">
      <c r="A13" s="436"/>
      <c r="B13" s="404"/>
      <c r="C13" s="404"/>
      <c r="D13" s="329" t="s">
        <v>29</v>
      </c>
      <c r="E13" s="114">
        <f t="shared" si="2"/>
        <v>8826</v>
      </c>
      <c r="F13" s="114">
        <f t="shared" ref="F13:I13" si="8">F17+F25+F33+F21+F29</f>
        <v>5386</v>
      </c>
      <c r="G13" s="114">
        <f t="shared" si="8"/>
        <v>2422</v>
      </c>
      <c r="H13" s="114">
        <f t="shared" si="8"/>
        <v>1018</v>
      </c>
      <c r="I13" s="114">
        <f t="shared" si="8"/>
        <v>0</v>
      </c>
      <c r="J13" s="104"/>
    </row>
    <row r="14" spans="1:17" s="65" customFormat="1" ht="18" customHeight="1">
      <c r="A14" s="436"/>
      <c r="B14" s="404"/>
      <c r="C14" s="404"/>
      <c r="D14" s="329" t="s">
        <v>31</v>
      </c>
      <c r="E14" s="114">
        <f t="shared" si="2"/>
        <v>6044</v>
      </c>
      <c r="F14" s="114">
        <f t="shared" ref="F14:I14" si="9">F18+F26+F34+F22+F30</f>
        <v>2606</v>
      </c>
      <c r="G14" s="114">
        <f t="shared" si="9"/>
        <v>2421</v>
      </c>
      <c r="H14" s="114">
        <f t="shared" si="9"/>
        <v>1017</v>
      </c>
      <c r="I14" s="114">
        <f t="shared" si="9"/>
        <v>0</v>
      </c>
      <c r="J14" s="104"/>
    </row>
    <row r="15" spans="1:17" s="65" customFormat="1" ht="18" customHeight="1">
      <c r="A15" s="436"/>
      <c r="B15" s="404"/>
      <c r="C15" s="404"/>
      <c r="D15" s="329" t="s">
        <v>33</v>
      </c>
      <c r="E15" s="114">
        <f t="shared" si="2"/>
        <v>0</v>
      </c>
      <c r="F15" s="114">
        <f t="shared" ref="F15:I15" si="10">F19+F27+F35+F23+F31</f>
        <v>0</v>
      </c>
      <c r="G15" s="114">
        <f t="shared" si="10"/>
        <v>0</v>
      </c>
      <c r="H15" s="114">
        <f t="shared" si="10"/>
        <v>0</v>
      </c>
      <c r="I15" s="114">
        <f t="shared" si="10"/>
        <v>0</v>
      </c>
      <c r="J15" s="104"/>
    </row>
    <row r="16" spans="1:17" s="65" customFormat="1" ht="18" customHeight="1">
      <c r="A16" s="436"/>
      <c r="B16" s="404"/>
      <c r="C16" s="403" t="s">
        <v>144</v>
      </c>
      <c r="D16" s="329" t="s">
        <v>18</v>
      </c>
      <c r="E16" s="114">
        <f t="shared" ref="E16:E27" si="11">SUM(F16:I16)</f>
        <v>0</v>
      </c>
      <c r="F16" s="114">
        <f>'[3]1.2 음성처리구역'!E7</f>
        <v>0</v>
      </c>
      <c r="G16" s="114">
        <f>'[3]1.2 음성처리구역'!F7</f>
        <v>0</v>
      </c>
      <c r="H16" s="114">
        <f>'[3]1.2 음성처리구역'!G7</f>
        <v>0</v>
      </c>
      <c r="I16" s="114">
        <f>'[3]1.2 음성처리구역'!H7</f>
        <v>0</v>
      </c>
      <c r="J16" s="104"/>
      <c r="L16" s="182"/>
      <c r="M16" s="182" t="s">
        <v>63</v>
      </c>
      <c r="N16" s="182" t="s">
        <v>64</v>
      </c>
      <c r="O16" s="182" t="s">
        <v>65</v>
      </c>
      <c r="P16" s="182" t="s">
        <v>66</v>
      </c>
      <c r="Q16" s="182" t="s">
        <v>68</v>
      </c>
    </row>
    <row r="17" spans="1:17" s="65" customFormat="1" ht="18" customHeight="1">
      <c r="A17" s="436"/>
      <c r="B17" s="404"/>
      <c r="C17" s="404"/>
      <c r="D17" s="329" t="s">
        <v>29</v>
      </c>
      <c r="E17" s="114">
        <f t="shared" si="11"/>
        <v>0</v>
      </c>
      <c r="F17" s="114">
        <f>+ROUND((M17*$Q17)+(M18*$Q18),0)</f>
        <v>0</v>
      </c>
      <c r="G17" s="114">
        <f t="shared" ref="G17" si="12">+ROUND((N17*$Q17)+(N18*$Q18),0)</f>
        <v>0</v>
      </c>
      <c r="H17" s="114">
        <f t="shared" ref="H17" si="13">+ROUND((O17*$Q17)+(O18*$Q18),0)</f>
        <v>0</v>
      </c>
      <c r="I17" s="114">
        <f t="shared" ref="I17" si="14">+ROUND((P17*$Q17)+(P18*$Q18),0)</f>
        <v>0</v>
      </c>
      <c r="J17" s="342" t="s">
        <v>221</v>
      </c>
      <c r="L17" s="182" t="s">
        <v>61</v>
      </c>
      <c r="M17" s="183">
        <f>'[3]1.2 음성처리구역'!E5</f>
        <v>0</v>
      </c>
      <c r="N17" s="183">
        <f>'[3]1.2 음성처리구역'!F5</f>
        <v>0</v>
      </c>
      <c r="O17" s="183">
        <f>'[3]1.2 음성처리구역'!G5</f>
        <v>0</v>
      </c>
      <c r="P17" s="183">
        <f>'[3]1.2 음성처리구역'!H5</f>
        <v>0</v>
      </c>
      <c r="Q17" s="184">
        <v>0.5</v>
      </c>
    </row>
    <row r="18" spans="1:17" s="65" customFormat="1" ht="18" customHeight="1">
      <c r="A18" s="436"/>
      <c r="B18" s="404"/>
      <c r="C18" s="404"/>
      <c r="D18" s="329" t="s">
        <v>31</v>
      </c>
      <c r="E18" s="114">
        <f t="shared" si="11"/>
        <v>0</v>
      </c>
      <c r="F18" s="114">
        <f>+F16-F19-F17</f>
        <v>0</v>
      </c>
      <c r="G18" s="114">
        <f t="shared" ref="G18:I18" si="15">+G16-G19-G17</f>
        <v>0</v>
      </c>
      <c r="H18" s="114">
        <f t="shared" si="15"/>
        <v>0</v>
      </c>
      <c r="I18" s="114">
        <f t="shared" si="15"/>
        <v>0</v>
      </c>
      <c r="J18" s="342" t="s">
        <v>221</v>
      </c>
      <c r="L18" s="182" t="s">
        <v>62</v>
      </c>
      <c r="M18" s="183">
        <f>'[3]1.2 음성처리구역'!E6</f>
        <v>0</v>
      </c>
      <c r="N18" s="183">
        <f>'[3]1.2 음성처리구역'!F6</f>
        <v>0</v>
      </c>
      <c r="O18" s="183">
        <f>'[3]1.2 음성처리구역'!G6</f>
        <v>0</v>
      </c>
      <c r="P18" s="183">
        <f>'[3]1.2 음성처리구역'!H6</f>
        <v>0</v>
      </c>
      <c r="Q18" s="184">
        <v>0.5</v>
      </c>
    </row>
    <row r="19" spans="1:17" s="65" customFormat="1" ht="18" customHeight="1">
      <c r="A19" s="436"/>
      <c r="B19" s="404"/>
      <c r="C19" s="404"/>
      <c r="D19" s="329" t="s">
        <v>33</v>
      </c>
      <c r="E19" s="114">
        <f t="shared" si="11"/>
        <v>0</v>
      </c>
      <c r="F19" s="114">
        <v>0</v>
      </c>
      <c r="G19" s="114">
        <v>0</v>
      </c>
      <c r="H19" s="114">
        <v>0</v>
      </c>
      <c r="I19" s="114">
        <v>0</v>
      </c>
      <c r="J19" s="104"/>
      <c r="L19" s="182" t="s">
        <v>67</v>
      </c>
      <c r="M19" s="183">
        <f>SUM(M17:M18)</f>
        <v>0</v>
      </c>
      <c r="N19" s="183">
        <f>SUM(N17:N18)</f>
        <v>0</v>
      </c>
      <c r="O19" s="183">
        <f>SUM(O17:O18)</f>
        <v>0</v>
      </c>
      <c r="P19" s="183">
        <f>SUM(P17:P18)</f>
        <v>0</v>
      </c>
      <c r="Q19" s="182"/>
    </row>
    <row r="20" spans="1:17" s="65" customFormat="1" ht="18" customHeight="1">
      <c r="A20" s="436"/>
      <c r="B20" s="404"/>
      <c r="C20" s="403" t="s">
        <v>147</v>
      </c>
      <c r="D20" s="329" t="s">
        <v>18</v>
      </c>
      <c r="E20" s="114">
        <f t="shared" ref="E20:E23" si="16">SUM(F20:I20)</f>
        <v>9355</v>
      </c>
      <c r="F20" s="114">
        <f>'[3]1.2 음성처리구역'!$E$8</f>
        <v>5837</v>
      </c>
      <c r="G20" s="114">
        <f>'[3]1.2 음성처리구역'!$F$8</f>
        <v>3518</v>
      </c>
      <c r="H20" s="114">
        <f>'[3]1.2 음성처리구역'!$G$8</f>
        <v>0</v>
      </c>
      <c r="I20" s="114">
        <f>'[3]1.2 음성처리구역'!$H$8</f>
        <v>0</v>
      </c>
      <c r="J20" s="104"/>
      <c r="L20" s="185"/>
      <c r="M20" s="185"/>
      <c r="N20" s="185"/>
      <c r="O20" s="185"/>
      <c r="P20" s="185"/>
      <c r="Q20" s="185"/>
    </row>
    <row r="21" spans="1:17" s="65" customFormat="1" ht="18" customHeight="1">
      <c r="A21" s="436"/>
      <c r="B21" s="404"/>
      <c r="C21" s="404"/>
      <c r="D21" s="329" t="s">
        <v>29</v>
      </c>
      <c r="E21" s="114">
        <f t="shared" si="16"/>
        <v>4086</v>
      </c>
      <c r="F21" s="114">
        <f>+ROUND((F20-F23)*$J21,0)</f>
        <v>4086</v>
      </c>
      <c r="G21" s="114">
        <v>0</v>
      </c>
      <c r="H21" s="114">
        <f t="shared" ref="H21:I21" si="17">+ROUND((H20-H23)*$J21,0)</f>
        <v>0</v>
      </c>
      <c r="I21" s="114">
        <f t="shared" si="17"/>
        <v>0</v>
      </c>
      <c r="J21" s="104">
        <v>0.7</v>
      </c>
      <c r="L21" s="185"/>
      <c r="M21" s="186"/>
      <c r="N21" s="186"/>
      <c r="O21" s="186"/>
      <c r="P21" s="186"/>
      <c r="Q21" s="187"/>
    </row>
    <row r="22" spans="1:17" s="65" customFormat="1" ht="18" customHeight="1">
      <c r="A22" s="436"/>
      <c r="B22" s="404"/>
      <c r="C22" s="404"/>
      <c r="D22" s="329" t="s">
        <v>31</v>
      </c>
      <c r="E22" s="114">
        <f t="shared" si="16"/>
        <v>1751</v>
      </c>
      <c r="F22" s="114">
        <f>+F20-F23-F21</f>
        <v>1751</v>
      </c>
      <c r="G22" s="114">
        <v>0</v>
      </c>
      <c r="H22" s="114">
        <f t="shared" ref="H22:I22" si="18">+H20-H23-H21</f>
        <v>0</v>
      </c>
      <c r="I22" s="114">
        <f t="shared" si="18"/>
        <v>0</v>
      </c>
      <c r="J22" s="104">
        <v>0.3</v>
      </c>
      <c r="L22" s="185"/>
      <c r="M22" s="186"/>
      <c r="N22" s="186"/>
      <c r="O22" s="186"/>
      <c r="P22" s="186"/>
      <c r="Q22" s="187"/>
    </row>
    <row r="23" spans="1:17" s="65" customFormat="1" ht="18" customHeight="1">
      <c r="A23" s="436"/>
      <c r="B23" s="404"/>
      <c r="C23" s="404"/>
      <c r="D23" s="329" t="s">
        <v>33</v>
      </c>
      <c r="E23" s="114">
        <f t="shared" si="16"/>
        <v>0</v>
      </c>
      <c r="F23" s="114">
        <v>0</v>
      </c>
      <c r="G23" s="114">
        <v>0</v>
      </c>
      <c r="H23" s="114">
        <v>0</v>
      </c>
      <c r="I23" s="114">
        <v>0</v>
      </c>
      <c r="J23" s="104"/>
      <c r="L23" s="185"/>
      <c r="M23" s="186"/>
      <c r="N23" s="186"/>
      <c r="O23" s="186"/>
      <c r="P23" s="186"/>
      <c r="Q23" s="185"/>
    </row>
    <row r="24" spans="1:17" s="65" customFormat="1" ht="18" customHeight="1">
      <c r="A24" s="436"/>
      <c r="B24" s="404"/>
      <c r="C24" s="403" t="s">
        <v>145</v>
      </c>
      <c r="D24" s="329" t="s">
        <v>18</v>
      </c>
      <c r="E24" s="114">
        <f t="shared" si="11"/>
        <v>2499</v>
      </c>
      <c r="F24" s="114">
        <f>'[3]1.2 음성처리구역'!$E$11</f>
        <v>0</v>
      </c>
      <c r="G24" s="114">
        <f>'[3]1.2 음성처리구역'!$F$11</f>
        <v>2499</v>
      </c>
      <c r="H24" s="114">
        <f>'[3]1.2 음성처리구역'!$G$11</f>
        <v>0</v>
      </c>
      <c r="I24" s="114">
        <f>'[3]1.2 음성처리구역'!$H$11</f>
        <v>0</v>
      </c>
      <c r="J24" s="104"/>
      <c r="L24" s="182"/>
      <c r="M24" s="182" t="s">
        <v>63</v>
      </c>
      <c r="N24" s="182" t="s">
        <v>64</v>
      </c>
      <c r="O24" s="182" t="s">
        <v>65</v>
      </c>
      <c r="P24" s="182" t="s">
        <v>66</v>
      </c>
      <c r="Q24" s="182" t="s">
        <v>68</v>
      </c>
    </row>
    <row r="25" spans="1:17" s="65" customFormat="1" ht="18" customHeight="1">
      <c r="A25" s="436"/>
      <c r="B25" s="404"/>
      <c r="C25" s="404"/>
      <c r="D25" s="329" t="s">
        <v>29</v>
      </c>
      <c r="E25" s="114">
        <f t="shared" si="11"/>
        <v>1250</v>
      </c>
      <c r="F25" s="114">
        <f>+ROUND((M25*$Q25)+(M26*$Q26),0)</f>
        <v>0</v>
      </c>
      <c r="G25" s="114">
        <f t="shared" ref="G25" si="19">+ROUND((N25*$Q25)+(N26*$Q26),0)</f>
        <v>1250</v>
      </c>
      <c r="H25" s="114">
        <f t="shared" ref="H25" si="20">+ROUND((O25*$Q25)+(O26*$Q26),0)</f>
        <v>0</v>
      </c>
      <c r="I25" s="114">
        <f t="shared" ref="I25" si="21">+ROUND((P25*$Q25)+(P26*$Q26),0)</f>
        <v>0</v>
      </c>
      <c r="J25" s="342" t="s">
        <v>221</v>
      </c>
      <c r="L25" s="182" t="s">
        <v>61</v>
      </c>
      <c r="M25" s="183">
        <f>'[3]1.2 음성처리구역'!E9</f>
        <v>0</v>
      </c>
      <c r="N25" s="183">
        <f>'[3]1.2 음성처리구역'!F9</f>
        <v>435</v>
      </c>
      <c r="O25" s="183">
        <f>'[3]1.2 음성처리구역'!G9</f>
        <v>0</v>
      </c>
      <c r="P25" s="183">
        <f>'[3]1.2 음성처리구역'!H9</f>
        <v>0</v>
      </c>
      <c r="Q25" s="184">
        <v>0.5</v>
      </c>
    </row>
    <row r="26" spans="1:17" s="65" customFormat="1" ht="18" customHeight="1">
      <c r="A26" s="436"/>
      <c r="B26" s="404"/>
      <c r="C26" s="404"/>
      <c r="D26" s="329" t="s">
        <v>31</v>
      </c>
      <c r="E26" s="114">
        <f t="shared" si="11"/>
        <v>1249</v>
      </c>
      <c r="F26" s="114">
        <f>+F24-F27-F25</f>
        <v>0</v>
      </c>
      <c r="G26" s="114">
        <f t="shared" ref="G26:I26" si="22">+G24-G27-G25</f>
        <v>1249</v>
      </c>
      <c r="H26" s="114">
        <f t="shared" si="22"/>
        <v>0</v>
      </c>
      <c r="I26" s="114">
        <f t="shared" si="22"/>
        <v>0</v>
      </c>
      <c r="J26" s="342" t="s">
        <v>221</v>
      </c>
      <c r="L26" s="182" t="s">
        <v>62</v>
      </c>
      <c r="M26" s="183">
        <f>'[3]1.2 음성처리구역'!E10</f>
        <v>0</v>
      </c>
      <c r="N26" s="183">
        <f>'[3]1.2 음성처리구역'!F10</f>
        <v>2064</v>
      </c>
      <c r="O26" s="183">
        <f>'[3]1.2 음성처리구역'!G10</f>
        <v>0</v>
      </c>
      <c r="P26" s="183">
        <f>'[3]1.2 음성처리구역'!H10</f>
        <v>0</v>
      </c>
      <c r="Q26" s="184">
        <v>0.5</v>
      </c>
    </row>
    <row r="27" spans="1:17" s="65" customFormat="1" ht="18" customHeight="1">
      <c r="A27" s="436"/>
      <c r="B27" s="404"/>
      <c r="C27" s="404"/>
      <c r="D27" s="329" t="s">
        <v>33</v>
      </c>
      <c r="E27" s="114">
        <f t="shared" si="11"/>
        <v>0</v>
      </c>
      <c r="F27" s="114">
        <v>0</v>
      </c>
      <c r="G27" s="114">
        <v>0</v>
      </c>
      <c r="H27" s="114">
        <v>0</v>
      </c>
      <c r="I27" s="114">
        <v>0</v>
      </c>
      <c r="J27" s="104"/>
      <c r="L27" s="182" t="s">
        <v>67</v>
      </c>
      <c r="M27" s="183">
        <f>SUM(M25:M26)</f>
        <v>0</v>
      </c>
      <c r="N27" s="183">
        <f>SUM(N25:N26)</f>
        <v>2499</v>
      </c>
      <c r="O27" s="183">
        <f>SUM(O25:O26)</f>
        <v>0</v>
      </c>
      <c r="P27" s="183">
        <f>SUM(P25:P26)</f>
        <v>0</v>
      </c>
      <c r="Q27" s="182"/>
    </row>
    <row r="28" spans="1:17" s="65" customFormat="1" ht="18" customHeight="1">
      <c r="A28" s="436"/>
      <c r="B28" s="404"/>
      <c r="C28" s="403" t="s">
        <v>148</v>
      </c>
      <c r="D28" s="329" t="s">
        <v>18</v>
      </c>
      <c r="E28" s="114">
        <f t="shared" ref="E28:E31" si="23">SUM(F28:I28)</f>
        <v>1108</v>
      </c>
      <c r="F28" s="114">
        <f>'[3]1.2 음성처리구역'!$E$12</f>
        <v>1108</v>
      </c>
      <c r="G28" s="114">
        <f>'[3]1.2 음성처리구역'!$F$12</f>
        <v>0</v>
      </c>
      <c r="H28" s="114">
        <f>'[3]1.2 음성처리구역'!$G$12</f>
        <v>0</v>
      </c>
      <c r="I28" s="114">
        <f>'[3]1.2 음성처리구역'!$H$12</f>
        <v>0</v>
      </c>
      <c r="J28" s="104"/>
      <c r="L28" s="185"/>
      <c r="M28" s="185"/>
      <c r="N28" s="185"/>
      <c r="O28" s="185"/>
      <c r="P28" s="185"/>
      <c r="Q28" s="185"/>
    </row>
    <row r="29" spans="1:17" s="65" customFormat="1" ht="18" customHeight="1">
      <c r="A29" s="436"/>
      <c r="B29" s="404"/>
      <c r="C29" s="404"/>
      <c r="D29" s="329" t="s">
        <v>29</v>
      </c>
      <c r="E29" s="114">
        <f t="shared" si="23"/>
        <v>776</v>
      </c>
      <c r="F29" s="114">
        <f>+ROUND((F28-F31)*$J29,0)</f>
        <v>776</v>
      </c>
      <c r="G29" s="114">
        <v>0</v>
      </c>
      <c r="H29" s="114">
        <f t="shared" ref="H29:I29" si="24">+ROUND((H28-H31)*$J29,0)</f>
        <v>0</v>
      </c>
      <c r="I29" s="114">
        <f t="shared" si="24"/>
        <v>0</v>
      </c>
      <c r="J29" s="104">
        <v>0.7</v>
      </c>
      <c r="K29" s="188"/>
      <c r="L29" s="185"/>
      <c r="M29" s="186"/>
      <c r="N29" s="186"/>
      <c r="O29" s="186"/>
      <c r="P29" s="186"/>
      <c r="Q29" s="187"/>
    </row>
    <row r="30" spans="1:17" s="65" customFormat="1" ht="18" customHeight="1">
      <c r="A30" s="436"/>
      <c r="B30" s="404"/>
      <c r="C30" s="404"/>
      <c r="D30" s="329" t="s">
        <v>31</v>
      </c>
      <c r="E30" s="114">
        <f t="shared" si="23"/>
        <v>332</v>
      </c>
      <c r="F30" s="114">
        <f>+F28-F31-F29</f>
        <v>332</v>
      </c>
      <c r="G30" s="114">
        <v>0</v>
      </c>
      <c r="H30" s="114">
        <f t="shared" ref="H30:I30" si="25">+H28-H31-H29</f>
        <v>0</v>
      </c>
      <c r="I30" s="114">
        <f t="shared" si="25"/>
        <v>0</v>
      </c>
      <c r="J30" s="104">
        <v>0.3</v>
      </c>
      <c r="K30" s="188"/>
      <c r="L30" s="185"/>
      <c r="M30" s="186"/>
      <c r="N30" s="186"/>
      <c r="O30" s="186"/>
      <c r="P30" s="186"/>
      <c r="Q30" s="187"/>
    </row>
    <row r="31" spans="1:17" s="65" customFormat="1" ht="18" customHeight="1">
      <c r="A31" s="436"/>
      <c r="B31" s="404"/>
      <c r="C31" s="404"/>
      <c r="D31" s="329" t="s">
        <v>33</v>
      </c>
      <c r="E31" s="114">
        <f t="shared" si="23"/>
        <v>0</v>
      </c>
      <c r="F31" s="114">
        <v>0</v>
      </c>
      <c r="G31" s="114">
        <v>0</v>
      </c>
      <c r="H31" s="114">
        <v>0</v>
      </c>
      <c r="I31" s="114">
        <v>0</v>
      </c>
      <c r="J31" s="104"/>
      <c r="L31" s="185"/>
      <c r="M31" s="186"/>
      <c r="N31" s="186"/>
      <c r="O31" s="186"/>
      <c r="P31" s="186"/>
      <c r="Q31" s="185"/>
    </row>
    <row r="32" spans="1:17" s="65" customFormat="1" ht="18" customHeight="1">
      <c r="A32" s="436"/>
      <c r="B32" s="404"/>
      <c r="C32" s="403" t="s">
        <v>146</v>
      </c>
      <c r="D32" s="329" t="s">
        <v>18</v>
      </c>
      <c r="E32" s="114">
        <f t="shared" si="2"/>
        <v>5426</v>
      </c>
      <c r="F32" s="114">
        <f>'[3]1.2 음성처리구역'!$E$15</f>
        <v>1047</v>
      </c>
      <c r="G32" s="114">
        <f>'[3]1.2 음성처리구역'!$F$15</f>
        <v>2344</v>
      </c>
      <c r="H32" s="114">
        <f>'[3]1.2 음성처리구역'!$G$15</f>
        <v>2035</v>
      </c>
      <c r="I32" s="114">
        <f>'[3]1.2 음성처리구역'!$H$15</f>
        <v>0</v>
      </c>
      <c r="J32" s="104"/>
      <c r="L32" s="182"/>
      <c r="M32" s="182" t="s">
        <v>63</v>
      </c>
      <c r="N32" s="182" t="s">
        <v>64</v>
      </c>
      <c r="O32" s="182" t="s">
        <v>65</v>
      </c>
      <c r="P32" s="182" t="s">
        <v>66</v>
      </c>
      <c r="Q32" s="182" t="s">
        <v>68</v>
      </c>
    </row>
    <row r="33" spans="1:17" s="65" customFormat="1" ht="18" customHeight="1">
      <c r="A33" s="436"/>
      <c r="B33" s="404"/>
      <c r="C33" s="404"/>
      <c r="D33" s="329" t="s">
        <v>29</v>
      </c>
      <c r="E33" s="114">
        <f t="shared" si="2"/>
        <v>2714</v>
      </c>
      <c r="F33" s="114">
        <f>+ROUND((M33*$Q33)+(M34*$Q34),0)</f>
        <v>524</v>
      </c>
      <c r="G33" s="114">
        <f t="shared" ref="G33" si="26">+ROUND((N33*$Q33)+(N34*$Q34),0)</f>
        <v>1172</v>
      </c>
      <c r="H33" s="114">
        <f t="shared" ref="H33" si="27">+ROUND((O33*$Q33)+(O34*$Q34),0)</f>
        <v>1018</v>
      </c>
      <c r="I33" s="114">
        <f t="shared" ref="I33" si="28">+ROUND((P33*$Q33)+(P34*$Q34),0)</f>
        <v>0</v>
      </c>
      <c r="J33" s="342" t="s">
        <v>221</v>
      </c>
      <c r="K33" s="188"/>
      <c r="L33" s="182" t="s">
        <v>61</v>
      </c>
      <c r="M33" s="183">
        <f>'[3]1.2 음성처리구역'!$E$13</f>
        <v>1047</v>
      </c>
      <c r="N33" s="183">
        <f>'[3]1.2 음성처리구역'!$F$13</f>
        <v>2344</v>
      </c>
      <c r="O33" s="183">
        <f>'[3]1.2 음성처리구역'!$G13</f>
        <v>2035</v>
      </c>
      <c r="P33" s="183">
        <f>'[3]1.2 음성처리구역'!$H$13</f>
        <v>0</v>
      </c>
      <c r="Q33" s="184">
        <v>0.5</v>
      </c>
    </row>
    <row r="34" spans="1:17" s="65" customFormat="1" ht="18" customHeight="1">
      <c r="A34" s="436"/>
      <c r="B34" s="404"/>
      <c r="C34" s="404"/>
      <c r="D34" s="329" t="s">
        <v>31</v>
      </c>
      <c r="E34" s="114">
        <f t="shared" si="2"/>
        <v>2712</v>
      </c>
      <c r="F34" s="114">
        <f>+F32-F35-F33</f>
        <v>523</v>
      </c>
      <c r="G34" s="114">
        <f t="shared" ref="G34:I34" si="29">+G32-G35-G33</f>
        <v>1172</v>
      </c>
      <c r="H34" s="114">
        <f t="shared" si="29"/>
        <v>1017</v>
      </c>
      <c r="I34" s="114">
        <f t="shared" si="29"/>
        <v>0</v>
      </c>
      <c r="J34" s="342" t="s">
        <v>221</v>
      </c>
      <c r="K34" s="188"/>
      <c r="L34" s="182" t="s">
        <v>62</v>
      </c>
      <c r="M34" s="183">
        <f>'[3]1.2 음성처리구역'!E14</f>
        <v>0</v>
      </c>
      <c r="N34" s="183">
        <f>'[3]1.2 음성처리구역'!F14</f>
        <v>0</v>
      </c>
      <c r="O34" s="183">
        <f>'[3]1.2 음성처리구역'!G14</f>
        <v>0</v>
      </c>
      <c r="P34" s="183">
        <f>'[3]1.2 음성처리구역'!H14</f>
        <v>0</v>
      </c>
      <c r="Q34" s="184">
        <v>0.5</v>
      </c>
    </row>
    <row r="35" spans="1:17" s="65" customFormat="1" ht="18" customHeight="1">
      <c r="A35" s="436"/>
      <c r="B35" s="404"/>
      <c r="C35" s="404"/>
      <c r="D35" s="329" t="s">
        <v>33</v>
      </c>
      <c r="E35" s="114">
        <f t="shared" si="2"/>
        <v>0</v>
      </c>
      <c r="F35" s="114">
        <v>0</v>
      </c>
      <c r="G35" s="114">
        <v>0</v>
      </c>
      <c r="H35" s="114">
        <v>0</v>
      </c>
      <c r="I35" s="114">
        <v>0</v>
      </c>
      <c r="J35" s="104"/>
      <c r="L35" s="182" t="s">
        <v>67</v>
      </c>
      <c r="M35" s="183">
        <f>SUM(M33:M34)</f>
        <v>1047</v>
      </c>
      <c r="N35" s="183">
        <f>SUM(N33:N34)</f>
        <v>2344</v>
      </c>
      <c r="O35" s="183">
        <f>SUM(O33:O34)</f>
        <v>2035</v>
      </c>
      <c r="P35" s="183">
        <f>SUM(P33:P34)</f>
        <v>0</v>
      </c>
      <c r="Q35" s="182"/>
    </row>
    <row r="36" spans="1:17" s="65" customFormat="1" ht="18" customHeight="1">
      <c r="A36" s="436"/>
      <c r="B36" s="404" t="s">
        <v>41</v>
      </c>
      <c r="C36" s="403" t="s">
        <v>149</v>
      </c>
      <c r="D36" s="329" t="s">
        <v>18</v>
      </c>
      <c r="E36" s="114">
        <f t="shared" si="2"/>
        <v>0</v>
      </c>
      <c r="F36" s="114">
        <f>'[3]1.2 음성처리구역'!E18</f>
        <v>0</v>
      </c>
      <c r="G36" s="114">
        <f>'[3]1.2 음성처리구역'!F18</f>
        <v>0</v>
      </c>
      <c r="H36" s="114">
        <f>'[3]1.2 음성처리구역'!G18</f>
        <v>0</v>
      </c>
      <c r="I36" s="114">
        <f>'[3]1.2 음성처리구역'!H18</f>
        <v>0</v>
      </c>
      <c r="J36" s="104"/>
    </row>
    <row r="37" spans="1:17" s="65" customFormat="1" ht="18" customHeight="1">
      <c r="A37" s="436"/>
      <c r="B37" s="404"/>
      <c r="C37" s="404"/>
      <c r="D37" s="329" t="s">
        <v>29</v>
      </c>
      <c r="E37" s="114">
        <f t="shared" si="2"/>
        <v>0</v>
      </c>
      <c r="F37" s="114">
        <f>+ROUND((F36-F39)*$J37,0)</f>
        <v>0</v>
      </c>
      <c r="G37" s="114">
        <f t="shared" ref="G37:I37" si="30">+ROUND((G36-G39)*$J37,0)</f>
        <v>0</v>
      </c>
      <c r="H37" s="114">
        <f t="shared" si="30"/>
        <v>0</v>
      </c>
      <c r="I37" s="114">
        <f t="shared" si="30"/>
        <v>0</v>
      </c>
      <c r="J37" s="104">
        <v>0.7</v>
      </c>
    </row>
    <row r="38" spans="1:17" s="65" customFormat="1" ht="18" customHeight="1">
      <c r="A38" s="436"/>
      <c r="B38" s="404"/>
      <c r="C38" s="404"/>
      <c r="D38" s="329" t="s">
        <v>31</v>
      </c>
      <c r="E38" s="114">
        <f t="shared" si="2"/>
        <v>0</v>
      </c>
      <c r="F38" s="114">
        <f>+F36-F39-F37</f>
        <v>0</v>
      </c>
      <c r="G38" s="114">
        <f t="shared" ref="G38:I38" si="31">+G36-G39-G37</f>
        <v>0</v>
      </c>
      <c r="H38" s="114">
        <f t="shared" si="31"/>
        <v>0</v>
      </c>
      <c r="I38" s="114">
        <f t="shared" si="31"/>
        <v>0</v>
      </c>
      <c r="J38" s="104">
        <v>0.3</v>
      </c>
    </row>
    <row r="39" spans="1:17" s="65" customFormat="1" ht="18" customHeight="1">
      <c r="A39" s="437"/>
      <c r="B39" s="427"/>
      <c r="C39" s="427"/>
      <c r="D39" s="339" t="s">
        <v>33</v>
      </c>
      <c r="E39" s="340">
        <f t="shared" si="2"/>
        <v>0</v>
      </c>
      <c r="F39" s="340">
        <v>0</v>
      </c>
      <c r="G39" s="340">
        <v>0</v>
      </c>
      <c r="H39" s="340">
        <v>0</v>
      </c>
      <c r="I39" s="340">
        <v>0</v>
      </c>
      <c r="J39" s="341"/>
    </row>
    <row r="40" spans="1:17" s="65" customFormat="1" ht="21" customHeight="1">
      <c r="A40" s="410" t="s">
        <v>112</v>
      </c>
      <c r="B40" s="426" t="s">
        <v>72</v>
      </c>
      <c r="C40" s="426"/>
      <c r="D40" s="330" t="s">
        <v>18</v>
      </c>
      <c r="E40" s="113">
        <f t="shared" si="1"/>
        <v>61049.5</v>
      </c>
      <c r="F40" s="113">
        <f>+F44+F60+F84</f>
        <v>40726</v>
      </c>
      <c r="G40" s="113">
        <f t="shared" ref="G40:I40" si="32">+G44+G60+G84</f>
        <v>8786</v>
      </c>
      <c r="H40" s="113">
        <f t="shared" si="32"/>
        <v>1087</v>
      </c>
      <c r="I40" s="113">
        <f t="shared" si="32"/>
        <v>10450.5</v>
      </c>
      <c r="J40" s="292"/>
    </row>
    <row r="41" spans="1:17" s="65" customFormat="1" ht="21" customHeight="1">
      <c r="A41" s="410"/>
      <c r="B41" s="404"/>
      <c r="C41" s="404"/>
      <c r="D41" s="180" t="s">
        <v>29</v>
      </c>
      <c r="E41" s="114">
        <f t="shared" si="1"/>
        <v>31470</v>
      </c>
      <c r="F41" s="114">
        <f t="shared" ref="F41:I41" si="33">+F45+F61+F85</f>
        <v>22762</v>
      </c>
      <c r="G41" s="114">
        <f t="shared" si="33"/>
        <v>2938</v>
      </c>
      <c r="H41" s="114">
        <f t="shared" si="33"/>
        <v>544</v>
      </c>
      <c r="I41" s="114">
        <f t="shared" si="33"/>
        <v>5226</v>
      </c>
      <c r="J41" s="131"/>
    </row>
    <row r="42" spans="1:17" s="65" customFormat="1" ht="21" customHeight="1">
      <c r="A42" s="410"/>
      <c r="B42" s="404"/>
      <c r="C42" s="404"/>
      <c r="D42" s="180" t="s">
        <v>31</v>
      </c>
      <c r="E42" s="114">
        <f t="shared" si="1"/>
        <v>19681.512219959266</v>
      </c>
      <c r="F42" s="114">
        <f t="shared" ref="F42:I42" si="34">+F46+F62+F86</f>
        <v>11754</v>
      </c>
      <c r="G42" s="114">
        <f t="shared" si="34"/>
        <v>2160.012219959267</v>
      </c>
      <c r="H42" s="114">
        <f t="shared" si="34"/>
        <v>543</v>
      </c>
      <c r="I42" s="114">
        <f t="shared" si="34"/>
        <v>5224.5</v>
      </c>
      <c r="J42" s="131"/>
    </row>
    <row r="43" spans="1:17" s="65" customFormat="1" ht="21" customHeight="1">
      <c r="A43" s="410"/>
      <c r="B43" s="404"/>
      <c r="C43" s="404"/>
      <c r="D43" s="180" t="s">
        <v>33</v>
      </c>
      <c r="E43" s="114">
        <f t="shared" si="1"/>
        <v>9897.9877800407339</v>
      </c>
      <c r="F43" s="114">
        <f t="shared" ref="F43:I43" si="35">+F47+F63+F87</f>
        <v>6210</v>
      </c>
      <c r="G43" s="114">
        <f t="shared" si="35"/>
        <v>3687.987780040733</v>
      </c>
      <c r="H43" s="114">
        <f t="shared" si="35"/>
        <v>0</v>
      </c>
      <c r="I43" s="114">
        <f t="shared" si="35"/>
        <v>0</v>
      </c>
      <c r="J43" s="131"/>
    </row>
    <row r="44" spans="1:17" s="65" customFormat="1" ht="21" customHeight="1">
      <c r="A44" s="410"/>
      <c r="B44" s="403" t="s">
        <v>35</v>
      </c>
      <c r="C44" s="404" t="s">
        <v>76</v>
      </c>
      <c r="D44" s="180" t="s">
        <v>18</v>
      </c>
      <c r="E44" s="114">
        <f t="shared" si="1"/>
        <v>19542.5</v>
      </c>
      <c r="F44" s="114">
        <f t="shared" ref="F44:I44" si="36">+F48+F52+F56</f>
        <v>10143</v>
      </c>
      <c r="G44" s="114">
        <f t="shared" si="36"/>
        <v>0</v>
      </c>
      <c r="H44" s="114">
        <f t="shared" si="36"/>
        <v>0</v>
      </c>
      <c r="I44" s="114">
        <f t="shared" si="36"/>
        <v>9399.5</v>
      </c>
      <c r="J44" s="131"/>
    </row>
    <row r="45" spans="1:17" s="65" customFormat="1" ht="21" customHeight="1">
      <c r="A45" s="410"/>
      <c r="B45" s="403"/>
      <c r="C45" s="404"/>
      <c r="D45" s="180" t="s">
        <v>29</v>
      </c>
      <c r="E45" s="114">
        <f t="shared" si="1"/>
        <v>6667</v>
      </c>
      <c r="F45" s="114">
        <f t="shared" ref="F45:I45" si="37">+F49+F53+F57</f>
        <v>1967</v>
      </c>
      <c r="G45" s="114">
        <f t="shared" si="37"/>
        <v>0</v>
      </c>
      <c r="H45" s="114">
        <f t="shared" si="37"/>
        <v>0</v>
      </c>
      <c r="I45" s="114">
        <f t="shared" si="37"/>
        <v>4700</v>
      </c>
      <c r="J45" s="131"/>
    </row>
    <row r="46" spans="1:17" s="65" customFormat="1" ht="21" customHeight="1">
      <c r="A46" s="410"/>
      <c r="B46" s="403"/>
      <c r="C46" s="404"/>
      <c r="D46" s="180" t="s">
        <v>31</v>
      </c>
      <c r="E46" s="114">
        <f t="shared" si="1"/>
        <v>6665.5</v>
      </c>
      <c r="F46" s="114">
        <f t="shared" ref="F46:I46" si="38">+F50+F54+F58</f>
        <v>1966</v>
      </c>
      <c r="G46" s="114">
        <f t="shared" si="38"/>
        <v>0</v>
      </c>
      <c r="H46" s="114">
        <f t="shared" si="38"/>
        <v>0</v>
      </c>
      <c r="I46" s="114">
        <f t="shared" si="38"/>
        <v>4699.5</v>
      </c>
      <c r="J46" s="131"/>
    </row>
    <row r="47" spans="1:17" s="65" customFormat="1" ht="21" customHeight="1">
      <c r="A47" s="410"/>
      <c r="B47" s="403"/>
      <c r="C47" s="404"/>
      <c r="D47" s="180" t="s">
        <v>33</v>
      </c>
      <c r="E47" s="114">
        <f t="shared" si="1"/>
        <v>6210</v>
      </c>
      <c r="F47" s="114">
        <f t="shared" ref="F47:I47" si="39">+F51+F55+F59</f>
        <v>6210</v>
      </c>
      <c r="G47" s="114">
        <f t="shared" si="39"/>
        <v>0</v>
      </c>
      <c r="H47" s="114">
        <f t="shared" si="39"/>
        <v>0</v>
      </c>
      <c r="I47" s="114">
        <f t="shared" si="39"/>
        <v>0</v>
      </c>
      <c r="J47" s="131"/>
    </row>
    <row r="48" spans="1:17" s="65" customFormat="1" ht="21" customHeight="1">
      <c r="A48" s="410"/>
      <c r="B48" s="403"/>
      <c r="C48" s="403" t="s">
        <v>111</v>
      </c>
      <c r="D48" s="180" t="s">
        <v>18</v>
      </c>
      <c r="E48" s="114">
        <f t="shared" si="1"/>
        <v>10143</v>
      </c>
      <c r="F48" s="114">
        <f>'[3]1.3 금왕처리구역'!$E$16</f>
        <v>10143</v>
      </c>
      <c r="G48" s="114">
        <v>0</v>
      </c>
      <c r="H48" s="114">
        <v>0</v>
      </c>
      <c r="I48" s="114">
        <v>0</v>
      </c>
      <c r="J48" s="131"/>
    </row>
    <row r="49" spans="1:17" s="65" customFormat="1" ht="21" customHeight="1">
      <c r="A49" s="410"/>
      <c r="B49" s="403"/>
      <c r="C49" s="404"/>
      <c r="D49" s="180" t="s">
        <v>29</v>
      </c>
      <c r="E49" s="114">
        <f t="shared" si="1"/>
        <v>1967</v>
      </c>
      <c r="F49" s="114">
        <f>+ROUND((F48-F51)*$J49,0)</f>
        <v>1967</v>
      </c>
      <c r="G49" s="114">
        <v>0</v>
      </c>
      <c r="H49" s="114">
        <f t="shared" ref="H49:I49" si="40">+ROUND((H48-H51)*$J49,0)</f>
        <v>0</v>
      </c>
      <c r="I49" s="114">
        <f t="shared" si="40"/>
        <v>0</v>
      </c>
      <c r="J49" s="131">
        <v>0.5</v>
      </c>
    </row>
    <row r="50" spans="1:17" s="65" customFormat="1" ht="21" customHeight="1">
      <c r="A50" s="410"/>
      <c r="B50" s="403"/>
      <c r="C50" s="404"/>
      <c r="D50" s="180" t="s">
        <v>31</v>
      </c>
      <c r="E50" s="114">
        <f t="shared" si="1"/>
        <v>1966</v>
      </c>
      <c r="F50" s="114">
        <f>+F48-F51-F49</f>
        <v>1966</v>
      </c>
      <c r="G50" s="114">
        <v>0</v>
      </c>
      <c r="H50" s="114">
        <f t="shared" ref="H50:I50" si="41">+H48-H51-H49</f>
        <v>0</v>
      </c>
      <c r="I50" s="114">
        <f t="shared" si="41"/>
        <v>0</v>
      </c>
      <c r="J50" s="131">
        <v>0.5</v>
      </c>
    </row>
    <row r="51" spans="1:17" s="65" customFormat="1" ht="21" customHeight="1">
      <c r="A51" s="410"/>
      <c r="B51" s="403"/>
      <c r="C51" s="404"/>
      <c r="D51" s="180" t="s">
        <v>33</v>
      </c>
      <c r="E51" s="114">
        <f t="shared" si="1"/>
        <v>6210</v>
      </c>
      <c r="F51" s="114">
        <f>+'3.3 원인자부담금'!D5</f>
        <v>6210</v>
      </c>
      <c r="G51" s="114">
        <f>+'3.3 원인자부담금'!E5</f>
        <v>0</v>
      </c>
      <c r="H51" s="114">
        <f>+'3.3 원인자부담금'!F5</f>
        <v>0</v>
      </c>
      <c r="I51" s="114">
        <f>+'3.3 원인자부담금'!G5</f>
        <v>0</v>
      </c>
      <c r="J51" s="131"/>
    </row>
    <row r="52" spans="1:17" s="65" customFormat="1" ht="21" customHeight="1">
      <c r="A52" s="410"/>
      <c r="B52" s="403"/>
      <c r="C52" s="403" t="s">
        <v>369</v>
      </c>
      <c r="D52" s="180" t="s">
        <v>18</v>
      </c>
      <c r="E52" s="114">
        <f t="shared" si="1"/>
        <v>9399.5</v>
      </c>
      <c r="F52" s="114">
        <v>0</v>
      </c>
      <c r="G52" s="114">
        <v>0</v>
      </c>
      <c r="H52" s="114">
        <f>'[3]1.3 금왕처리구역'!$G$16</f>
        <v>0</v>
      </c>
      <c r="I52" s="114">
        <f>'[3]1.3 금왕처리구역'!$H$16</f>
        <v>9399.5</v>
      </c>
      <c r="J52" s="131"/>
    </row>
    <row r="53" spans="1:17" s="65" customFormat="1" ht="21" customHeight="1">
      <c r="A53" s="410"/>
      <c r="B53" s="403"/>
      <c r="C53" s="404"/>
      <c r="D53" s="180" t="s">
        <v>29</v>
      </c>
      <c r="E53" s="114">
        <f t="shared" si="1"/>
        <v>4700</v>
      </c>
      <c r="F53" s="114">
        <v>0</v>
      </c>
      <c r="G53" s="114">
        <f>+ROUND((G52-G55)*$J53,0)</f>
        <v>0</v>
      </c>
      <c r="H53" s="114">
        <f t="shared" ref="H53:I53" si="42">+ROUND((H52-H55)*$J53,0)</f>
        <v>0</v>
      </c>
      <c r="I53" s="114">
        <f t="shared" si="42"/>
        <v>4700</v>
      </c>
      <c r="J53" s="131">
        <v>0.5</v>
      </c>
    </row>
    <row r="54" spans="1:17" s="65" customFormat="1" ht="21" customHeight="1">
      <c r="A54" s="410"/>
      <c r="B54" s="403"/>
      <c r="C54" s="404"/>
      <c r="D54" s="180" t="s">
        <v>31</v>
      </c>
      <c r="E54" s="114">
        <f t="shared" si="1"/>
        <v>4699.5</v>
      </c>
      <c r="F54" s="114">
        <v>0</v>
      </c>
      <c r="G54" s="114">
        <f>+G52-G55-G53</f>
        <v>0</v>
      </c>
      <c r="H54" s="114">
        <f t="shared" ref="H54:I54" si="43">+H52-H55-H53</f>
        <v>0</v>
      </c>
      <c r="I54" s="114">
        <f t="shared" si="43"/>
        <v>4699.5</v>
      </c>
      <c r="J54" s="131">
        <v>0.5</v>
      </c>
    </row>
    <row r="55" spans="1:17" s="65" customFormat="1" ht="21" customHeight="1">
      <c r="A55" s="410"/>
      <c r="B55" s="403"/>
      <c r="C55" s="404"/>
      <c r="D55" s="180" t="s">
        <v>33</v>
      </c>
      <c r="E55" s="114">
        <f t="shared" si="1"/>
        <v>0</v>
      </c>
      <c r="F55" s="114">
        <f>+'3.3 원인자부담금'!D6</f>
        <v>0</v>
      </c>
      <c r="G55" s="114">
        <v>0</v>
      </c>
      <c r="H55" s="114">
        <f>+'3.3 원인자부담금'!F6</f>
        <v>0</v>
      </c>
      <c r="I55" s="114">
        <f>+'3.3 원인자부담금'!G6</f>
        <v>0</v>
      </c>
      <c r="J55" s="131"/>
    </row>
    <row r="56" spans="1:17" s="65" customFormat="1" ht="21" customHeight="1">
      <c r="A56" s="410"/>
      <c r="B56" s="403"/>
      <c r="C56" s="403" t="s">
        <v>75</v>
      </c>
      <c r="D56" s="180" t="s">
        <v>18</v>
      </c>
      <c r="E56" s="114">
        <f t="shared" si="1"/>
        <v>0</v>
      </c>
      <c r="F56" s="114">
        <v>0</v>
      </c>
      <c r="G56" s="114">
        <v>0</v>
      </c>
      <c r="H56" s="114">
        <v>0</v>
      </c>
      <c r="I56" s="114">
        <v>0</v>
      </c>
      <c r="J56" s="131"/>
    </row>
    <row r="57" spans="1:17" s="65" customFormat="1" ht="21" customHeight="1">
      <c r="A57" s="410"/>
      <c r="B57" s="403"/>
      <c r="C57" s="404"/>
      <c r="D57" s="180" t="s">
        <v>29</v>
      </c>
      <c r="E57" s="114">
        <f t="shared" si="1"/>
        <v>0</v>
      </c>
      <c r="F57" s="114">
        <f>+ROUND((F56-F59)*$J57,0)</f>
        <v>0</v>
      </c>
      <c r="G57" s="114">
        <f t="shared" ref="G57:I57" si="44">+ROUND((G56-G59)*$J57,0)</f>
        <v>0</v>
      </c>
      <c r="H57" s="114">
        <f t="shared" si="44"/>
        <v>0</v>
      </c>
      <c r="I57" s="114">
        <f t="shared" si="44"/>
        <v>0</v>
      </c>
      <c r="J57" s="131">
        <v>0.7</v>
      </c>
    </row>
    <row r="58" spans="1:17" s="65" customFormat="1" ht="21" customHeight="1">
      <c r="A58" s="410"/>
      <c r="B58" s="403"/>
      <c r="C58" s="404"/>
      <c r="D58" s="180" t="s">
        <v>31</v>
      </c>
      <c r="E58" s="114">
        <f t="shared" si="1"/>
        <v>0</v>
      </c>
      <c r="F58" s="114">
        <f>+F56-F59-F57</f>
        <v>0</v>
      </c>
      <c r="G58" s="114">
        <f t="shared" ref="G58:I58" si="45">+G56-G59-G57</f>
        <v>0</v>
      </c>
      <c r="H58" s="114">
        <f t="shared" si="45"/>
        <v>0</v>
      </c>
      <c r="I58" s="114">
        <f t="shared" si="45"/>
        <v>0</v>
      </c>
      <c r="J58" s="131">
        <v>0.3</v>
      </c>
    </row>
    <row r="59" spans="1:17" s="65" customFormat="1" ht="21" customHeight="1">
      <c r="A59" s="410"/>
      <c r="B59" s="403"/>
      <c r="C59" s="404"/>
      <c r="D59" s="180" t="s">
        <v>33</v>
      </c>
      <c r="E59" s="114">
        <f t="shared" si="1"/>
        <v>0</v>
      </c>
      <c r="F59" s="114">
        <v>0</v>
      </c>
      <c r="G59" s="114">
        <v>0</v>
      </c>
      <c r="H59" s="114">
        <v>0</v>
      </c>
      <c r="I59" s="114">
        <v>0</v>
      </c>
      <c r="J59" s="131"/>
    </row>
    <row r="60" spans="1:17" s="65" customFormat="1" ht="21" customHeight="1">
      <c r="A60" s="410"/>
      <c r="B60" s="434" t="s">
        <v>155</v>
      </c>
      <c r="C60" s="404" t="s">
        <v>76</v>
      </c>
      <c r="D60" s="180" t="s">
        <v>18</v>
      </c>
      <c r="E60" s="114">
        <f t="shared" si="1"/>
        <v>35665</v>
      </c>
      <c r="F60" s="114">
        <f>F64+F72+F80+F68+F76</f>
        <v>24741</v>
      </c>
      <c r="G60" s="114">
        <f t="shared" ref="G60:I60" si="46">G64+G72+G80+G68+G76</f>
        <v>8786</v>
      </c>
      <c r="H60" s="114">
        <f t="shared" si="46"/>
        <v>1087</v>
      </c>
      <c r="I60" s="114">
        <f t="shared" si="46"/>
        <v>1051</v>
      </c>
      <c r="J60" s="131"/>
    </row>
    <row r="61" spans="1:17" s="65" customFormat="1" ht="21" customHeight="1">
      <c r="A61" s="410"/>
      <c r="B61" s="417"/>
      <c r="C61" s="404"/>
      <c r="D61" s="180" t="s">
        <v>29</v>
      </c>
      <c r="E61" s="114">
        <f t="shared" si="1"/>
        <v>20714</v>
      </c>
      <c r="F61" s="114">
        <f t="shared" ref="F61:I61" si="47">F65+F73+F81+F69+F77</f>
        <v>16706</v>
      </c>
      <c r="G61" s="114">
        <f t="shared" si="47"/>
        <v>2938</v>
      </c>
      <c r="H61" s="114">
        <f t="shared" si="47"/>
        <v>544</v>
      </c>
      <c r="I61" s="114">
        <f t="shared" si="47"/>
        <v>526</v>
      </c>
      <c r="J61" s="131"/>
    </row>
    <row r="62" spans="1:17" s="65" customFormat="1" ht="21" customHeight="1">
      <c r="A62" s="410"/>
      <c r="B62" s="417"/>
      <c r="C62" s="404"/>
      <c r="D62" s="180" t="s">
        <v>31</v>
      </c>
      <c r="E62" s="114">
        <f t="shared" si="1"/>
        <v>11263.012219959266</v>
      </c>
      <c r="F62" s="114">
        <f t="shared" ref="F62:I62" si="48">F66+F74+F82+F70+F78</f>
        <v>8035</v>
      </c>
      <c r="G62" s="114">
        <f t="shared" si="48"/>
        <v>2160.012219959267</v>
      </c>
      <c r="H62" s="114">
        <f t="shared" si="48"/>
        <v>543</v>
      </c>
      <c r="I62" s="114">
        <f t="shared" si="48"/>
        <v>525</v>
      </c>
      <c r="J62" s="131"/>
    </row>
    <row r="63" spans="1:17" s="65" customFormat="1" ht="21" customHeight="1">
      <c r="A63" s="410"/>
      <c r="B63" s="417"/>
      <c r="C63" s="404"/>
      <c r="D63" s="180" t="s">
        <v>33</v>
      </c>
      <c r="E63" s="114">
        <f t="shared" si="1"/>
        <v>3687.987780040733</v>
      </c>
      <c r="F63" s="114">
        <f t="shared" ref="F63:I63" si="49">F67+F75+F83+F71+F79</f>
        <v>0</v>
      </c>
      <c r="G63" s="114">
        <f t="shared" si="49"/>
        <v>3687.987780040733</v>
      </c>
      <c r="H63" s="114">
        <f t="shared" si="49"/>
        <v>0</v>
      </c>
      <c r="I63" s="114">
        <f t="shared" si="49"/>
        <v>0</v>
      </c>
      <c r="J63" s="131"/>
    </row>
    <row r="64" spans="1:17" s="65" customFormat="1" ht="21" customHeight="1">
      <c r="A64" s="410"/>
      <c r="B64" s="417"/>
      <c r="C64" s="403" t="s">
        <v>36</v>
      </c>
      <c r="D64" s="180" t="s">
        <v>18</v>
      </c>
      <c r="E64" s="114">
        <f t="shared" si="1"/>
        <v>0</v>
      </c>
      <c r="F64" s="114">
        <f>'[3]1.3 금왕처리구역'!$E$7</f>
        <v>0</v>
      </c>
      <c r="G64" s="114">
        <f>'[3]1.3 금왕처리구역'!$E$7</f>
        <v>0</v>
      </c>
      <c r="H64" s="114">
        <f>'[3]1.3 금왕처리구역'!$E$7</f>
        <v>0</v>
      </c>
      <c r="I64" s="114">
        <f>'[3]1.3 금왕처리구역'!$E$7</f>
        <v>0</v>
      </c>
      <c r="J64" s="131"/>
      <c r="L64" s="182"/>
      <c r="M64" s="182" t="s">
        <v>63</v>
      </c>
      <c r="N64" s="182" t="s">
        <v>64</v>
      </c>
      <c r="O64" s="182" t="s">
        <v>65</v>
      </c>
      <c r="P64" s="182" t="s">
        <v>66</v>
      </c>
      <c r="Q64" s="182" t="s">
        <v>68</v>
      </c>
    </row>
    <row r="65" spans="1:17" s="65" customFormat="1" ht="21" customHeight="1">
      <c r="A65" s="410"/>
      <c r="B65" s="417"/>
      <c r="C65" s="404"/>
      <c r="D65" s="180" t="s">
        <v>29</v>
      </c>
      <c r="E65" s="114">
        <f t="shared" si="1"/>
        <v>0</v>
      </c>
      <c r="F65" s="114">
        <f>+ROUND((M65*$Q65)+(M66*$Q66),0)</f>
        <v>0</v>
      </c>
      <c r="G65" s="114">
        <f t="shared" ref="G65" si="50">+ROUND((N65*$Q65)+(N66*$Q66),0)</f>
        <v>0</v>
      </c>
      <c r="H65" s="114">
        <f t="shared" ref="H65" si="51">+ROUND((O65*$Q65)+(O66*$Q66),0)</f>
        <v>0</v>
      </c>
      <c r="I65" s="114">
        <f t="shared" ref="I65" si="52">+ROUND((P65*$Q65)+(P66*$Q66),0)</f>
        <v>0</v>
      </c>
      <c r="J65" s="134" t="s">
        <v>221</v>
      </c>
      <c r="K65" s="188"/>
      <c r="L65" s="182" t="s">
        <v>61</v>
      </c>
      <c r="M65" s="183">
        <f>'[3]1.3 금왕처리구역'!E5</f>
        <v>0</v>
      </c>
      <c r="N65" s="183">
        <f>'[3]1.3 금왕처리구역'!F5</f>
        <v>0</v>
      </c>
      <c r="O65" s="183">
        <f>'[3]1.3 금왕처리구역'!G5</f>
        <v>0</v>
      </c>
      <c r="P65" s="183">
        <f>'[3]1.3 금왕처리구역'!H5</f>
        <v>0</v>
      </c>
      <c r="Q65" s="184">
        <v>0.5</v>
      </c>
    </row>
    <row r="66" spans="1:17" s="65" customFormat="1" ht="21" customHeight="1">
      <c r="A66" s="410"/>
      <c r="B66" s="417"/>
      <c r="C66" s="404"/>
      <c r="D66" s="180" t="s">
        <v>31</v>
      </c>
      <c r="E66" s="114">
        <f t="shared" si="1"/>
        <v>0</v>
      </c>
      <c r="F66" s="114">
        <f>+F64-F67-F65</f>
        <v>0</v>
      </c>
      <c r="G66" s="114">
        <f t="shared" ref="G66:I66" si="53">+G64-G67-G65</f>
        <v>0</v>
      </c>
      <c r="H66" s="114">
        <f t="shared" si="53"/>
        <v>0</v>
      </c>
      <c r="I66" s="114">
        <f t="shared" si="53"/>
        <v>0</v>
      </c>
      <c r="J66" s="134" t="s">
        <v>221</v>
      </c>
      <c r="K66" s="188"/>
      <c r="L66" s="182" t="s">
        <v>62</v>
      </c>
      <c r="M66" s="183">
        <f>'[3]1.3 금왕처리구역'!E6</f>
        <v>0</v>
      </c>
      <c r="N66" s="183">
        <f>'[3]1.3 금왕처리구역'!F6</f>
        <v>0</v>
      </c>
      <c r="O66" s="183">
        <f>'[3]1.3 금왕처리구역'!G6</f>
        <v>0</v>
      </c>
      <c r="P66" s="183">
        <f>'[3]1.3 금왕처리구역'!H6</f>
        <v>0</v>
      </c>
      <c r="Q66" s="184">
        <v>0.5</v>
      </c>
    </row>
    <row r="67" spans="1:17" s="65" customFormat="1" ht="21" customHeight="1">
      <c r="A67" s="410"/>
      <c r="B67" s="417"/>
      <c r="C67" s="404"/>
      <c r="D67" s="180" t="s">
        <v>33</v>
      </c>
      <c r="E67" s="114">
        <f t="shared" si="1"/>
        <v>0</v>
      </c>
      <c r="F67" s="114">
        <v>0</v>
      </c>
      <c r="G67" s="114">
        <v>0</v>
      </c>
      <c r="H67" s="114">
        <v>0</v>
      </c>
      <c r="I67" s="114">
        <v>0</v>
      </c>
      <c r="J67" s="131"/>
      <c r="L67" s="182" t="s">
        <v>67</v>
      </c>
      <c r="M67" s="183">
        <f>SUM(M65:M66)</f>
        <v>0</v>
      </c>
      <c r="N67" s="183">
        <f t="shared" ref="N67:P67" si="54">SUM(N65:N66)</f>
        <v>0</v>
      </c>
      <c r="O67" s="183">
        <f t="shared" si="54"/>
        <v>0</v>
      </c>
      <c r="P67" s="183">
        <f t="shared" si="54"/>
        <v>0</v>
      </c>
      <c r="Q67" s="182"/>
    </row>
    <row r="68" spans="1:17" s="65" customFormat="1" ht="21" customHeight="1">
      <c r="A68" s="410"/>
      <c r="B68" s="417"/>
      <c r="C68" s="403" t="s">
        <v>147</v>
      </c>
      <c r="D68" s="180" t="s">
        <v>18</v>
      </c>
      <c r="E68" s="114">
        <f t="shared" ref="E68:E71" si="55">SUM(F68:I68)</f>
        <v>27310</v>
      </c>
      <c r="F68" s="114">
        <f>'[3]1.3 금왕처리구역'!$E$8</f>
        <v>21676</v>
      </c>
      <c r="G68" s="114">
        <f>'[3]1.3 금왕처리구역'!$F$8</f>
        <v>5634</v>
      </c>
      <c r="H68" s="114">
        <f>'[3]1.3 금왕처리구역'!$G$8</f>
        <v>0</v>
      </c>
      <c r="I68" s="114">
        <f>'[3]1.3 금왕처리구역'!$H$8</f>
        <v>0</v>
      </c>
      <c r="J68" s="131"/>
      <c r="L68" s="185"/>
      <c r="M68" s="185"/>
      <c r="N68" s="185"/>
      <c r="O68" s="185"/>
      <c r="P68" s="185"/>
      <c r="Q68" s="185"/>
    </row>
    <row r="69" spans="1:17" s="65" customFormat="1" ht="21" customHeight="1">
      <c r="A69" s="410"/>
      <c r="B69" s="417"/>
      <c r="C69" s="404"/>
      <c r="D69" s="180" t="s">
        <v>29</v>
      </c>
      <c r="E69" s="114">
        <f t="shared" si="55"/>
        <v>16535</v>
      </c>
      <c r="F69" s="114">
        <f>+ROUND((F68-F71)*$J69,0)</f>
        <v>15173</v>
      </c>
      <c r="G69" s="114">
        <f>+ROUND((G68-G71)*$J69,0)</f>
        <v>1362</v>
      </c>
      <c r="H69" s="114">
        <f t="shared" ref="H69:I69" si="56">+ROUND((H68-H71)*$J69,0)</f>
        <v>0</v>
      </c>
      <c r="I69" s="114">
        <f t="shared" si="56"/>
        <v>0</v>
      </c>
      <c r="J69" s="131">
        <v>0.7</v>
      </c>
      <c r="L69" s="185"/>
      <c r="M69" s="186"/>
      <c r="N69" s="186"/>
      <c r="O69" s="186"/>
      <c r="P69" s="186"/>
      <c r="Q69" s="187"/>
    </row>
    <row r="70" spans="1:17" s="65" customFormat="1" ht="21" customHeight="1">
      <c r="A70" s="410"/>
      <c r="B70" s="417"/>
      <c r="C70" s="404"/>
      <c r="D70" s="180" t="s">
        <v>31</v>
      </c>
      <c r="E70" s="114">
        <f t="shared" si="55"/>
        <v>7087.012219959267</v>
      </c>
      <c r="F70" s="114">
        <f>+F68-F71-F69</f>
        <v>6503</v>
      </c>
      <c r="G70" s="114">
        <f>+G68-G71-G69</f>
        <v>584.01221995926699</v>
      </c>
      <c r="H70" s="114">
        <f t="shared" ref="H70:I70" si="57">+H68-H71-H69</f>
        <v>0</v>
      </c>
      <c r="I70" s="114">
        <f t="shared" si="57"/>
        <v>0</v>
      </c>
      <c r="J70" s="131">
        <v>0.3</v>
      </c>
      <c r="L70" s="185"/>
      <c r="M70" s="186"/>
      <c r="N70" s="186"/>
      <c r="O70" s="186"/>
      <c r="P70" s="186"/>
      <c r="Q70" s="187"/>
    </row>
    <row r="71" spans="1:17" s="65" customFormat="1" ht="21" customHeight="1">
      <c r="A71" s="411"/>
      <c r="B71" s="418"/>
      <c r="C71" s="405"/>
      <c r="D71" s="189" t="s">
        <v>33</v>
      </c>
      <c r="E71" s="132">
        <f t="shared" si="55"/>
        <v>3687.987780040733</v>
      </c>
      <c r="F71" s="132">
        <f>'3.3 원인자부담금'!D6</f>
        <v>0</v>
      </c>
      <c r="G71" s="132">
        <f>'3.3 원인자부담금'!E6</f>
        <v>3687.987780040733</v>
      </c>
      <c r="H71" s="132">
        <v>0</v>
      </c>
      <c r="I71" s="132">
        <v>0</v>
      </c>
      <c r="J71" s="133"/>
      <c r="L71" s="185"/>
      <c r="M71" s="186"/>
      <c r="N71" s="186"/>
      <c r="O71" s="186"/>
      <c r="P71" s="186"/>
      <c r="Q71" s="185"/>
    </row>
    <row r="72" spans="1:17" s="65" customFormat="1" ht="21" customHeight="1">
      <c r="A72" s="409" t="s">
        <v>154</v>
      </c>
      <c r="B72" s="438" t="s">
        <v>156</v>
      </c>
      <c r="C72" s="433" t="s">
        <v>145</v>
      </c>
      <c r="D72" s="181" t="s">
        <v>18</v>
      </c>
      <c r="E72" s="129">
        <f t="shared" ref="E72:E75" si="58">SUM(F72:I72)</f>
        <v>0</v>
      </c>
      <c r="F72" s="129">
        <f>'[3]1.3 금왕처리구역'!$E$11</f>
        <v>0</v>
      </c>
      <c r="G72" s="129">
        <f>'[3]1.3 금왕처리구역'!$F$11</f>
        <v>0</v>
      </c>
      <c r="H72" s="129">
        <f>'[3]1.3 금왕처리구역'!$G$11</f>
        <v>0</v>
      </c>
      <c r="I72" s="129">
        <f>'[3]1.3 금왕처리구역'!$H$11</f>
        <v>0</v>
      </c>
      <c r="J72" s="130"/>
      <c r="L72" s="182"/>
      <c r="M72" s="182" t="s">
        <v>63</v>
      </c>
      <c r="N72" s="182" t="s">
        <v>64</v>
      </c>
      <c r="O72" s="182" t="s">
        <v>65</v>
      </c>
      <c r="P72" s="182" t="s">
        <v>66</v>
      </c>
      <c r="Q72" s="182" t="s">
        <v>68</v>
      </c>
    </row>
    <row r="73" spans="1:17" s="65" customFormat="1" ht="21" customHeight="1">
      <c r="A73" s="410"/>
      <c r="B73" s="417"/>
      <c r="C73" s="404"/>
      <c r="D73" s="180" t="s">
        <v>29</v>
      </c>
      <c r="E73" s="114">
        <f t="shared" si="58"/>
        <v>0</v>
      </c>
      <c r="F73" s="114">
        <f>+ROUND((M73*$Q73)+(M74*$Q74),0)</f>
        <v>0</v>
      </c>
      <c r="G73" s="114">
        <f t="shared" ref="G73" si="59">+ROUND((N73*$Q73)+(N74*$Q74),0)</f>
        <v>0</v>
      </c>
      <c r="H73" s="114">
        <f t="shared" ref="H73" si="60">+ROUND((O73*$Q73)+(O74*$Q74),0)</f>
        <v>0</v>
      </c>
      <c r="I73" s="114">
        <f t="shared" ref="I73" si="61">+ROUND((P73*$Q73)+(P74*$Q74),0)</f>
        <v>0</v>
      </c>
      <c r="J73" s="134" t="s">
        <v>221</v>
      </c>
      <c r="K73" s="188"/>
      <c r="L73" s="182" t="s">
        <v>61</v>
      </c>
      <c r="M73" s="183">
        <f>'[3]1.3 금왕처리구역'!E9</f>
        <v>0</v>
      </c>
      <c r="N73" s="183">
        <f>'[3]1.3 금왕처리구역'!F9</f>
        <v>0</v>
      </c>
      <c r="O73" s="183">
        <f>'[3]1.3 금왕처리구역'!G9</f>
        <v>0</v>
      </c>
      <c r="P73" s="183">
        <f>'[3]1.3 금왕처리구역'!H9</f>
        <v>0</v>
      </c>
      <c r="Q73" s="184">
        <v>0.5</v>
      </c>
    </row>
    <row r="74" spans="1:17" s="65" customFormat="1" ht="21" customHeight="1">
      <c r="A74" s="410"/>
      <c r="B74" s="417"/>
      <c r="C74" s="404"/>
      <c r="D74" s="180" t="s">
        <v>31</v>
      </c>
      <c r="E74" s="114">
        <f t="shared" si="58"/>
        <v>0</v>
      </c>
      <c r="F74" s="114">
        <f>+F72-F75-F73</f>
        <v>0</v>
      </c>
      <c r="G74" s="114">
        <f t="shared" ref="G74:I74" si="62">+G72-G75-G73</f>
        <v>0</v>
      </c>
      <c r="H74" s="114">
        <f t="shared" si="62"/>
        <v>0</v>
      </c>
      <c r="I74" s="114">
        <f t="shared" si="62"/>
        <v>0</v>
      </c>
      <c r="J74" s="134" t="s">
        <v>221</v>
      </c>
      <c r="K74" s="188"/>
      <c r="L74" s="182" t="s">
        <v>62</v>
      </c>
      <c r="M74" s="183">
        <f>'[3]1.3 금왕처리구역'!E10</f>
        <v>0</v>
      </c>
      <c r="N74" s="183">
        <f>'[3]1.3 금왕처리구역'!F10</f>
        <v>0</v>
      </c>
      <c r="O74" s="183">
        <f>'[3]1.3 금왕처리구역'!G10</f>
        <v>0</v>
      </c>
      <c r="P74" s="183">
        <f>'[3]1.3 금왕처리구역'!H10</f>
        <v>0</v>
      </c>
      <c r="Q74" s="184">
        <v>0.5</v>
      </c>
    </row>
    <row r="75" spans="1:17" s="65" customFormat="1" ht="21" customHeight="1">
      <c r="A75" s="410"/>
      <c r="B75" s="417"/>
      <c r="C75" s="404"/>
      <c r="D75" s="180" t="s">
        <v>33</v>
      </c>
      <c r="E75" s="114">
        <f t="shared" si="58"/>
        <v>0</v>
      </c>
      <c r="F75" s="114">
        <f>+'3.3 원인자부담금'!D2</f>
        <v>0</v>
      </c>
      <c r="G75" s="114">
        <f>+'3.3 원인자부담금'!E2</f>
        <v>0</v>
      </c>
      <c r="H75" s="114">
        <f>+'3.3 원인자부담금'!F2</f>
        <v>0</v>
      </c>
      <c r="I75" s="114">
        <f>+'3.3 원인자부담금'!G2</f>
        <v>0</v>
      </c>
      <c r="J75" s="131"/>
      <c r="L75" s="182" t="s">
        <v>67</v>
      </c>
      <c r="M75" s="183">
        <f>SUM(M73:M74)</f>
        <v>0</v>
      </c>
      <c r="N75" s="183">
        <f t="shared" ref="N75:P75" si="63">SUM(N73:N74)</f>
        <v>0</v>
      </c>
      <c r="O75" s="183">
        <f t="shared" si="63"/>
        <v>0</v>
      </c>
      <c r="P75" s="183">
        <f t="shared" si="63"/>
        <v>0</v>
      </c>
      <c r="Q75" s="182"/>
    </row>
    <row r="76" spans="1:17" s="65" customFormat="1" ht="21" customHeight="1">
      <c r="A76" s="410"/>
      <c r="B76" s="417"/>
      <c r="C76" s="403" t="s">
        <v>148</v>
      </c>
      <c r="D76" s="180" t="s">
        <v>18</v>
      </c>
      <c r="E76" s="114">
        <f t="shared" ref="E76:E79" si="64">SUM(F76:I76)</f>
        <v>0</v>
      </c>
      <c r="F76" s="114">
        <f>'[3]1.3 금왕처리구역'!$E$12</f>
        <v>0</v>
      </c>
      <c r="G76" s="114">
        <f>'[3]1.3 금왕처리구역'!$F$12</f>
        <v>0</v>
      </c>
      <c r="H76" s="114">
        <f>'[3]1.3 금왕처리구역'!$G$12</f>
        <v>0</v>
      </c>
      <c r="I76" s="114">
        <f>'[3]1.3 금왕처리구역'!$H$12</f>
        <v>0</v>
      </c>
      <c r="J76" s="131"/>
      <c r="L76" s="185"/>
      <c r="M76" s="185"/>
      <c r="N76" s="185"/>
      <c r="O76" s="185"/>
      <c r="P76" s="185"/>
      <c r="Q76" s="185"/>
    </row>
    <row r="77" spans="1:17" s="65" customFormat="1" ht="21" customHeight="1">
      <c r="A77" s="410"/>
      <c r="B77" s="417"/>
      <c r="C77" s="404"/>
      <c r="D77" s="180" t="s">
        <v>29</v>
      </c>
      <c r="E77" s="114">
        <f t="shared" si="64"/>
        <v>0</v>
      </c>
      <c r="F77" s="114">
        <f>+ROUND((F76-F79)*$J77,0)</f>
        <v>0</v>
      </c>
      <c r="G77" s="114">
        <v>0</v>
      </c>
      <c r="H77" s="114">
        <f t="shared" ref="H77:I77" si="65">+ROUND((H76-H79)*$J77,0)</f>
        <v>0</v>
      </c>
      <c r="I77" s="114">
        <f t="shared" si="65"/>
        <v>0</v>
      </c>
      <c r="J77" s="131">
        <v>0.7</v>
      </c>
      <c r="K77" s="188"/>
      <c r="L77" s="185"/>
      <c r="M77" s="186"/>
      <c r="N77" s="186"/>
      <c r="O77" s="186"/>
      <c r="P77" s="186"/>
      <c r="Q77" s="187"/>
    </row>
    <row r="78" spans="1:17" s="65" customFormat="1" ht="21" customHeight="1">
      <c r="A78" s="410"/>
      <c r="B78" s="417"/>
      <c r="C78" s="404"/>
      <c r="D78" s="180" t="s">
        <v>31</v>
      </c>
      <c r="E78" s="114">
        <f t="shared" si="64"/>
        <v>0</v>
      </c>
      <c r="F78" s="114">
        <f>+F76-F79-F77</f>
        <v>0</v>
      </c>
      <c r="G78" s="114">
        <v>0</v>
      </c>
      <c r="H78" s="114">
        <f t="shared" ref="H78:I78" si="66">+H76-H79-H77</f>
        <v>0</v>
      </c>
      <c r="I78" s="114">
        <f t="shared" si="66"/>
        <v>0</v>
      </c>
      <c r="J78" s="131">
        <v>0.3</v>
      </c>
      <c r="K78" s="188"/>
      <c r="L78" s="185"/>
      <c r="M78" s="186"/>
      <c r="N78" s="186"/>
      <c r="O78" s="186"/>
      <c r="P78" s="186"/>
      <c r="Q78" s="187"/>
    </row>
    <row r="79" spans="1:17" s="65" customFormat="1" ht="21" customHeight="1">
      <c r="A79" s="410"/>
      <c r="B79" s="417"/>
      <c r="C79" s="404"/>
      <c r="D79" s="180" t="s">
        <v>33</v>
      </c>
      <c r="E79" s="114">
        <f t="shared" si="64"/>
        <v>0</v>
      </c>
      <c r="F79" s="114">
        <v>0</v>
      </c>
      <c r="G79" s="114">
        <v>0</v>
      </c>
      <c r="H79" s="114">
        <v>0</v>
      </c>
      <c r="I79" s="114">
        <v>0</v>
      </c>
      <c r="J79" s="131"/>
      <c r="L79" s="185"/>
      <c r="M79" s="186"/>
      <c r="N79" s="186"/>
      <c r="O79" s="186"/>
      <c r="P79" s="186"/>
      <c r="Q79" s="185"/>
    </row>
    <row r="80" spans="1:17" s="65" customFormat="1" ht="21" customHeight="1">
      <c r="A80" s="410"/>
      <c r="B80" s="417"/>
      <c r="C80" s="403" t="s">
        <v>146</v>
      </c>
      <c r="D80" s="180" t="s">
        <v>18</v>
      </c>
      <c r="E80" s="114">
        <f t="shared" si="1"/>
        <v>8355</v>
      </c>
      <c r="F80" s="114">
        <f>M83</f>
        <v>3065</v>
      </c>
      <c r="G80" s="114">
        <f t="shared" ref="G80:I80" si="67">N83</f>
        <v>3152</v>
      </c>
      <c r="H80" s="114">
        <f t="shared" si="67"/>
        <v>1087</v>
      </c>
      <c r="I80" s="114">
        <f t="shared" si="67"/>
        <v>1051</v>
      </c>
      <c r="J80" s="131"/>
      <c r="L80" s="182"/>
      <c r="M80" s="182" t="s">
        <v>63</v>
      </c>
      <c r="N80" s="182" t="s">
        <v>64</v>
      </c>
      <c r="O80" s="182" t="s">
        <v>65</v>
      </c>
      <c r="P80" s="182" t="s">
        <v>66</v>
      </c>
      <c r="Q80" s="182" t="s">
        <v>68</v>
      </c>
    </row>
    <row r="81" spans="1:17" s="65" customFormat="1" ht="21" customHeight="1">
      <c r="A81" s="410"/>
      <c r="B81" s="417"/>
      <c r="C81" s="404"/>
      <c r="D81" s="180" t="s">
        <v>29</v>
      </c>
      <c r="E81" s="114">
        <f t="shared" si="1"/>
        <v>4179</v>
      </c>
      <c r="F81" s="114">
        <f>+ROUND((M81*$Q81)+(M82*$Q82),0)</f>
        <v>1533</v>
      </c>
      <c r="G81" s="114">
        <f t="shared" ref="G81:I81" si="68">+ROUND((N81*$Q81)+(N82*$Q82),0)</f>
        <v>1576</v>
      </c>
      <c r="H81" s="114">
        <f t="shared" si="68"/>
        <v>544</v>
      </c>
      <c r="I81" s="114">
        <f t="shared" si="68"/>
        <v>526</v>
      </c>
      <c r="J81" s="134" t="s">
        <v>221</v>
      </c>
      <c r="K81" s="188"/>
      <c r="L81" s="182" t="s">
        <v>61</v>
      </c>
      <c r="M81" s="183">
        <f>'[3]1.3 금왕처리구역'!E13</f>
        <v>3065</v>
      </c>
      <c r="N81" s="183">
        <f>'[3]1.3 금왕처리구역'!F13</f>
        <v>3152</v>
      </c>
      <c r="O81" s="183">
        <f>'[3]1.3 금왕처리구역'!G13</f>
        <v>1087</v>
      </c>
      <c r="P81" s="183">
        <f>'[3]1.3 금왕처리구역'!H13</f>
        <v>1051</v>
      </c>
      <c r="Q81" s="184">
        <v>0.5</v>
      </c>
    </row>
    <row r="82" spans="1:17" s="65" customFormat="1" ht="21" customHeight="1">
      <c r="A82" s="410"/>
      <c r="B82" s="417"/>
      <c r="C82" s="404"/>
      <c r="D82" s="180" t="s">
        <v>31</v>
      </c>
      <c r="E82" s="114">
        <f t="shared" si="1"/>
        <v>4176</v>
      </c>
      <c r="F82" s="114">
        <f>+F80-F83-F81</f>
        <v>1532</v>
      </c>
      <c r="G82" s="114">
        <f t="shared" ref="G82:I82" si="69">+G80-G83-G81</f>
        <v>1576</v>
      </c>
      <c r="H82" s="114">
        <f t="shared" si="69"/>
        <v>543</v>
      </c>
      <c r="I82" s="114">
        <f t="shared" si="69"/>
        <v>525</v>
      </c>
      <c r="J82" s="134" t="s">
        <v>221</v>
      </c>
      <c r="K82" s="188"/>
      <c r="L82" s="182" t="s">
        <v>62</v>
      </c>
      <c r="M82" s="183">
        <f>'[3]1.3 금왕처리구역'!E14</f>
        <v>0</v>
      </c>
      <c r="N82" s="183">
        <f>'[3]1.3 금왕처리구역'!F14</f>
        <v>0</v>
      </c>
      <c r="O82" s="183">
        <f>'[3]1.3 금왕처리구역'!G14</f>
        <v>0</v>
      </c>
      <c r="P82" s="183">
        <f>'[3]1.3 금왕처리구역'!H14</f>
        <v>0</v>
      </c>
      <c r="Q82" s="184">
        <v>0.5</v>
      </c>
    </row>
    <row r="83" spans="1:17" s="65" customFormat="1" ht="21" customHeight="1">
      <c r="A83" s="410"/>
      <c r="B83" s="426"/>
      <c r="C83" s="404"/>
      <c r="D83" s="180" t="s">
        <v>33</v>
      </c>
      <c r="E83" s="114">
        <f t="shared" si="1"/>
        <v>0</v>
      </c>
      <c r="F83" s="114">
        <v>0</v>
      </c>
      <c r="G83" s="114">
        <f>+'3.3 원인자부담금'!E7</f>
        <v>0</v>
      </c>
      <c r="H83" s="114">
        <f>+'3.3 원인자부담금'!F7</f>
        <v>0</v>
      </c>
      <c r="I83" s="114">
        <f>+'3.3 원인자부담금'!G7</f>
        <v>0</v>
      </c>
      <c r="J83" s="131"/>
      <c r="L83" s="182" t="s">
        <v>67</v>
      </c>
      <c r="M83" s="183">
        <f>SUM(M81:M82)</f>
        <v>3065</v>
      </c>
      <c r="N83" s="183">
        <f t="shared" ref="N83:P83" si="70">SUM(N81:N82)</f>
        <v>3152</v>
      </c>
      <c r="O83" s="183">
        <f t="shared" si="70"/>
        <v>1087</v>
      </c>
      <c r="P83" s="183">
        <f t="shared" si="70"/>
        <v>1051</v>
      </c>
      <c r="Q83" s="182"/>
    </row>
    <row r="84" spans="1:17" s="65" customFormat="1" ht="21" customHeight="1">
      <c r="A84" s="410"/>
      <c r="B84" s="404" t="s">
        <v>41</v>
      </c>
      <c r="C84" s="404" t="s">
        <v>76</v>
      </c>
      <c r="D84" s="180" t="s">
        <v>18</v>
      </c>
      <c r="E84" s="114">
        <f t="shared" ref="E84:E87" si="71">SUM(F84:I84)</f>
        <v>5842</v>
      </c>
      <c r="F84" s="114">
        <f>F88+F92</f>
        <v>5842</v>
      </c>
      <c r="G84" s="114">
        <f t="shared" ref="G84:I84" si="72">G88+G92</f>
        <v>0</v>
      </c>
      <c r="H84" s="114">
        <f t="shared" si="72"/>
        <v>0</v>
      </c>
      <c r="I84" s="114">
        <f t="shared" si="72"/>
        <v>0</v>
      </c>
      <c r="J84" s="131"/>
    </row>
    <row r="85" spans="1:17" s="65" customFormat="1" ht="21" customHeight="1">
      <c r="A85" s="410"/>
      <c r="B85" s="404"/>
      <c r="C85" s="404"/>
      <c r="D85" s="180" t="s">
        <v>29</v>
      </c>
      <c r="E85" s="114">
        <f t="shared" si="71"/>
        <v>4089</v>
      </c>
      <c r="F85" s="114">
        <f t="shared" ref="F85:I85" si="73">F89+F93</f>
        <v>4089</v>
      </c>
      <c r="G85" s="114">
        <f t="shared" si="73"/>
        <v>0</v>
      </c>
      <c r="H85" s="114">
        <f t="shared" si="73"/>
        <v>0</v>
      </c>
      <c r="I85" s="114">
        <f t="shared" si="73"/>
        <v>0</v>
      </c>
      <c r="J85" s="131">
        <v>0.7</v>
      </c>
    </row>
    <row r="86" spans="1:17" s="65" customFormat="1" ht="21" customHeight="1">
      <c r="A86" s="410"/>
      <c r="B86" s="404"/>
      <c r="C86" s="404"/>
      <c r="D86" s="180" t="s">
        <v>31</v>
      </c>
      <c r="E86" s="114">
        <f t="shared" si="71"/>
        <v>1753</v>
      </c>
      <c r="F86" s="114">
        <f t="shared" ref="F86:I86" si="74">F90+F94</f>
        <v>1753</v>
      </c>
      <c r="G86" s="114">
        <f t="shared" si="74"/>
        <v>0</v>
      </c>
      <c r="H86" s="114">
        <f t="shared" si="74"/>
        <v>0</v>
      </c>
      <c r="I86" s="114">
        <f t="shared" si="74"/>
        <v>0</v>
      </c>
      <c r="J86" s="131">
        <v>0.3</v>
      </c>
    </row>
    <row r="87" spans="1:17" s="65" customFormat="1" ht="21" customHeight="1">
      <c r="A87" s="410"/>
      <c r="B87" s="404"/>
      <c r="C87" s="404"/>
      <c r="D87" s="180" t="s">
        <v>33</v>
      </c>
      <c r="E87" s="114">
        <f t="shared" si="71"/>
        <v>0</v>
      </c>
      <c r="F87" s="114">
        <f t="shared" ref="F87:I87" si="75">F91+F95</f>
        <v>0</v>
      </c>
      <c r="G87" s="114">
        <f t="shared" si="75"/>
        <v>0</v>
      </c>
      <c r="H87" s="114">
        <f t="shared" si="75"/>
        <v>0</v>
      </c>
      <c r="I87" s="114">
        <f t="shared" si="75"/>
        <v>0</v>
      </c>
      <c r="J87" s="131"/>
    </row>
    <row r="88" spans="1:17" s="65" customFormat="1" ht="21" customHeight="1">
      <c r="A88" s="410"/>
      <c r="B88" s="404"/>
      <c r="C88" s="403" t="s">
        <v>149</v>
      </c>
      <c r="D88" s="180" t="s">
        <v>18</v>
      </c>
      <c r="E88" s="114">
        <f t="shared" ref="E88:E91" si="76">SUM(F88:I88)</f>
        <v>0</v>
      </c>
      <c r="F88" s="114">
        <f>'[3]1.3 금왕처리구역'!$E$18</f>
        <v>0</v>
      </c>
      <c r="G88" s="114">
        <f>'[3]1.3 금왕처리구역'!$F$18</f>
        <v>0</v>
      </c>
      <c r="H88" s="114">
        <f>'[3]1.3 금왕처리구역'!$G$18</f>
        <v>0</v>
      </c>
      <c r="I88" s="114">
        <f>'[3]1.3 금왕처리구역'!$H$18</f>
        <v>0</v>
      </c>
      <c r="J88" s="131"/>
    </row>
    <row r="89" spans="1:17" s="65" customFormat="1" ht="21" customHeight="1">
      <c r="A89" s="410"/>
      <c r="B89" s="404"/>
      <c r="C89" s="404"/>
      <c r="D89" s="180" t="s">
        <v>29</v>
      </c>
      <c r="E89" s="114">
        <f t="shared" si="76"/>
        <v>0</v>
      </c>
      <c r="F89" s="114">
        <f>+ROUND((F88-F91)*$J89,0)</f>
        <v>0</v>
      </c>
      <c r="G89" s="114">
        <f t="shared" ref="G89:I89" si="77">+ROUND((G88-G91)*$J89,0)</f>
        <v>0</v>
      </c>
      <c r="H89" s="114">
        <f t="shared" si="77"/>
        <v>0</v>
      </c>
      <c r="I89" s="114">
        <f t="shared" si="77"/>
        <v>0</v>
      </c>
      <c r="J89" s="131">
        <v>0.7</v>
      </c>
    </row>
    <row r="90" spans="1:17" s="65" customFormat="1" ht="21" customHeight="1">
      <c r="A90" s="410"/>
      <c r="B90" s="404"/>
      <c r="C90" s="404"/>
      <c r="D90" s="180" t="s">
        <v>31</v>
      </c>
      <c r="E90" s="114">
        <f t="shared" si="76"/>
        <v>0</v>
      </c>
      <c r="F90" s="114">
        <f>+F88-F91-F89</f>
        <v>0</v>
      </c>
      <c r="G90" s="114">
        <f t="shared" ref="G90:I90" si="78">+G88-G91-G89</f>
        <v>0</v>
      </c>
      <c r="H90" s="114">
        <f t="shared" si="78"/>
        <v>0</v>
      </c>
      <c r="I90" s="114">
        <f t="shared" si="78"/>
        <v>0</v>
      </c>
      <c r="J90" s="131">
        <v>0.3</v>
      </c>
    </row>
    <row r="91" spans="1:17" s="65" customFormat="1" ht="21" customHeight="1">
      <c r="A91" s="410"/>
      <c r="B91" s="404"/>
      <c r="C91" s="404"/>
      <c r="D91" s="180" t="s">
        <v>33</v>
      </c>
      <c r="E91" s="114">
        <f t="shared" si="76"/>
        <v>0</v>
      </c>
      <c r="F91" s="114">
        <v>0</v>
      </c>
      <c r="G91" s="114">
        <v>0</v>
      </c>
      <c r="H91" s="114">
        <v>0</v>
      </c>
      <c r="I91" s="114">
        <v>0</v>
      </c>
      <c r="J91" s="131"/>
    </row>
    <row r="92" spans="1:17" s="65" customFormat="1" ht="21" customHeight="1">
      <c r="A92" s="410"/>
      <c r="B92" s="404"/>
      <c r="C92" s="403" t="s">
        <v>150</v>
      </c>
      <c r="D92" s="180" t="s">
        <v>18</v>
      </c>
      <c r="E92" s="114">
        <f t="shared" ref="E92:E95" si="79">SUM(F92:I92)</f>
        <v>5842</v>
      </c>
      <c r="F92" s="114">
        <f>'[3]1.3 금왕처리구역'!E19</f>
        <v>5842</v>
      </c>
      <c r="G92" s="114">
        <f>'[3]1.3 금왕처리구역'!F19</f>
        <v>0</v>
      </c>
      <c r="H92" s="114">
        <f>'[3]1.3 금왕처리구역'!G19</f>
        <v>0</v>
      </c>
      <c r="I92" s="114">
        <f>'[3]1.3 금왕처리구역'!H19</f>
        <v>0</v>
      </c>
      <c r="J92" s="131"/>
    </row>
    <row r="93" spans="1:17" s="65" customFormat="1" ht="21" customHeight="1">
      <c r="A93" s="410"/>
      <c r="B93" s="404"/>
      <c r="C93" s="404"/>
      <c r="D93" s="180" t="s">
        <v>29</v>
      </c>
      <c r="E93" s="114">
        <f t="shared" si="79"/>
        <v>4089</v>
      </c>
      <c r="F93" s="114">
        <f>+ROUND((F92-F95)*$J93,0)</f>
        <v>4089</v>
      </c>
      <c r="G93" s="114">
        <f t="shared" ref="G93:I93" si="80">+ROUND((G92-G95)*$J93,0)</f>
        <v>0</v>
      </c>
      <c r="H93" s="114">
        <f t="shared" si="80"/>
        <v>0</v>
      </c>
      <c r="I93" s="114">
        <f t="shared" si="80"/>
        <v>0</v>
      </c>
      <c r="J93" s="131">
        <v>0.7</v>
      </c>
    </row>
    <row r="94" spans="1:17" s="65" customFormat="1" ht="21" customHeight="1">
      <c r="A94" s="410"/>
      <c r="B94" s="404"/>
      <c r="C94" s="404"/>
      <c r="D94" s="180" t="s">
        <v>31</v>
      </c>
      <c r="E94" s="114">
        <f t="shared" si="79"/>
        <v>1753</v>
      </c>
      <c r="F94" s="114">
        <f>+F92-F95-F93</f>
        <v>1753</v>
      </c>
      <c r="G94" s="114">
        <f t="shared" ref="G94:I94" si="81">+G92-G95-G93</f>
        <v>0</v>
      </c>
      <c r="H94" s="114">
        <f t="shared" si="81"/>
        <v>0</v>
      </c>
      <c r="I94" s="114">
        <f t="shared" si="81"/>
        <v>0</v>
      </c>
      <c r="J94" s="131">
        <v>0.3</v>
      </c>
    </row>
    <row r="95" spans="1:17" s="65" customFormat="1" ht="21" customHeight="1">
      <c r="A95" s="411"/>
      <c r="B95" s="405"/>
      <c r="C95" s="405"/>
      <c r="D95" s="189" t="s">
        <v>33</v>
      </c>
      <c r="E95" s="132">
        <f t="shared" si="79"/>
        <v>0</v>
      </c>
      <c r="F95" s="132">
        <v>0</v>
      </c>
      <c r="G95" s="132">
        <v>0</v>
      </c>
      <c r="H95" s="132">
        <v>0</v>
      </c>
      <c r="I95" s="132">
        <v>0</v>
      </c>
      <c r="J95" s="133"/>
    </row>
    <row r="96" spans="1:17" s="65" customFormat="1" ht="20.45" customHeight="1">
      <c r="A96" s="409" t="s">
        <v>113</v>
      </c>
      <c r="B96" s="428" t="s">
        <v>72</v>
      </c>
      <c r="C96" s="428"/>
      <c r="D96" s="181" t="s">
        <v>18</v>
      </c>
      <c r="E96" s="129">
        <f t="shared" ref="E96:E119" si="82">SUM(F96:I96)</f>
        <v>53719</v>
      </c>
      <c r="F96" s="129">
        <f t="shared" ref="F96:I99" si="83">F100+F116+F140</f>
        <v>34605</v>
      </c>
      <c r="G96" s="129">
        <f t="shared" si="83"/>
        <v>7058</v>
      </c>
      <c r="H96" s="129">
        <f t="shared" si="83"/>
        <v>669</v>
      </c>
      <c r="I96" s="129">
        <f t="shared" si="83"/>
        <v>11387</v>
      </c>
      <c r="J96" s="130"/>
    </row>
    <row r="97" spans="1:10" s="65" customFormat="1" ht="20.45" customHeight="1">
      <c r="A97" s="410"/>
      <c r="B97" s="404"/>
      <c r="C97" s="404"/>
      <c r="D97" s="180" t="s">
        <v>29</v>
      </c>
      <c r="E97" s="114">
        <f t="shared" si="82"/>
        <v>24701</v>
      </c>
      <c r="F97" s="114">
        <f t="shared" si="83"/>
        <v>15780</v>
      </c>
      <c r="G97" s="114">
        <f t="shared" si="83"/>
        <v>615</v>
      </c>
      <c r="H97" s="114">
        <f t="shared" si="83"/>
        <v>335</v>
      </c>
      <c r="I97" s="114">
        <f t="shared" si="83"/>
        <v>7971</v>
      </c>
      <c r="J97" s="131"/>
    </row>
    <row r="98" spans="1:10" s="65" customFormat="1" ht="20.45" customHeight="1">
      <c r="A98" s="410"/>
      <c r="B98" s="404"/>
      <c r="C98" s="404"/>
      <c r="D98" s="180" t="s">
        <v>31</v>
      </c>
      <c r="E98" s="114">
        <f t="shared" si="82"/>
        <v>12026</v>
      </c>
      <c r="F98" s="114">
        <f t="shared" si="83"/>
        <v>7662</v>
      </c>
      <c r="G98" s="114">
        <f t="shared" si="83"/>
        <v>614</v>
      </c>
      <c r="H98" s="114">
        <f t="shared" si="83"/>
        <v>334</v>
      </c>
      <c r="I98" s="114">
        <f t="shared" si="83"/>
        <v>3416</v>
      </c>
      <c r="J98" s="131"/>
    </row>
    <row r="99" spans="1:10" s="65" customFormat="1" ht="20.45" customHeight="1">
      <c r="A99" s="410"/>
      <c r="B99" s="404"/>
      <c r="C99" s="404"/>
      <c r="D99" s="180" t="s">
        <v>33</v>
      </c>
      <c r="E99" s="114">
        <f t="shared" si="82"/>
        <v>11163</v>
      </c>
      <c r="F99" s="114">
        <f t="shared" si="83"/>
        <v>11163</v>
      </c>
      <c r="G99" s="114">
        <f t="shared" si="83"/>
        <v>0</v>
      </c>
      <c r="H99" s="114">
        <f t="shared" si="83"/>
        <v>0</v>
      </c>
      <c r="I99" s="114">
        <f t="shared" si="83"/>
        <v>0</v>
      </c>
      <c r="J99" s="131"/>
    </row>
    <row r="100" spans="1:10" s="65" customFormat="1" ht="20.45" customHeight="1">
      <c r="A100" s="410"/>
      <c r="B100" s="403" t="s">
        <v>35</v>
      </c>
      <c r="C100" s="404" t="s">
        <v>76</v>
      </c>
      <c r="D100" s="180" t="s">
        <v>18</v>
      </c>
      <c r="E100" s="114">
        <f t="shared" si="82"/>
        <v>33601</v>
      </c>
      <c r="F100" s="114">
        <f>+F104+F112+F108</f>
        <v>22214</v>
      </c>
      <c r="G100" s="114">
        <f t="shared" ref="G100:I100" si="84">+G104+G112+G108</f>
        <v>0</v>
      </c>
      <c r="H100" s="114">
        <f t="shared" si="84"/>
        <v>0</v>
      </c>
      <c r="I100" s="114">
        <f t="shared" si="84"/>
        <v>11387</v>
      </c>
      <c r="J100" s="131"/>
    </row>
    <row r="101" spans="1:10" s="65" customFormat="1" ht="20.45" customHeight="1">
      <c r="A101" s="410"/>
      <c r="B101" s="403"/>
      <c r="C101" s="404"/>
      <c r="D101" s="180" t="s">
        <v>29</v>
      </c>
      <c r="E101" s="114">
        <f t="shared" si="82"/>
        <v>15707</v>
      </c>
      <c r="F101" s="114">
        <f t="shared" ref="F101:I101" si="85">+F105+F113+F109</f>
        <v>7736</v>
      </c>
      <c r="G101" s="114">
        <f t="shared" si="85"/>
        <v>0</v>
      </c>
      <c r="H101" s="114">
        <f t="shared" si="85"/>
        <v>0</v>
      </c>
      <c r="I101" s="114">
        <f t="shared" si="85"/>
        <v>7971</v>
      </c>
      <c r="J101" s="131"/>
    </row>
    <row r="102" spans="1:10" s="65" customFormat="1" ht="20.45" customHeight="1">
      <c r="A102" s="410"/>
      <c r="B102" s="403"/>
      <c r="C102" s="404"/>
      <c r="D102" s="180" t="s">
        <v>31</v>
      </c>
      <c r="E102" s="114">
        <f t="shared" si="82"/>
        <v>6731</v>
      </c>
      <c r="F102" s="114">
        <f t="shared" ref="F102:I102" si="86">+F106+F114+F110</f>
        <v>3315</v>
      </c>
      <c r="G102" s="114">
        <f t="shared" si="86"/>
        <v>0</v>
      </c>
      <c r="H102" s="114">
        <f t="shared" si="86"/>
        <v>0</v>
      </c>
      <c r="I102" s="114">
        <f t="shared" si="86"/>
        <v>3416</v>
      </c>
      <c r="J102" s="131"/>
    </row>
    <row r="103" spans="1:10" s="65" customFormat="1" ht="20.45" customHeight="1">
      <c r="A103" s="410"/>
      <c r="B103" s="403"/>
      <c r="C103" s="404"/>
      <c r="D103" s="180" t="s">
        <v>33</v>
      </c>
      <c r="E103" s="114">
        <f t="shared" si="82"/>
        <v>11163</v>
      </c>
      <c r="F103" s="114">
        <f t="shared" ref="F103:I103" si="87">+F107+F115+F111</f>
        <v>11163</v>
      </c>
      <c r="G103" s="114">
        <f t="shared" si="87"/>
        <v>0</v>
      </c>
      <c r="H103" s="114">
        <f t="shared" si="87"/>
        <v>0</v>
      </c>
      <c r="I103" s="114">
        <f t="shared" si="87"/>
        <v>0</v>
      </c>
      <c r="J103" s="131"/>
    </row>
    <row r="104" spans="1:10" s="65" customFormat="1" ht="20.45" customHeight="1">
      <c r="A104" s="410"/>
      <c r="B104" s="403"/>
      <c r="C104" s="403" t="s">
        <v>111</v>
      </c>
      <c r="D104" s="180" t="s">
        <v>18</v>
      </c>
      <c r="E104" s="114">
        <f t="shared" si="82"/>
        <v>22214</v>
      </c>
      <c r="F104" s="114">
        <f>'[3]1.4 대소처리구역'!$E$16</f>
        <v>22214</v>
      </c>
      <c r="G104" s="114">
        <f>'[3]1.4 대소처리구역'!$F$16</f>
        <v>0</v>
      </c>
      <c r="H104" s="114">
        <v>0</v>
      </c>
      <c r="I104" s="114">
        <v>0</v>
      </c>
      <c r="J104" s="131"/>
    </row>
    <row r="105" spans="1:10" s="65" customFormat="1" ht="20.45" customHeight="1">
      <c r="A105" s="410"/>
      <c r="B105" s="403"/>
      <c r="C105" s="404"/>
      <c r="D105" s="180" t="s">
        <v>29</v>
      </c>
      <c r="E105" s="114">
        <f t="shared" si="82"/>
        <v>7736</v>
      </c>
      <c r="F105" s="114">
        <f>+ROUND((F104-F107)*$J105,0)</f>
        <v>7736</v>
      </c>
      <c r="G105" s="114">
        <v>0</v>
      </c>
      <c r="H105" s="114">
        <f t="shared" ref="H105:I105" si="88">+ROUND((H104-H107)*$J105,0)</f>
        <v>0</v>
      </c>
      <c r="I105" s="114">
        <f t="shared" si="88"/>
        <v>0</v>
      </c>
      <c r="J105" s="131">
        <v>0.7</v>
      </c>
    </row>
    <row r="106" spans="1:10" s="65" customFormat="1" ht="20.45" customHeight="1">
      <c r="A106" s="410"/>
      <c r="B106" s="403"/>
      <c r="C106" s="404"/>
      <c r="D106" s="180" t="s">
        <v>31</v>
      </c>
      <c r="E106" s="114">
        <f t="shared" si="82"/>
        <v>3315</v>
      </c>
      <c r="F106" s="114">
        <f>+F104-F107-F105</f>
        <v>3315</v>
      </c>
      <c r="G106" s="114">
        <v>0</v>
      </c>
      <c r="H106" s="114">
        <f t="shared" ref="H106:I106" si="89">+H104-H107-H105</f>
        <v>0</v>
      </c>
      <c r="I106" s="114">
        <f t="shared" si="89"/>
        <v>0</v>
      </c>
      <c r="J106" s="131">
        <v>0.3</v>
      </c>
    </row>
    <row r="107" spans="1:10" s="65" customFormat="1" ht="20.45" customHeight="1">
      <c r="A107" s="410"/>
      <c r="B107" s="403"/>
      <c r="C107" s="404"/>
      <c r="D107" s="180" t="s">
        <v>33</v>
      </c>
      <c r="E107" s="114">
        <f t="shared" si="82"/>
        <v>11163</v>
      </c>
      <c r="F107" s="114">
        <f>'3.3 원인자부담금'!D7</f>
        <v>11163</v>
      </c>
      <c r="G107" s="114">
        <f>'3.3 원인자부담금'!E7</f>
        <v>0</v>
      </c>
      <c r="H107" s="114">
        <f>'3.3 원인자부담금'!F7</f>
        <v>0</v>
      </c>
      <c r="I107" s="114">
        <f>'3.3 원인자부담금'!G7</f>
        <v>0</v>
      </c>
      <c r="J107" s="131"/>
    </row>
    <row r="108" spans="1:10" s="65" customFormat="1" ht="20.45" customHeight="1">
      <c r="A108" s="410"/>
      <c r="B108" s="403"/>
      <c r="C108" s="403" t="s">
        <v>369</v>
      </c>
      <c r="D108" s="264" t="s">
        <v>18</v>
      </c>
      <c r="E108" s="114">
        <f t="shared" ref="E108:E111" si="90">SUM(F108:I108)</f>
        <v>11387</v>
      </c>
      <c r="F108" s="114">
        <v>0</v>
      </c>
      <c r="G108" s="114">
        <v>0</v>
      </c>
      <c r="H108" s="114">
        <v>0</v>
      </c>
      <c r="I108" s="114">
        <f>'[3]1.4 대소처리구역'!$H$16</f>
        <v>11387</v>
      </c>
      <c r="J108" s="131"/>
    </row>
    <row r="109" spans="1:10" s="65" customFormat="1" ht="20.45" customHeight="1">
      <c r="A109" s="410"/>
      <c r="B109" s="403"/>
      <c r="C109" s="404"/>
      <c r="D109" s="264" t="s">
        <v>29</v>
      </c>
      <c r="E109" s="114">
        <f t="shared" si="90"/>
        <v>7971</v>
      </c>
      <c r="F109" s="114">
        <v>0</v>
      </c>
      <c r="G109" s="114">
        <f>+ROUND((G108-G111)*$J109,0)</f>
        <v>0</v>
      </c>
      <c r="H109" s="114">
        <f t="shared" ref="H109:I109" si="91">+ROUND((H108-H111)*$J109,0)</f>
        <v>0</v>
      </c>
      <c r="I109" s="114">
        <f t="shared" si="91"/>
        <v>7971</v>
      </c>
      <c r="J109" s="131">
        <v>0.7</v>
      </c>
    </row>
    <row r="110" spans="1:10" s="65" customFormat="1" ht="20.45" customHeight="1">
      <c r="A110" s="410"/>
      <c r="B110" s="403"/>
      <c r="C110" s="404"/>
      <c r="D110" s="264" t="s">
        <v>31</v>
      </c>
      <c r="E110" s="114">
        <f t="shared" si="90"/>
        <v>3416</v>
      </c>
      <c r="F110" s="114">
        <v>0</v>
      </c>
      <c r="G110" s="114">
        <f>+G108-G111-G109</f>
        <v>0</v>
      </c>
      <c r="H110" s="114">
        <f t="shared" ref="H110:I110" si="92">+H108-H111-H109</f>
        <v>0</v>
      </c>
      <c r="I110" s="114">
        <f t="shared" si="92"/>
        <v>3416</v>
      </c>
      <c r="J110" s="131">
        <v>0.3</v>
      </c>
    </row>
    <row r="111" spans="1:10" s="65" customFormat="1" ht="20.45" customHeight="1">
      <c r="A111" s="410"/>
      <c r="B111" s="403"/>
      <c r="C111" s="404"/>
      <c r="D111" s="264" t="s">
        <v>33</v>
      </c>
      <c r="E111" s="114">
        <f t="shared" si="90"/>
        <v>0</v>
      </c>
      <c r="F111" s="114">
        <f>+'3.3 원인자부담금'!D38</f>
        <v>0</v>
      </c>
      <c r="G111" s="114">
        <f>+'3.3 원인자부담금'!E38</f>
        <v>0</v>
      </c>
      <c r="H111" s="114">
        <f>'3.3 원인자부담금'!F11</f>
        <v>0</v>
      </c>
      <c r="I111" s="114">
        <f>+'3.3 원인자부담금'!G38</f>
        <v>0</v>
      </c>
      <c r="J111" s="131"/>
    </row>
    <row r="112" spans="1:10" s="65" customFormat="1" ht="20.45" customHeight="1">
      <c r="A112" s="410"/>
      <c r="B112" s="403"/>
      <c r="C112" s="403" t="s">
        <v>75</v>
      </c>
      <c r="D112" s="180" t="s">
        <v>18</v>
      </c>
      <c r="E112" s="114">
        <f t="shared" si="82"/>
        <v>0</v>
      </c>
      <c r="F112" s="114">
        <f>'[3]1.4 대소처리구역'!$E$17</f>
        <v>0</v>
      </c>
      <c r="G112" s="114">
        <f>'[3]1.4 대소처리구역'!$F$17</f>
        <v>0</v>
      </c>
      <c r="H112" s="114">
        <f>'[3]1.4 대소처리구역'!$G$17</f>
        <v>0</v>
      </c>
      <c r="I112" s="114">
        <f>'[3]1.4 대소처리구역'!$H$17</f>
        <v>0</v>
      </c>
      <c r="J112" s="131"/>
    </row>
    <row r="113" spans="1:17" s="65" customFormat="1" ht="20.45" customHeight="1">
      <c r="A113" s="410"/>
      <c r="B113" s="403"/>
      <c r="C113" s="404"/>
      <c r="D113" s="180" t="s">
        <v>29</v>
      </c>
      <c r="E113" s="114">
        <f t="shared" si="82"/>
        <v>0</v>
      </c>
      <c r="F113" s="114">
        <f>+ROUND((F112-F115)*$J113,0)</f>
        <v>0</v>
      </c>
      <c r="G113" s="114">
        <f t="shared" ref="G113:I113" si="93">+ROUND((G112-G115)*$J113,0)</f>
        <v>0</v>
      </c>
      <c r="H113" s="114">
        <f t="shared" si="93"/>
        <v>0</v>
      </c>
      <c r="I113" s="114">
        <f t="shared" si="93"/>
        <v>0</v>
      </c>
      <c r="J113" s="131">
        <v>0.7</v>
      </c>
    </row>
    <row r="114" spans="1:17" s="65" customFormat="1" ht="20.45" customHeight="1">
      <c r="A114" s="410"/>
      <c r="B114" s="403"/>
      <c r="C114" s="404"/>
      <c r="D114" s="180" t="s">
        <v>31</v>
      </c>
      <c r="E114" s="114">
        <f t="shared" si="82"/>
        <v>0</v>
      </c>
      <c r="F114" s="114">
        <f>+F112-F115-F113</f>
        <v>0</v>
      </c>
      <c r="G114" s="114">
        <f t="shared" ref="G114:I114" si="94">+G112-G115-G113</f>
        <v>0</v>
      </c>
      <c r="H114" s="114">
        <f t="shared" si="94"/>
        <v>0</v>
      </c>
      <c r="I114" s="114">
        <f t="shared" si="94"/>
        <v>0</v>
      </c>
      <c r="J114" s="131">
        <v>0.3</v>
      </c>
    </row>
    <row r="115" spans="1:17" s="65" customFormat="1" ht="20.45" customHeight="1">
      <c r="A115" s="410"/>
      <c r="B115" s="403"/>
      <c r="C115" s="404"/>
      <c r="D115" s="180" t="s">
        <v>33</v>
      </c>
      <c r="E115" s="114">
        <f t="shared" si="82"/>
        <v>0</v>
      </c>
      <c r="F115" s="114">
        <v>0</v>
      </c>
      <c r="G115" s="114">
        <v>0</v>
      </c>
      <c r="H115" s="114">
        <v>0</v>
      </c>
      <c r="I115" s="114">
        <v>0</v>
      </c>
      <c r="J115" s="131"/>
    </row>
    <row r="116" spans="1:17" s="65" customFormat="1" ht="20.45" customHeight="1">
      <c r="A116" s="410"/>
      <c r="B116" s="434" t="s">
        <v>60</v>
      </c>
      <c r="C116" s="404" t="s">
        <v>76</v>
      </c>
      <c r="D116" s="180" t="s">
        <v>18</v>
      </c>
      <c r="E116" s="114">
        <f t="shared" si="82"/>
        <v>20118</v>
      </c>
      <c r="F116" s="114">
        <f>+F120+F128+F136+F124+F132</f>
        <v>12391</v>
      </c>
      <c r="G116" s="114">
        <f t="shared" ref="G116:I116" si="95">+G120+G128+G136+G124+G132</f>
        <v>7058</v>
      </c>
      <c r="H116" s="114">
        <f t="shared" si="95"/>
        <v>669</v>
      </c>
      <c r="I116" s="114">
        <f t="shared" si="95"/>
        <v>0</v>
      </c>
      <c r="J116" s="131"/>
    </row>
    <row r="117" spans="1:17" s="65" customFormat="1" ht="20.45" customHeight="1">
      <c r="A117" s="410"/>
      <c r="B117" s="417"/>
      <c r="C117" s="404"/>
      <c r="D117" s="180" t="s">
        <v>29</v>
      </c>
      <c r="E117" s="114">
        <f t="shared" si="82"/>
        <v>8994</v>
      </c>
      <c r="F117" s="114">
        <f t="shared" ref="F117:I117" si="96">+F121+F129+F137+F125+F133</f>
        <v>8044</v>
      </c>
      <c r="G117" s="114">
        <f t="shared" si="96"/>
        <v>615</v>
      </c>
      <c r="H117" s="114">
        <f t="shared" si="96"/>
        <v>335</v>
      </c>
      <c r="I117" s="114">
        <f t="shared" si="96"/>
        <v>0</v>
      </c>
      <c r="J117" s="131"/>
    </row>
    <row r="118" spans="1:17" s="65" customFormat="1" ht="20.45" customHeight="1">
      <c r="A118" s="410"/>
      <c r="B118" s="417"/>
      <c r="C118" s="404"/>
      <c r="D118" s="180" t="s">
        <v>31</v>
      </c>
      <c r="E118" s="114">
        <f t="shared" si="82"/>
        <v>5295</v>
      </c>
      <c r="F118" s="114">
        <f t="shared" ref="F118:I118" si="97">+F122+F130+F138+F126+F134</f>
        <v>4347</v>
      </c>
      <c r="G118" s="114">
        <f t="shared" si="97"/>
        <v>614</v>
      </c>
      <c r="H118" s="114">
        <f t="shared" si="97"/>
        <v>334</v>
      </c>
      <c r="I118" s="114">
        <f t="shared" si="97"/>
        <v>0</v>
      </c>
      <c r="J118" s="131"/>
    </row>
    <row r="119" spans="1:17" s="65" customFormat="1" ht="20.45" customHeight="1">
      <c r="A119" s="410"/>
      <c r="B119" s="417"/>
      <c r="C119" s="404"/>
      <c r="D119" s="180" t="s">
        <v>33</v>
      </c>
      <c r="E119" s="114">
        <f t="shared" si="82"/>
        <v>0</v>
      </c>
      <c r="F119" s="114">
        <f t="shared" ref="F119:I119" si="98">+F123+F131+F139+F127+F135</f>
        <v>0</v>
      </c>
      <c r="G119" s="114">
        <f t="shared" si="98"/>
        <v>0</v>
      </c>
      <c r="H119" s="114">
        <f t="shared" si="98"/>
        <v>0</v>
      </c>
      <c r="I119" s="114">
        <f t="shared" si="98"/>
        <v>0</v>
      </c>
      <c r="J119" s="131"/>
    </row>
    <row r="120" spans="1:17" s="65" customFormat="1" ht="19.5" customHeight="1">
      <c r="A120" s="410"/>
      <c r="B120" s="417"/>
      <c r="C120" s="403" t="s">
        <v>36</v>
      </c>
      <c r="D120" s="180" t="s">
        <v>18</v>
      </c>
      <c r="E120" s="114">
        <f t="shared" si="1"/>
        <v>0</v>
      </c>
      <c r="F120" s="114">
        <f>'[3]1.4 대소처리구역'!E7</f>
        <v>0</v>
      </c>
      <c r="G120" s="114">
        <f>'[3]1.4 대소처리구역'!F7</f>
        <v>0</v>
      </c>
      <c r="H120" s="114">
        <f>'[3]1.4 대소처리구역'!G7</f>
        <v>0</v>
      </c>
      <c r="I120" s="114">
        <f>'[3]1.4 대소처리구역'!H7</f>
        <v>0</v>
      </c>
      <c r="J120" s="131"/>
      <c r="L120" s="182"/>
      <c r="M120" s="182" t="s">
        <v>63</v>
      </c>
      <c r="N120" s="182" t="s">
        <v>64</v>
      </c>
      <c r="O120" s="182" t="s">
        <v>65</v>
      </c>
      <c r="P120" s="182" t="s">
        <v>66</v>
      </c>
      <c r="Q120" s="182" t="s">
        <v>29</v>
      </c>
    </row>
    <row r="121" spans="1:17" s="65" customFormat="1" ht="19.5" customHeight="1">
      <c r="A121" s="410"/>
      <c r="B121" s="417"/>
      <c r="C121" s="404"/>
      <c r="D121" s="180" t="s">
        <v>29</v>
      </c>
      <c r="E121" s="114">
        <f t="shared" si="1"/>
        <v>0</v>
      </c>
      <c r="F121" s="114">
        <f>+ROUND((M121*$Q121)+(M122*$Q122),0)</f>
        <v>0</v>
      </c>
      <c r="G121" s="114">
        <f t="shared" ref="G121" si="99">+ROUND((N121*$Q121)+(N122*$Q122),0)</f>
        <v>0</v>
      </c>
      <c r="H121" s="114">
        <f t="shared" ref="H121" si="100">+ROUND((O121*$Q121)+(O122*$Q122),0)</f>
        <v>0</v>
      </c>
      <c r="I121" s="114">
        <f t="shared" ref="I121" si="101">+ROUND((P121*$Q121)+(P122*$Q122),0)</f>
        <v>0</v>
      </c>
      <c r="J121" s="134" t="s">
        <v>221</v>
      </c>
      <c r="L121" s="182" t="s">
        <v>61</v>
      </c>
      <c r="M121" s="183">
        <f>'[3]1.4 대소처리구역'!$E$5</f>
        <v>0</v>
      </c>
      <c r="N121" s="183">
        <f>'[3]1.4 대소처리구역'!$F$5</f>
        <v>0</v>
      </c>
      <c r="O121" s="183">
        <f>'[3]1.4 대소처리구역'!$G$5</f>
        <v>0</v>
      </c>
      <c r="P121" s="183">
        <f>'[3]1.4 대소처리구역'!$H$5</f>
        <v>0</v>
      </c>
      <c r="Q121" s="184">
        <v>0.5</v>
      </c>
    </row>
    <row r="122" spans="1:17" s="65" customFormat="1" ht="19.5" customHeight="1">
      <c r="A122" s="410"/>
      <c r="B122" s="417"/>
      <c r="C122" s="404"/>
      <c r="D122" s="180" t="s">
        <v>31</v>
      </c>
      <c r="E122" s="114">
        <f t="shared" si="1"/>
        <v>0</v>
      </c>
      <c r="F122" s="114">
        <f>+F120-F123-F121</f>
        <v>0</v>
      </c>
      <c r="G122" s="114">
        <f t="shared" ref="G122:I122" si="102">+G120-G123-G121</f>
        <v>0</v>
      </c>
      <c r="H122" s="114">
        <f t="shared" si="102"/>
        <v>0</v>
      </c>
      <c r="I122" s="114">
        <f t="shared" si="102"/>
        <v>0</v>
      </c>
      <c r="J122" s="134" t="s">
        <v>221</v>
      </c>
      <c r="L122" s="182" t="s">
        <v>62</v>
      </c>
      <c r="M122" s="183">
        <f>'[3]1.4 대소처리구역'!$E$6</f>
        <v>0</v>
      </c>
      <c r="N122" s="183">
        <f>'[3]1.4 대소처리구역'!$F$6</f>
        <v>0</v>
      </c>
      <c r="O122" s="183">
        <f>'[3]1.4 대소처리구역'!$G$6</f>
        <v>0</v>
      </c>
      <c r="P122" s="183">
        <f>'[3]1.4 대소처리구역'!$H$6</f>
        <v>0</v>
      </c>
      <c r="Q122" s="184">
        <v>0.5</v>
      </c>
    </row>
    <row r="123" spans="1:17" s="65" customFormat="1" ht="19.5" customHeight="1">
      <c r="A123" s="410"/>
      <c r="B123" s="417"/>
      <c r="C123" s="404"/>
      <c r="D123" s="180" t="s">
        <v>88</v>
      </c>
      <c r="E123" s="114">
        <f t="shared" si="1"/>
        <v>0</v>
      </c>
      <c r="F123" s="114">
        <v>0</v>
      </c>
      <c r="G123" s="114">
        <v>0</v>
      </c>
      <c r="H123" s="114">
        <v>0</v>
      </c>
      <c r="I123" s="114">
        <v>0</v>
      </c>
      <c r="J123" s="135"/>
      <c r="L123" s="182" t="s">
        <v>2</v>
      </c>
      <c r="M123" s="183">
        <f>SUM(M121:M122)</f>
        <v>0</v>
      </c>
      <c r="N123" s="183">
        <f t="shared" ref="N123:P123" si="103">SUM(N121:N122)</f>
        <v>0</v>
      </c>
      <c r="O123" s="183">
        <f t="shared" si="103"/>
        <v>0</v>
      </c>
      <c r="P123" s="183">
        <f t="shared" si="103"/>
        <v>0</v>
      </c>
      <c r="Q123" s="182"/>
    </row>
    <row r="124" spans="1:17" s="65" customFormat="1" ht="20.45" customHeight="1">
      <c r="A124" s="410"/>
      <c r="B124" s="417"/>
      <c r="C124" s="403" t="s">
        <v>147</v>
      </c>
      <c r="D124" s="180" t="s">
        <v>18</v>
      </c>
      <c r="E124" s="114">
        <f t="shared" ref="E124:E127" si="104">SUM(F124:I124)</f>
        <v>15070</v>
      </c>
      <c r="F124" s="114">
        <f>'[3]1.4 대소처리구역'!$E$8</f>
        <v>9241</v>
      </c>
      <c r="G124" s="114">
        <f>'[3]1.4 대소처리구역'!$F$8</f>
        <v>5829</v>
      </c>
      <c r="H124" s="114">
        <f>'[3]1.4 대소처리구역'!$G$8</f>
        <v>0</v>
      </c>
      <c r="I124" s="114">
        <f>'[3]1.4 대소처리구역'!$H$8</f>
        <v>0</v>
      </c>
      <c r="J124" s="131"/>
      <c r="L124" s="185"/>
      <c r="M124" s="185"/>
      <c r="N124" s="185"/>
      <c r="O124" s="185"/>
      <c r="P124" s="185"/>
      <c r="Q124" s="185"/>
    </row>
    <row r="125" spans="1:17" s="65" customFormat="1" ht="20.45" customHeight="1">
      <c r="A125" s="410"/>
      <c r="B125" s="417"/>
      <c r="C125" s="404"/>
      <c r="D125" s="180" t="s">
        <v>29</v>
      </c>
      <c r="E125" s="114">
        <f t="shared" si="104"/>
        <v>6469</v>
      </c>
      <c r="F125" s="114">
        <f>+ROUND((F124-F127)*$J125,0)</f>
        <v>6469</v>
      </c>
      <c r="G125" s="114">
        <v>0</v>
      </c>
      <c r="H125" s="114">
        <f t="shared" ref="H125:I125" si="105">+ROUND((H124-H127)*$J125,0)</f>
        <v>0</v>
      </c>
      <c r="I125" s="114">
        <f t="shared" si="105"/>
        <v>0</v>
      </c>
      <c r="J125" s="131">
        <v>0.7</v>
      </c>
      <c r="L125" s="185"/>
      <c r="M125" s="186"/>
      <c r="N125" s="186"/>
      <c r="O125" s="186"/>
      <c r="P125" s="186"/>
      <c r="Q125" s="187"/>
    </row>
    <row r="126" spans="1:17" s="65" customFormat="1" ht="20.45" customHeight="1">
      <c r="A126" s="410"/>
      <c r="B126" s="417"/>
      <c r="C126" s="404"/>
      <c r="D126" s="180" t="s">
        <v>31</v>
      </c>
      <c r="E126" s="114">
        <f t="shared" si="104"/>
        <v>2772</v>
      </c>
      <c r="F126" s="114">
        <f>+F124-F127-F125</f>
        <v>2772</v>
      </c>
      <c r="G126" s="114">
        <v>0</v>
      </c>
      <c r="H126" s="114">
        <f t="shared" ref="H126:I126" si="106">+H124-H127-H125</f>
        <v>0</v>
      </c>
      <c r="I126" s="114">
        <f t="shared" si="106"/>
        <v>0</v>
      </c>
      <c r="J126" s="131">
        <v>0.3</v>
      </c>
      <c r="L126" s="185"/>
      <c r="M126" s="186"/>
      <c r="N126" s="186"/>
      <c r="O126" s="186"/>
      <c r="P126" s="186"/>
      <c r="Q126" s="187"/>
    </row>
    <row r="127" spans="1:17" s="65" customFormat="1" ht="20.45" customHeight="1">
      <c r="A127" s="411"/>
      <c r="B127" s="418"/>
      <c r="C127" s="405"/>
      <c r="D127" s="189" t="s">
        <v>33</v>
      </c>
      <c r="E127" s="132">
        <f t="shared" si="104"/>
        <v>0</v>
      </c>
      <c r="F127" s="132">
        <v>0</v>
      </c>
      <c r="G127" s="132">
        <v>0</v>
      </c>
      <c r="H127" s="132">
        <v>0</v>
      </c>
      <c r="I127" s="132">
        <v>0</v>
      </c>
      <c r="J127" s="133"/>
      <c r="L127" s="185"/>
      <c r="M127" s="186"/>
      <c r="N127" s="186"/>
      <c r="O127" s="186"/>
      <c r="P127" s="186"/>
      <c r="Q127" s="185"/>
    </row>
    <row r="128" spans="1:17" s="65" customFormat="1" ht="19.5" customHeight="1">
      <c r="A128" s="409" t="s">
        <v>157</v>
      </c>
      <c r="B128" s="438" t="s">
        <v>40</v>
      </c>
      <c r="C128" s="433" t="s">
        <v>145</v>
      </c>
      <c r="D128" s="181" t="s">
        <v>18</v>
      </c>
      <c r="E128" s="129">
        <f t="shared" si="1"/>
        <v>0</v>
      </c>
      <c r="F128" s="129">
        <f>'[3]1.4 대소처리구역'!E11</f>
        <v>0</v>
      </c>
      <c r="G128" s="129">
        <f>'[3]1.4 대소처리구역'!F11</f>
        <v>0</v>
      </c>
      <c r="H128" s="129">
        <f>'[3]1.4 대소처리구역'!G11</f>
        <v>0</v>
      </c>
      <c r="I128" s="129">
        <f>'[3]1.4 대소처리구역'!H11</f>
        <v>0</v>
      </c>
      <c r="J128" s="130"/>
      <c r="L128" s="182"/>
      <c r="M128" s="182" t="s">
        <v>63</v>
      </c>
      <c r="N128" s="182" t="s">
        <v>64</v>
      </c>
      <c r="O128" s="182" t="s">
        <v>65</v>
      </c>
      <c r="P128" s="182" t="s">
        <v>66</v>
      </c>
      <c r="Q128" s="182" t="s">
        <v>68</v>
      </c>
    </row>
    <row r="129" spans="1:17" s="65" customFormat="1" ht="19.5" customHeight="1">
      <c r="A129" s="410"/>
      <c r="B129" s="417"/>
      <c r="C129" s="404"/>
      <c r="D129" s="180" t="s">
        <v>29</v>
      </c>
      <c r="E129" s="114">
        <f t="shared" si="1"/>
        <v>0</v>
      </c>
      <c r="F129" s="114">
        <f>+ROUND((M129*$Q129)+(M130*$Q130),0)</f>
        <v>0</v>
      </c>
      <c r="G129" s="114">
        <f t="shared" ref="G129" si="107">+ROUND((N129*$Q129)+(N130*$Q130),0)</f>
        <v>0</v>
      </c>
      <c r="H129" s="114">
        <f t="shared" ref="H129" si="108">+ROUND((O129*$Q129)+(O130*$Q130),0)</f>
        <v>0</v>
      </c>
      <c r="I129" s="114">
        <f t="shared" ref="I129" si="109">+ROUND((P129*$Q129)+(P130*$Q130),0)</f>
        <v>0</v>
      </c>
      <c r="J129" s="134" t="s">
        <v>221</v>
      </c>
      <c r="L129" s="182" t="s">
        <v>61</v>
      </c>
      <c r="M129" s="183">
        <f>'[3]1.4 대소처리구역'!E9</f>
        <v>0</v>
      </c>
      <c r="N129" s="183">
        <f>'[3]1.4 대소처리구역'!F9</f>
        <v>0</v>
      </c>
      <c r="O129" s="183">
        <f>'[3]1.4 대소처리구역'!G9</f>
        <v>0</v>
      </c>
      <c r="P129" s="183">
        <f>'[3]1.4 대소처리구역'!H9</f>
        <v>0</v>
      </c>
      <c r="Q129" s="184">
        <v>0.5</v>
      </c>
    </row>
    <row r="130" spans="1:17" s="65" customFormat="1" ht="19.5" customHeight="1">
      <c r="A130" s="410"/>
      <c r="B130" s="417"/>
      <c r="C130" s="404"/>
      <c r="D130" s="180" t="s">
        <v>31</v>
      </c>
      <c r="E130" s="114">
        <f t="shared" si="1"/>
        <v>0</v>
      </c>
      <c r="F130" s="114">
        <f>+F128-F131-F129</f>
        <v>0</v>
      </c>
      <c r="G130" s="114">
        <f t="shared" ref="G130" si="110">+G128-G131-G129</f>
        <v>0</v>
      </c>
      <c r="H130" s="114">
        <f t="shared" ref="H130" si="111">+H128-H131-H129</f>
        <v>0</v>
      </c>
      <c r="I130" s="114">
        <f t="shared" ref="I130" si="112">+I128-I131-I129</f>
        <v>0</v>
      </c>
      <c r="J130" s="134" t="s">
        <v>221</v>
      </c>
      <c r="L130" s="182" t="s">
        <v>62</v>
      </c>
      <c r="M130" s="183">
        <f>'[3]1.4 대소처리구역'!E10</f>
        <v>0</v>
      </c>
      <c r="N130" s="183">
        <f>'[3]1.4 대소처리구역'!F10</f>
        <v>0</v>
      </c>
      <c r="O130" s="183">
        <f>'[3]1.4 대소처리구역'!G10</f>
        <v>0</v>
      </c>
      <c r="P130" s="183">
        <f>'[3]1.4 대소처리구역'!H10</f>
        <v>0</v>
      </c>
      <c r="Q130" s="184">
        <v>0.5</v>
      </c>
    </row>
    <row r="131" spans="1:17" s="65" customFormat="1" ht="19.5" customHeight="1">
      <c r="A131" s="410"/>
      <c r="B131" s="417"/>
      <c r="C131" s="404"/>
      <c r="D131" s="180" t="s">
        <v>33</v>
      </c>
      <c r="E131" s="114">
        <f t="shared" si="1"/>
        <v>0</v>
      </c>
      <c r="F131" s="114">
        <v>0</v>
      </c>
      <c r="G131" s="114">
        <v>0</v>
      </c>
      <c r="H131" s="114">
        <v>0</v>
      </c>
      <c r="I131" s="114">
        <v>0</v>
      </c>
      <c r="J131" s="131"/>
      <c r="L131" s="182" t="s">
        <v>67</v>
      </c>
      <c r="M131" s="183">
        <f>SUM(M129:M130)</f>
        <v>0</v>
      </c>
      <c r="N131" s="183">
        <f t="shared" ref="N131" si="113">SUM(N129:N130)</f>
        <v>0</v>
      </c>
      <c r="O131" s="183">
        <f t="shared" ref="O131" si="114">SUM(O129:O130)</f>
        <v>0</v>
      </c>
      <c r="P131" s="183">
        <f t="shared" ref="P131" si="115">SUM(P129:P130)</f>
        <v>0</v>
      </c>
      <c r="Q131" s="182"/>
    </row>
    <row r="132" spans="1:17" s="65" customFormat="1" ht="20.45" customHeight="1">
      <c r="A132" s="410"/>
      <c r="B132" s="417"/>
      <c r="C132" s="403" t="s">
        <v>148</v>
      </c>
      <c r="D132" s="180" t="s">
        <v>18</v>
      </c>
      <c r="E132" s="114">
        <f t="shared" si="1"/>
        <v>0</v>
      </c>
      <c r="F132" s="114">
        <f>'[3]1.3 금왕처리구역'!$E$12</f>
        <v>0</v>
      </c>
      <c r="G132" s="114">
        <f>'[3]1.3 금왕처리구역'!$F$12</f>
        <v>0</v>
      </c>
      <c r="H132" s="114">
        <f>'[3]1.3 금왕처리구역'!$G$12</f>
        <v>0</v>
      </c>
      <c r="I132" s="114">
        <f>'[3]1.3 금왕처리구역'!$H$12</f>
        <v>0</v>
      </c>
      <c r="J132" s="131"/>
      <c r="L132" s="185"/>
      <c r="M132" s="185"/>
      <c r="N132" s="185"/>
      <c r="O132" s="185"/>
      <c r="P132" s="185"/>
      <c r="Q132" s="185"/>
    </row>
    <row r="133" spans="1:17" s="65" customFormat="1" ht="20.45" customHeight="1">
      <c r="A133" s="410"/>
      <c r="B133" s="417"/>
      <c r="C133" s="404"/>
      <c r="D133" s="180" t="s">
        <v>29</v>
      </c>
      <c r="E133" s="114">
        <f t="shared" si="1"/>
        <v>0</v>
      </c>
      <c r="F133" s="114">
        <f>+ROUND((F132-F135)*$J133,0)</f>
        <v>0</v>
      </c>
      <c r="G133" s="114">
        <v>0</v>
      </c>
      <c r="H133" s="114">
        <f t="shared" ref="H133:I133" si="116">+ROUND((H132-H135)*$J133,0)</f>
        <v>0</v>
      </c>
      <c r="I133" s="114">
        <f t="shared" si="116"/>
        <v>0</v>
      </c>
      <c r="J133" s="131">
        <v>0.7</v>
      </c>
      <c r="K133" s="188"/>
      <c r="L133" s="185"/>
      <c r="M133" s="186"/>
      <c r="N133" s="186"/>
      <c r="O133" s="186"/>
      <c r="P133" s="186"/>
      <c r="Q133" s="187"/>
    </row>
    <row r="134" spans="1:17" s="65" customFormat="1" ht="20.45" customHeight="1">
      <c r="A134" s="410"/>
      <c r="B134" s="417"/>
      <c r="C134" s="404"/>
      <c r="D134" s="180" t="s">
        <v>31</v>
      </c>
      <c r="E134" s="114">
        <f t="shared" si="1"/>
        <v>0</v>
      </c>
      <c r="F134" s="114">
        <f>+F132-F135-F133</f>
        <v>0</v>
      </c>
      <c r="G134" s="114">
        <v>0</v>
      </c>
      <c r="H134" s="114">
        <f t="shared" ref="H134:I134" si="117">+H132-H135-H133</f>
        <v>0</v>
      </c>
      <c r="I134" s="114">
        <f t="shared" si="117"/>
        <v>0</v>
      </c>
      <c r="J134" s="131">
        <v>0.3</v>
      </c>
      <c r="K134" s="188"/>
      <c r="L134" s="185"/>
      <c r="M134" s="186"/>
      <c r="N134" s="186"/>
      <c r="O134" s="186"/>
      <c r="P134" s="186"/>
      <c r="Q134" s="187"/>
    </row>
    <row r="135" spans="1:17" s="65" customFormat="1" ht="20.45" customHeight="1">
      <c r="A135" s="410"/>
      <c r="B135" s="417"/>
      <c r="C135" s="404"/>
      <c r="D135" s="180" t="s">
        <v>33</v>
      </c>
      <c r="E135" s="114">
        <f t="shared" si="1"/>
        <v>0</v>
      </c>
      <c r="F135" s="114">
        <v>0</v>
      </c>
      <c r="G135" s="114">
        <v>0</v>
      </c>
      <c r="H135" s="114">
        <v>0</v>
      </c>
      <c r="I135" s="114">
        <v>0</v>
      </c>
      <c r="J135" s="131"/>
      <c r="L135" s="185"/>
      <c r="M135" s="186"/>
      <c r="N135" s="186"/>
      <c r="O135" s="186"/>
      <c r="P135" s="186"/>
      <c r="Q135" s="185"/>
    </row>
    <row r="136" spans="1:17" s="65" customFormat="1" ht="19.5" customHeight="1">
      <c r="A136" s="410"/>
      <c r="B136" s="417"/>
      <c r="C136" s="403" t="s">
        <v>146</v>
      </c>
      <c r="D136" s="180" t="s">
        <v>18</v>
      </c>
      <c r="E136" s="114">
        <f t="shared" si="1"/>
        <v>5048</v>
      </c>
      <c r="F136" s="114">
        <f>'[3]1.4 대소처리구역'!E12+'[3]1.4 대소처리구역'!E15</f>
        <v>3150</v>
      </c>
      <c r="G136" s="114">
        <f>'[3]1.4 대소처리구역'!F12+'[3]1.4 대소처리구역'!F15</f>
        <v>1229</v>
      </c>
      <c r="H136" s="114">
        <f>'[3]1.4 대소처리구역'!G12+'[3]1.4 대소처리구역'!G15</f>
        <v>669</v>
      </c>
      <c r="I136" s="114">
        <f>'[3]1.4 대소처리구역'!H12+'[3]1.4 대소처리구역'!H15</f>
        <v>0</v>
      </c>
      <c r="J136" s="131"/>
      <c r="L136" s="182"/>
      <c r="M136" s="182" t="s">
        <v>63</v>
      </c>
      <c r="N136" s="182" t="s">
        <v>64</v>
      </c>
      <c r="O136" s="182" t="s">
        <v>65</v>
      </c>
      <c r="P136" s="182" t="s">
        <v>66</v>
      </c>
      <c r="Q136" s="182" t="s">
        <v>68</v>
      </c>
    </row>
    <row r="137" spans="1:17" s="65" customFormat="1" ht="19.5" customHeight="1">
      <c r="A137" s="410"/>
      <c r="B137" s="417"/>
      <c r="C137" s="404"/>
      <c r="D137" s="180" t="s">
        <v>29</v>
      </c>
      <c r="E137" s="114">
        <f t="shared" si="1"/>
        <v>2525</v>
      </c>
      <c r="F137" s="114">
        <f>+ROUND((M137*$Q137)+(M138*$Q138),0)</f>
        <v>1575</v>
      </c>
      <c r="G137" s="114">
        <f t="shared" ref="G137" si="118">+ROUND((N137*$Q137)+(N138*$Q138),0)</f>
        <v>615</v>
      </c>
      <c r="H137" s="114">
        <f t="shared" ref="H137" si="119">+ROUND((O137*$Q137)+(O138*$Q138),0)</f>
        <v>335</v>
      </c>
      <c r="I137" s="114">
        <f t="shared" ref="I137" si="120">+ROUND((P137*$Q137)+(P138*$Q138),0)</f>
        <v>0</v>
      </c>
      <c r="J137" s="134" t="s">
        <v>221</v>
      </c>
      <c r="L137" s="182" t="s">
        <v>61</v>
      </c>
      <c r="M137" s="183">
        <f>'[3]1.4 대소처리구역'!E12+'[3]1.4 대소처리구역'!E13</f>
        <v>3150</v>
      </c>
      <c r="N137" s="183">
        <f>'[3]1.4 대소처리구역'!F12+'[3]1.4 대소처리구역'!F13</f>
        <v>1229</v>
      </c>
      <c r="O137" s="183">
        <f>'[3]1.4 대소처리구역'!G12+'[3]1.4 대소처리구역'!G13</f>
        <v>669</v>
      </c>
      <c r="P137" s="183">
        <f>'[3]1.4 대소처리구역'!H12+'[3]1.4 대소처리구역'!H13</f>
        <v>0</v>
      </c>
      <c r="Q137" s="184">
        <v>0.5</v>
      </c>
    </row>
    <row r="138" spans="1:17" s="65" customFormat="1" ht="19.5" customHeight="1">
      <c r="A138" s="410"/>
      <c r="B138" s="417"/>
      <c r="C138" s="404"/>
      <c r="D138" s="180" t="s">
        <v>31</v>
      </c>
      <c r="E138" s="114">
        <f t="shared" si="1"/>
        <v>2523</v>
      </c>
      <c r="F138" s="114">
        <f>+F136-F139-F137</f>
        <v>1575</v>
      </c>
      <c r="G138" s="114">
        <f t="shared" ref="G138" si="121">+G136-G139-G137</f>
        <v>614</v>
      </c>
      <c r="H138" s="114">
        <f t="shared" ref="H138" si="122">+H136-H139-H137</f>
        <v>334</v>
      </c>
      <c r="I138" s="114">
        <f t="shared" ref="I138" si="123">+I136-I139-I137</f>
        <v>0</v>
      </c>
      <c r="J138" s="134" t="s">
        <v>221</v>
      </c>
      <c r="L138" s="182" t="s">
        <v>62</v>
      </c>
      <c r="M138" s="183">
        <f>'[3]1.4 대소처리구역'!E14</f>
        <v>0</v>
      </c>
      <c r="N138" s="183">
        <f>'[3]1.4 대소처리구역'!F14</f>
        <v>0</v>
      </c>
      <c r="O138" s="183">
        <f>'[3]1.4 대소처리구역'!G14</f>
        <v>0</v>
      </c>
      <c r="P138" s="183">
        <f>'[3]1.4 대소처리구역'!H14</f>
        <v>0</v>
      </c>
      <c r="Q138" s="184">
        <v>0.5</v>
      </c>
    </row>
    <row r="139" spans="1:17" s="65" customFormat="1" ht="19.5" customHeight="1">
      <c r="A139" s="410"/>
      <c r="B139" s="426"/>
      <c r="C139" s="404"/>
      <c r="D139" s="180" t="s">
        <v>33</v>
      </c>
      <c r="E139" s="114">
        <f t="shared" si="1"/>
        <v>0</v>
      </c>
      <c r="F139" s="114">
        <v>0</v>
      </c>
      <c r="G139" s="114">
        <v>0</v>
      </c>
      <c r="H139" s="114">
        <v>0</v>
      </c>
      <c r="I139" s="114">
        <v>0</v>
      </c>
      <c r="J139" s="131"/>
      <c r="L139" s="182" t="s">
        <v>67</v>
      </c>
      <c r="M139" s="183">
        <f>SUM(M137:M138)</f>
        <v>3150</v>
      </c>
      <c r="N139" s="183">
        <f t="shared" ref="N139" si="124">SUM(N137:N138)</f>
        <v>1229</v>
      </c>
      <c r="O139" s="183">
        <f t="shared" ref="O139" si="125">SUM(O137:O138)</f>
        <v>669</v>
      </c>
      <c r="P139" s="183">
        <f t="shared" ref="P139" si="126">SUM(P137:P138)</f>
        <v>0</v>
      </c>
      <c r="Q139" s="182"/>
    </row>
    <row r="140" spans="1:17" s="65" customFormat="1" ht="19.5" customHeight="1">
      <c r="A140" s="410"/>
      <c r="B140" s="404" t="s">
        <v>41</v>
      </c>
      <c r="C140" s="432" t="s">
        <v>38</v>
      </c>
      <c r="D140" s="180" t="s">
        <v>18</v>
      </c>
      <c r="E140" s="114">
        <f t="shared" si="1"/>
        <v>0</v>
      </c>
      <c r="F140" s="114">
        <f>'[3]1.4 대소처리구역'!E18</f>
        <v>0</v>
      </c>
      <c r="G140" s="114">
        <f>'[3]1.4 대소처리구역'!F18</f>
        <v>0</v>
      </c>
      <c r="H140" s="114">
        <f>'[3]1.4 대소처리구역'!G18</f>
        <v>0</v>
      </c>
      <c r="I140" s="114">
        <f>'[3]1.4 대소처리구역'!H18</f>
        <v>0</v>
      </c>
      <c r="J140" s="131"/>
    </row>
    <row r="141" spans="1:17" s="65" customFormat="1" ht="19.5" customHeight="1">
      <c r="A141" s="410"/>
      <c r="B141" s="404"/>
      <c r="C141" s="404"/>
      <c r="D141" s="180" t="s">
        <v>29</v>
      </c>
      <c r="E141" s="114">
        <f t="shared" si="1"/>
        <v>0</v>
      </c>
      <c r="F141" s="114">
        <f>+ROUND((F140-F143)*$J141,0)</f>
        <v>0</v>
      </c>
      <c r="G141" s="114">
        <f t="shared" ref="G141" si="127">+ROUND((G140-G143)*$J141,0)</f>
        <v>0</v>
      </c>
      <c r="H141" s="114">
        <f t="shared" ref="H141" si="128">+ROUND((H140-H143)*$J141,0)</f>
        <v>0</v>
      </c>
      <c r="I141" s="114">
        <f t="shared" ref="I141" si="129">+ROUND((I140-I143)*$J141,0)</f>
        <v>0</v>
      </c>
      <c r="J141" s="131">
        <v>0.7</v>
      </c>
    </row>
    <row r="142" spans="1:17" s="65" customFormat="1" ht="19.5" customHeight="1">
      <c r="A142" s="410"/>
      <c r="B142" s="404"/>
      <c r="C142" s="404"/>
      <c r="D142" s="180" t="s">
        <v>31</v>
      </c>
      <c r="E142" s="114">
        <f t="shared" si="1"/>
        <v>0</v>
      </c>
      <c r="F142" s="114">
        <f>+F140-F143-F141</f>
        <v>0</v>
      </c>
      <c r="G142" s="114">
        <f t="shared" ref="G142" si="130">+G140-G143-G141</f>
        <v>0</v>
      </c>
      <c r="H142" s="114">
        <f t="shared" ref="H142" si="131">+H140-H143-H141</f>
        <v>0</v>
      </c>
      <c r="I142" s="114">
        <f t="shared" ref="I142" si="132">+I140-I143-I141</f>
        <v>0</v>
      </c>
      <c r="J142" s="131">
        <v>0.3</v>
      </c>
    </row>
    <row r="143" spans="1:17" s="65" customFormat="1" ht="19.5" customHeight="1">
      <c r="A143" s="411"/>
      <c r="B143" s="405"/>
      <c r="C143" s="405"/>
      <c r="D143" s="189" t="s">
        <v>33</v>
      </c>
      <c r="E143" s="132">
        <f t="shared" si="1"/>
        <v>0</v>
      </c>
      <c r="F143" s="132">
        <v>0</v>
      </c>
      <c r="G143" s="132">
        <v>0</v>
      </c>
      <c r="H143" s="132">
        <v>0</v>
      </c>
      <c r="I143" s="132">
        <v>0</v>
      </c>
      <c r="J143" s="133"/>
    </row>
    <row r="144" spans="1:17" s="65" customFormat="1" ht="19.5" customHeight="1">
      <c r="A144" s="409" t="s">
        <v>158</v>
      </c>
      <c r="B144" s="428" t="s">
        <v>72</v>
      </c>
      <c r="C144" s="428"/>
      <c r="D144" s="181" t="s">
        <v>18</v>
      </c>
      <c r="E144" s="129">
        <f t="shared" si="1"/>
        <v>25524.5</v>
      </c>
      <c r="F144" s="129">
        <f>F148+F164+F188</f>
        <v>13709.5</v>
      </c>
      <c r="G144" s="129">
        <f t="shared" ref="G144:I144" si="133">G148+G164+G188</f>
        <v>586</v>
      </c>
      <c r="H144" s="129">
        <f t="shared" si="133"/>
        <v>3362</v>
      </c>
      <c r="I144" s="129">
        <f t="shared" si="133"/>
        <v>7867</v>
      </c>
      <c r="J144" s="130"/>
    </row>
    <row r="145" spans="1:10" s="65" customFormat="1" ht="19.5" customHeight="1">
      <c r="A145" s="410"/>
      <c r="B145" s="404"/>
      <c r="C145" s="404"/>
      <c r="D145" s="180" t="s">
        <v>29</v>
      </c>
      <c r="E145" s="114">
        <f t="shared" si="1"/>
        <v>17095</v>
      </c>
      <c r="F145" s="114">
        <f t="shared" ref="F145:I145" si="134">F149+F165+F189</f>
        <v>9131</v>
      </c>
      <c r="G145" s="114">
        <f t="shared" si="134"/>
        <v>410</v>
      </c>
      <c r="H145" s="114">
        <f t="shared" si="134"/>
        <v>2353</v>
      </c>
      <c r="I145" s="114">
        <f t="shared" si="134"/>
        <v>5201</v>
      </c>
      <c r="J145" s="131"/>
    </row>
    <row r="146" spans="1:10" s="65" customFormat="1" ht="19.5" customHeight="1">
      <c r="A146" s="410"/>
      <c r="B146" s="404"/>
      <c r="C146" s="404"/>
      <c r="D146" s="180" t="s">
        <v>31</v>
      </c>
      <c r="E146" s="114">
        <f t="shared" si="1"/>
        <v>8157.5</v>
      </c>
      <c r="F146" s="114">
        <f t="shared" ref="F146:I146" si="135">F150+F166+F190</f>
        <v>4306.5</v>
      </c>
      <c r="G146" s="114">
        <f t="shared" si="135"/>
        <v>176</v>
      </c>
      <c r="H146" s="114">
        <f t="shared" si="135"/>
        <v>1009</v>
      </c>
      <c r="I146" s="114">
        <f t="shared" si="135"/>
        <v>2666</v>
      </c>
      <c r="J146" s="131"/>
    </row>
    <row r="147" spans="1:10" s="65" customFormat="1" ht="19.5" customHeight="1">
      <c r="A147" s="410"/>
      <c r="B147" s="404"/>
      <c r="C147" s="404"/>
      <c r="D147" s="180" t="s">
        <v>33</v>
      </c>
      <c r="E147" s="114">
        <f t="shared" si="1"/>
        <v>272</v>
      </c>
      <c r="F147" s="114">
        <f t="shared" ref="F147:I147" si="136">F151+F167+F191</f>
        <v>272</v>
      </c>
      <c r="G147" s="114">
        <f t="shared" si="136"/>
        <v>0</v>
      </c>
      <c r="H147" s="114">
        <f t="shared" si="136"/>
        <v>0</v>
      </c>
      <c r="I147" s="114">
        <f t="shared" si="136"/>
        <v>0</v>
      </c>
      <c r="J147" s="131"/>
    </row>
    <row r="148" spans="1:10" s="65" customFormat="1" ht="20.45" customHeight="1">
      <c r="A148" s="410"/>
      <c r="B148" s="403" t="s">
        <v>35</v>
      </c>
      <c r="C148" s="404" t="s">
        <v>76</v>
      </c>
      <c r="D148" s="180" t="s">
        <v>18</v>
      </c>
      <c r="E148" s="114">
        <f t="shared" ref="E148:E163" si="137">SUM(F148:I148)</f>
        <v>12381.5</v>
      </c>
      <c r="F148" s="114">
        <f t="shared" ref="F148:I148" si="138">+F152+F156+F160</f>
        <v>6045.5</v>
      </c>
      <c r="G148" s="114">
        <f t="shared" si="138"/>
        <v>0</v>
      </c>
      <c r="H148" s="114">
        <f t="shared" si="138"/>
        <v>0</v>
      </c>
      <c r="I148" s="114">
        <f t="shared" si="138"/>
        <v>6336</v>
      </c>
      <c r="J148" s="131"/>
    </row>
    <row r="149" spans="1:10" s="65" customFormat="1" ht="20.45" customHeight="1">
      <c r="A149" s="410"/>
      <c r="B149" s="403"/>
      <c r="C149" s="404"/>
      <c r="D149" s="180" t="s">
        <v>29</v>
      </c>
      <c r="E149" s="114">
        <f t="shared" si="137"/>
        <v>8476</v>
      </c>
      <c r="F149" s="114">
        <f t="shared" ref="F149:I149" si="139">+F153+F157+F161</f>
        <v>4041</v>
      </c>
      <c r="G149" s="114">
        <f t="shared" si="139"/>
        <v>0</v>
      </c>
      <c r="H149" s="114">
        <f t="shared" si="139"/>
        <v>0</v>
      </c>
      <c r="I149" s="114">
        <f t="shared" si="139"/>
        <v>4435</v>
      </c>
      <c r="J149" s="131"/>
    </row>
    <row r="150" spans="1:10" s="65" customFormat="1" ht="20.45" customHeight="1">
      <c r="A150" s="410"/>
      <c r="B150" s="403"/>
      <c r="C150" s="404"/>
      <c r="D150" s="180" t="s">
        <v>31</v>
      </c>
      <c r="E150" s="114">
        <f t="shared" si="137"/>
        <v>3633.5</v>
      </c>
      <c r="F150" s="114">
        <f t="shared" ref="F150:I150" si="140">+F154+F158+F162</f>
        <v>1732.5</v>
      </c>
      <c r="G150" s="114">
        <f t="shared" si="140"/>
        <v>0</v>
      </c>
      <c r="H150" s="114">
        <f t="shared" si="140"/>
        <v>0</v>
      </c>
      <c r="I150" s="114">
        <f t="shared" si="140"/>
        <v>1901</v>
      </c>
      <c r="J150" s="131"/>
    </row>
    <row r="151" spans="1:10" s="65" customFormat="1" ht="20.45" customHeight="1">
      <c r="A151" s="410"/>
      <c r="B151" s="403"/>
      <c r="C151" s="404"/>
      <c r="D151" s="180" t="s">
        <v>33</v>
      </c>
      <c r="E151" s="114">
        <f t="shared" si="137"/>
        <v>272</v>
      </c>
      <c r="F151" s="114">
        <f t="shared" ref="F151:I151" si="141">+F155+F159+F163</f>
        <v>272</v>
      </c>
      <c r="G151" s="114">
        <f t="shared" si="141"/>
        <v>0</v>
      </c>
      <c r="H151" s="114">
        <f t="shared" si="141"/>
        <v>0</v>
      </c>
      <c r="I151" s="114">
        <f t="shared" si="141"/>
        <v>0</v>
      </c>
      <c r="J151" s="131"/>
    </row>
    <row r="152" spans="1:10" s="65" customFormat="1" ht="20.45" customHeight="1">
      <c r="A152" s="410"/>
      <c r="B152" s="403"/>
      <c r="C152" s="403" t="s">
        <v>78</v>
      </c>
      <c r="D152" s="180" t="s">
        <v>18</v>
      </c>
      <c r="E152" s="114">
        <f t="shared" si="137"/>
        <v>6045.5</v>
      </c>
      <c r="F152" s="114">
        <f>'[3]1.5 생극처리구역'!E16</f>
        <v>6045.5</v>
      </c>
      <c r="G152" s="114">
        <v>0</v>
      </c>
      <c r="H152" s="114">
        <v>0</v>
      </c>
      <c r="I152" s="114">
        <v>0</v>
      </c>
      <c r="J152" s="131"/>
    </row>
    <row r="153" spans="1:10" s="65" customFormat="1" ht="20.45" customHeight="1">
      <c r="A153" s="410"/>
      <c r="B153" s="403"/>
      <c r="C153" s="404"/>
      <c r="D153" s="180" t="s">
        <v>29</v>
      </c>
      <c r="E153" s="114">
        <f t="shared" si="137"/>
        <v>4041</v>
      </c>
      <c r="F153" s="114">
        <f>+ROUND((F152-F155)*$J153,0)</f>
        <v>4041</v>
      </c>
      <c r="G153" s="114">
        <v>0</v>
      </c>
      <c r="H153" s="114">
        <f t="shared" ref="H153:I153" si="142">+ROUND((H152-H155)*$J153,0)</f>
        <v>0</v>
      </c>
      <c r="I153" s="114">
        <f t="shared" si="142"/>
        <v>0</v>
      </c>
      <c r="J153" s="131">
        <v>0.7</v>
      </c>
    </row>
    <row r="154" spans="1:10" s="65" customFormat="1" ht="20.45" customHeight="1">
      <c r="A154" s="410"/>
      <c r="B154" s="403"/>
      <c r="C154" s="404"/>
      <c r="D154" s="180" t="s">
        <v>31</v>
      </c>
      <c r="E154" s="114">
        <f t="shared" si="137"/>
        <v>1732.5</v>
      </c>
      <c r="F154" s="114">
        <f>+F152-F155-F153</f>
        <v>1732.5</v>
      </c>
      <c r="G154" s="114">
        <v>0</v>
      </c>
      <c r="H154" s="114">
        <f t="shared" ref="H154:I154" si="143">+H152-H155-H153</f>
        <v>0</v>
      </c>
      <c r="I154" s="114">
        <f t="shared" si="143"/>
        <v>0</v>
      </c>
      <c r="J154" s="131">
        <v>0.3</v>
      </c>
    </row>
    <row r="155" spans="1:10" s="65" customFormat="1" ht="20.45" customHeight="1">
      <c r="A155" s="410"/>
      <c r="B155" s="403"/>
      <c r="C155" s="404"/>
      <c r="D155" s="180" t="s">
        <v>33</v>
      </c>
      <c r="E155" s="114">
        <f t="shared" si="137"/>
        <v>272</v>
      </c>
      <c r="F155" s="114">
        <f>'3.3 원인자부담금'!D8</f>
        <v>272</v>
      </c>
      <c r="G155" s="114">
        <f>'3.3 원인자부담금'!E8</f>
        <v>0</v>
      </c>
      <c r="H155" s="114">
        <f>'3.3 원인자부담금'!F8</f>
        <v>0</v>
      </c>
      <c r="I155" s="114">
        <f>'3.3 원인자부담금'!G8</f>
        <v>0</v>
      </c>
      <c r="J155" s="131"/>
    </row>
    <row r="156" spans="1:10" s="65" customFormat="1" ht="20.45" customHeight="1">
      <c r="A156" s="410"/>
      <c r="B156" s="403"/>
      <c r="C156" s="403" t="s">
        <v>401</v>
      </c>
      <c r="D156" s="180" t="s">
        <v>18</v>
      </c>
      <c r="E156" s="114">
        <f t="shared" si="137"/>
        <v>6336</v>
      </c>
      <c r="F156" s="114">
        <v>0</v>
      </c>
      <c r="G156" s="114">
        <v>0</v>
      </c>
      <c r="H156" s="114">
        <f>'[3]1.5 생극처리구역'!G16</f>
        <v>0</v>
      </c>
      <c r="I156" s="114">
        <f>'[3]1.5 생극처리구역'!H16</f>
        <v>6336</v>
      </c>
      <c r="J156" s="131"/>
    </row>
    <row r="157" spans="1:10" s="65" customFormat="1" ht="20.45" customHeight="1">
      <c r="A157" s="410"/>
      <c r="B157" s="403"/>
      <c r="C157" s="404"/>
      <c r="D157" s="180" t="s">
        <v>29</v>
      </c>
      <c r="E157" s="114">
        <f t="shared" si="137"/>
        <v>4435</v>
      </c>
      <c r="F157" s="114">
        <v>0</v>
      </c>
      <c r="G157" s="114">
        <f>+ROUND((G156-G159)*$J157,0)</f>
        <v>0</v>
      </c>
      <c r="H157" s="114">
        <f t="shared" ref="H157:I157" si="144">+ROUND((H156-H159)*$J157,0)</f>
        <v>0</v>
      </c>
      <c r="I157" s="114">
        <f t="shared" si="144"/>
        <v>4435</v>
      </c>
      <c r="J157" s="131">
        <v>0.7</v>
      </c>
    </row>
    <row r="158" spans="1:10" s="65" customFormat="1" ht="20.45" customHeight="1">
      <c r="A158" s="410"/>
      <c r="B158" s="403"/>
      <c r="C158" s="404"/>
      <c r="D158" s="180" t="s">
        <v>31</v>
      </c>
      <c r="E158" s="114">
        <f t="shared" si="137"/>
        <v>1901</v>
      </c>
      <c r="F158" s="114">
        <v>0</v>
      </c>
      <c r="G158" s="114">
        <f>+G156-G159-G157</f>
        <v>0</v>
      </c>
      <c r="H158" s="114">
        <f t="shared" ref="H158:I158" si="145">+H156-H159-H157</f>
        <v>0</v>
      </c>
      <c r="I158" s="114">
        <f t="shared" si="145"/>
        <v>1901</v>
      </c>
      <c r="J158" s="131">
        <v>0.3</v>
      </c>
    </row>
    <row r="159" spans="1:10" s="65" customFormat="1" ht="20.45" customHeight="1">
      <c r="A159" s="410"/>
      <c r="B159" s="403"/>
      <c r="C159" s="404"/>
      <c r="D159" s="180" t="s">
        <v>33</v>
      </c>
      <c r="E159" s="114">
        <f t="shared" si="137"/>
        <v>0</v>
      </c>
      <c r="F159" s="114">
        <f>+'3.3 원인자부담금'!D74</f>
        <v>0</v>
      </c>
      <c r="G159" s="114">
        <f>+'3.3 원인자부담금'!E74</f>
        <v>0</v>
      </c>
      <c r="H159" s="114">
        <f>+'3.3 원인자부담금'!F74</f>
        <v>0</v>
      </c>
      <c r="I159" s="114">
        <f>+'3.3 원인자부담금'!G74</f>
        <v>0</v>
      </c>
      <c r="J159" s="131"/>
    </row>
    <row r="160" spans="1:10" s="65" customFormat="1" ht="20.45" customHeight="1">
      <c r="A160" s="410"/>
      <c r="B160" s="403"/>
      <c r="C160" s="403" t="s">
        <v>75</v>
      </c>
      <c r="D160" s="180" t="s">
        <v>18</v>
      </c>
      <c r="E160" s="114">
        <f t="shared" si="137"/>
        <v>0</v>
      </c>
      <c r="F160" s="114">
        <f>'[3]1.5 생극처리구역'!E17</f>
        <v>0</v>
      </c>
      <c r="G160" s="114">
        <f>'[3]1.5 생극처리구역'!F17</f>
        <v>0</v>
      </c>
      <c r="H160" s="114">
        <f>'[3]1.5 생극처리구역'!G17</f>
        <v>0</v>
      </c>
      <c r="I160" s="114">
        <f>'[3]1.5 생극처리구역'!H17</f>
        <v>0</v>
      </c>
      <c r="J160" s="131"/>
    </row>
    <row r="161" spans="1:17" s="65" customFormat="1" ht="20.45" customHeight="1">
      <c r="A161" s="410"/>
      <c r="B161" s="403"/>
      <c r="C161" s="404"/>
      <c r="D161" s="180" t="s">
        <v>29</v>
      </c>
      <c r="E161" s="114">
        <f t="shared" si="137"/>
        <v>0</v>
      </c>
      <c r="F161" s="114">
        <f>+ROUND((F160-F163)*$J161,0)</f>
        <v>0</v>
      </c>
      <c r="G161" s="114">
        <f t="shared" ref="G161:I161" si="146">+ROUND((G160-G163)*$J161,0)</f>
        <v>0</v>
      </c>
      <c r="H161" s="114">
        <f t="shared" si="146"/>
        <v>0</v>
      </c>
      <c r="I161" s="114">
        <f t="shared" si="146"/>
        <v>0</v>
      </c>
      <c r="J161" s="131">
        <v>0.7</v>
      </c>
    </row>
    <row r="162" spans="1:17" s="65" customFormat="1" ht="20.45" customHeight="1">
      <c r="A162" s="410"/>
      <c r="B162" s="403"/>
      <c r="C162" s="404"/>
      <c r="D162" s="180" t="s">
        <v>31</v>
      </c>
      <c r="E162" s="114">
        <f t="shared" si="137"/>
        <v>0</v>
      </c>
      <c r="F162" s="114">
        <f>+F160-F163-F161</f>
        <v>0</v>
      </c>
      <c r="G162" s="114">
        <f t="shared" ref="G162:I162" si="147">+G160-G163-G161</f>
        <v>0</v>
      </c>
      <c r="H162" s="114">
        <f t="shared" si="147"/>
        <v>0</v>
      </c>
      <c r="I162" s="114">
        <f t="shared" si="147"/>
        <v>0</v>
      </c>
      <c r="J162" s="131">
        <v>0.3</v>
      </c>
    </row>
    <row r="163" spans="1:17" s="65" customFormat="1" ht="20.45" customHeight="1">
      <c r="A163" s="411"/>
      <c r="B163" s="429"/>
      <c r="C163" s="405"/>
      <c r="D163" s="189" t="s">
        <v>33</v>
      </c>
      <c r="E163" s="132">
        <f t="shared" si="137"/>
        <v>0</v>
      </c>
      <c r="F163" s="132">
        <v>0</v>
      </c>
      <c r="G163" s="132">
        <v>0</v>
      </c>
      <c r="H163" s="132">
        <v>0</v>
      </c>
      <c r="I163" s="132">
        <v>0</v>
      </c>
      <c r="J163" s="133"/>
    </row>
    <row r="164" spans="1:17" s="65" customFormat="1" ht="19.5" customHeight="1">
      <c r="A164" s="409" t="s">
        <v>159</v>
      </c>
      <c r="B164" s="428" t="s">
        <v>40</v>
      </c>
      <c r="C164" s="428" t="s">
        <v>76</v>
      </c>
      <c r="D164" s="181" t="s">
        <v>18</v>
      </c>
      <c r="E164" s="129">
        <f t="shared" si="1"/>
        <v>13143</v>
      </c>
      <c r="F164" s="129">
        <f>+F172+F184+F176+F180+F168</f>
        <v>7664</v>
      </c>
      <c r="G164" s="129">
        <f t="shared" ref="G164:I164" si="148">+G172+G184+G176+G180+G168</f>
        <v>586</v>
      </c>
      <c r="H164" s="129">
        <f t="shared" si="148"/>
        <v>3362</v>
      </c>
      <c r="I164" s="129">
        <f t="shared" si="148"/>
        <v>1531</v>
      </c>
      <c r="J164" s="130"/>
    </row>
    <row r="165" spans="1:17" s="65" customFormat="1" ht="19.5" customHeight="1">
      <c r="A165" s="410"/>
      <c r="B165" s="404"/>
      <c r="C165" s="404"/>
      <c r="D165" s="180" t="s">
        <v>29</v>
      </c>
      <c r="E165" s="114">
        <f t="shared" si="1"/>
        <v>8619</v>
      </c>
      <c r="F165" s="114">
        <f t="shared" ref="F165:I165" si="149">+F173+F185+F177+F181+F169</f>
        <v>5090</v>
      </c>
      <c r="G165" s="114">
        <f t="shared" si="149"/>
        <v>410</v>
      </c>
      <c r="H165" s="114">
        <f t="shared" si="149"/>
        <v>2353</v>
      </c>
      <c r="I165" s="114">
        <f t="shared" si="149"/>
        <v>766</v>
      </c>
      <c r="J165" s="131"/>
    </row>
    <row r="166" spans="1:17" s="65" customFormat="1" ht="19.5" customHeight="1">
      <c r="A166" s="410"/>
      <c r="B166" s="404"/>
      <c r="C166" s="404"/>
      <c r="D166" s="180" t="s">
        <v>31</v>
      </c>
      <c r="E166" s="114">
        <f t="shared" si="1"/>
        <v>4524</v>
      </c>
      <c r="F166" s="114">
        <f t="shared" ref="F166:I166" si="150">+F174+F186+F178+F182+F170</f>
        <v>2574</v>
      </c>
      <c r="G166" s="114">
        <f t="shared" si="150"/>
        <v>176</v>
      </c>
      <c r="H166" s="114">
        <f t="shared" si="150"/>
        <v>1009</v>
      </c>
      <c r="I166" s="114">
        <f t="shared" si="150"/>
        <v>765</v>
      </c>
      <c r="J166" s="131"/>
    </row>
    <row r="167" spans="1:17" s="65" customFormat="1" ht="19.5" customHeight="1">
      <c r="A167" s="410"/>
      <c r="B167" s="404"/>
      <c r="C167" s="404"/>
      <c r="D167" s="180" t="s">
        <v>33</v>
      </c>
      <c r="E167" s="114">
        <f t="shared" si="1"/>
        <v>0</v>
      </c>
      <c r="F167" s="114">
        <f t="shared" ref="F167:I167" si="151">+F175+F187+F179+F183+F171</f>
        <v>0</v>
      </c>
      <c r="G167" s="114">
        <f t="shared" si="151"/>
        <v>0</v>
      </c>
      <c r="H167" s="114">
        <f t="shared" si="151"/>
        <v>0</v>
      </c>
      <c r="I167" s="114">
        <f t="shared" si="151"/>
        <v>0</v>
      </c>
      <c r="J167" s="131"/>
    </row>
    <row r="168" spans="1:17" s="65" customFormat="1" ht="19.5" customHeight="1">
      <c r="A168" s="410"/>
      <c r="B168" s="404"/>
      <c r="C168" s="403" t="s">
        <v>36</v>
      </c>
      <c r="D168" s="180" t="s">
        <v>18</v>
      </c>
      <c r="E168" s="114">
        <f t="shared" ref="E168:E171" si="152">SUM(F168:I168)</f>
        <v>0</v>
      </c>
      <c r="F168" s="114">
        <f>'[3]1.5 생극처리구역'!E7</f>
        <v>0</v>
      </c>
      <c r="G168" s="114">
        <f>'[3]1.5 생극처리구역'!F7</f>
        <v>0</v>
      </c>
      <c r="H168" s="114">
        <f>'[3]1.5 생극처리구역'!G7</f>
        <v>0</v>
      </c>
      <c r="I168" s="114">
        <f>'[3]1.5 생극처리구역'!H7</f>
        <v>0</v>
      </c>
      <c r="J168" s="131"/>
      <c r="L168" s="182"/>
      <c r="M168" s="182" t="s">
        <v>63</v>
      </c>
      <c r="N168" s="182" t="s">
        <v>64</v>
      </c>
      <c r="O168" s="182" t="s">
        <v>65</v>
      </c>
      <c r="P168" s="182" t="s">
        <v>66</v>
      </c>
      <c r="Q168" s="182" t="s">
        <v>29</v>
      </c>
    </row>
    <row r="169" spans="1:17" s="65" customFormat="1" ht="19.5" customHeight="1">
      <c r="A169" s="410"/>
      <c r="B169" s="404"/>
      <c r="C169" s="404"/>
      <c r="D169" s="180" t="s">
        <v>29</v>
      </c>
      <c r="E169" s="114">
        <f t="shared" si="152"/>
        <v>0</v>
      </c>
      <c r="F169" s="114">
        <f>+ROUND((M169*$Q169)+(M170*$Q170),0)</f>
        <v>0</v>
      </c>
      <c r="G169" s="114">
        <f t="shared" ref="G169" si="153">+ROUND((N169*$Q169)+(N170*$Q170),0)</f>
        <v>0</v>
      </c>
      <c r="H169" s="114">
        <f t="shared" ref="H169" si="154">+ROUND((O169*$Q169)+(O170*$Q170),0)</f>
        <v>0</v>
      </c>
      <c r="I169" s="114">
        <f t="shared" ref="I169" si="155">+ROUND((P169*$Q169)+(P170*$Q170),0)</f>
        <v>0</v>
      </c>
      <c r="J169" s="134" t="s">
        <v>221</v>
      </c>
      <c r="L169" s="182" t="s">
        <v>61</v>
      </c>
      <c r="M169" s="183">
        <f>'[3]1.5 생극처리구역'!E5</f>
        <v>0</v>
      </c>
      <c r="N169" s="183">
        <f>'[3]1.5 생극처리구역'!F5</f>
        <v>0</v>
      </c>
      <c r="O169" s="183">
        <f>'[3]1.5 생극처리구역'!G5</f>
        <v>0</v>
      </c>
      <c r="P169" s="183">
        <f>'[3]1.5 생극처리구역'!H5</f>
        <v>0</v>
      </c>
      <c r="Q169" s="184">
        <v>0.5</v>
      </c>
    </row>
    <row r="170" spans="1:17" s="65" customFormat="1" ht="19.5" customHeight="1">
      <c r="A170" s="410"/>
      <c r="B170" s="404"/>
      <c r="C170" s="404"/>
      <c r="D170" s="180" t="s">
        <v>31</v>
      </c>
      <c r="E170" s="114">
        <f t="shared" si="152"/>
        <v>0</v>
      </c>
      <c r="F170" s="114">
        <f>+F168-F171-F169</f>
        <v>0</v>
      </c>
      <c r="G170" s="114">
        <f t="shared" ref="G170:I170" si="156">+G168-G171-G169</f>
        <v>0</v>
      </c>
      <c r="H170" s="114">
        <f t="shared" si="156"/>
        <v>0</v>
      </c>
      <c r="I170" s="114">
        <f t="shared" si="156"/>
        <v>0</v>
      </c>
      <c r="J170" s="134" t="s">
        <v>221</v>
      </c>
      <c r="L170" s="182" t="s">
        <v>62</v>
      </c>
      <c r="M170" s="183">
        <f>'[3]1.5 생극처리구역'!E6</f>
        <v>0</v>
      </c>
      <c r="N170" s="183">
        <f>'[3]1.5 생극처리구역'!F6</f>
        <v>0</v>
      </c>
      <c r="O170" s="183">
        <f>'[3]1.5 생극처리구역'!G6</f>
        <v>0</v>
      </c>
      <c r="P170" s="183">
        <f>'[3]1.5 생극처리구역'!H6</f>
        <v>0</v>
      </c>
      <c r="Q170" s="184">
        <v>0.5</v>
      </c>
    </row>
    <row r="171" spans="1:17" s="65" customFormat="1" ht="19.5" customHeight="1">
      <c r="A171" s="410"/>
      <c r="B171" s="404"/>
      <c r="C171" s="404"/>
      <c r="D171" s="180" t="s">
        <v>88</v>
      </c>
      <c r="E171" s="114">
        <f t="shared" si="152"/>
        <v>0</v>
      </c>
      <c r="F171" s="114">
        <v>0</v>
      </c>
      <c r="G171" s="114">
        <f>+'3.3 원인자부담금'!E56</f>
        <v>0</v>
      </c>
      <c r="H171" s="114">
        <f>+'3.3 원인자부담금'!F56</f>
        <v>0</v>
      </c>
      <c r="I171" s="114">
        <f>+'3.3 원인자부담금'!G56</f>
        <v>0</v>
      </c>
      <c r="J171" s="135"/>
      <c r="L171" s="182" t="s">
        <v>2</v>
      </c>
      <c r="M171" s="183">
        <f>SUM(M169:M170)</f>
        <v>0</v>
      </c>
      <c r="N171" s="183">
        <f t="shared" ref="N171:P171" si="157">SUM(N169:N170)</f>
        <v>0</v>
      </c>
      <c r="O171" s="183">
        <f t="shared" si="157"/>
        <v>0</v>
      </c>
      <c r="P171" s="183">
        <f t="shared" si="157"/>
        <v>0</v>
      </c>
      <c r="Q171" s="182"/>
    </row>
    <row r="172" spans="1:17" s="65" customFormat="1" ht="19.5" customHeight="1">
      <c r="A172" s="410"/>
      <c r="B172" s="404"/>
      <c r="C172" s="403" t="s">
        <v>37</v>
      </c>
      <c r="D172" s="180" t="s">
        <v>18</v>
      </c>
      <c r="E172" s="114">
        <f t="shared" si="1"/>
        <v>10236</v>
      </c>
      <c r="F172" s="114">
        <f>'[3]1.5 생극처리구역'!$E$8</f>
        <v>6288</v>
      </c>
      <c r="G172" s="114">
        <f>'[3]1.5 생극처리구역'!$F$8</f>
        <v>586</v>
      </c>
      <c r="H172" s="114">
        <f>'[3]1.5 생극처리구역'!$G$8</f>
        <v>3362</v>
      </c>
      <c r="I172" s="114">
        <f>'[3]1.5 생극처리구역'!$H$8</f>
        <v>0</v>
      </c>
      <c r="J172" s="131"/>
    </row>
    <row r="173" spans="1:17" s="65" customFormat="1" ht="19.5" customHeight="1">
      <c r="A173" s="410"/>
      <c r="B173" s="404"/>
      <c r="C173" s="404"/>
      <c r="D173" s="180" t="s">
        <v>29</v>
      </c>
      <c r="E173" s="114">
        <f t="shared" si="1"/>
        <v>7165</v>
      </c>
      <c r="F173" s="114">
        <f>+ROUND((F172-F175)*$J173,0)</f>
        <v>4402</v>
      </c>
      <c r="G173" s="114">
        <f t="shared" ref="G173:I173" si="158">+ROUND((G172-G175)*$J173,0)</f>
        <v>410</v>
      </c>
      <c r="H173" s="114">
        <f t="shared" si="158"/>
        <v>2353</v>
      </c>
      <c r="I173" s="114">
        <f t="shared" si="158"/>
        <v>0</v>
      </c>
      <c r="J173" s="131">
        <v>0.7</v>
      </c>
    </row>
    <row r="174" spans="1:17" s="65" customFormat="1" ht="19.5" customHeight="1">
      <c r="A174" s="410"/>
      <c r="B174" s="404"/>
      <c r="C174" s="404"/>
      <c r="D174" s="180" t="s">
        <v>31</v>
      </c>
      <c r="E174" s="114">
        <f t="shared" si="1"/>
        <v>3071</v>
      </c>
      <c r="F174" s="114">
        <f>+F172-F175-F173</f>
        <v>1886</v>
      </c>
      <c r="G174" s="114">
        <f t="shared" ref="G174" si="159">+G172-G175-G173</f>
        <v>176</v>
      </c>
      <c r="H174" s="114">
        <f t="shared" ref="H174" si="160">+H172-H175-H173</f>
        <v>1009</v>
      </c>
      <c r="I174" s="114">
        <f t="shared" ref="I174" si="161">+I172-I175-I173</f>
        <v>0</v>
      </c>
      <c r="J174" s="131">
        <v>0.3</v>
      </c>
    </row>
    <row r="175" spans="1:17" s="65" customFormat="1" ht="19.5" customHeight="1">
      <c r="A175" s="410"/>
      <c r="B175" s="404"/>
      <c r="C175" s="404"/>
      <c r="D175" s="180" t="s">
        <v>33</v>
      </c>
      <c r="E175" s="114">
        <f t="shared" si="1"/>
        <v>0</v>
      </c>
      <c r="F175" s="114">
        <v>0</v>
      </c>
      <c r="G175" s="114">
        <v>0</v>
      </c>
      <c r="H175" s="114">
        <v>0</v>
      </c>
      <c r="I175" s="114">
        <v>0</v>
      </c>
      <c r="J175" s="131"/>
    </row>
    <row r="176" spans="1:17" s="65" customFormat="1" ht="19.5" customHeight="1">
      <c r="A176" s="410"/>
      <c r="B176" s="404"/>
      <c r="C176" s="403" t="s">
        <v>145</v>
      </c>
      <c r="D176" s="180" t="s">
        <v>18</v>
      </c>
      <c r="E176" s="114">
        <f t="shared" ref="E176:E183" si="162">SUM(F176:I176)</f>
        <v>0</v>
      </c>
      <c r="F176" s="114">
        <f>M179</f>
        <v>0</v>
      </c>
      <c r="G176" s="114">
        <f t="shared" ref="G176:I176" si="163">N179</f>
        <v>0</v>
      </c>
      <c r="H176" s="114">
        <f t="shared" si="163"/>
        <v>0</v>
      </c>
      <c r="I176" s="114">
        <f t="shared" si="163"/>
        <v>0</v>
      </c>
      <c r="J176" s="131"/>
      <c r="L176" s="182"/>
      <c r="M176" s="182" t="s">
        <v>63</v>
      </c>
      <c r="N176" s="182" t="s">
        <v>64</v>
      </c>
      <c r="O176" s="182" t="s">
        <v>65</v>
      </c>
      <c r="P176" s="182" t="s">
        <v>66</v>
      </c>
      <c r="Q176" s="182" t="s">
        <v>29</v>
      </c>
    </row>
    <row r="177" spans="1:17" s="65" customFormat="1" ht="19.5" customHeight="1">
      <c r="A177" s="410"/>
      <c r="B177" s="404"/>
      <c r="C177" s="404"/>
      <c r="D177" s="180" t="s">
        <v>29</v>
      </c>
      <c r="E177" s="114">
        <f t="shared" si="162"/>
        <v>0</v>
      </c>
      <c r="F177" s="114">
        <f>+ROUND((M177*$Q177)+(M178*$Q178),0)</f>
        <v>0</v>
      </c>
      <c r="G177" s="114">
        <f t="shared" ref="G177" si="164">+ROUND((N177*$Q177)+(N178*$Q178),0)</f>
        <v>0</v>
      </c>
      <c r="H177" s="114">
        <f t="shared" ref="H177" si="165">+ROUND((O177*$Q177)+(O178*$Q178),0)</f>
        <v>0</v>
      </c>
      <c r="I177" s="114">
        <f t="shared" ref="I177" si="166">+ROUND((P177*$Q177)+(P178*$Q178),0)</f>
        <v>0</v>
      </c>
      <c r="J177" s="134" t="s">
        <v>221</v>
      </c>
      <c r="L177" s="182" t="s">
        <v>61</v>
      </c>
      <c r="M177" s="183">
        <f>'[3]1.5 생극처리구역'!E9</f>
        <v>0</v>
      </c>
      <c r="N177" s="183">
        <f>'[3]1.5 생극처리구역'!F9</f>
        <v>0</v>
      </c>
      <c r="O177" s="183">
        <f>'[3]1.5 생극처리구역'!G9</f>
        <v>0</v>
      </c>
      <c r="P177" s="183">
        <f>'[3]1.5 생극처리구역'!H9</f>
        <v>0</v>
      </c>
      <c r="Q177" s="184">
        <v>0.5</v>
      </c>
    </row>
    <row r="178" spans="1:17" s="65" customFormat="1" ht="19.5" customHeight="1">
      <c r="A178" s="410"/>
      <c r="B178" s="404"/>
      <c r="C178" s="404"/>
      <c r="D178" s="180" t="s">
        <v>31</v>
      </c>
      <c r="E178" s="114">
        <f t="shared" si="162"/>
        <v>0</v>
      </c>
      <c r="F178" s="114">
        <f>+F176-F179-F177</f>
        <v>0</v>
      </c>
      <c r="G178" s="114">
        <f t="shared" ref="G178:I178" si="167">+G176-G179-G177</f>
        <v>0</v>
      </c>
      <c r="H178" s="114">
        <f t="shared" si="167"/>
        <v>0</v>
      </c>
      <c r="I178" s="114">
        <f t="shared" si="167"/>
        <v>0</v>
      </c>
      <c r="J178" s="134" t="s">
        <v>221</v>
      </c>
      <c r="L178" s="182" t="s">
        <v>62</v>
      </c>
      <c r="M178" s="183">
        <f>'[3]1.5 생극처리구역'!E10</f>
        <v>0</v>
      </c>
      <c r="N178" s="183">
        <f>'[3]1.5 생극처리구역'!F10</f>
        <v>0</v>
      </c>
      <c r="O178" s="183">
        <f>'[3]1.5 생극처리구역'!G10</f>
        <v>0</v>
      </c>
      <c r="P178" s="183">
        <f>'[3]1.5 생극처리구역'!H10</f>
        <v>0</v>
      </c>
      <c r="Q178" s="184">
        <v>0.5</v>
      </c>
    </row>
    <row r="179" spans="1:17" s="65" customFormat="1" ht="19.5" customHeight="1">
      <c r="A179" s="410"/>
      <c r="B179" s="404"/>
      <c r="C179" s="404"/>
      <c r="D179" s="180" t="s">
        <v>33</v>
      </c>
      <c r="E179" s="114">
        <f t="shared" si="162"/>
        <v>0</v>
      </c>
      <c r="F179" s="114">
        <v>0</v>
      </c>
      <c r="G179" s="114">
        <v>0</v>
      </c>
      <c r="H179" s="114">
        <v>0</v>
      </c>
      <c r="I179" s="114">
        <v>0</v>
      </c>
      <c r="J179" s="131"/>
      <c r="L179" s="182" t="s">
        <v>2</v>
      </c>
      <c r="M179" s="183">
        <f>SUM(M177:M178)</f>
        <v>0</v>
      </c>
      <c r="N179" s="183">
        <f t="shared" ref="N179:P179" si="168">SUM(N177:N178)</f>
        <v>0</v>
      </c>
      <c r="O179" s="183">
        <f t="shared" si="168"/>
        <v>0</v>
      </c>
      <c r="P179" s="183">
        <f t="shared" si="168"/>
        <v>0</v>
      </c>
      <c r="Q179" s="182"/>
    </row>
    <row r="180" spans="1:17" s="65" customFormat="1" ht="20.45" customHeight="1">
      <c r="A180" s="410"/>
      <c r="B180" s="404"/>
      <c r="C180" s="403" t="s">
        <v>148</v>
      </c>
      <c r="D180" s="180" t="s">
        <v>18</v>
      </c>
      <c r="E180" s="114">
        <f t="shared" si="162"/>
        <v>0</v>
      </c>
      <c r="F180" s="114">
        <f>'[3]1.5 생극처리구역'!E12</f>
        <v>0</v>
      </c>
      <c r="G180" s="114">
        <f>'[3]1.5 생극처리구역'!F12</f>
        <v>0</v>
      </c>
      <c r="H180" s="114">
        <f>'[3]1.5 생극처리구역'!G12</f>
        <v>0</v>
      </c>
      <c r="I180" s="114">
        <f>'[3]1.5 생극처리구역'!H12</f>
        <v>0</v>
      </c>
      <c r="J180" s="131"/>
      <c r="L180" s="185"/>
      <c r="M180" s="185"/>
      <c r="N180" s="185"/>
      <c r="O180" s="185"/>
      <c r="P180" s="185"/>
      <c r="Q180" s="185"/>
    </row>
    <row r="181" spans="1:17" s="65" customFormat="1" ht="20.45" customHeight="1">
      <c r="A181" s="410"/>
      <c r="B181" s="404"/>
      <c r="C181" s="404"/>
      <c r="D181" s="180" t="s">
        <v>29</v>
      </c>
      <c r="E181" s="114">
        <f t="shared" si="162"/>
        <v>0</v>
      </c>
      <c r="F181" s="114">
        <f>+ROUND((F180-F183)*$J181,0)</f>
        <v>0</v>
      </c>
      <c r="G181" s="114">
        <v>0</v>
      </c>
      <c r="H181" s="114">
        <f t="shared" ref="H181:I181" si="169">+ROUND((H180-H183)*$J181,0)</f>
        <v>0</v>
      </c>
      <c r="I181" s="114">
        <f t="shared" si="169"/>
        <v>0</v>
      </c>
      <c r="J181" s="131">
        <v>0.7</v>
      </c>
      <c r="K181" s="188"/>
      <c r="L181" s="185"/>
      <c r="M181" s="186"/>
      <c r="N181" s="186"/>
      <c r="O181" s="186"/>
      <c r="P181" s="186"/>
      <c r="Q181" s="187"/>
    </row>
    <row r="182" spans="1:17" s="65" customFormat="1" ht="20.45" customHeight="1">
      <c r="A182" s="410"/>
      <c r="B182" s="404"/>
      <c r="C182" s="404"/>
      <c r="D182" s="180" t="s">
        <v>31</v>
      </c>
      <c r="E182" s="114">
        <f t="shared" si="162"/>
        <v>0</v>
      </c>
      <c r="F182" s="114">
        <f>+F180-F183-F181</f>
        <v>0</v>
      </c>
      <c r="G182" s="114">
        <v>0</v>
      </c>
      <c r="H182" s="114">
        <f t="shared" ref="H182:I182" si="170">+H180-H183-H181</f>
        <v>0</v>
      </c>
      <c r="I182" s="114">
        <f t="shared" si="170"/>
        <v>0</v>
      </c>
      <c r="J182" s="131">
        <v>0.3</v>
      </c>
      <c r="K182" s="188"/>
      <c r="L182" s="185"/>
      <c r="M182" s="186"/>
      <c r="N182" s="186"/>
      <c r="O182" s="186"/>
      <c r="P182" s="186"/>
      <c r="Q182" s="187"/>
    </row>
    <row r="183" spans="1:17" s="65" customFormat="1" ht="20.45" customHeight="1">
      <c r="A183" s="410"/>
      <c r="B183" s="404"/>
      <c r="C183" s="404"/>
      <c r="D183" s="180" t="s">
        <v>33</v>
      </c>
      <c r="E183" s="114">
        <f t="shared" si="162"/>
        <v>0</v>
      </c>
      <c r="F183" s="114">
        <v>0</v>
      </c>
      <c r="G183" s="114">
        <v>0</v>
      </c>
      <c r="H183" s="114">
        <v>0</v>
      </c>
      <c r="I183" s="114">
        <v>0</v>
      </c>
      <c r="J183" s="131"/>
      <c r="L183" s="185"/>
      <c r="M183" s="186"/>
      <c r="N183" s="186"/>
      <c r="O183" s="186"/>
      <c r="P183" s="186"/>
      <c r="Q183" s="185"/>
    </row>
    <row r="184" spans="1:17" s="65" customFormat="1" ht="19.5" customHeight="1">
      <c r="A184" s="410"/>
      <c r="B184" s="404"/>
      <c r="C184" s="403" t="s">
        <v>42</v>
      </c>
      <c r="D184" s="180" t="s">
        <v>18</v>
      </c>
      <c r="E184" s="114">
        <f t="shared" si="1"/>
        <v>2907</v>
      </c>
      <c r="F184" s="114">
        <f>M187</f>
        <v>1376</v>
      </c>
      <c r="G184" s="114">
        <f t="shared" ref="G184:I184" si="171">N187</f>
        <v>0</v>
      </c>
      <c r="H184" s="114">
        <f t="shared" si="171"/>
        <v>0</v>
      </c>
      <c r="I184" s="114">
        <f t="shared" si="171"/>
        <v>1531</v>
      </c>
      <c r="J184" s="131"/>
      <c r="L184" s="182"/>
      <c r="M184" s="182" t="s">
        <v>63</v>
      </c>
      <c r="N184" s="182" t="s">
        <v>64</v>
      </c>
      <c r="O184" s="182" t="s">
        <v>65</v>
      </c>
      <c r="P184" s="182" t="s">
        <v>66</v>
      </c>
      <c r="Q184" s="182" t="s">
        <v>68</v>
      </c>
    </row>
    <row r="185" spans="1:17" s="65" customFormat="1" ht="19.5" customHeight="1">
      <c r="A185" s="410"/>
      <c r="B185" s="404"/>
      <c r="C185" s="404"/>
      <c r="D185" s="180" t="s">
        <v>29</v>
      </c>
      <c r="E185" s="114">
        <f t="shared" si="1"/>
        <v>1454</v>
      </c>
      <c r="F185" s="114">
        <f>+ROUND((M185*$Q185)+(M186*$Q186),0)</f>
        <v>688</v>
      </c>
      <c r="G185" s="114">
        <f t="shared" ref="G185" si="172">+ROUND((N185*$Q185)+(N186*$Q186),0)</f>
        <v>0</v>
      </c>
      <c r="H185" s="114">
        <f t="shared" ref="H185" si="173">+ROUND((O185*$Q185)+(O186*$Q186),0)</f>
        <v>0</v>
      </c>
      <c r="I185" s="114">
        <f t="shared" ref="I185" si="174">+ROUND((P185*$Q185)+(P186*$Q186),0)</f>
        <v>766</v>
      </c>
      <c r="J185" s="134" t="s">
        <v>221</v>
      </c>
      <c r="L185" s="182" t="s">
        <v>61</v>
      </c>
      <c r="M185" s="183">
        <f>'[3]1.5 생극처리구역'!E13</f>
        <v>1376</v>
      </c>
      <c r="N185" s="183">
        <f>'[3]1.5 생극처리구역'!F13</f>
        <v>0</v>
      </c>
      <c r="O185" s="183">
        <f>'[3]1.5 생극처리구역'!G13</f>
        <v>0</v>
      </c>
      <c r="P185" s="183">
        <f>'[3]1.5 생극처리구역'!H13</f>
        <v>1531</v>
      </c>
      <c r="Q185" s="184">
        <v>0.5</v>
      </c>
    </row>
    <row r="186" spans="1:17" s="65" customFormat="1" ht="19.5" customHeight="1">
      <c r="A186" s="410"/>
      <c r="B186" s="404"/>
      <c r="C186" s="404"/>
      <c r="D186" s="180" t="s">
        <v>31</v>
      </c>
      <c r="E186" s="114">
        <f t="shared" si="1"/>
        <v>1453</v>
      </c>
      <c r="F186" s="114">
        <f>+F184-F187-F185</f>
        <v>688</v>
      </c>
      <c r="G186" s="114">
        <f t="shared" ref="G186" si="175">+G184-G187-G185</f>
        <v>0</v>
      </c>
      <c r="H186" s="114">
        <f t="shared" ref="H186" si="176">+H184-H187-H185</f>
        <v>0</v>
      </c>
      <c r="I186" s="114">
        <f t="shared" ref="I186" si="177">+I184-I187-I185</f>
        <v>765</v>
      </c>
      <c r="J186" s="134" t="s">
        <v>221</v>
      </c>
      <c r="L186" s="182" t="s">
        <v>62</v>
      </c>
      <c r="M186" s="183">
        <f>'[3]1.5 생극처리구역'!E14</f>
        <v>0</v>
      </c>
      <c r="N186" s="183">
        <f>'[3]1.5 생극처리구역'!F14</f>
        <v>0</v>
      </c>
      <c r="O186" s="183">
        <f>'[3]1.5 생극처리구역'!G14</f>
        <v>0</v>
      </c>
      <c r="P186" s="183">
        <f>'[3]1.5 생극처리구역'!H14</f>
        <v>0</v>
      </c>
      <c r="Q186" s="184">
        <v>0.5</v>
      </c>
    </row>
    <row r="187" spans="1:17" s="65" customFormat="1" ht="19.5" customHeight="1">
      <c r="A187" s="410"/>
      <c r="B187" s="404"/>
      <c r="C187" s="404"/>
      <c r="D187" s="180" t="s">
        <v>33</v>
      </c>
      <c r="E187" s="114">
        <f t="shared" si="1"/>
        <v>0</v>
      </c>
      <c r="F187" s="114">
        <v>0</v>
      </c>
      <c r="G187" s="114">
        <v>0</v>
      </c>
      <c r="H187" s="114">
        <v>0</v>
      </c>
      <c r="I187" s="114">
        <v>0</v>
      </c>
      <c r="J187" s="131"/>
      <c r="L187" s="182" t="s">
        <v>67</v>
      </c>
      <c r="M187" s="183">
        <f>SUM(M185:M186)</f>
        <v>1376</v>
      </c>
      <c r="N187" s="183">
        <f t="shared" ref="N187" si="178">SUM(N185:N186)</f>
        <v>0</v>
      </c>
      <c r="O187" s="183">
        <f t="shared" ref="O187" si="179">SUM(O185:O186)</f>
        <v>0</v>
      </c>
      <c r="P187" s="183">
        <f t="shared" ref="P187" si="180">SUM(P185:P186)</f>
        <v>1531</v>
      </c>
      <c r="Q187" s="182"/>
    </row>
    <row r="188" spans="1:17" s="65" customFormat="1" ht="19.5" customHeight="1">
      <c r="A188" s="410"/>
      <c r="B188" s="404" t="s">
        <v>41</v>
      </c>
      <c r="C188" s="403" t="s">
        <v>197</v>
      </c>
      <c r="D188" s="180" t="s">
        <v>18</v>
      </c>
      <c r="E188" s="114">
        <f t="shared" ref="E188:E191" si="181">SUM(F188:I188)</f>
        <v>0</v>
      </c>
      <c r="F188" s="114">
        <f>'[3]1.5 생극처리구역'!$E$18</f>
        <v>0</v>
      </c>
      <c r="G188" s="114">
        <f>'[3]1.5 생극처리구역'!$F$18</f>
        <v>0</v>
      </c>
      <c r="H188" s="114">
        <f>'[3]1.5 생극처리구역'!$G$18</f>
        <v>0</v>
      </c>
      <c r="I188" s="114">
        <f>'[3]1.5 생극처리구역'!$H$18</f>
        <v>0</v>
      </c>
      <c r="J188" s="131"/>
    </row>
    <row r="189" spans="1:17" s="65" customFormat="1" ht="19.5" customHeight="1">
      <c r="A189" s="410"/>
      <c r="B189" s="404"/>
      <c r="C189" s="404"/>
      <c r="D189" s="180" t="s">
        <v>29</v>
      </c>
      <c r="E189" s="114">
        <f t="shared" si="181"/>
        <v>0</v>
      </c>
      <c r="F189" s="114">
        <f>+ROUND((F188-F191)*$J189,0)</f>
        <v>0</v>
      </c>
      <c r="G189" s="114">
        <f t="shared" ref="G189:I189" si="182">+ROUND((G188-G191)*$J189,0)</f>
        <v>0</v>
      </c>
      <c r="H189" s="114">
        <f t="shared" si="182"/>
        <v>0</v>
      </c>
      <c r="I189" s="114">
        <f t="shared" si="182"/>
        <v>0</v>
      </c>
      <c r="J189" s="131">
        <v>0.7</v>
      </c>
    </row>
    <row r="190" spans="1:17" s="65" customFormat="1" ht="19.5" customHeight="1">
      <c r="A190" s="410"/>
      <c r="B190" s="404"/>
      <c r="C190" s="404"/>
      <c r="D190" s="180" t="s">
        <v>31</v>
      </c>
      <c r="E190" s="114">
        <f t="shared" si="181"/>
        <v>0</v>
      </c>
      <c r="F190" s="114">
        <f>+F188-F191-F189</f>
        <v>0</v>
      </c>
      <c r="G190" s="114">
        <f t="shared" ref="G190:I190" si="183">+G188-G191-G189</f>
        <v>0</v>
      </c>
      <c r="H190" s="114">
        <f t="shared" si="183"/>
        <v>0</v>
      </c>
      <c r="I190" s="114">
        <f t="shared" si="183"/>
        <v>0</v>
      </c>
      <c r="J190" s="131">
        <v>0.3</v>
      </c>
    </row>
    <row r="191" spans="1:17" s="65" customFormat="1" ht="19.5" customHeight="1">
      <c r="A191" s="411"/>
      <c r="B191" s="405"/>
      <c r="C191" s="405"/>
      <c r="D191" s="189" t="s">
        <v>33</v>
      </c>
      <c r="E191" s="132">
        <f t="shared" si="181"/>
        <v>0</v>
      </c>
      <c r="F191" s="132">
        <v>0</v>
      </c>
      <c r="G191" s="132">
        <v>0</v>
      </c>
      <c r="H191" s="132">
        <v>0</v>
      </c>
      <c r="I191" s="132">
        <v>0</v>
      </c>
      <c r="J191" s="133"/>
    </row>
    <row r="192" spans="1:17" s="65" customFormat="1" ht="19.5" customHeight="1">
      <c r="A192" s="406" t="s">
        <v>151</v>
      </c>
      <c r="B192" s="428" t="s">
        <v>72</v>
      </c>
      <c r="C192" s="428"/>
      <c r="D192" s="181" t="s">
        <v>18</v>
      </c>
      <c r="E192" s="129">
        <f t="shared" ref="E192:E195" si="184">SUM(F192:I192)</f>
        <v>15944</v>
      </c>
      <c r="F192" s="129">
        <f>F196+F220</f>
        <v>7343</v>
      </c>
      <c r="G192" s="129">
        <f t="shared" ref="G192:I192" si="185">G196+G220</f>
        <v>3964</v>
      </c>
      <c r="H192" s="129">
        <f t="shared" si="185"/>
        <v>4242</v>
      </c>
      <c r="I192" s="129">
        <f t="shared" si="185"/>
        <v>395</v>
      </c>
      <c r="J192" s="130"/>
      <c r="L192" s="185"/>
      <c r="M192" s="186"/>
      <c r="N192" s="186"/>
      <c r="O192" s="186"/>
      <c r="P192" s="186"/>
      <c r="Q192" s="185"/>
    </row>
    <row r="193" spans="1:17" s="65" customFormat="1" ht="19.5" customHeight="1">
      <c r="A193" s="407"/>
      <c r="B193" s="404"/>
      <c r="C193" s="404"/>
      <c r="D193" s="180" t="s">
        <v>29</v>
      </c>
      <c r="E193" s="114">
        <f t="shared" si="184"/>
        <v>9782</v>
      </c>
      <c r="F193" s="114">
        <f t="shared" ref="F193:I193" si="186">F197+F221</f>
        <v>4984</v>
      </c>
      <c r="G193" s="114">
        <f t="shared" si="186"/>
        <v>2101</v>
      </c>
      <c r="H193" s="114">
        <f t="shared" si="186"/>
        <v>2499</v>
      </c>
      <c r="I193" s="114">
        <f t="shared" si="186"/>
        <v>198</v>
      </c>
      <c r="J193" s="131"/>
      <c r="L193" s="185"/>
      <c r="M193" s="186"/>
      <c r="N193" s="186"/>
      <c r="O193" s="186"/>
      <c r="P193" s="186"/>
      <c r="Q193" s="185"/>
    </row>
    <row r="194" spans="1:17" s="65" customFormat="1" ht="19.5" customHeight="1">
      <c r="A194" s="407"/>
      <c r="B194" s="404"/>
      <c r="C194" s="404"/>
      <c r="D194" s="180" t="s">
        <v>31</v>
      </c>
      <c r="E194" s="114">
        <f t="shared" si="184"/>
        <v>6162</v>
      </c>
      <c r="F194" s="114">
        <f t="shared" ref="F194:I194" si="187">F198+F222</f>
        <v>2359</v>
      </c>
      <c r="G194" s="114">
        <f t="shared" si="187"/>
        <v>1863</v>
      </c>
      <c r="H194" s="114">
        <f t="shared" si="187"/>
        <v>1743</v>
      </c>
      <c r="I194" s="114">
        <f t="shared" si="187"/>
        <v>197</v>
      </c>
      <c r="J194" s="131"/>
      <c r="L194" s="185"/>
      <c r="M194" s="186"/>
      <c r="N194" s="186"/>
      <c r="O194" s="186"/>
      <c r="P194" s="186"/>
      <c r="Q194" s="185"/>
    </row>
    <row r="195" spans="1:17" s="65" customFormat="1" ht="19.5" customHeight="1">
      <c r="A195" s="407"/>
      <c r="B195" s="404"/>
      <c r="C195" s="404"/>
      <c r="D195" s="180" t="s">
        <v>33</v>
      </c>
      <c r="E195" s="114">
        <f t="shared" si="184"/>
        <v>0</v>
      </c>
      <c r="F195" s="114">
        <f t="shared" ref="F195:I195" si="188">F199+F223</f>
        <v>0</v>
      </c>
      <c r="G195" s="114">
        <f t="shared" si="188"/>
        <v>0</v>
      </c>
      <c r="H195" s="114">
        <f t="shared" si="188"/>
        <v>0</v>
      </c>
      <c r="I195" s="114">
        <f t="shared" si="188"/>
        <v>0</v>
      </c>
      <c r="J195" s="131"/>
      <c r="L195" s="185"/>
      <c r="M195" s="186"/>
      <c r="N195" s="186"/>
      <c r="O195" s="186"/>
      <c r="P195" s="186"/>
      <c r="Q195" s="185"/>
    </row>
    <row r="196" spans="1:17" s="65" customFormat="1" ht="19.5" customHeight="1">
      <c r="A196" s="407"/>
      <c r="B196" s="404" t="s">
        <v>40</v>
      </c>
      <c r="C196" s="404" t="s">
        <v>76</v>
      </c>
      <c r="D196" s="180" t="s">
        <v>18</v>
      </c>
      <c r="E196" s="114">
        <f t="shared" ref="E196:E199" si="189">SUM(F196:I196)</f>
        <v>15944</v>
      </c>
      <c r="F196" s="114">
        <f t="shared" ref="F196:I199" si="190">+F200+F216+F204+F208+F212</f>
        <v>7343</v>
      </c>
      <c r="G196" s="114">
        <f t="shared" si="190"/>
        <v>3964</v>
      </c>
      <c r="H196" s="114">
        <f t="shared" si="190"/>
        <v>4242</v>
      </c>
      <c r="I196" s="114">
        <f t="shared" si="190"/>
        <v>395</v>
      </c>
      <c r="J196" s="131"/>
    </row>
    <row r="197" spans="1:17" s="65" customFormat="1" ht="19.5" customHeight="1">
      <c r="A197" s="407"/>
      <c r="B197" s="404"/>
      <c r="C197" s="404"/>
      <c r="D197" s="180" t="s">
        <v>29</v>
      </c>
      <c r="E197" s="114">
        <f t="shared" si="189"/>
        <v>9782</v>
      </c>
      <c r="F197" s="114">
        <f t="shared" si="190"/>
        <v>4984</v>
      </c>
      <c r="G197" s="114">
        <f t="shared" si="190"/>
        <v>2101</v>
      </c>
      <c r="H197" s="114">
        <f t="shared" si="190"/>
        <v>2499</v>
      </c>
      <c r="I197" s="114">
        <f t="shared" si="190"/>
        <v>198</v>
      </c>
      <c r="J197" s="131"/>
    </row>
    <row r="198" spans="1:17" s="65" customFormat="1" ht="19.5" customHeight="1">
      <c r="A198" s="407"/>
      <c r="B198" s="404"/>
      <c r="C198" s="404"/>
      <c r="D198" s="180" t="s">
        <v>31</v>
      </c>
      <c r="E198" s="114">
        <f t="shared" si="189"/>
        <v>6162</v>
      </c>
      <c r="F198" s="114">
        <f t="shared" si="190"/>
        <v>2359</v>
      </c>
      <c r="G198" s="114">
        <f t="shared" si="190"/>
        <v>1863</v>
      </c>
      <c r="H198" s="114">
        <f t="shared" si="190"/>
        <v>1743</v>
      </c>
      <c r="I198" s="114">
        <f t="shared" si="190"/>
        <v>197</v>
      </c>
      <c r="J198" s="131"/>
    </row>
    <row r="199" spans="1:17" s="65" customFormat="1" ht="19.5" customHeight="1">
      <c r="A199" s="407"/>
      <c r="B199" s="404"/>
      <c r="C199" s="404"/>
      <c r="D199" s="180" t="s">
        <v>33</v>
      </c>
      <c r="E199" s="114">
        <f t="shared" si="189"/>
        <v>0</v>
      </c>
      <c r="F199" s="114">
        <f t="shared" si="190"/>
        <v>0</v>
      </c>
      <c r="G199" s="114">
        <f t="shared" si="190"/>
        <v>0</v>
      </c>
      <c r="H199" s="114">
        <f t="shared" si="190"/>
        <v>0</v>
      </c>
      <c r="I199" s="114">
        <f t="shared" si="190"/>
        <v>0</v>
      </c>
      <c r="J199" s="131"/>
    </row>
    <row r="200" spans="1:17" s="65" customFormat="1" ht="19.5" customHeight="1">
      <c r="A200" s="407"/>
      <c r="B200" s="404"/>
      <c r="C200" s="403" t="s">
        <v>36</v>
      </c>
      <c r="D200" s="180" t="s">
        <v>18</v>
      </c>
      <c r="E200" s="114">
        <f t="shared" ref="E200:E203" si="191">SUM(F200:I200)</f>
        <v>0</v>
      </c>
      <c r="F200" s="114">
        <f>'[3]1.6 감곡처리구역'!E7</f>
        <v>0</v>
      </c>
      <c r="G200" s="114">
        <f>'[3]1.6 감곡처리구역'!F7</f>
        <v>0</v>
      </c>
      <c r="H200" s="114">
        <f>'[3]1.6 감곡처리구역'!G7</f>
        <v>0</v>
      </c>
      <c r="I200" s="114">
        <f>'[3]1.6 감곡처리구역'!H7</f>
        <v>0</v>
      </c>
      <c r="J200" s="131"/>
      <c r="L200" s="182"/>
      <c r="M200" s="182" t="s">
        <v>63</v>
      </c>
      <c r="N200" s="182" t="s">
        <v>64</v>
      </c>
      <c r="O200" s="182" t="s">
        <v>65</v>
      </c>
      <c r="P200" s="182" t="s">
        <v>66</v>
      </c>
      <c r="Q200" s="182" t="s">
        <v>68</v>
      </c>
    </row>
    <row r="201" spans="1:17" s="65" customFormat="1" ht="19.5" customHeight="1">
      <c r="A201" s="407"/>
      <c r="B201" s="404"/>
      <c r="C201" s="404"/>
      <c r="D201" s="180" t="s">
        <v>29</v>
      </c>
      <c r="E201" s="114">
        <f t="shared" si="191"/>
        <v>0</v>
      </c>
      <c r="F201" s="114">
        <f>+ROUND((M201*$Q201)+(M202*$Q202),0)</f>
        <v>0</v>
      </c>
      <c r="G201" s="114">
        <f t="shared" ref="G201" si="192">+ROUND((N201*$Q201)+(N202*$Q202),0)</f>
        <v>0</v>
      </c>
      <c r="H201" s="114">
        <f t="shared" ref="H201" si="193">+ROUND((O201*$Q201)+(O202*$Q202),0)</f>
        <v>0</v>
      </c>
      <c r="I201" s="114">
        <f t="shared" ref="I201" si="194">+ROUND((P201*$Q201)+(P202*$Q202),0)</f>
        <v>0</v>
      </c>
      <c r="J201" s="134" t="s">
        <v>221</v>
      </c>
      <c r="L201" s="182" t="s">
        <v>61</v>
      </c>
      <c r="M201" s="183">
        <f>'[3]1.6 감곡처리구역'!E6</f>
        <v>0</v>
      </c>
      <c r="N201" s="183">
        <f>'[3]1.6 감곡처리구역'!F6</f>
        <v>0</v>
      </c>
      <c r="O201" s="183">
        <f>'[3]1.6 감곡처리구역'!G6</f>
        <v>0</v>
      </c>
      <c r="P201" s="183">
        <f>'[3]1.6 감곡처리구역'!H6</f>
        <v>0</v>
      </c>
      <c r="Q201" s="184">
        <v>0.5</v>
      </c>
    </row>
    <row r="202" spans="1:17" s="65" customFormat="1" ht="19.5" customHeight="1">
      <c r="A202" s="407"/>
      <c r="B202" s="404"/>
      <c r="C202" s="404"/>
      <c r="D202" s="180" t="s">
        <v>31</v>
      </c>
      <c r="E202" s="114">
        <f t="shared" si="191"/>
        <v>0</v>
      </c>
      <c r="F202" s="114">
        <f>+F200-F203-F201</f>
        <v>0</v>
      </c>
      <c r="G202" s="114">
        <f t="shared" ref="G202" si="195">+G200-G203-G201</f>
        <v>0</v>
      </c>
      <c r="H202" s="114">
        <f t="shared" ref="H202" si="196">+H200-H203-H201</f>
        <v>0</v>
      </c>
      <c r="I202" s="114">
        <f t="shared" ref="I202" si="197">+I200-I203-I201</f>
        <v>0</v>
      </c>
      <c r="J202" s="134" t="s">
        <v>221</v>
      </c>
      <c r="L202" s="182" t="s">
        <v>62</v>
      </c>
      <c r="M202" s="183">
        <f>'[3]1.6 감곡처리구역'!E7</f>
        <v>0</v>
      </c>
      <c r="N202" s="183">
        <f>'[3]1.6 감곡처리구역'!F7</f>
        <v>0</v>
      </c>
      <c r="O202" s="183">
        <f>'[3]1.6 감곡처리구역'!G7</f>
        <v>0</v>
      </c>
      <c r="P202" s="183">
        <f>'[3]1.6 감곡처리구역'!H7</f>
        <v>0</v>
      </c>
      <c r="Q202" s="184">
        <v>0.5</v>
      </c>
    </row>
    <row r="203" spans="1:17" s="65" customFormat="1" ht="19.5" customHeight="1">
      <c r="A203" s="407"/>
      <c r="B203" s="404"/>
      <c r="C203" s="404"/>
      <c r="D203" s="180" t="s">
        <v>33</v>
      </c>
      <c r="E203" s="114">
        <f t="shared" si="191"/>
        <v>0</v>
      </c>
      <c r="F203" s="114">
        <v>0</v>
      </c>
      <c r="G203" s="114">
        <v>0</v>
      </c>
      <c r="H203" s="114">
        <v>0</v>
      </c>
      <c r="I203" s="114">
        <v>0</v>
      </c>
      <c r="J203" s="131"/>
      <c r="L203" s="182" t="s">
        <v>67</v>
      </c>
      <c r="M203" s="183">
        <f>SUM(M201:M202)</f>
        <v>0</v>
      </c>
      <c r="N203" s="183">
        <f t="shared" ref="N203" si="198">SUM(N201:N202)</f>
        <v>0</v>
      </c>
      <c r="O203" s="183">
        <f t="shared" ref="O203" si="199">SUM(O201:O202)</f>
        <v>0</v>
      </c>
      <c r="P203" s="183">
        <f t="shared" ref="P203" si="200">SUM(P201:P202)</f>
        <v>0</v>
      </c>
      <c r="Q203" s="182"/>
    </row>
    <row r="204" spans="1:17" s="65" customFormat="1" ht="19.5" customHeight="1">
      <c r="A204" s="407"/>
      <c r="B204" s="404"/>
      <c r="C204" s="403" t="s">
        <v>37</v>
      </c>
      <c r="D204" s="180" t="s">
        <v>18</v>
      </c>
      <c r="E204" s="114">
        <f t="shared" ref="E204:E215" si="201">SUM(F204:I204)</f>
        <v>9043</v>
      </c>
      <c r="F204" s="114">
        <f>'[3]1.6 감곡처리구역'!$E$8</f>
        <v>6563</v>
      </c>
      <c r="G204" s="114">
        <f>'[3]1.6 감곡처리구역'!$F$8</f>
        <v>591</v>
      </c>
      <c r="H204" s="114">
        <f>'[3]1.6 감곡처리구역'!$G$8</f>
        <v>1889</v>
      </c>
      <c r="I204" s="114">
        <f>'[3]1.6 감곡처리구역'!$H$8</f>
        <v>0</v>
      </c>
      <c r="J204" s="131"/>
    </row>
    <row r="205" spans="1:17" s="65" customFormat="1" ht="19.5" customHeight="1">
      <c r="A205" s="407"/>
      <c r="B205" s="404"/>
      <c r="C205" s="404"/>
      <c r="D205" s="180" t="s">
        <v>29</v>
      </c>
      <c r="E205" s="114">
        <f t="shared" si="201"/>
        <v>6330</v>
      </c>
      <c r="F205" s="114">
        <f>+ROUND((F204-F207)*$J205,0)</f>
        <v>4594</v>
      </c>
      <c r="G205" s="114">
        <f t="shared" ref="G205:I205" si="202">+ROUND((G204-G207)*$J205,0)</f>
        <v>414</v>
      </c>
      <c r="H205" s="114">
        <f t="shared" si="202"/>
        <v>1322</v>
      </c>
      <c r="I205" s="114">
        <f t="shared" si="202"/>
        <v>0</v>
      </c>
      <c r="J205" s="131">
        <v>0.7</v>
      </c>
    </row>
    <row r="206" spans="1:17" s="65" customFormat="1" ht="19.5" customHeight="1">
      <c r="A206" s="407"/>
      <c r="B206" s="404"/>
      <c r="C206" s="404"/>
      <c r="D206" s="180" t="s">
        <v>31</v>
      </c>
      <c r="E206" s="114">
        <f t="shared" si="201"/>
        <v>2713</v>
      </c>
      <c r="F206" s="114">
        <f>+F204-F207-F205</f>
        <v>1969</v>
      </c>
      <c r="G206" s="114">
        <f t="shared" ref="G206:I206" si="203">+G204-G207-G205</f>
        <v>177</v>
      </c>
      <c r="H206" s="114">
        <f t="shared" si="203"/>
        <v>567</v>
      </c>
      <c r="I206" s="114">
        <f t="shared" si="203"/>
        <v>0</v>
      </c>
      <c r="J206" s="131">
        <v>0.3</v>
      </c>
    </row>
    <row r="207" spans="1:17" s="65" customFormat="1" ht="19.5" customHeight="1">
      <c r="A207" s="407"/>
      <c r="B207" s="404"/>
      <c r="C207" s="404"/>
      <c r="D207" s="180" t="s">
        <v>33</v>
      </c>
      <c r="E207" s="114">
        <f t="shared" si="201"/>
        <v>0</v>
      </c>
      <c r="F207" s="114">
        <v>0</v>
      </c>
      <c r="G207" s="114">
        <v>0</v>
      </c>
      <c r="H207" s="114">
        <v>0</v>
      </c>
      <c r="I207" s="114">
        <v>0</v>
      </c>
      <c r="J207" s="131"/>
    </row>
    <row r="208" spans="1:17" s="65" customFormat="1" ht="19.5" customHeight="1">
      <c r="A208" s="407"/>
      <c r="B208" s="404"/>
      <c r="C208" s="403" t="s">
        <v>145</v>
      </c>
      <c r="D208" s="180" t="s">
        <v>18</v>
      </c>
      <c r="E208" s="114">
        <f t="shared" si="201"/>
        <v>0</v>
      </c>
      <c r="F208" s="114">
        <f>M211</f>
        <v>0</v>
      </c>
      <c r="G208" s="114">
        <f t="shared" ref="G208:I208" si="204">N211</f>
        <v>0</v>
      </c>
      <c r="H208" s="114">
        <f t="shared" si="204"/>
        <v>0</v>
      </c>
      <c r="I208" s="114">
        <f t="shared" si="204"/>
        <v>0</v>
      </c>
      <c r="J208" s="131"/>
      <c r="L208" s="182"/>
      <c r="M208" s="182" t="s">
        <v>63</v>
      </c>
      <c r="N208" s="182" t="s">
        <v>64</v>
      </c>
      <c r="O208" s="182" t="s">
        <v>65</v>
      </c>
      <c r="P208" s="182" t="s">
        <v>66</v>
      </c>
      <c r="Q208" s="182" t="s">
        <v>29</v>
      </c>
    </row>
    <row r="209" spans="1:17" s="65" customFormat="1" ht="19.5" customHeight="1">
      <c r="A209" s="407"/>
      <c r="B209" s="404"/>
      <c r="C209" s="404"/>
      <c r="D209" s="180" t="s">
        <v>29</v>
      </c>
      <c r="E209" s="114">
        <f t="shared" si="201"/>
        <v>0</v>
      </c>
      <c r="F209" s="114">
        <f>+ROUND((M209*$Q209)+(M210*$Q210),0)</f>
        <v>0</v>
      </c>
      <c r="G209" s="114">
        <f t="shared" ref="G209" si="205">+ROUND((N209*$Q209)+(N210*$Q210),0)</f>
        <v>0</v>
      </c>
      <c r="H209" s="114">
        <f t="shared" ref="H209" si="206">+ROUND((O209*$Q209)+(O210*$Q210),0)</f>
        <v>0</v>
      </c>
      <c r="I209" s="114">
        <f t="shared" ref="I209" si="207">+ROUND((P209*$Q209)+(P210*$Q210),0)</f>
        <v>0</v>
      </c>
      <c r="J209" s="134" t="s">
        <v>221</v>
      </c>
      <c r="L209" s="182" t="s">
        <v>61</v>
      </c>
      <c r="M209" s="183">
        <f>'[3]1.6 감곡처리구역'!E9</f>
        <v>0</v>
      </c>
      <c r="N209" s="183">
        <f>'[3]1.6 감곡처리구역'!F9</f>
        <v>0</v>
      </c>
      <c r="O209" s="183">
        <f>'[3]1.6 감곡처리구역'!G9</f>
        <v>0</v>
      </c>
      <c r="P209" s="183">
        <f>'[3]1.6 감곡처리구역'!H9</f>
        <v>0</v>
      </c>
      <c r="Q209" s="184">
        <v>0.5</v>
      </c>
    </row>
    <row r="210" spans="1:17" s="65" customFormat="1" ht="19.5" customHeight="1">
      <c r="A210" s="407"/>
      <c r="B210" s="404"/>
      <c r="C210" s="404"/>
      <c r="D210" s="180" t="s">
        <v>31</v>
      </c>
      <c r="E210" s="114">
        <f t="shared" si="201"/>
        <v>0</v>
      </c>
      <c r="F210" s="114">
        <f>+F208-F211-F209</f>
        <v>0</v>
      </c>
      <c r="G210" s="114">
        <f t="shared" ref="G210:I210" si="208">+G208-G211-G209</f>
        <v>0</v>
      </c>
      <c r="H210" s="114">
        <f t="shared" si="208"/>
        <v>0</v>
      </c>
      <c r="I210" s="114">
        <f t="shared" si="208"/>
        <v>0</v>
      </c>
      <c r="J210" s="134" t="s">
        <v>221</v>
      </c>
      <c r="L210" s="182" t="s">
        <v>62</v>
      </c>
      <c r="M210" s="183">
        <f>'[3]1.6 감곡처리구역'!E10</f>
        <v>0</v>
      </c>
      <c r="N210" s="183">
        <f>'[3]1.6 감곡처리구역'!F10</f>
        <v>0</v>
      </c>
      <c r="O210" s="183">
        <f>'[3]1.6 감곡처리구역'!G10</f>
        <v>0</v>
      </c>
      <c r="P210" s="183">
        <f>'[3]1.6 감곡처리구역'!H10</f>
        <v>0</v>
      </c>
      <c r="Q210" s="184">
        <v>0.5</v>
      </c>
    </row>
    <row r="211" spans="1:17" s="65" customFormat="1" ht="19.5" customHeight="1">
      <c r="A211" s="407"/>
      <c r="B211" s="404"/>
      <c r="C211" s="404"/>
      <c r="D211" s="180" t="s">
        <v>33</v>
      </c>
      <c r="E211" s="114">
        <f t="shared" si="201"/>
        <v>0</v>
      </c>
      <c r="F211" s="114">
        <v>0</v>
      </c>
      <c r="G211" s="114">
        <v>0</v>
      </c>
      <c r="H211" s="114">
        <v>0</v>
      </c>
      <c r="I211" s="114">
        <v>0</v>
      </c>
      <c r="J211" s="131"/>
      <c r="L211" s="182" t="s">
        <v>2</v>
      </c>
      <c r="M211" s="183">
        <f>SUM(M209:M210)</f>
        <v>0</v>
      </c>
      <c r="N211" s="183">
        <f t="shared" ref="N211:P211" si="209">SUM(N209:N210)</f>
        <v>0</v>
      </c>
      <c r="O211" s="183">
        <f t="shared" si="209"/>
        <v>0</v>
      </c>
      <c r="P211" s="183">
        <f t="shared" si="209"/>
        <v>0</v>
      </c>
      <c r="Q211" s="182"/>
    </row>
    <row r="212" spans="1:17" s="65" customFormat="1" ht="20.45" customHeight="1">
      <c r="A212" s="407"/>
      <c r="B212" s="404"/>
      <c r="C212" s="403" t="s">
        <v>148</v>
      </c>
      <c r="D212" s="180" t="s">
        <v>18</v>
      </c>
      <c r="E212" s="114">
        <f t="shared" si="201"/>
        <v>0</v>
      </c>
      <c r="F212" s="114">
        <f>'[3]1.6 감곡처리구역'!E12</f>
        <v>0</v>
      </c>
      <c r="G212" s="114">
        <f>'[3]1.6 감곡처리구역'!F12</f>
        <v>0</v>
      </c>
      <c r="H212" s="114">
        <f>'[3]1.6 감곡처리구역'!G12</f>
        <v>0</v>
      </c>
      <c r="I212" s="114">
        <f>'[3]1.6 감곡처리구역'!H12</f>
        <v>0</v>
      </c>
      <c r="J212" s="131"/>
      <c r="L212" s="185"/>
      <c r="M212" s="185"/>
      <c r="N212" s="185"/>
      <c r="O212" s="185"/>
      <c r="P212" s="185"/>
      <c r="Q212" s="185"/>
    </row>
    <row r="213" spans="1:17" s="65" customFormat="1" ht="20.45" customHeight="1">
      <c r="A213" s="407"/>
      <c r="B213" s="404"/>
      <c r="C213" s="404"/>
      <c r="D213" s="180" t="s">
        <v>29</v>
      </c>
      <c r="E213" s="114">
        <f t="shared" si="201"/>
        <v>0</v>
      </c>
      <c r="F213" s="114">
        <f>+ROUND((F212-F215)*$J213,0)</f>
        <v>0</v>
      </c>
      <c r="G213" s="114">
        <v>0</v>
      </c>
      <c r="H213" s="114">
        <f t="shared" ref="H213:I213" si="210">+ROUND((H212-H215)*$J213,0)</f>
        <v>0</v>
      </c>
      <c r="I213" s="114">
        <f t="shared" si="210"/>
        <v>0</v>
      </c>
      <c r="J213" s="131">
        <v>0.7</v>
      </c>
      <c r="K213" s="188"/>
      <c r="L213" s="185"/>
      <c r="M213" s="186"/>
      <c r="N213" s="186"/>
      <c r="O213" s="186"/>
      <c r="P213" s="186"/>
      <c r="Q213" s="187"/>
    </row>
    <row r="214" spans="1:17" s="65" customFormat="1" ht="20.45" customHeight="1">
      <c r="A214" s="407"/>
      <c r="B214" s="404"/>
      <c r="C214" s="404"/>
      <c r="D214" s="180" t="s">
        <v>31</v>
      </c>
      <c r="E214" s="114">
        <f t="shared" si="201"/>
        <v>0</v>
      </c>
      <c r="F214" s="114">
        <f>+F212-F215-F213</f>
        <v>0</v>
      </c>
      <c r="G214" s="114">
        <v>0</v>
      </c>
      <c r="H214" s="114">
        <f t="shared" ref="H214:I214" si="211">+H212-H215-H213</f>
        <v>0</v>
      </c>
      <c r="I214" s="114">
        <f t="shared" si="211"/>
        <v>0</v>
      </c>
      <c r="J214" s="131">
        <v>0.3</v>
      </c>
      <c r="K214" s="188"/>
      <c r="L214" s="185"/>
      <c r="M214" s="186"/>
      <c r="N214" s="186"/>
      <c r="O214" s="186"/>
      <c r="P214" s="186"/>
      <c r="Q214" s="187"/>
    </row>
    <row r="215" spans="1:17" s="65" customFormat="1" ht="20.45" customHeight="1">
      <c r="A215" s="407"/>
      <c r="B215" s="404"/>
      <c r="C215" s="404"/>
      <c r="D215" s="180" t="s">
        <v>33</v>
      </c>
      <c r="E215" s="114">
        <f t="shared" si="201"/>
        <v>0</v>
      </c>
      <c r="F215" s="114">
        <v>0</v>
      </c>
      <c r="G215" s="114">
        <v>0</v>
      </c>
      <c r="H215" s="114">
        <v>0</v>
      </c>
      <c r="I215" s="114">
        <v>0</v>
      </c>
      <c r="J215" s="131"/>
      <c r="L215" s="185"/>
      <c r="M215" s="186"/>
      <c r="N215" s="186"/>
      <c r="O215" s="186"/>
      <c r="P215" s="186"/>
      <c r="Q215" s="185"/>
    </row>
    <row r="216" spans="1:17" s="65" customFormat="1" ht="19.5" customHeight="1">
      <c r="A216" s="407"/>
      <c r="B216" s="404"/>
      <c r="C216" s="403" t="s">
        <v>42</v>
      </c>
      <c r="D216" s="180" t="s">
        <v>18</v>
      </c>
      <c r="E216" s="114">
        <f t="shared" ref="E216:E219" si="212">SUM(F216:I216)</f>
        <v>6901</v>
      </c>
      <c r="F216" s="114">
        <f>M219</f>
        <v>780</v>
      </c>
      <c r="G216" s="114">
        <f t="shared" ref="G216:I216" si="213">N219</f>
        <v>3373</v>
      </c>
      <c r="H216" s="114">
        <f t="shared" si="213"/>
        <v>2353</v>
      </c>
      <c r="I216" s="114">
        <f t="shared" si="213"/>
        <v>395</v>
      </c>
      <c r="J216" s="131"/>
      <c r="L216" s="182"/>
      <c r="M216" s="182" t="s">
        <v>63</v>
      </c>
      <c r="N216" s="182" t="s">
        <v>64</v>
      </c>
      <c r="O216" s="182" t="s">
        <v>65</v>
      </c>
      <c r="P216" s="182" t="s">
        <v>66</v>
      </c>
      <c r="Q216" s="182" t="s">
        <v>68</v>
      </c>
    </row>
    <row r="217" spans="1:17" s="65" customFormat="1" ht="19.5" customHeight="1">
      <c r="A217" s="407"/>
      <c r="B217" s="404"/>
      <c r="C217" s="404"/>
      <c r="D217" s="180" t="s">
        <v>29</v>
      </c>
      <c r="E217" s="114">
        <f t="shared" si="212"/>
        <v>3452</v>
      </c>
      <c r="F217" s="114">
        <f>+ROUND((M217*$Q217)+(M218*$Q218),0)</f>
        <v>390</v>
      </c>
      <c r="G217" s="114">
        <f t="shared" ref="G217" si="214">+ROUND((N217*$Q217)+(N218*$Q218),0)</f>
        <v>1687</v>
      </c>
      <c r="H217" s="114">
        <f t="shared" ref="H217" si="215">+ROUND((O217*$Q217)+(O218*$Q218),0)</f>
        <v>1177</v>
      </c>
      <c r="I217" s="114">
        <f t="shared" ref="I217" si="216">+ROUND((P217*$Q217)+(P218*$Q218),0)</f>
        <v>198</v>
      </c>
      <c r="J217" s="134" t="s">
        <v>221</v>
      </c>
      <c r="L217" s="182" t="s">
        <v>61</v>
      </c>
      <c r="M217" s="183">
        <f>'[3]1.6 감곡처리구역'!E13</f>
        <v>780</v>
      </c>
      <c r="N217" s="183">
        <f>'[3]1.6 감곡처리구역'!F13</f>
        <v>3373</v>
      </c>
      <c r="O217" s="183">
        <f>'[3]1.6 감곡처리구역'!G13</f>
        <v>2353</v>
      </c>
      <c r="P217" s="183">
        <f>'[3]1.6 감곡처리구역'!H13</f>
        <v>395</v>
      </c>
      <c r="Q217" s="184">
        <v>0.5</v>
      </c>
    </row>
    <row r="218" spans="1:17" s="65" customFormat="1" ht="19.5" customHeight="1">
      <c r="A218" s="407"/>
      <c r="B218" s="404"/>
      <c r="C218" s="404"/>
      <c r="D218" s="180" t="s">
        <v>31</v>
      </c>
      <c r="E218" s="114">
        <f t="shared" si="212"/>
        <v>3449</v>
      </c>
      <c r="F218" s="114">
        <f>+F216-F219-F217</f>
        <v>390</v>
      </c>
      <c r="G218" s="114">
        <f>+G216-G219-G217</f>
        <v>1686</v>
      </c>
      <c r="H218" s="114">
        <f>+H216-H219-H217</f>
        <v>1176</v>
      </c>
      <c r="I218" s="114">
        <f>+I216-I219-I217</f>
        <v>197</v>
      </c>
      <c r="J218" s="134" t="s">
        <v>221</v>
      </c>
      <c r="L218" s="182" t="s">
        <v>62</v>
      </c>
      <c r="M218" s="183">
        <f>'[3]1.6 감곡처리구역'!E14</f>
        <v>0</v>
      </c>
      <c r="N218" s="183">
        <f>'[3]1.6 감곡처리구역'!F14</f>
        <v>0</v>
      </c>
      <c r="O218" s="183">
        <f>'[3]1.6 감곡처리구역'!G14</f>
        <v>0</v>
      </c>
      <c r="P218" s="183">
        <f>'[3]1.6 감곡처리구역'!H14</f>
        <v>0</v>
      </c>
      <c r="Q218" s="184">
        <v>0.5</v>
      </c>
    </row>
    <row r="219" spans="1:17" s="65" customFormat="1" ht="19.5" customHeight="1">
      <c r="A219" s="407"/>
      <c r="B219" s="404"/>
      <c r="C219" s="404"/>
      <c r="D219" s="180" t="s">
        <v>33</v>
      </c>
      <c r="E219" s="114">
        <f t="shared" si="212"/>
        <v>0</v>
      </c>
      <c r="F219" s="114">
        <v>0</v>
      </c>
      <c r="G219" s="114">
        <v>0</v>
      </c>
      <c r="H219" s="114">
        <v>0</v>
      </c>
      <c r="I219" s="114">
        <v>0</v>
      </c>
      <c r="J219" s="131"/>
      <c r="L219" s="182" t="s">
        <v>67</v>
      </c>
      <c r="M219" s="183">
        <f>SUM(M217:M218)</f>
        <v>780</v>
      </c>
      <c r="N219" s="183">
        <f t="shared" ref="N219" si="217">SUM(N217:N218)</f>
        <v>3373</v>
      </c>
      <c r="O219" s="183">
        <f t="shared" ref="O219" si="218">SUM(O217:O218)</f>
        <v>2353</v>
      </c>
      <c r="P219" s="183">
        <f t="shared" ref="P219" si="219">SUM(P217:P218)</f>
        <v>395</v>
      </c>
      <c r="Q219" s="182"/>
    </row>
    <row r="220" spans="1:17" s="65" customFormat="1" ht="19.5" customHeight="1">
      <c r="A220" s="407"/>
      <c r="B220" s="404" t="s">
        <v>41</v>
      </c>
      <c r="C220" s="403" t="s">
        <v>197</v>
      </c>
      <c r="D220" s="180" t="s">
        <v>18</v>
      </c>
      <c r="E220" s="114">
        <f t="shared" ref="E220:E223" si="220">SUM(F220:I220)</f>
        <v>0</v>
      </c>
      <c r="F220" s="114">
        <f>'[3]1.6 감곡처리구역'!$E$18</f>
        <v>0</v>
      </c>
      <c r="G220" s="114">
        <f>'[3]1.6 감곡처리구역'!$F$18</f>
        <v>0</v>
      </c>
      <c r="H220" s="114">
        <f>'[3]1.6 감곡처리구역'!$G$18</f>
        <v>0</v>
      </c>
      <c r="I220" s="114">
        <f>'[3]1.6 감곡처리구역'!$H$18</f>
        <v>0</v>
      </c>
      <c r="J220" s="131"/>
    </row>
    <row r="221" spans="1:17" s="65" customFormat="1" ht="19.5" customHeight="1">
      <c r="A221" s="407"/>
      <c r="B221" s="404"/>
      <c r="C221" s="404"/>
      <c r="D221" s="180" t="s">
        <v>29</v>
      </c>
      <c r="E221" s="114">
        <f t="shared" si="220"/>
        <v>0</v>
      </c>
      <c r="F221" s="114">
        <f>+ROUND((F220-F223)*$J221,0)</f>
        <v>0</v>
      </c>
      <c r="G221" s="114">
        <f t="shared" ref="G221:I221" si="221">+ROUND((G220-G223)*$J221,0)</f>
        <v>0</v>
      </c>
      <c r="H221" s="114">
        <f t="shared" si="221"/>
        <v>0</v>
      </c>
      <c r="I221" s="114">
        <f t="shared" si="221"/>
        <v>0</v>
      </c>
      <c r="J221" s="131">
        <v>0.7</v>
      </c>
    </row>
    <row r="222" spans="1:17" s="65" customFormat="1" ht="19.5" customHeight="1">
      <c r="A222" s="407"/>
      <c r="B222" s="404"/>
      <c r="C222" s="404"/>
      <c r="D222" s="180" t="s">
        <v>31</v>
      </c>
      <c r="E222" s="114">
        <f t="shared" si="220"/>
        <v>0</v>
      </c>
      <c r="F222" s="114">
        <f>+F220-F223-F221</f>
        <v>0</v>
      </c>
      <c r="G222" s="114">
        <f t="shared" ref="G222:I222" si="222">+G220-G223-G221</f>
        <v>0</v>
      </c>
      <c r="H222" s="114">
        <f t="shared" si="222"/>
        <v>0</v>
      </c>
      <c r="I222" s="114">
        <f t="shared" si="222"/>
        <v>0</v>
      </c>
      <c r="J222" s="131">
        <v>0.3</v>
      </c>
    </row>
    <row r="223" spans="1:17" s="65" customFormat="1" ht="19.5" customHeight="1">
      <c r="A223" s="408"/>
      <c r="B223" s="405"/>
      <c r="C223" s="405"/>
      <c r="D223" s="189" t="s">
        <v>33</v>
      </c>
      <c r="E223" s="132">
        <f t="shared" si="220"/>
        <v>0</v>
      </c>
      <c r="F223" s="132">
        <v>0</v>
      </c>
      <c r="G223" s="132">
        <v>0</v>
      </c>
      <c r="H223" s="132">
        <v>0</v>
      </c>
      <c r="I223" s="132">
        <v>0</v>
      </c>
      <c r="J223" s="133"/>
    </row>
    <row r="224" spans="1:17" s="65" customFormat="1" ht="18" customHeight="1">
      <c r="A224" s="409" t="s">
        <v>118</v>
      </c>
      <c r="B224" s="422" t="s">
        <v>72</v>
      </c>
      <c r="C224" s="422"/>
      <c r="D224" s="349" t="s">
        <v>18</v>
      </c>
      <c r="E224" s="190">
        <f t="shared" ref="E224:E227" si="223">SUM(F224:I224)</f>
        <v>17225.900000000001</v>
      </c>
      <c r="F224" s="190">
        <f>F228+F248</f>
        <v>7710</v>
      </c>
      <c r="G224" s="190">
        <f t="shared" ref="G224:I224" si="224">G228+G248</f>
        <v>2309.3999999999996</v>
      </c>
      <c r="H224" s="190">
        <f t="shared" si="224"/>
        <v>0</v>
      </c>
      <c r="I224" s="190">
        <f t="shared" si="224"/>
        <v>7206.5</v>
      </c>
      <c r="J224" s="191"/>
    </row>
    <row r="225" spans="1:10" s="65" customFormat="1" ht="18" customHeight="1">
      <c r="A225" s="410"/>
      <c r="B225" s="402"/>
      <c r="C225" s="402"/>
      <c r="D225" s="348" t="s">
        <v>29</v>
      </c>
      <c r="E225" s="192">
        <f t="shared" si="223"/>
        <v>12059</v>
      </c>
      <c r="F225" s="192">
        <f>F229+F249</f>
        <v>5397</v>
      </c>
      <c r="G225" s="192">
        <f t="shared" ref="G225:I225" si="225">G229+G249</f>
        <v>1617</v>
      </c>
      <c r="H225" s="192">
        <f t="shared" si="225"/>
        <v>0</v>
      </c>
      <c r="I225" s="192">
        <f t="shared" si="225"/>
        <v>5045</v>
      </c>
      <c r="J225" s="193"/>
    </row>
    <row r="226" spans="1:10" s="65" customFormat="1" ht="18" customHeight="1">
      <c r="A226" s="410"/>
      <c r="B226" s="402"/>
      <c r="C226" s="402"/>
      <c r="D226" s="348" t="s">
        <v>31</v>
      </c>
      <c r="E226" s="192">
        <f t="shared" si="223"/>
        <v>5166.8999999999996</v>
      </c>
      <c r="F226" s="192">
        <f>F230+F250</f>
        <v>2313</v>
      </c>
      <c r="G226" s="192">
        <f t="shared" ref="G226:I226" si="226">G230+G250</f>
        <v>692.39999999999964</v>
      </c>
      <c r="H226" s="192">
        <f t="shared" si="226"/>
        <v>0</v>
      </c>
      <c r="I226" s="192">
        <f t="shared" si="226"/>
        <v>2161.5</v>
      </c>
      <c r="J226" s="193"/>
    </row>
    <row r="227" spans="1:10" s="65" customFormat="1" ht="18" customHeight="1">
      <c r="A227" s="410"/>
      <c r="B227" s="402"/>
      <c r="C227" s="402"/>
      <c r="D227" s="348" t="s">
        <v>33</v>
      </c>
      <c r="E227" s="192">
        <f t="shared" si="223"/>
        <v>0</v>
      </c>
      <c r="F227" s="192">
        <f>F231+F251</f>
        <v>0</v>
      </c>
      <c r="G227" s="192">
        <f t="shared" ref="G227:I227" si="227">G231+G251</f>
        <v>0</v>
      </c>
      <c r="H227" s="192">
        <f t="shared" si="227"/>
        <v>0</v>
      </c>
      <c r="I227" s="192">
        <f t="shared" si="227"/>
        <v>0</v>
      </c>
      <c r="J227" s="193"/>
    </row>
    <row r="228" spans="1:10" s="65" customFormat="1" ht="18" customHeight="1">
      <c r="A228" s="410"/>
      <c r="B228" s="401" t="s">
        <v>35</v>
      </c>
      <c r="C228" s="402" t="s">
        <v>76</v>
      </c>
      <c r="D228" s="348" t="s">
        <v>18</v>
      </c>
      <c r="E228" s="192">
        <f t="shared" ref="E228:E247" si="228">SUM(F228:I228)</f>
        <v>13237.9</v>
      </c>
      <c r="F228" s="192">
        <f>+F232+F240+F244+F236</f>
        <v>3722</v>
      </c>
      <c r="G228" s="192">
        <f t="shared" ref="G228:I228" si="229">+G232+G240+G244+G236</f>
        <v>2309.3999999999996</v>
      </c>
      <c r="H228" s="192">
        <f t="shared" si="229"/>
        <v>0</v>
      </c>
      <c r="I228" s="192">
        <f t="shared" si="229"/>
        <v>7206.5</v>
      </c>
      <c r="J228" s="193"/>
    </row>
    <row r="229" spans="1:10" s="65" customFormat="1" ht="18" customHeight="1">
      <c r="A229" s="410"/>
      <c r="B229" s="401"/>
      <c r="C229" s="402"/>
      <c r="D229" s="348" t="s">
        <v>29</v>
      </c>
      <c r="E229" s="192">
        <f t="shared" si="228"/>
        <v>9267</v>
      </c>
      <c r="F229" s="192">
        <f t="shared" ref="F229:I229" si="230">+F233+F241+F245+F237</f>
        <v>2605</v>
      </c>
      <c r="G229" s="192">
        <f t="shared" si="230"/>
        <v>1617</v>
      </c>
      <c r="H229" s="192">
        <f t="shared" si="230"/>
        <v>0</v>
      </c>
      <c r="I229" s="192">
        <f t="shared" si="230"/>
        <v>5045</v>
      </c>
      <c r="J229" s="193"/>
    </row>
    <row r="230" spans="1:10" s="65" customFormat="1" ht="18" customHeight="1">
      <c r="A230" s="410"/>
      <c r="B230" s="401"/>
      <c r="C230" s="402"/>
      <c r="D230" s="348" t="s">
        <v>31</v>
      </c>
      <c r="E230" s="192">
        <f t="shared" si="228"/>
        <v>3970.8999999999996</v>
      </c>
      <c r="F230" s="192">
        <f t="shared" ref="F230:I230" si="231">+F234+F242+F246+F238</f>
        <v>1117</v>
      </c>
      <c r="G230" s="192">
        <f t="shared" si="231"/>
        <v>692.39999999999964</v>
      </c>
      <c r="H230" s="192">
        <f t="shared" si="231"/>
        <v>0</v>
      </c>
      <c r="I230" s="192">
        <f t="shared" si="231"/>
        <v>2161.5</v>
      </c>
      <c r="J230" s="193"/>
    </row>
    <row r="231" spans="1:10" s="65" customFormat="1" ht="18" customHeight="1">
      <c r="A231" s="410"/>
      <c r="B231" s="401"/>
      <c r="C231" s="402"/>
      <c r="D231" s="348" t="s">
        <v>33</v>
      </c>
      <c r="E231" s="192">
        <f t="shared" si="228"/>
        <v>0</v>
      </c>
      <c r="F231" s="192">
        <f t="shared" ref="F231:I231" si="232">+F235+F243+F247+F239</f>
        <v>0</v>
      </c>
      <c r="G231" s="192">
        <f t="shared" si="232"/>
        <v>0</v>
      </c>
      <c r="H231" s="192">
        <f t="shared" si="232"/>
        <v>0</v>
      </c>
      <c r="I231" s="192">
        <f t="shared" si="232"/>
        <v>0</v>
      </c>
      <c r="J231" s="193"/>
    </row>
    <row r="232" spans="1:10" s="65" customFormat="1" ht="18" customHeight="1">
      <c r="A232" s="410"/>
      <c r="B232" s="401"/>
      <c r="C232" s="401" t="s">
        <v>402</v>
      </c>
      <c r="D232" s="348" t="s">
        <v>18</v>
      </c>
      <c r="E232" s="192">
        <f t="shared" si="228"/>
        <v>3722</v>
      </c>
      <c r="F232" s="192">
        <f>'[3]1.7 맹동처리구역'!$E$16</f>
        <v>3722</v>
      </c>
      <c r="G232" s="192">
        <v>0</v>
      </c>
      <c r="H232" s="192">
        <v>0</v>
      </c>
      <c r="I232" s="192">
        <v>0</v>
      </c>
      <c r="J232" s="193"/>
    </row>
    <row r="233" spans="1:10" s="65" customFormat="1" ht="18" customHeight="1">
      <c r="A233" s="410"/>
      <c r="B233" s="401"/>
      <c r="C233" s="402"/>
      <c r="D233" s="348" t="s">
        <v>29</v>
      </c>
      <c r="E233" s="192">
        <f t="shared" si="228"/>
        <v>2605</v>
      </c>
      <c r="F233" s="192">
        <f>+ROUND((F232-F235)*$J233,0)</f>
        <v>2605</v>
      </c>
      <c r="G233" s="192">
        <v>0</v>
      </c>
      <c r="H233" s="192">
        <f t="shared" ref="H233:I233" si="233">+ROUND((H232-H235)*$J233,0)</f>
        <v>0</v>
      </c>
      <c r="I233" s="192">
        <f t="shared" si="233"/>
        <v>0</v>
      </c>
      <c r="J233" s="193">
        <v>0.7</v>
      </c>
    </row>
    <row r="234" spans="1:10" s="65" customFormat="1" ht="18" customHeight="1">
      <c r="A234" s="410"/>
      <c r="B234" s="401"/>
      <c r="C234" s="402"/>
      <c r="D234" s="348" t="s">
        <v>31</v>
      </c>
      <c r="E234" s="192">
        <f t="shared" si="228"/>
        <v>1117</v>
      </c>
      <c r="F234" s="192">
        <f>+F232-F235-F233</f>
        <v>1117</v>
      </c>
      <c r="G234" s="192">
        <v>0</v>
      </c>
      <c r="H234" s="192">
        <f t="shared" ref="H234:I234" si="234">+H232-H235-H233</f>
        <v>0</v>
      </c>
      <c r="I234" s="192">
        <f t="shared" si="234"/>
        <v>0</v>
      </c>
      <c r="J234" s="193">
        <v>0.3</v>
      </c>
    </row>
    <row r="235" spans="1:10" s="65" customFormat="1" ht="18" customHeight="1">
      <c r="A235" s="410"/>
      <c r="B235" s="401"/>
      <c r="C235" s="402"/>
      <c r="D235" s="348" t="s">
        <v>33</v>
      </c>
      <c r="E235" s="192">
        <f t="shared" si="228"/>
        <v>0</v>
      </c>
      <c r="F235" s="192">
        <v>0</v>
      </c>
      <c r="G235" s="192">
        <v>0</v>
      </c>
      <c r="H235" s="192">
        <v>0</v>
      </c>
      <c r="I235" s="192">
        <v>0</v>
      </c>
      <c r="J235" s="193"/>
    </row>
    <row r="236" spans="1:10" s="65" customFormat="1" ht="18" customHeight="1">
      <c r="A236" s="410"/>
      <c r="B236" s="401"/>
      <c r="C236" s="401" t="s">
        <v>403</v>
      </c>
      <c r="D236" s="353" t="s">
        <v>18</v>
      </c>
      <c r="E236" s="192">
        <f t="shared" ref="E236:E239" si="235">SUM(F236:I236)</f>
        <v>2309.3999999999996</v>
      </c>
      <c r="F236" s="192">
        <v>0</v>
      </c>
      <c r="G236" s="192">
        <f>'[3]1.7 맹동처리구역'!F16</f>
        <v>2309.3999999999996</v>
      </c>
      <c r="H236" s="192">
        <f>'[3]1.7 맹동처리구역'!$G$16</f>
        <v>0</v>
      </c>
      <c r="I236" s="192">
        <v>0</v>
      </c>
      <c r="J236" s="193"/>
    </row>
    <row r="237" spans="1:10" s="65" customFormat="1" ht="18" customHeight="1">
      <c r="A237" s="410"/>
      <c r="B237" s="401"/>
      <c r="C237" s="402"/>
      <c r="D237" s="353" t="s">
        <v>29</v>
      </c>
      <c r="E237" s="192">
        <f t="shared" si="235"/>
        <v>1617</v>
      </c>
      <c r="F237" s="192">
        <v>0</v>
      </c>
      <c r="G237" s="192">
        <f>+ROUND((G236-G239)*$J237,0)</f>
        <v>1617</v>
      </c>
      <c r="H237" s="192">
        <f t="shared" ref="H237" si="236">+ROUND((H236-H239)*$J237,0)</f>
        <v>0</v>
      </c>
      <c r="I237" s="192">
        <v>0</v>
      </c>
      <c r="J237" s="193">
        <v>0.7</v>
      </c>
    </row>
    <row r="238" spans="1:10" s="65" customFormat="1" ht="18" customHeight="1">
      <c r="A238" s="410"/>
      <c r="B238" s="401"/>
      <c r="C238" s="402"/>
      <c r="D238" s="353" t="s">
        <v>31</v>
      </c>
      <c r="E238" s="192">
        <f t="shared" si="235"/>
        <v>692.39999999999964</v>
      </c>
      <c r="F238" s="192">
        <v>0</v>
      </c>
      <c r="G238" s="192">
        <f>+G236-G239-G237</f>
        <v>692.39999999999964</v>
      </c>
      <c r="H238" s="192">
        <f t="shared" ref="H238" si="237">+H236-H239-H237</f>
        <v>0</v>
      </c>
      <c r="I238" s="192">
        <v>0</v>
      </c>
      <c r="J238" s="193">
        <v>0.3</v>
      </c>
    </row>
    <row r="239" spans="1:10" s="65" customFormat="1" ht="18" customHeight="1">
      <c r="A239" s="410"/>
      <c r="B239" s="401"/>
      <c r="C239" s="402"/>
      <c r="D239" s="353" t="s">
        <v>33</v>
      </c>
      <c r="E239" s="192">
        <f t="shared" si="235"/>
        <v>0</v>
      </c>
      <c r="F239" s="192">
        <f>+'3.3 원인자부담금'!D150</f>
        <v>0</v>
      </c>
      <c r="G239" s="192">
        <f>+'3.3 원인자부담금'!E150</f>
        <v>0</v>
      </c>
      <c r="H239" s="192">
        <f>+'3.3 원인자부담금'!F150</f>
        <v>0</v>
      </c>
      <c r="I239" s="192">
        <v>0</v>
      </c>
      <c r="J239" s="193"/>
    </row>
    <row r="240" spans="1:10" s="65" customFormat="1" ht="18" customHeight="1">
      <c r="A240" s="410"/>
      <c r="B240" s="401"/>
      <c r="C240" s="401" t="s">
        <v>401</v>
      </c>
      <c r="D240" s="348" t="s">
        <v>18</v>
      </c>
      <c r="E240" s="192">
        <f t="shared" si="228"/>
        <v>7206.5</v>
      </c>
      <c r="F240" s="192">
        <v>0</v>
      </c>
      <c r="G240" s="192">
        <v>0</v>
      </c>
      <c r="H240" s="192">
        <f>'[3]1.7 맹동처리구역'!$G$16</f>
        <v>0</v>
      </c>
      <c r="I240" s="192">
        <f>'[3]1.7 맹동처리구역'!$H$16</f>
        <v>7206.5</v>
      </c>
      <c r="J240" s="193"/>
    </row>
    <row r="241" spans="1:17" s="65" customFormat="1" ht="18" customHeight="1">
      <c r="A241" s="410"/>
      <c r="B241" s="401"/>
      <c r="C241" s="402"/>
      <c r="D241" s="348" t="s">
        <v>29</v>
      </c>
      <c r="E241" s="192">
        <f t="shared" si="228"/>
        <v>5045</v>
      </c>
      <c r="F241" s="192">
        <v>0</v>
      </c>
      <c r="G241" s="192">
        <f>+ROUND((G240-G243)*$J241,0)</f>
        <v>0</v>
      </c>
      <c r="H241" s="192">
        <f t="shared" ref="H241:I241" si="238">+ROUND((H240-H243)*$J241,0)</f>
        <v>0</v>
      </c>
      <c r="I241" s="192">
        <f t="shared" si="238"/>
        <v>5045</v>
      </c>
      <c r="J241" s="193">
        <v>0.7</v>
      </c>
    </row>
    <row r="242" spans="1:17" s="65" customFormat="1" ht="18" customHeight="1">
      <c r="A242" s="410"/>
      <c r="B242" s="401"/>
      <c r="C242" s="402"/>
      <c r="D242" s="348" t="s">
        <v>31</v>
      </c>
      <c r="E242" s="192">
        <f t="shared" si="228"/>
        <v>2161.5</v>
      </c>
      <c r="F242" s="192">
        <v>0</v>
      </c>
      <c r="G242" s="192">
        <f>+G240-G243-G241</f>
        <v>0</v>
      </c>
      <c r="H242" s="192">
        <f t="shared" ref="H242:I242" si="239">+H240-H243-H241</f>
        <v>0</v>
      </c>
      <c r="I242" s="192">
        <f t="shared" si="239"/>
        <v>2161.5</v>
      </c>
      <c r="J242" s="193">
        <v>0.3</v>
      </c>
    </row>
    <row r="243" spans="1:17" s="65" customFormat="1" ht="18" customHeight="1">
      <c r="A243" s="410"/>
      <c r="B243" s="401"/>
      <c r="C243" s="402"/>
      <c r="D243" s="348" t="s">
        <v>33</v>
      </c>
      <c r="E243" s="192">
        <f t="shared" si="228"/>
        <v>0</v>
      </c>
      <c r="F243" s="192">
        <f>+'3.3 원인자부담금'!D154</f>
        <v>0</v>
      </c>
      <c r="G243" s="192">
        <f>+'3.3 원인자부담금'!E154</f>
        <v>0</v>
      </c>
      <c r="H243" s="192">
        <f>+'3.3 원인자부담금'!F154</f>
        <v>0</v>
      </c>
      <c r="I243" s="192">
        <f>+'3.3 원인자부담금'!G154</f>
        <v>0</v>
      </c>
      <c r="J243" s="193"/>
    </row>
    <row r="244" spans="1:17" s="65" customFormat="1" ht="18" customHeight="1">
      <c r="A244" s="410"/>
      <c r="B244" s="401"/>
      <c r="C244" s="401" t="s">
        <v>75</v>
      </c>
      <c r="D244" s="348" t="s">
        <v>18</v>
      </c>
      <c r="E244" s="192">
        <f t="shared" si="228"/>
        <v>0</v>
      </c>
      <c r="F244" s="192">
        <f>'[3]1.7 맹동처리구역'!E17</f>
        <v>0</v>
      </c>
      <c r="G244" s="192">
        <f>'[3]1.7 맹동처리구역'!F17</f>
        <v>0</v>
      </c>
      <c r="H244" s="192">
        <f>'[3]1.7 맹동처리구역'!G17</f>
        <v>0</v>
      </c>
      <c r="I244" s="192">
        <f>'[3]1.7 맹동처리구역'!H17</f>
        <v>0</v>
      </c>
      <c r="J244" s="193"/>
    </row>
    <row r="245" spans="1:17" s="65" customFormat="1" ht="18" customHeight="1">
      <c r="A245" s="410"/>
      <c r="B245" s="401"/>
      <c r="C245" s="402"/>
      <c r="D245" s="348" t="s">
        <v>29</v>
      </c>
      <c r="E245" s="192">
        <f t="shared" si="228"/>
        <v>0</v>
      </c>
      <c r="F245" s="192">
        <f>+ROUND((F244-F247)*$J245,0)</f>
        <v>0</v>
      </c>
      <c r="G245" s="192">
        <f t="shared" ref="G245:I245" si="240">+ROUND((G244-G247)*$J245,0)</f>
        <v>0</v>
      </c>
      <c r="H245" s="192">
        <f t="shared" si="240"/>
        <v>0</v>
      </c>
      <c r="I245" s="192">
        <f t="shared" si="240"/>
        <v>0</v>
      </c>
      <c r="J245" s="193">
        <v>0.7</v>
      </c>
    </row>
    <row r="246" spans="1:17" s="65" customFormat="1" ht="18" customHeight="1">
      <c r="A246" s="410"/>
      <c r="B246" s="401"/>
      <c r="C246" s="402"/>
      <c r="D246" s="348" t="s">
        <v>31</v>
      </c>
      <c r="E246" s="192">
        <f t="shared" si="228"/>
        <v>0</v>
      </c>
      <c r="F246" s="192">
        <f>+F244-F247-F245</f>
        <v>0</v>
      </c>
      <c r="G246" s="192">
        <f t="shared" ref="G246:I246" si="241">+G244-G247-G245</f>
        <v>0</v>
      </c>
      <c r="H246" s="192">
        <f t="shared" si="241"/>
        <v>0</v>
      </c>
      <c r="I246" s="192">
        <f t="shared" si="241"/>
        <v>0</v>
      </c>
      <c r="J246" s="193">
        <v>0.3</v>
      </c>
    </row>
    <row r="247" spans="1:17" s="65" customFormat="1" ht="18" customHeight="1">
      <c r="A247" s="410"/>
      <c r="B247" s="401"/>
      <c r="C247" s="402"/>
      <c r="D247" s="348" t="s">
        <v>33</v>
      </c>
      <c r="E247" s="192">
        <f t="shared" si="228"/>
        <v>0</v>
      </c>
      <c r="F247" s="192">
        <v>0</v>
      </c>
      <c r="G247" s="192">
        <v>0</v>
      </c>
      <c r="H247" s="192">
        <v>0</v>
      </c>
      <c r="I247" s="192">
        <v>0</v>
      </c>
      <c r="J247" s="193"/>
    </row>
    <row r="248" spans="1:17" s="65" customFormat="1" ht="18" customHeight="1">
      <c r="A248" s="410"/>
      <c r="B248" s="416" t="s">
        <v>40</v>
      </c>
      <c r="C248" s="402" t="s">
        <v>76</v>
      </c>
      <c r="D248" s="348" t="s">
        <v>18</v>
      </c>
      <c r="E248" s="192">
        <f t="shared" ref="E248:E251" si="242">SUM(F248:I248)</f>
        <v>3988</v>
      </c>
      <c r="F248" s="192">
        <f>+F256+F268+F260+F264+F252</f>
        <v>3988</v>
      </c>
      <c r="G248" s="192">
        <f t="shared" ref="G248:I248" si="243">+G256+G268+G260+G264+G252</f>
        <v>0</v>
      </c>
      <c r="H248" s="192">
        <f t="shared" si="243"/>
        <v>0</v>
      </c>
      <c r="I248" s="192">
        <f t="shared" si="243"/>
        <v>0</v>
      </c>
      <c r="J248" s="193"/>
    </row>
    <row r="249" spans="1:17" s="65" customFormat="1" ht="18" customHeight="1">
      <c r="A249" s="410"/>
      <c r="B249" s="417"/>
      <c r="C249" s="402"/>
      <c r="D249" s="348" t="s">
        <v>29</v>
      </c>
      <c r="E249" s="192">
        <f t="shared" si="242"/>
        <v>2792</v>
      </c>
      <c r="F249" s="192">
        <f t="shared" ref="F249:I249" si="244">+F257+F269+F261+F265+F253</f>
        <v>2792</v>
      </c>
      <c r="G249" s="192">
        <f t="shared" si="244"/>
        <v>0</v>
      </c>
      <c r="H249" s="192">
        <f t="shared" si="244"/>
        <v>0</v>
      </c>
      <c r="I249" s="192">
        <f t="shared" si="244"/>
        <v>0</v>
      </c>
      <c r="J249" s="193"/>
    </row>
    <row r="250" spans="1:17" s="65" customFormat="1" ht="18" customHeight="1">
      <c r="A250" s="410"/>
      <c r="B250" s="417"/>
      <c r="C250" s="402"/>
      <c r="D250" s="348" t="s">
        <v>31</v>
      </c>
      <c r="E250" s="192">
        <f t="shared" si="242"/>
        <v>1196</v>
      </c>
      <c r="F250" s="192">
        <f t="shared" ref="F250:I250" si="245">+F258+F270+F262+F266+F254</f>
        <v>1196</v>
      </c>
      <c r="G250" s="192">
        <f t="shared" si="245"/>
        <v>0</v>
      </c>
      <c r="H250" s="192">
        <f t="shared" si="245"/>
        <v>0</v>
      </c>
      <c r="I250" s="192">
        <f t="shared" si="245"/>
        <v>0</v>
      </c>
      <c r="J250" s="193"/>
    </row>
    <row r="251" spans="1:17" s="65" customFormat="1" ht="18" customHeight="1">
      <c r="A251" s="410"/>
      <c r="B251" s="417"/>
      <c r="C251" s="402"/>
      <c r="D251" s="348" t="s">
        <v>33</v>
      </c>
      <c r="E251" s="192">
        <f t="shared" si="242"/>
        <v>0</v>
      </c>
      <c r="F251" s="192">
        <f t="shared" ref="F251:I251" si="246">+F259+F271+F263+F267+F255</f>
        <v>0</v>
      </c>
      <c r="G251" s="192">
        <f t="shared" si="246"/>
        <v>0</v>
      </c>
      <c r="H251" s="192">
        <f t="shared" si="246"/>
        <v>0</v>
      </c>
      <c r="I251" s="192">
        <f t="shared" si="246"/>
        <v>0</v>
      </c>
      <c r="J251" s="193"/>
    </row>
    <row r="252" spans="1:17" s="65" customFormat="1" ht="18" customHeight="1">
      <c r="A252" s="410"/>
      <c r="B252" s="417"/>
      <c r="C252" s="401" t="s">
        <v>36</v>
      </c>
      <c r="D252" s="348" t="s">
        <v>18</v>
      </c>
      <c r="E252" s="192">
        <f t="shared" ref="E252:E255" si="247">SUM(F252:I252)</f>
        <v>0</v>
      </c>
      <c r="F252" s="192">
        <v>0</v>
      </c>
      <c r="G252" s="192">
        <v>0</v>
      </c>
      <c r="H252" s="192">
        <v>0</v>
      </c>
      <c r="I252" s="192">
        <v>0</v>
      </c>
      <c r="J252" s="193"/>
      <c r="L252" s="182"/>
      <c r="M252" s="182" t="s">
        <v>63</v>
      </c>
      <c r="N252" s="182" t="s">
        <v>64</v>
      </c>
      <c r="O252" s="182" t="s">
        <v>65</v>
      </c>
      <c r="P252" s="182" t="s">
        <v>66</v>
      </c>
      <c r="Q252" s="182" t="s">
        <v>29</v>
      </c>
    </row>
    <row r="253" spans="1:17" s="65" customFormat="1" ht="18" customHeight="1">
      <c r="A253" s="410"/>
      <c r="B253" s="417"/>
      <c r="C253" s="402"/>
      <c r="D253" s="348" t="s">
        <v>29</v>
      </c>
      <c r="E253" s="192">
        <f t="shared" si="247"/>
        <v>0</v>
      </c>
      <c r="F253" s="192">
        <f>+ROUND((M253*$Q253)+(M254*$Q254),0)</f>
        <v>0</v>
      </c>
      <c r="G253" s="192">
        <f t="shared" ref="G253" si="248">+ROUND((N253*$Q253)+(N254*$Q254),0)</f>
        <v>0</v>
      </c>
      <c r="H253" s="192">
        <f t="shared" ref="H253" si="249">+ROUND((O253*$Q253)+(O254*$Q254),0)</f>
        <v>0</v>
      </c>
      <c r="I253" s="192">
        <f t="shared" ref="I253" si="250">+ROUND((P253*$Q253)+(P254*$Q254),0)</f>
        <v>0</v>
      </c>
      <c r="J253" s="134" t="s">
        <v>221</v>
      </c>
      <c r="L253" s="182" t="s">
        <v>61</v>
      </c>
      <c r="M253" s="183">
        <v>0</v>
      </c>
      <c r="N253" s="183">
        <v>0</v>
      </c>
      <c r="O253" s="183">
        <v>0</v>
      </c>
      <c r="P253" s="183">
        <v>0</v>
      </c>
      <c r="Q253" s="184">
        <v>0.5</v>
      </c>
    </row>
    <row r="254" spans="1:17" s="65" customFormat="1" ht="18" customHeight="1">
      <c r="A254" s="410"/>
      <c r="B254" s="417"/>
      <c r="C254" s="402"/>
      <c r="D254" s="348" t="s">
        <v>31</v>
      </c>
      <c r="E254" s="192">
        <f t="shared" si="247"/>
        <v>0</v>
      </c>
      <c r="F254" s="192">
        <f>+F252-F255-F253</f>
        <v>0</v>
      </c>
      <c r="G254" s="192">
        <f t="shared" ref="G254:I254" si="251">+G252-G255-G253</f>
        <v>0</v>
      </c>
      <c r="H254" s="192">
        <f t="shared" si="251"/>
        <v>0</v>
      </c>
      <c r="I254" s="192">
        <f t="shared" si="251"/>
        <v>0</v>
      </c>
      <c r="J254" s="134" t="s">
        <v>221</v>
      </c>
      <c r="L254" s="182" t="s">
        <v>62</v>
      </c>
      <c r="M254" s="183">
        <v>0</v>
      </c>
      <c r="N254" s="183">
        <v>0</v>
      </c>
      <c r="O254" s="183">
        <v>0</v>
      </c>
      <c r="P254" s="183">
        <v>0</v>
      </c>
      <c r="Q254" s="184">
        <v>0.5</v>
      </c>
    </row>
    <row r="255" spans="1:17" s="65" customFormat="1" ht="18" customHeight="1">
      <c r="A255" s="410"/>
      <c r="B255" s="417"/>
      <c r="C255" s="402"/>
      <c r="D255" s="348" t="s">
        <v>88</v>
      </c>
      <c r="E255" s="192">
        <f t="shared" si="247"/>
        <v>0</v>
      </c>
      <c r="F255" s="192">
        <v>0</v>
      </c>
      <c r="G255" s="192">
        <f>+'3.3 원인자부담금'!E136</f>
        <v>0</v>
      </c>
      <c r="H255" s="192">
        <f>+'3.3 원인자부담금'!F136</f>
        <v>0</v>
      </c>
      <c r="I255" s="192">
        <f>+'3.3 원인자부담금'!G136</f>
        <v>0</v>
      </c>
      <c r="J255" s="194"/>
      <c r="L255" s="182" t="s">
        <v>2</v>
      </c>
      <c r="M255" s="183">
        <f>SUM(M253:M254)</f>
        <v>0</v>
      </c>
      <c r="N255" s="183">
        <f t="shared" ref="N255:P255" si="252">SUM(N253:N254)</f>
        <v>0</v>
      </c>
      <c r="O255" s="183">
        <f t="shared" si="252"/>
        <v>0</v>
      </c>
      <c r="P255" s="183">
        <f t="shared" si="252"/>
        <v>0</v>
      </c>
      <c r="Q255" s="182"/>
    </row>
    <row r="256" spans="1:17" s="65" customFormat="1" ht="18" customHeight="1">
      <c r="A256" s="410"/>
      <c r="B256" s="417"/>
      <c r="C256" s="401" t="s">
        <v>37</v>
      </c>
      <c r="D256" s="348" t="s">
        <v>18</v>
      </c>
      <c r="E256" s="192">
        <f t="shared" ref="E256:E259" si="253">SUM(F256:I256)</f>
        <v>3988</v>
      </c>
      <c r="F256" s="192">
        <f>'[3]1.7 맹동처리구역'!E8</f>
        <v>3988</v>
      </c>
      <c r="G256" s="192">
        <f>'[3]1.7 맹동처리구역'!F8</f>
        <v>0</v>
      </c>
      <c r="H256" s="192">
        <f>'[3]1.7 맹동처리구역'!G8</f>
        <v>0</v>
      </c>
      <c r="I256" s="192">
        <f>'[3]1.7 맹동처리구역'!H8</f>
        <v>0</v>
      </c>
      <c r="J256" s="193"/>
    </row>
    <row r="257" spans="1:17" s="65" customFormat="1" ht="18" customHeight="1">
      <c r="A257" s="410"/>
      <c r="B257" s="417"/>
      <c r="C257" s="402"/>
      <c r="D257" s="348" t="s">
        <v>29</v>
      </c>
      <c r="E257" s="192">
        <f t="shared" si="253"/>
        <v>2792</v>
      </c>
      <c r="F257" s="192">
        <f>+ROUND((F256-F259)*$J257,0)</f>
        <v>2792</v>
      </c>
      <c r="G257" s="192">
        <f t="shared" ref="G257:I257" si="254">+ROUND((G256-G259)*$J257,0)</f>
        <v>0</v>
      </c>
      <c r="H257" s="192">
        <f t="shared" si="254"/>
        <v>0</v>
      </c>
      <c r="I257" s="192">
        <f t="shared" si="254"/>
        <v>0</v>
      </c>
      <c r="J257" s="193">
        <v>0.7</v>
      </c>
    </row>
    <row r="258" spans="1:17" s="65" customFormat="1" ht="18" customHeight="1">
      <c r="A258" s="410"/>
      <c r="B258" s="417"/>
      <c r="C258" s="402"/>
      <c r="D258" s="348" t="s">
        <v>31</v>
      </c>
      <c r="E258" s="192">
        <f t="shared" si="253"/>
        <v>1196</v>
      </c>
      <c r="F258" s="192">
        <f>+F256-F259-F257</f>
        <v>1196</v>
      </c>
      <c r="G258" s="192">
        <f t="shared" ref="G258:I258" si="255">+G256-G259-G257</f>
        <v>0</v>
      </c>
      <c r="H258" s="192">
        <f t="shared" si="255"/>
        <v>0</v>
      </c>
      <c r="I258" s="192">
        <f t="shared" si="255"/>
        <v>0</v>
      </c>
      <c r="J258" s="193">
        <v>0.3</v>
      </c>
    </row>
    <row r="259" spans="1:17" s="65" customFormat="1" ht="18" customHeight="1">
      <c r="A259" s="410"/>
      <c r="B259" s="417"/>
      <c r="C259" s="402"/>
      <c r="D259" s="348" t="s">
        <v>33</v>
      </c>
      <c r="E259" s="192">
        <f t="shared" si="253"/>
        <v>0</v>
      </c>
      <c r="F259" s="192">
        <v>0</v>
      </c>
      <c r="G259" s="192">
        <v>0</v>
      </c>
      <c r="H259" s="192">
        <v>0</v>
      </c>
      <c r="I259" s="192">
        <v>0</v>
      </c>
      <c r="J259" s="193"/>
    </row>
    <row r="260" spans="1:17" s="65" customFormat="1" ht="18" customHeight="1">
      <c r="A260" s="410"/>
      <c r="B260" s="417"/>
      <c r="C260" s="401" t="s">
        <v>145</v>
      </c>
      <c r="D260" s="348" t="s">
        <v>18</v>
      </c>
      <c r="E260" s="192">
        <f t="shared" ref="E260:E267" si="256">SUM(F260:I260)</f>
        <v>0</v>
      </c>
      <c r="F260" s="192">
        <f>M263</f>
        <v>0</v>
      </c>
      <c r="G260" s="192">
        <f t="shared" ref="G260" si="257">N263</f>
        <v>0</v>
      </c>
      <c r="H260" s="192">
        <f t="shared" ref="H260" si="258">O263</f>
        <v>0</v>
      </c>
      <c r="I260" s="192">
        <f t="shared" ref="I260" si="259">P263</f>
        <v>0</v>
      </c>
      <c r="J260" s="193"/>
      <c r="L260" s="182"/>
      <c r="M260" s="182" t="s">
        <v>63</v>
      </c>
      <c r="N260" s="182" t="s">
        <v>64</v>
      </c>
      <c r="O260" s="182" t="s">
        <v>65</v>
      </c>
      <c r="P260" s="182" t="s">
        <v>66</v>
      </c>
      <c r="Q260" s="182" t="s">
        <v>29</v>
      </c>
    </row>
    <row r="261" spans="1:17" s="65" customFormat="1" ht="18" customHeight="1">
      <c r="A261" s="410"/>
      <c r="B261" s="417"/>
      <c r="C261" s="402"/>
      <c r="D261" s="348" t="s">
        <v>29</v>
      </c>
      <c r="E261" s="192">
        <f t="shared" si="256"/>
        <v>0</v>
      </c>
      <c r="F261" s="192">
        <f>+ROUND((M261*$Q261)+(M262*$Q262),0)</f>
        <v>0</v>
      </c>
      <c r="G261" s="192">
        <f t="shared" ref="G261" si="260">+ROUND((N261*$Q261)+(N262*$Q262),0)</f>
        <v>0</v>
      </c>
      <c r="H261" s="192">
        <f t="shared" ref="H261" si="261">+ROUND((O261*$Q261)+(O262*$Q262),0)</f>
        <v>0</v>
      </c>
      <c r="I261" s="192">
        <f t="shared" ref="I261" si="262">+ROUND((P261*$Q261)+(P262*$Q262),0)</f>
        <v>0</v>
      </c>
      <c r="J261" s="134" t="s">
        <v>221</v>
      </c>
      <c r="L261" s="182" t="s">
        <v>61</v>
      </c>
      <c r="M261" s="183">
        <f>'[3]1.5 생극처리구역'!E89</f>
        <v>0</v>
      </c>
      <c r="N261" s="183">
        <f>'[3]1.5 생극처리구역'!F89</f>
        <v>0</v>
      </c>
      <c r="O261" s="183">
        <f>'[3]1.5 생극처리구역'!G89</f>
        <v>0</v>
      </c>
      <c r="P261" s="183">
        <f>'[3]1.5 생극처리구역'!H89</f>
        <v>0</v>
      </c>
      <c r="Q261" s="184">
        <v>0.5</v>
      </c>
    </row>
    <row r="262" spans="1:17" s="65" customFormat="1" ht="18" customHeight="1">
      <c r="A262" s="410"/>
      <c r="B262" s="417"/>
      <c r="C262" s="402"/>
      <c r="D262" s="348" t="s">
        <v>31</v>
      </c>
      <c r="E262" s="192">
        <f t="shared" si="256"/>
        <v>0</v>
      </c>
      <c r="F262" s="192">
        <f>+F260-F263-F261</f>
        <v>0</v>
      </c>
      <c r="G262" s="192">
        <f t="shared" ref="G262:I262" si="263">+G260-G263-G261</f>
        <v>0</v>
      </c>
      <c r="H262" s="192">
        <f t="shared" si="263"/>
        <v>0</v>
      </c>
      <c r="I262" s="192">
        <f t="shared" si="263"/>
        <v>0</v>
      </c>
      <c r="J262" s="134" t="s">
        <v>221</v>
      </c>
      <c r="L262" s="182" t="s">
        <v>62</v>
      </c>
      <c r="M262" s="183">
        <f>'[3]1.5 생극처리구역'!E90</f>
        <v>0</v>
      </c>
      <c r="N262" s="183">
        <f>'[3]1.5 생극처리구역'!F90</f>
        <v>0</v>
      </c>
      <c r="O262" s="183">
        <f>'[3]1.5 생극처리구역'!G90</f>
        <v>0</v>
      </c>
      <c r="P262" s="183">
        <f>'[3]1.5 생극처리구역'!H90</f>
        <v>0</v>
      </c>
      <c r="Q262" s="184">
        <v>0.5</v>
      </c>
    </row>
    <row r="263" spans="1:17" s="65" customFormat="1" ht="18" customHeight="1">
      <c r="A263" s="411"/>
      <c r="B263" s="418"/>
      <c r="C263" s="419"/>
      <c r="D263" s="350" t="s">
        <v>33</v>
      </c>
      <c r="E263" s="351">
        <f t="shared" si="256"/>
        <v>0</v>
      </c>
      <c r="F263" s="351">
        <v>0</v>
      </c>
      <c r="G263" s="351">
        <v>0</v>
      </c>
      <c r="H263" s="351">
        <v>0</v>
      </c>
      <c r="I263" s="351">
        <v>0</v>
      </c>
      <c r="J263" s="352"/>
      <c r="L263" s="182" t="s">
        <v>2</v>
      </c>
      <c r="M263" s="183">
        <f>SUM(M261:M262)</f>
        <v>0</v>
      </c>
      <c r="N263" s="183">
        <f t="shared" ref="N263:P263" si="264">SUM(N261:N262)</f>
        <v>0</v>
      </c>
      <c r="O263" s="183">
        <f t="shared" si="264"/>
        <v>0</v>
      </c>
      <c r="P263" s="183">
        <f t="shared" si="264"/>
        <v>0</v>
      </c>
      <c r="Q263" s="182"/>
    </row>
    <row r="264" spans="1:17" s="65" customFormat="1" ht="18" customHeight="1">
      <c r="A264" s="412" t="s">
        <v>118</v>
      </c>
      <c r="B264" s="415" t="s">
        <v>40</v>
      </c>
      <c r="C264" s="420" t="s">
        <v>148</v>
      </c>
      <c r="D264" s="347" t="s">
        <v>18</v>
      </c>
      <c r="E264" s="284">
        <f t="shared" si="256"/>
        <v>0</v>
      </c>
      <c r="F264" s="284">
        <v>0</v>
      </c>
      <c r="G264" s="284">
        <v>0</v>
      </c>
      <c r="H264" s="284">
        <v>0</v>
      </c>
      <c r="I264" s="284">
        <v>0</v>
      </c>
      <c r="J264" s="285"/>
      <c r="L264" s="185"/>
      <c r="M264" s="185"/>
      <c r="N264" s="185"/>
      <c r="O264" s="185"/>
      <c r="P264" s="185"/>
      <c r="Q264" s="185"/>
    </row>
    <row r="265" spans="1:17" s="65" customFormat="1" ht="18" customHeight="1">
      <c r="A265" s="413"/>
      <c r="B265" s="399"/>
      <c r="C265" s="399"/>
      <c r="D265" s="345" t="s">
        <v>29</v>
      </c>
      <c r="E265" s="287">
        <f t="shared" si="256"/>
        <v>0</v>
      </c>
      <c r="F265" s="287">
        <f>+ROUND((F264-F267)*$J265,0)</f>
        <v>0</v>
      </c>
      <c r="G265" s="287">
        <v>0</v>
      </c>
      <c r="H265" s="287">
        <f t="shared" ref="H265:I265" si="265">+ROUND((H264-H267)*$J265,0)</f>
        <v>0</v>
      </c>
      <c r="I265" s="287">
        <f t="shared" si="265"/>
        <v>0</v>
      </c>
      <c r="J265" s="288">
        <v>0.7</v>
      </c>
      <c r="K265" s="188"/>
      <c r="L265" s="185"/>
      <c r="M265" s="186"/>
      <c r="N265" s="186"/>
      <c r="O265" s="186"/>
      <c r="P265" s="186"/>
      <c r="Q265" s="187"/>
    </row>
    <row r="266" spans="1:17" s="65" customFormat="1" ht="18" customHeight="1">
      <c r="A266" s="413"/>
      <c r="B266" s="399"/>
      <c r="C266" s="399"/>
      <c r="D266" s="345" t="s">
        <v>31</v>
      </c>
      <c r="E266" s="287">
        <f t="shared" si="256"/>
        <v>0</v>
      </c>
      <c r="F266" s="287">
        <f>+F264-F267-F265</f>
        <v>0</v>
      </c>
      <c r="G266" s="287">
        <v>0</v>
      </c>
      <c r="H266" s="287">
        <f t="shared" ref="H266:I266" si="266">+H264-H267-H265</f>
        <v>0</v>
      </c>
      <c r="I266" s="287">
        <f t="shared" si="266"/>
        <v>0</v>
      </c>
      <c r="J266" s="288">
        <v>0.3</v>
      </c>
      <c r="K266" s="188"/>
      <c r="L266" s="185"/>
      <c r="M266" s="186"/>
      <c r="N266" s="186"/>
      <c r="O266" s="186"/>
      <c r="P266" s="186"/>
      <c r="Q266" s="187"/>
    </row>
    <row r="267" spans="1:17" s="65" customFormat="1" ht="18" customHeight="1">
      <c r="A267" s="413"/>
      <c r="B267" s="399"/>
      <c r="C267" s="399"/>
      <c r="D267" s="345" t="s">
        <v>33</v>
      </c>
      <c r="E267" s="287">
        <f t="shared" si="256"/>
        <v>0</v>
      </c>
      <c r="F267" s="287">
        <v>0</v>
      </c>
      <c r="G267" s="287">
        <v>0</v>
      </c>
      <c r="H267" s="287">
        <v>0</v>
      </c>
      <c r="I267" s="287">
        <v>0</v>
      </c>
      <c r="J267" s="288"/>
      <c r="L267" s="185"/>
      <c r="M267" s="186"/>
      <c r="N267" s="186"/>
      <c r="O267" s="186"/>
      <c r="P267" s="186"/>
      <c r="Q267" s="185"/>
    </row>
    <row r="268" spans="1:17" s="65" customFormat="1" ht="18" customHeight="1">
      <c r="A268" s="413"/>
      <c r="B268" s="399"/>
      <c r="C268" s="398" t="s">
        <v>42</v>
      </c>
      <c r="D268" s="345" t="s">
        <v>18</v>
      </c>
      <c r="E268" s="287">
        <f t="shared" ref="E268:E271" si="267">SUM(F268:I268)</f>
        <v>0</v>
      </c>
      <c r="F268" s="287">
        <f>M271</f>
        <v>0</v>
      </c>
      <c r="G268" s="287">
        <f t="shared" ref="G268" si="268">N271</f>
        <v>0</v>
      </c>
      <c r="H268" s="287">
        <f t="shared" ref="H268" si="269">O271</f>
        <v>0</v>
      </c>
      <c r="I268" s="287">
        <f t="shared" ref="I268" si="270">P271</f>
        <v>0</v>
      </c>
      <c r="J268" s="288"/>
      <c r="L268" s="182"/>
      <c r="M268" s="182" t="s">
        <v>63</v>
      </c>
      <c r="N268" s="182" t="s">
        <v>64</v>
      </c>
      <c r="O268" s="182" t="s">
        <v>65</v>
      </c>
      <c r="P268" s="182" t="s">
        <v>66</v>
      </c>
      <c r="Q268" s="182" t="s">
        <v>29</v>
      </c>
    </row>
    <row r="269" spans="1:17" s="65" customFormat="1" ht="18" customHeight="1">
      <c r="A269" s="413"/>
      <c r="B269" s="399"/>
      <c r="C269" s="399"/>
      <c r="D269" s="345" t="s">
        <v>29</v>
      </c>
      <c r="E269" s="287">
        <f t="shared" si="267"/>
        <v>0</v>
      </c>
      <c r="F269" s="287">
        <f>+ROUND((M269*$Q269)+(M270*$Q270),0)</f>
        <v>0</v>
      </c>
      <c r="G269" s="287">
        <f t="shared" ref="G269" si="271">+ROUND((N269*$Q269)+(N270*$Q270),0)</f>
        <v>0</v>
      </c>
      <c r="H269" s="287">
        <f t="shared" ref="H269" si="272">+ROUND((O269*$Q269)+(O270*$Q270),0)</f>
        <v>0</v>
      </c>
      <c r="I269" s="287">
        <f t="shared" ref="I269" si="273">+ROUND((P269*$Q269)+(P270*$Q270),0)</f>
        <v>0</v>
      </c>
      <c r="J269" s="293" t="s">
        <v>221</v>
      </c>
      <c r="L269" s="182" t="s">
        <v>61</v>
      </c>
      <c r="M269" s="183">
        <f>'[3]1.5 생극처리구역'!E93</f>
        <v>0</v>
      </c>
      <c r="N269" s="183">
        <f>'[3]1.5 생극처리구역'!F93</f>
        <v>0</v>
      </c>
      <c r="O269" s="183">
        <f>'[3]1.5 생극처리구역'!G93</f>
        <v>0</v>
      </c>
      <c r="P269" s="183">
        <f>'[3]1.5 생극처리구역'!H93</f>
        <v>0</v>
      </c>
      <c r="Q269" s="184">
        <v>0.5</v>
      </c>
    </row>
    <row r="270" spans="1:17" s="65" customFormat="1" ht="18" customHeight="1">
      <c r="A270" s="413"/>
      <c r="B270" s="399"/>
      <c r="C270" s="399"/>
      <c r="D270" s="345" t="s">
        <v>31</v>
      </c>
      <c r="E270" s="287">
        <f t="shared" si="267"/>
        <v>0</v>
      </c>
      <c r="F270" s="287">
        <f>+F268-F271-F269</f>
        <v>0</v>
      </c>
      <c r="G270" s="287">
        <f t="shared" ref="G270:I270" si="274">+G268-G271-G269</f>
        <v>0</v>
      </c>
      <c r="H270" s="287">
        <f t="shared" si="274"/>
        <v>0</v>
      </c>
      <c r="I270" s="287">
        <f t="shared" si="274"/>
        <v>0</v>
      </c>
      <c r="J270" s="293" t="s">
        <v>221</v>
      </c>
      <c r="L270" s="182" t="s">
        <v>62</v>
      </c>
      <c r="M270" s="183">
        <f>'[3]1.5 생극처리구역'!E94</f>
        <v>0</v>
      </c>
      <c r="N270" s="183">
        <f>'[3]1.5 생극처리구역'!F94</f>
        <v>0</v>
      </c>
      <c r="O270" s="183">
        <f>'[3]1.5 생극처리구역'!G94</f>
        <v>0</v>
      </c>
      <c r="P270" s="183">
        <f>'[3]1.5 생극처리구역'!H94</f>
        <v>0</v>
      </c>
      <c r="Q270" s="184">
        <v>0.5</v>
      </c>
    </row>
    <row r="271" spans="1:17" s="65" customFormat="1" ht="18" customHeight="1">
      <c r="A271" s="414"/>
      <c r="B271" s="400"/>
      <c r="C271" s="400"/>
      <c r="D271" s="346" t="s">
        <v>33</v>
      </c>
      <c r="E271" s="290">
        <f t="shared" si="267"/>
        <v>0</v>
      </c>
      <c r="F271" s="290">
        <v>0</v>
      </c>
      <c r="G271" s="290">
        <v>0</v>
      </c>
      <c r="H271" s="290">
        <v>0</v>
      </c>
      <c r="I271" s="290">
        <v>0</v>
      </c>
      <c r="J271" s="291"/>
      <c r="L271" s="182" t="s">
        <v>2</v>
      </c>
      <c r="M271" s="183">
        <f>SUM(M269:M270)</f>
        <v>0</v>
      </c>
      <c r="N271" s="183">
        <f t="shared" ref="N271:P271" si="275">SUM(N269:N270)</f>
        <v>0</v>
      </c>
      <c r="O271" s="183">
        <f t="shared" si="275"/>
        <v>0</v>
      </c>
      <c r="P271" s="183">
        <f t="shared" si="275"/>
        <v>0</v>
      </c>
      <c r="Q271" s="182"/>
    </row>
    <row r="272" spans="1:17" s="65" customFormat="1" ht="19.5" customHeight="1">
      <c r="A272" s="412" t="s">
        <v>79</v>
      </c>
      <c r="B272" s="415" t="s">
        <v>72</v>
      </c>
      <c r="C272" s="415"/>
      <c r="D272" s="283" t="s">
        <v>18</v>
      </c>
      <c r="E272" s="284">
        <f t="shared" ref="E272:E275" si="276">SUM(F272:I272)</f>
        <v>31623</v>
      </c>
      <c r="F272" s="284">
        <f>F276</f>
        <v>31623</v>
      </c>
      <c r="G272" s="284">
        <f t="shared" ref="G272:I272" si="277">G276</f>
        <v>0</v>
      </c>
      <c r="H272" s="284">
        <f t="shared" si="277"/>
        <v>0</v>
      </c>
      <c r="I272" s="284">
        <f t="shared" si="277"/>
        <v>0</v>
      </c>
      <c r="J272" s="285"/>
    </row>
    <row r="273" spans="1:10" s="65" customFormat="1" ht="19.5" customHeight="1">
      <c r="A273" s="413"/>
      <c r="B273" s="399"/>
      <c r="C273" s="399"/>
      <c r="D273" s="286" t="s">
        <v>29</v>
      </c>
      <c r="E273" s="287">
        <f t="shared" si="276"/>
        <v>22137</v>
      </c>
      <c r="F273" s="287">
        <f t="shared" ref="F273:I273" si="278">F277</f>
        <v>22137</v>
      </c>
      <c r="G273" s="287">
        <f t="shared" si="278"/>
        <v>0</v>
      </c>
      <c r="H273" s="287">
        <f t="shared" si="278"/>
        <v>0</v>
      </c>
      <c r="I273" s="287">
        <f t="shared" si="278"/>
        <v>0</v>
      </c>
      <c r="J273" s="288"/>
    </row>
    <row r="274" spans="1:10" s="65" customFormat="1" ht="19.5" customHeight="1">
      <c r="A274" s="413"/>
      <c r="B274" s="399"/>
      <c r="C274" s="399"/>
      <c r="D274" s="286" t="s">
        <v>31</v>
      </c>
      <c r="E274" s="287">
        <f t="shared" si="276"/>
        <v>9486</v>
      </c>
      <c r="F274" s="287">
        <f t="shared" ref="F274:I274" si="279">F278</f>
        <v>9486</v>
      </c>
      <c r="G274" s="287">
        <f t="shared" si="279"/>
        <v>0</v>
      </c>
      <c r="H274" s="287">
        <f t="shared" si="279"/>
        <v>0</v>
      </c>
      <c r="I274" s="287">
        <f t="shared" si="279"/>
        <v>0</v>
      </c>
      <c r="J274" s="288"/>
    </row>
    <row r="275" spans="1:10" s="65" customFormat="1" ht="19.5" customHeight="1">
      <c r="A275" s="413"/>
      <c r="B275" s="399"/>
      <c r="C275" s="399"/>
      <c r="D275" s="286" t="s">
        <v>33</v>
      </c>
      <c r="E275" s="287">
        <f t="shared" si="276"/>
        <v>0</v>
      </c>
      <c r="F275" s="287">
        <f t="shared" ref="F275:I275" si="280">F279</f>
        <v>0</v>
      </c>
      <c r="G275" s="287">
        <f t="shared" si="280"/>
        <v>0</v>
      </c>
      <c r="H275" s="287">
        <f t="shared" si="280"/>
        <v>0</v>
      </c>
      <c r="I275" s="287">
        <f t="shared" si="280"/>
        <v>0</v>
      </c>
      <c r="J275" s="288"/>
    </row>
    <row r="276" spans="1:10" s="65" customFormat="1" ht="19.5" customHeight="1">
      <c r="A276" s="413"/>
      <c r="B276" s="398" t="s">
        <v>43</v>
      </c>
      <c r="C276" s="398" t="s">
        <v>77</v>
      </c>
      <c r="D276" s="286" t="s">
        <v>18</v>
      </c>
      <c r="E276" s="287">
        <f t="shared" ref="E276:E279" si="281">SUM(F276:I276)</f>
        <v>31623</v>
      </c>
      <c r="F276" s="287">
        <f>F280+F284+F288+F292+F296+F300+F304+F308+F312+F316+F320</f>
        <v>31623</v>
      </c>
      <c r="G276" s="287">
        <f t="shared" ref="G276:I276" si="282">G280+G284+G288+G292+G296+G300+G304+G308+G312+G316+G320</f>
        <v>0</v>
      </c>
      <c r="H276" s="287">
        <f t="shared" si="282"/>
        <v>0</v>
      </c>
      <c r="I276" s="287">
        <f t="shared" si="282"/>
        <v>0</v>
      </c>
      <c r="J276" s="288"/>
    </row>
    <row r="277" spans="1:10" s="65" customFormat="1" ht="19.5" customHeight="1">
      <c r="A277" s="413"/>
      <c r="B277" s="398"/>
      <c r="C277" s="399"/>
      <c r="D277" s="286" t="s">
        <v>29</v>
      </c>
      <c r="E277" s="287">
        <f t="shared" si="281"/>
        <v>22137</v>
      </c>
      <c r="F277" s="287">
        <f t="shared" ref="F277:I277" si="283">F281+F285+F289+F293+F297+F301+F305+F309+F313+F317+F321</f>
        <v>22137</v>
      </c>
      <c r="G277" s="287">
        <f t="shared" si="283"/>
        <v>0</v>
      </c>
      <c r="H277" s="287">
        <f t="shared" si="283"/>
        <v>0</v>
      </c>
      <c r="I277" s="287">
        <f t="shared" si="283"/>
        <v>0</v>
      </c>
      <c r="J277" s="288">
        <v>0.7</v>
      </c>
    </row>
    <row r="278" spans="1:10" s="65" customFormat="1" ht="19.5" customHeight="1">
      <c r="A278" s="413"/>
      <c r="B278" s="398"/>
      <c r="C278" s="399"/>
      <c r="D278" s="286" t="s">
        <v>31</v>
      </c>
      <c r="E278" s="287">
        <f t="shared" si="281"/>
        <v>9486</v>
      </c>
      <c r="F278" s="287">
        <f t="shared" ref="F278:I278" si="284">F282+F286+F290+F294+F298+F302+F306+F310+F314+F318+F322</f>
        <v>9486</v>
      </c>
      <c r="G278" s="287">
        <f t="shared" si="284"/>
        <v>0</v>
      </c>
      <c r="H278" s="287">
        <f t="shared" si="284"/>
        <v>0</v>
      </c>
      <c r="I278" s="287">
        <f t="shared" si="284"/>
        <v>0</v>
      </c>
      <c r="J278" s="288">
        <v>0.3</v>
      </c>
    </row>
    <row r="279" spans="1:10" s="65" customFormat="1" ht="19.5" customHeight="1">
      <c r="A279" s="413"/>
      <c r="B279" s="398"/>
      <c r="C279" s="399"/>
      <c r="D279" s="286" t="s">
        <v>33</v>
      </c>
      <c r="E279" s="287">
        <f t="shared" si="281"/>
        <v>0</v>
      </c>
      <c r="F279" s="287">
        <f t="shared" ref="F279:I279" si="285">F283+F287+F291+F295+F299+F303+F307+F311+F315+F319+F323</f>
        <v>0</v>
      </c>
      <c r="G279" s="287">
        <f t="shared" si="285"/>
        <v>0</v>
      </c>
      <c r="H279" s="287">
        <f t="shared" si="285"/>
        <v>0</v>
      </c>
      <c r="I279" s="287">
        <f t="shared" si="285"/>
        <v>0</v>
      </c>
      <c r="J279" s="288"/>
    </row>
    <row r="280" spans="1:10" s="65" customFormat="1" ht="19.5" customHeight="1">
      <c r="A280" s="413"/>
      <c r="B280" s="398"/>
      <c r="C280" s="398" t="s">
        <v>114</v>
      </c>
      <c r="D280" s="286" t="s">
        <v>18</v>
      </c>
      <c r="E280" s="287">
        <f t="shared" ref="E280:E315" si="286">SUM(F280:I280)</f>
        <v>3680</v>
      </c>
      <c r="F280" s="287">
        <f>'[3]1.9 소규모처리구역'!E5</f>
        <v>3680</v>
      </c>
      <c r="G280" s="287">
        <f>'[3]1.9 소규모처리구역'!F5</f>
        <v>0</v>
      </c>
      <c r="H280" s="287">
        <f>'[3]1.9 소규모처리구역'!G5</f>
        <v>0</v>
      </c>
      <c r="I280" s="287">
        <f>'[3]1.9 소규모처리구역'!H5</f>
        <v>0</v>
      </c>
      <c r="J280" s="288"/>
    </row>
    <row r="281" spans="1:10" s="65" customFormat="1" ht="19.5" customHeight="1">
      <c r="A281" s="413"/>
      <c r="B281" s="398"/>
      <c r="C281" s="399"/>
      <c r="D281" s="286" t="s">
        <v>29</v>
      </c>
      <c r="E281" s="287">
        <f t="shared" si="286"/>
        <v>2576</v>
      </c>
      <c r="F281" s="287">
        <f>+ROUND((F280-F283)*$J281,0)</f>
        <v>2576</v>
      </c>
      <c r="G281" s="287">
        <f t="shared" ref="G281" si="287">+ROUND((G280-G283)*$J281,0)</f>
        <v>0</v>
      </c>
      <c r="H281" s="287">
        <f t="shared" ref="H281" si="288">+ROUND((H280-H283)*$J281,0)</f>
        <v>0</v>
      </c>
      <c r="I281" s="287">
        <f t="shared" ref="I281" si="289">+ROUND((I280-I283)*$J281,0)</f>
        <v>0</v>
      </c>
      <c r="J281" s="288">
        <v>0.7</v>
      </c>
    </row>
    <row r="282" spans="1:10" s="65" customFormat="1" ht="19.5" customHeight="1">
      <c r="A282" s="413"/>
      <c r="B282" s="398"/>
      <c r="C282" s="399"/>
      <c r="D282" s="286" t="s">
        <v>31</v>
      </c>
      <c r="E282" s="287">
        <f t="shared" si="286"/>
        <v>1104</v>
      </c>
      <c r="F282" s="287">
        <f>+F280-F283-F281</f>
        <v>1104</v>
      </c>
      <c r="G282" s="287">
        <f t="shared" ref="G282" si="290">+G280-G283-G281</f>
        <v>0</v>
      </c>
      <c r="H282" s="287">
        <f t="shared" ref="H282" si="291">+H280-H283-H281</f>
        <v>0</v>
      </c>
      <c r="I282" s="287">
        <f t="shared" ref="I282" si="292">+I280-I283-I281</f>
        <v>0</v>
      </c>
      <c r="J282" s="288">
        <v>0.3</v>
      </c>
    </row>
    <row r="283" spans="1:10" s="65" customFormat="1" ht="19.5" customHeight="1">
      <c r="A283" s="413"/>
      <c r="B283" s="398"/>
      <c r="C283" s="399"/>
      <c r="D283" s="286" t="s">
        <v>33</v>
      </c>
      <c r="E283" s="287">
        <f t="shared" si="286"/>
        <v>0</v>
      </c>
      <c r="F283" s="287">
        <v>0</v>
      </c>
      <c r="G283" s="287">
        <v>0</v>
      </c>
      <c r="H283" s="287">
        <v>0</v>
      </c>
      <c r="I283" s="287">
        <v>0</v>
      </c>
      <c r="J283" s="288"/>
    </row>
    <row r="284" spans="1:10" s="65" customFormat="1" ht="19.5" customHeight="1">
      <c r="A284" s="413"/>
      <c r="B284" s="398"/>
      <c r="C284" s="398" t="s">
        <v>115</v>
      </c>
      <c r="D284" s="286" t="s">
        <v>18</v>
      </c>
      <c r="E284" s="287">
        <f t="shared" ref="E284:E295" si="293">SUM(F284:I284)</f>
        <v>5490</v>
      </c>
      <c r="F284" s="287">
        <f>'[3]1.9 소규모처리구역'!E8</f>
        <v>5490</v>
      </c>
      <c r="G284" s="287">
        <f>'[3]1.9 소규모처리구역'!F8</f>
        <v>0</v>
      </c>
      <c r="H284" s="287">
        <f>'[3]1.9 소규모처리구역'!G8</f>
        <v>0</v>
      </c>
      <c r="I284" s="287">
        <f>'[3]1.9 소규모처리구역'!H8</f>
        <v>0</v>
      </c>
      <c r="J284" s="288"/>
    </row>
    <row r="285" spans="1:10" s="65" customFormat="1" ht="19.5" customHeight="1">
      <c r="A285" s="413"/>
      <c r="B285" s="398"/>
      <c r="C285" s="399"/>
      <c r="D285" s="286" t="s">
        <v>29</v>
      </c>
      <c r="E285" s="287">
        <f t="shared" si="293"/>
        <v>3843</v>
      </c>
      <c r="F285" s="287">
        <f>+ROUND((F284-F287)*$J285,0)</f>
        <v>3843</v>
      </c>
      <c r="G285" s="287">
        <f t="shared" ref="G285:I285" si="294">+ROUND((G284-G287)*$J285,0)</f>
        <v>0</v>
      </c>
      <c r="H285" s="287">
        <f t="shared" si="294"/>
        <v>0</v>
      </c>
      <c r="I285" s="287">
        <f t="shared" si="294"/>
        <v>0</v>
      </c>
      <c r="J285" s="288">
        <v>0.7</v>
      </c>
    </row>
    <row r="286" spans="1:10" s="65" customFormat="1" ht="19.5" customHeight="1">
      <c r="A286" s="413"/>
      <c r="B286" s="398"/>
      <c r="C286" s="399"/>
      <c r="D286" s="286" t="s">
        <v>31</v>
      </c>
      <c r="E286" s="287">
        <f t="shared" si="293"/>
        <v>1647</v>
      </c>
      <c r="F286" s="287">
        <f>+F284-F287-F285</f>
        <v>1647</v>
      </c>
      <c r="G286" s="287">
        <f t="shared" ref="G286:I286" si="295">+G284-G287-G285</f>
        <v>0</v>
      </c>
      <c r="H286" s="287">
        <f t="shared" si="295"/>
        <v>0</v>
      </c>
      <c r="I286" s="287">
        <f t="shared" si="295"/>
        <v>0</v>
      </c>
      <c r="J286" s="288">
        <v>0.3</v>
      </c>
    </row>
    <row r="287" spans="1:10" s="65" customFormat="1" ht="19.5" customHeight="1">
      <c r="A287" s="413"/>
      <c r="B287" s="398"/>
      <c r="C287" s="399"/>
      <c r="D287" s="286" t="s">
        <v>33</v>
      </c>
      <c r="E287" s="287">
        <f t="shared" si="293"/>
        <v>0</v>
      </c>
      <c r="F287" s="287">
        <v>0</v>
      </c>
      <c r="G287" s="287">
        <v>0</v>
      </c>
      <c r="H287" s="287">
        <v>0</v>
      </c>
      <c r="I287" s="287">
        <v>0</v>
      </c>
      <c r="J287" s="288"/>
    </row>
    <row r="288" spans="1:10" s="65" customFormat="1" ht="19.5" customHeight="1">
      <c r="A288" s="413"/>
      <c r="B288" s="398"/>
      <c r="C288" s="398" t="s">
        <v>116</v>
      </c>
      <c r="D288" s="286" t="s">
        <v>18</v>
      </c>
      <c r="E288" s="287">
        <f t="shared" si="293"/>
        <v>5488</v>
      </c>
      <c r="F288" s="287">
        <f>'[3]1.9 소규모처리구역'!E11</f>
        <v>5488</v>
      </c>
      <c r="G288" s="287">
        <f>'[3]1.9 소규모처리구역'!F11</f>
        <v>0</v>
      </c>
      <c r="H288" s="287">
        <f>'[3]1.9 소규모처리구역'!G11</f>
        <v>0</v>
      </c>
      <c r="I288" s="287">
        <f>'[3]1.9 소규모처리구역'!H11</f>
        <v>0</v>
      </c>
      <c r="J288" s="288"/>
    </row>
    <row r="289" spans="1:10" s="65" customFormat="1" ht="19.5" customHeight="1">
      <c r="A289" s="413"/>
      <c r="B289" s="398"/>
      <c r="C289" s="399"/>
      <c r="D289" s="286" t="s">
        <v>29</v>
      </c>
      <c r="E289" s="287">
        <f t="shared" si="293"/>
        <v>3842</v>
      </c>
      <c r="F289" s="287">
        <f>+ROUND((F288-F291)*$J289,0)</f>
        <v>3842</v>
      </c>
      <c r="G289" s="287">
        <f t="shared" ref="G289:I289" si="296">+ROUND((G288-G291)*$J289,0)</f>
        <v>0</v>
      </c>
      <c r="H289" s="287">
        <f t="shared" si="296"/>
        <v>0</v>
      </c>
      <c r="I289" s="287">
        <f t="shared" si="296"/>
        <v>0</v>
      </c>
      <c r="J289" s="288">
        <v>0.7</v>
      </c>
    </row>
    <row r="290" spans="1:10" s="65" customFormat="1" ht="19.5" customHeight="1">
      <c r="A290" s="413"/>
      <c r="B290" s="398"/>
      <c r="C290" s="399"/>
      <c r="D290" s="286" t="s">
        <v>31</v>
      </c>
      <c r="E290" s="287">
        <f t="shared" si="293"/>
        <v>1646</v>
      </c>
      <c r="F290" s="287">
        <f>+F288-F291-F289</f>
        <v>1646</v>
      </c>
      <c r="G290" s="287">
        <f t="shared" ref="G290:I290" si="297">+G288-G291-G289</f>
        <v>0</v>
      </c>
      <c r="H290" s="287">
        <f t="shared" si="297"/>
        <v>0</v>
      </c>
      <c r="I290" s="287">
        <f t="shared" si="297"/>
        <v>0</v>
      </c>
      <c r="J290" s="288">
        <v>0.3</v>
      </c>
    </row>
    <row r="291" spans="1:10" s="65" customFormat="1" ht="19.5" customHeight="1">
      <c r="A291" s="413"/>
      <c r="B291" s="398"/>
      <c r="C291" s="399"/>
      <c r="D291" s="286" t="s">
        <v>33</v>
      </c>
      <c r="E291" s="287">
        <f t="shared" si="293"/>
        <v>0</v>
      </c>
      <c r="F291" s="287">
        <v>0</v>
      </c>
      <c r="G291" s="287">
        <v>0</v>
      </c>
      <c r="H291" s="287">
        <v>0</v>
      </c>
      <c r="I291" s="287">
        <v>0</v>
      </c>
      <c r="J291" s="288"/>
    </row>
    <row r="292" spans="1:10" s="65" customFormat="1" ht="19.5" customHeight="1">
      <c r="A292" s="413"/>
      <c r="B292" s="398"/>
      <c r="C292" s="398" t="s">
        <v>117</v>
      </c>
      <c r="D292" s="286" t="s">
        <v>18</v>
      </c>
      <c r="E292" s="287">
        <f t="shared" si="293"/>
        <v>5680</v>
      </c>
      <c r="F292" s="287">
        <f>'[3]1.9 소규모처리구역'!E14</f>
        <v>5680</v>
      </c>
      <c r="G292" s="287">
        <f>'[3]1.9 소규모처리구역'!F14</f>
        <v>0</v>
      </c>
      <c r="H292" s="287">
        <f>'[3]1.9 소규모처리구역'!G14</f>
        <v>0</v>
      </c>
      <c r="I292" s="287">
        <f>'[3]1.9 소규모처리구역'!H14</f>
        <v>0</v>
      </c>
      <c r="J292" s="288"/>
    </row>
    <row r="293" spans="1:10" s="65" customFormat="1" ht="19.5" customHeight="1">
      <c r="A293" s="413"/>
      <c r="B293" s="398"/>
      <c r="C293" s="399"/>
      <c r="D293" s="286" t="s">
        <v>29</v>
      </c>
      <c r="E293" s="287">
        <f t="shared" si="293"/>
        <v>3976</v>
      </c>
      <c r="F293" s="287">
        <f>+ROUND((F292-F295)*$J293,0)</f>
        <v>3976</v>
      </c>
      <c r="G293" s="287">
        <f t="shared" ref="G293:I293" si="298">+ROUND((G292-G295)*$J293,0)</f>
        <v>0</v>
      </c>
      <c r="H293" s="287">
        <f t="shared" si="298"/>
        <v>0</v>
      </c>
      <c r="I293" s="287">
        <f t="shared" si="298"/>
        <v>0</v>
      </c>
      <c r="J293" s="288">
        <v>0.7</v>
      </c>
    </row>
    <row r="294" spans="1:10" s="65" customFormat="1" ht="19.5" customHeight="1">
      <c r="A294" s="413"/>
      <c r="B294" s="398"/>
      <c r="C294" s="399"/>
      <c r="D294" s="286" t="s">
        <v>31</v>
      </c>
      <c r="E294" s="287">
        <f t="shared" si="293"/>
        <v>1704</v>
      </c>
      <c r="F294" s="287">
        <f>+F292-F295-F293</f>
        <v>1704</v>
      </c>
      <c r="G294" s="287">
        <f t="shared" ref="G294:I294" si="299">+G292-G295-G293</f>
        <v>0</v>
      </c>
      <c r="H294" s="287">
        <f t="shared" si="299"/>
        <v>0</v>
      </c>
      <c r="I294" s="287">
        <f t="shared" si="299"/>
        <v>0</v>
      </c>
      <c r="J294" s="288">
        <v>0.3</v>
      </c>
    </row>
    <row r="295" spans="1:10" s="65" customFormat="1" ht="19.5" customHeight="1">
      <c r="A295" s="413"/>
      <c r="B295" s="398"/>
      <c r="C295" s="399"/>
      <c r="D295" s="286" t="s">
        <v>33</v>
      </c>
      <c r="E295" s="287">
        <f t="shared" si="293"/>
        <v>0</v>
      </c>
      <c r="F295" s="287">
        <v>0</v>
      </c>
      <c r="G295" s="287">
        <v>0</v>
      </c>
      <c r="H295" s="287">
        <v>0</v>
      </c>
      <c r="I295" s="287">
        <v>0</v>
      </c>
      <c r="J295" s="288"/>
    </row>
    <row r="296" spans="1:10" s="65" customFormat="1" ht="19.5" hidden="1" customHeight="1">
      <c r="A296" s="413"/>
      <c r="B296" s="398"/>
      <c r="C296" s="398"/>
      <c r="D296" s="286"/>
      <c r="E296" s="287"/>
      <c r="F296" s="287"/>
      <c r="G296" s="287"/>
      <c r="H296" s="287"/>
      <c r="I296" s="287"/>
      <c r="J296" s="288"/>
    </row>
    <row r="297" spans="1:10" s="65" customFormat="1" ht="19.5" hidden="1" customHeight="1">
      <c r="A297" s="413"/>
      <c r="B297" s="398"/>
      <c r="C297" s="399"/>
      <c r="D297" s="286"/>
      <c r="E297" s="287"/>
      <c r="F297" s="287"/>
      <c r="G297" s="287"/>
      <c r="H297" s="287"/>
      <c r="I297" s="287"/>
      <c r="J297" s="288"/>
    </row>
    <row r="298" spans="1:10" s="65" customFormat="1" ht="19.5" hidden="1" customHeight="1">
      <c r="A298" s="413"/>
      <c r="B298" s="398"/>
      <c r="C298" s="399"/>
      <c r="D298" s="286"/>
      <c r="E298" s="287"/>
      <c r="F298" s="287"/>
      <c r="G298" s="287"/>
      <c r="H298" s="287"/>
      <c r="I298" s="287"/>
      <c r="J298" s="288"/>
    </row>
    <row r="299" spans="1:10" s="65" customFormat="1" ht="19.5" hidden="1" customHeight="1">
      <c r="A299" s="413"/>
      <c r="B299" s="398"/>
      <c r="C299" s="399"/>
      <c r="D299" s="286"/>
      <c r="E299" s="287"/>
      <c r="F299" s="287"/>
      <c r="G299" s="287"/>
      <c r="H299" s="287"/>
      <c r="I299" s="287"/>
      <c r="J299" s="288"/>
    </row>
    <row r="300" spans="1:10" s="65" customFormat="1" ht="19.5" hidden="1" customHeight="1">
      <c r="A300" s="413"/>
      <c r="B300" s="398"/>
      <c r="C300" s="398"/>
      <c r="D300" s="286"/>
      <c r="E300" s="287"/>
      <c r="F300" s="287"/>
      <c r="G300" s="287"/>
      <c r="H300" s="287"/>
      <c r="I300" s="287"/>
      <c r="J300" s="288"/>
    </row>
    <row r="301" spans="1:10" s="65" customFormat="1" ht="19.5" hidden="1" customHeight="1">
      <c r="A301" s="413"/>
      <c r="B301" s="398"/>
      <c r="C301" s="399"/>
      <c r="D301" s="286"/>
      <c r="E301" s="287"/>
      <c r="F301" s="287"/>
      <c r="G301" s="287"/>
      <c r="H301" s="287"/>
      <c r="I301" s="287"/>
      <c r="J301" s="288"/>
    </row>
    <row r="302" spans="1:10" s="65" customFormat="1" ht="19.5" hidden="1" customHeight="1">
      <c r="A302" s="413"/>
      <c r="B302" s="398"/>
      <c r="C302" s="399"/>
      <c r="D302" s="286"/>
      <c r="E302" s="287"/>
      <c r="F302" s="287"/>
      <c r="G302" s="287"/>
      <c r="H302" s="287"/>
      <c r="I302" s="287"/>
      <c r="J302" s="288"/>
    </row>
    <row r="303" spans="1:10" s="65" customFormat="1" ht="19.5" hidden="1" customHeight="1">
      <c r="A303" s="413"/>
      <c r="B303" s="398"/>
      <c r="C303" s="399"/>
      <c r="D303" s="286"/>
      <c r="E303" s="287"/>
      <c r="F303" s="287"/>
      <c r="G303" s="287"/>
      <c r="H303" s="287"/>
      <c r="I303" s="287"/>
      <c r="J303" s="288"/>
    </row>
    <row r="304" spans="1:10" s="65" customFormat="1" ht="19.5" customHeight="1">
      <c r="A304" s="413"/>
      <c r="B304" s="398"/>
      <c r="C304" s="398" t="s">
        <v>119</v>
      </c>
      <c r="D304" s="286" t="s">
        <v>18</v>
      </c>
      <c r="E304" s="287">
        <f t="shared" si="286"/>
        <v>7027</v>
      </c>
      <c r="F304" s="287">
        <f>'[3]1.9 소규모처리구역'!E17</f>
        <v>7027</v>
      </c>
      <c r="G304" s="287">
        <f>'[3]1.9 소규모처리구역'!F17</f>
        <v>0</v>
      </c>
      <c r="H304" s="287">
        <f>'[3]1.9 소규모처리구역'!G17</f>
        <v>0</v>
      </c>
      <c r="I304" s="287">
        <f>'[3]1.9 소규모처리구역'!H17</f>
        <v>0</v>
      </c>
      <c r="J304" s="288"/>
    </row>
    <row r="305" spans="1:10" s="65" customFormat="1" ht="19.5" customHeight="1">
      <c r="A305" s="413"/>
      <c r="B305" s="398"/>
      <c r="C305" s="399"/>
      <c r="D305" s="286" t="s">
        <v>29</v>
      </c>
      <c r="E305" s="287">
        <f t="shared" si="286"/>
        <v>4919</v>
      </c>
      <c r="F305" s="287">
        <f>+ROUND((F304-F307)*$J305,0)</f>
        <v>4919</v>
      </c>
      <c r="G305" s="287">
        <f t="shared" ref="G305:I305" si="300">+ROUND((G304-G307)*$J305,0)</f>
        <v>0</v>
      </c>
      <c r="H305" s="287">
        <f t="shared" si="300"/>
        <v>0</v>
      </c>
      <c r="I305" s="287">
        <f t="shared" si="300"/>
        <v>0</v>
      </c>
      <c r="J305" s="288">
        <v>0.7</v>
      </c>
    </row>
    <row r="306" spans="1:10" s="65" customFormat="1" ht="19.5" customHeight="1">
      <c r="A306" s="413"/>
      <c r="B306" s="398"/>
      <c r="C306" s="399"/>
      <c r="D306" s="286" t="s">
        <v>31</v>
      </c>
      <c r="E306" s="287">
        <f t="shared" si="286"/>
        <v>2108</v>
      </c>
      <c r="F306" s="287">
        <f>+F304-F307-F305</f>
        <v>2108</v>
      </c>
      <c r="G306" s="287">
        <f t="shared" ref="G306:I306" si="301">+G304-G307-G305</f>
        <v>0</v>
      </c>
      <c r="H306" s="287">
        <f t="shared" si="301"/>
        <v>0</v>
      </c>
      <c r="I306" s="287">
        <f t="shared" si="301"/>
        <v>0</v>
      </c>
      <c r="J306" s="288">
        <v>0.3</v>
      </c>
    </row>
    <row r="307" spans="1:10" s="65" customFormat="1" ht="19.5" customHeight="1">
      <c r="A307" s="413"/>
      <c r="B307" s="398"/>
      <c r="C307" s="399"/>
      <c r="D307" s="286" t="s">
        <v>33</v>
      </c>
      <c r="E307" s="287">
        <f t="shared" si="286"/>
        <v>0</v>
      </c>
      <c r="F307" s="287">
        <v>0</v>
      </c>
      <c r="G307" s="287">
        <v>0</v>
      </c>
      <c r="H307" s="287">
        <v>0</v>
      </c>
      <c r="I307" s="287">
        <v>0</v>
      </c>
      <c r="J307" s="288"/>
    </row>
    <row r="308" spans="1:10" s="65" customFormat="1" ht="19.5" hidden="1" customHeight="1">
      <c r="A308" s="413"/>
      <c r="B308" s="398"/>
      <c r="C308" s="398"/>
      <c r="D308" s="286"/>
      <c r="E308" s="287"/>
      <c r="F308" s="287"/>
      <c r="G308" s="287"/>
      <c r="H308" s="287"/>
      <c r="I308" s="287"/>
      <c r="J308" s="288"/>
    </row>
    <row r="309" spans="1:10" s="65" customFormat="1" ht="19.5" hidden="1" customHeight="1">
      <c r="A309" s="413"/>
      <c r="B309" s="398"/>
      <c r="C309" s="399"/>
      <c r="D309" s="286"/>
      <c r="E309" s="287"/>
      <c r="F309" s="287"/>
      <c r="G309" s="287"/>
      <c r="H309" s="287"/>
      <c r="I309" s="287"/>
      <c r="J309" s="288"/>
    </row>
    <row r="310" spans="1:10" s="65" customFormat="1" ht="19.5" hidden="1" customHeight="1">
      <c r="A310" s="413"/>
      <c r="B310" s="398"/>
      <c r="C310" s="399"/>
      <c r="D310" s="286"/>
      <c r="E310" s="287"/>
      <c r="F310" s="287"/>
      <c r="G310" s="287"/>
      <c r="H310" s="287"/>
      <c r="I310" s="287"/>
      <c r="J310" s="288"/>
    </row>
    <row r="311" spans="1:10" s="65" customFormat="1" ht="19.5" hidden="1" customHeight="1">
      <c r="A311" s="413"/>
      <c r="B311" s="398"/>
      <c r="C311" s="399"/>
      <c r="D311" s="286"/>
      <c r="E311" s="287"/>
      <c r="F311" s="287"/>
      <c r="G311" s="287"/>
      <c r="H311" s="287"/>
      <c r="I311" s="287"/>
      <c r="J311" s="288"/>
    </row>
    <row r="312" spans="1:10" s="65" customFormat="1" ht="19.5" customHeight="1">
      <c r="A312" s="413"/>
      <c r="B312" s="398"/>
      <c r="C312" s="398" t="s">
        <v>368</v>
      </c>
      <c r="D312" s="286" t="s">
        <v>18</v>
      </c>
      <c r="E312" s="287">
        <f t="shared" si="286"/>
        <v>4258</v>
      </c>
      <c r="F312" s="287">
        <f>'[3]1.9 소규모처리구역'!E20</f>
        <v>4258</v>
      </c>
      <c r="G312" s="287">
        <f>'[3]1.9 소규모처리구역'!F20</f>
        <v>0</v>
      </c>
      <c r="H312" s="287">
        <f>'[3]1.9 소규모처리구역'!G20</f>
        <v>0</v>
      </c>
      <c r="I312" s="287">
        <f>'[3]1.9 소규모처리구역'!H20</f>
        <v>0</v>
      </c>
      <c r="J312" s="288"/>
    </row>
    <row r="313" spans="1:10" s="65" customFormat="1" ht="19.5" customHeight="1">
      <c r="A313" s="413"/>
      <c r="B313" s="398"/>
      <c r="C313" s="399"/>
      <c r="D313" s="286" t="s">
        <v>29</v>
      </c>
      <c r="E313" s="287">
        <f t="shared" si="286"/>
        <v>2981</v>
      </c>
      <c r="F313" s="287">
        <f>+ROUND((F312-F315)*$J313,0)</f>
        <v>2981</v>
      </c>
      <c r="G313" s="287">
        <f t="shared" ref="G313:I313" si="302">+ROUND((G312-G315)*$J313,0)</f>
        <v>0</v>
      </c>
      <c r="H313" s="287">
        <f t="shared" si="302"/>
        <v>0</v>
      </c>
      <c r="I313" s="287">
        <f t="shared" si="302"/>
        <v>0</v>
      </c>
      <c r="J313" s="288">
        <v>0.7</v>
      </c>
    </row>
    <row r="314" spans="1:10" s="65" customFormat="1" ht="19.5" customHeight="1">
      <c r="A314" s="413"/>
      <c r="B314" s="398"/>
      <c r="C314" s="399"/>
      <c r="D314" s="286" t="s">
        <v>31</v>
      </c>
      <c r="E314" s="287">
        <f t="shared" si="286"/>
        <v>1277</v>
      </c>
      <c r="F314" s="287">
        <f>+F312-F315-F313</f>
        <v>1277</v>
      </c>
      <c r="G314" s="287">
        <f t="shared" ref="G314:I314" si="303">+G312-G315-G313</f>
        <v>0</v>
      </c>
      <c r="H314" s="287">
        <f t="shared" si="303"/>
        <v>0</v>
      </c>
      <c r="I314" s="287">
        <f t="shared" si="303"/>
        <v>0</v>
      </c>
      <c r="J314" s="288">
        <v>0.3</v>
      </c>
    </row>
    <row r="315" spans="1:10" s="65" customFormat="1" ht="19.5" customHeight="1">
      <c r="A315" s="414"/>
      <c r="B315" s="421"/>
      <c r="C315" s="400"/>
      <c r="D315" s="289" t="s">
        <v>33</v>
      </c>
      <c r="E315" s="290">
        <f t="shared" si="286"/>
        <v>0</v>
      </c>
      <c r="F315" s="290">
        <v>0</v>
      </c>
      <c r="G315" s="290">
        <v>0</v>
      </c>
      <c r="H315" s="290">
        <v>0</v>
      </c>
      <c r="I315" s="290">
        <v>0</v>
      </c>
      <c r="J315" s="291"/>
    </row>
    <row r="316" spans="1:10" s="65" customFormat="1" ht="19.5" hidden="1" customHeight="1">
      <c r="A316" s="267"/>
      <c r="B316" s="268"/>
      <c r="C316" s="432"/>
      <c r="D316" s="266"/>
      <c r="E316" s="113"/>
      <c r="F316" s="113"/>
      <c r="G316" s="113"/>
      <c r="H316" s="113"/>
      <c r="I316" s="113"/>
      <c r="J316" s="292"/>
    </row>
    <row r="317" spans="1:10" s="65" customFormat="1" ht="19.5" hidden="1" customHeight="1">
      <c r="A317" s="267"/>
      <c r="B317" s="268"/>
      <c r="C317" s="404"/>
      <c r="D317" s="180"/>
      <c r="E317" s="114"/>
      <c r="F317" s="114"/>
      <c r="G317" s="114"/>
      <c r="H317" s="114"/>
      <c r="I317" s="114"/>
      <c r="J317" s="131"/>
    </row>
    <row r="318" spans="1:10" s="65" customFormat="1" ht="19.5" hidden="1" customHeight="1">
      <c r="A318" s="267"/>
      <c r="B318" s="268"/>
      <c r="C318" s="404"/>
      <c r="D318" s="180"/>
      <c r="E318" s="114"/>
      <c r="F318" s="114"/>
      <c r="G318" s="114"/>
      <c r="H318" s="114"/>
      <c r="I318" s="114"/>
      <c r="J318" s="131"/>
    </row>
    <row r="319" spans="1:10" s="65" customFormat="1" ht="19.5" hidden="1" customHeight="1">
      <c r="A319" s="267"/>
      <c r="B319" s="268"/>
      <c r="C319" s="404"/>
      <c r="D319" s="180"/>
      <c r="E319" s="114"/>
      <c r="F319" s="114"/>
      <c r="G319" s="114"/>
      <c r="H319" s="114"/>
      <c r="I319" s="114"/>
      <c r="J319" s="131"/>
    </row>
    <row r="320" spans="1:10" s="65" customFormat="1" ht="19.5" hidden="1" customHeight="1">
      <c r="A320" s="267"/>
      <c r="B320" s="268"/>
      <c r="C320" s="403"/>
      <c r="D320" s="180"/>
      <c r="E320" s="114"/>
      <c r="F320" s="114"/>
      <c r="G320" s="114"/>
      <c r="H320" s="114"/>
      <c r="I320" s="114"/>
      <c r="J320" s="131"/>
    </row>
    <row r="321" spans="1:10" s="65" customFormat="1" ht="19.5" hidden="1" customHeight="1">
      <c r="A321" s="267"/>
      <c r="B321" s="268"/>
      <c r="C321" s="404"/>
      <c r="D321" s="180"/>
      <c r="E321" s="114"/>
      <c r="F321" s="114"/>
      <c r="G321" s="114"/>
      <c r="H321" s="114"/>
      <c r="I321" s="114"/>
      <c r="J321" s="131"/>
    </row>
    <row r="322" spans="1:10" s="65" customFormat="1" ht="19.5" hidden="1" customHeight="1">
      <c r="A322" s="267"/>
      <c r="B322" s="268"/>
      <c r="C322" s="404"/>
      <c r="D322" s="180"/>
      <c r="E322" s="114"/>
      <c r="F322" s="114"/>
      <c r="G322" s="114"/>
      <c r="H322" s="114"/>
      <c r="I322" s="114"/>
      <c r="J322" s="131"/>
    </row>
    <row r="323" spans="1:10" s="65" customFormat="1" ht="19.5" hidden="1" customHeight="1">
      <c r="A323" s="267"/>
      <c r="B323" s="268"/>
      <c r="C323" s="434"/>
      <c r="D323" s="265"/>
      <c r="E323" s="115"/>
      <c r="F323" s="115"/>
      <c r="G323" s="115"/>
      <c r="H323" s="115"/>
      <c r="I323" s="115"/>
      <c r="J323" s="136"/>
    </row>
    <row r="324" spans="1:10" s="65" customFormat="1" ht="20.100000000000001" customHeight="1">
      <c r="E324" s="64"/>
      <c r="F324" s="64"/>
      <c r="G324" s="64"/>
      <c r="H324" s="64"/>
      <c r="I324" s="64"/>
    </row>
    <row r="325" spans="1:10" s="65" customFormat="1" ht="20.100000000000001" customHeight="1">
      <c r="E325" s="64"/>
      <c r="F325" s="64"/>
      <c r="G325" s="64"/>
      <c r="H325" s="64"/>
      <c r="I325" s="64"/>
    </row>
    <row r="326" spans="1:10" s="65" customFormat="1" ht="20.100000000000001" customHeight="1">
      <c r="E326" s="64"/>
      <c r="F326" s="64"/>
      <c r="G326" s="64"/>
      <c r="H326" s="64"/>
      <c r="I326" s="64"/>
    </row>
    <row r="327" spans="1:10" s="65" customFormat="1" ht="20.100000000000001" customHeight="1">
      <c r="E327" s="64"/>
      <c r="F327" s="64"/>
      <c r="G327" s="64"/>
      <c r="H327" s="64"/>
      <c r="I327" s="64"/>
    </row>
    <row r="328" spans="1:10" s="65" customFormat="1" ht="20.100000000000001" customHeight="1">
      <c r="E328" s="64"/>
      <c r="F328" s="64"/>
      <c r="G328" s="64"/>
      <c r="H328" s="64"/>
      <c r="I328" s="64"/>
    </row>
    <row r="329" spans="1:10" s="65" customFormat="1" ht="20.100000000000001" customHeight="1">
      <c r="E329" s="64"/>
      <c r="F329" s="64"/>
      <c r="G329" s="64"/>
      <c r="H329" s="64"/>
      <c r="I329" s="64"/>
    </row>
    <row r="330" spans="1:10" s="65" customFormat="1" ht="20.100000000000001" customHeight="1">
      <c r="E330" s="64"/>
      <c r="F330" s="64"/>
      <c r="G330" s="64"/>
      <c r="H330" s="64"/>
      <c r="I330" s="64"/>
    </row>
    <row r="331" spans="1:10" s="65" customFormat="1" ht="20.100000000000001" customHeight="1">
      <c r="E331" s="64"/>
      <c r="F331" s="64"/>
      <c r="G331" s="64"/>
      <c r="H331" s="64"/>
      <c r="I331" s="64"/>
    </row>
    <row r="332" spans="1:10" s="65" customFormat="1" ht="20.100000000000001" customHeight="1">
      <c r="E332" s="64"/>
      <c r="F332" s="64"/>
      <c r="G332" s="64"/>
      <c r="H332" s="64"/>
      <c r="I332" s="64"/>
    </row>
    <row r="333" spans="1:10" s="65" customFormat="1" ht="20.100000000000001" customHeight="1">
      <c r="E333" s="64"/>
      <c r="F333" s="64"/>
      <c r="G333" s="64"/>
      <c r="H333" s="64"/>
      <c r="I333" s="64"/>
    </row>
    <row r="334" spans="1:10" s="65" customFormat="1" ht="20.100000000000001" customHeight="1">
      <c r="E334" s="64"/>
      <c r="F334" s="64"/>
      <c r="G334" s="64"/>
      <c r="H334" s="64"/>
      <c r="I334" s="64"/>
    </row>
    <row r="335" spans="1:10" s="65" customFormat="1" ht="20.100000000000001" customHeight="1">
      <c r="E335" s="64"/>
      <c r="F335" s="64"/>
      <c r="G335" s="64"/>
      <c r="H335" s="64"/>
      <c r="I335" s="64"/>
    </row>
    <row r="336" spans="1:10" s="65" customFormat="1" ht="12">
      <c r="E336" s="64"/>
      <c r="F336" s="64"/>
      <c r="G336" s="64"/>
      <c r="H336" s="64"/>
      <c r="I336" s="64"/>
    </row>
    <row r="337" spans="5:9" s="65" customFormat="1" ht="12">
      <c r="E337" s="64"/>
      <c r="F337" s="64"/>
      <c r="G337" s="64"/>
      <c r="H337" s="64"/>
      <c r="I337" s="64"/>
    </row>
    <row r="338" spans="5:9" s="65" customFormat="1" ht="12">
      <c r="E338" s="64"/>
      <c r="F338" s="64"/>
      <c r="G338" s="64"/>
      <c r="H338" s="64"/>
      <c r="I338" s="64"/>
    </row>
    <row r="339" spans="5:9" s="65" customFormat="1" ht="12">
      <c r="E339" s="64"/>
      <c r="F339" s="64"/>
      <c r="G339" s="64"/>
      <c r="H339" s="64"/>
      <c r="I339" s="64"/>
    </row>
    <row r="340" spans="5:9" s="65" customFormat="1" ht="12">
      <c r="E340" s="64"/>
      <c r="F340" s="64"/>
      <c r="G340" s="64"/>
      <c r="H340" s="64"/>
      <c r="I340" s="64"/>
    </row>
    <row r="341" spans="5:9" s="65" customFormat="1" ht="12">
      <c r="E341" s="64"/>
      <c r="F341" s="64"/>
      <c r="G341" s="64"/>
      <c r="H341" s="64"/>
      <c r="I341" s="64"/>
    </row>
    <row r="342" spans="5:9" s="65" customFormat="1" ht="12">
      <c r="E342" s="64"/>
      <c r="F342" s="64"/>
      <c r="G342" s="64"/>
      <c r="H342" s="64"/>
      <c r="I342" s="64"/>
    </row>
    <row r="343" spans="5:9" s="65" customFormat="1" ht="12">
      <c r="E343" s="64"/>
      <c r="F343" s="64"/>
      <c r="G343" s="64"/>
      <c r="H343" s="64"/>
      <c r="I343" s="64"/>
    </row>
    <row r="344" spans="5:9" s="65" customFormat="1" ht="12">
      <c r="E344" s="64"/>
      <c r="F344" s="64"/>
      <c r="G344" s="64"/>
      <c r="H344" s="64"/>
      <c r="I344" s="64"/>
    </row>
    <row r="345" spans="5:9" s="65" customFormat="1" ht="12">
      <c r="E345" s="64"/>
      <c r="F345" s="64"/>
      <c r="G345" s="64"/>
      <c r="H345" s="64"/>
      <c r="I345" s="64"/>
    </row>
    <row r="346" spans="5:9" s="65" customFormat="1" ht="12">
      <c r="E346" s="64"/>
      <c r="F346" s="64"/>
      <c r="G346" s="64"/>
      <c r="H346" s="64"/>
      <c r="I346" s="64"/>
    </row>
    <row r="347" spans="5:9" s="65" customFormat="1" ht="12">
      <c r="E347" s="64"/>
      <c r="F347" s="64"/>
      <c r="G347" s="64"/>
      <c r="H347" s="64"/>
      <c r="I347" s="64"/>
    </row>
    <row r="348" spans="5:9" s="65" customFormat="1" ht="12">
      <c r="E348" s="64"/>
      <c r="F348" s="64"/>
      <c r="G348" s="64"/>
      <c r="H348" s="64"/>
      <c r="I348" s="64"/>
    </row>
    <row r="349" spans="5:9" s="65" customFormat="1" ht="12">
      <c r="E349" s="64"/>
      <c r="F349" s="64"/>
      <c r="G349" s="64"/>
      <c r="H349" s="64"/>
      <c r="I349" s="64"/>
    </row>
    <row r="350" spans="5:9" s="65" customFormat="1" ht="12">
      <c r="E350" s="64"/>
      <c r="F350" s="64"/>
      <c r="G350" s="64"/>
      <c r="H350" s="64"/>
      <c r="I350" s="64"/>
    </row>
    <row r="351" spans="5:9" s="65" customFormat="1" ht="12">
      <c r="E351" s="64"/>
      <c r="F351" s="64"/>
      <c r="G351" s="64"/>
      <c r="H351" s="64"/>
      <c r="I351" s="64"/>
    </row>
    <row r="352" spans="5:9" s="65" customFormat="1" ht="12">
      <c r="E352" s="64"/>
      <c r="F352" s="64"/>
      <c r="G352" s="64"/>
      <c r="H352" s="64"/>
      <c r="I352" s="64"/>
    </row>
    <row r="353" spans="5:9" s="65" customFormat="1" ht="12">
      <c r="E353" s="64"/>
      <c r="F353" s="64"/>
      <c r="G353" s="64"/>
      <c r="H353" s="64"/>
      <c r="I353" s="64"/>
    </row>
    <row r="354" spans="5:9" s="65" customFormat="1" ht="12">
      <c r="E354" s="64"/>
      <c r="F354" s="64"/>
      <c r="G354" s="64"/>
      <c r="H354" s="64"/>
      <c r="I354" s="64"/>
    </row>
    <row r="355" spans="5:9" s="65" customFormat="1" ht="12">
      <c r="E355" s="64"/>
      <c r="F355" s="64"/>
      <c r="G355" s="64"/>
      <c r="H355" s="64"/>
      <c r="I355" s="64"/>
    </row>
    <row r="356" spans="5:9" s="65" customFormat="1" ht="12">
      <c r="E356" s="64"/>
      <c r="F356" s="64"/>
      <c r="G356" s="64"/>
      <c r="H356" s="64"/>
      <c r="I356" s="64"/>
    </row>
    <row r="357" spans="5:9" s="65" customFormat="1" ht="12">
      <c r="E357" s="64"/>
      <c r="F357" s="64"/>
      <c r="G357" s="64"/>
      <c r="H357" s="64"/>
      <c r="I357" s="64"/>
    </row>
    <row r="358" spans="5:9" s="65" customFormat="1" ht="12">
      <c r="E358" s="64"/>
      <c r="F358" s="64"/>
      <c r="G358" s="64"/>
      <c r="H358" s="64"/>
      <c r="I358" s="64"/>
    </row>
    <row r="359" spans="5:9" s="65" customFormat="1" ht="12">
      <c r="E359" s="64"/>
      <c r="F359" s="64"/>
      <c r="G359" s="64"/>
      <c r="H359" s="64"/>
      <c r="I359" s="64"/>
    </row>
    <row r="360" spans="5:9" s="65" customFormat="1" ht="12">
      <c r="E360" s="64"/>
      <c r="F360" s="64"/>
      <c r="G360" s="64"/>
      <c r="H360" s="64"/>
      <c r="I360" s="64"/>
    </row>
    <row r="361" spans="5:9" s="65" customFormat="1" ht="12">
      <c r="E361" s="64"/>
      <c r="F361" s="64"/>
      <c r="G361" s="64"/>
      <c r="H361" s="64"/>
      <c r="I361" s="64"/>
    </row>
    <row r="362" spans="5:9" s="65" customFormat="1" ht="12">
      <c r="E362" s="64"/>
      <c r="F362" s="64"/>
      <c r="G362" s="64"/>
      <c r="H362" s="64"/>
      <c r="I362" s="64"/>
    </row>
    <row r="363" spans="5:9" s="65" customFormat="1" ht="12">
      <c r="E363" s="64"/>
      <c r="F363" s="64"/>
      <c r="G363" s="64"/>
      <c r="H363" s="64"/>
      <c r="I363" s="64"/>
    </row>
    <row r="364" spans="5:9" s="65" customFormat="1" ht="12">
      <c r="E364" s="64"/>
      <c r="F364" s="64"/>
      <c r="G364" s="64"/>
      <c r="H364" s="64"/>
      <c r="I364" s="64"/>
    </row>
    <row r="365" spans="5:9" s="65" customFormat="1" ht="12">
      <c r="E365" s="64"/>
      <c r="F365" s="64"/>
      <c r="G365" s="64"/>
      <c r="H365" s="64"/>
      <c r="I365" s="64"/>
    </row>
    <row r="366" spans="5:9" s="65" customFormat="1" ht="12">
      <c r="E366" s="64"/>
      <c r="F366" s="64"/>
      <c r="G366" s="64"/>
      <c r="H366" s="64"/>
      <c r="I366" s="64"/>
    </row>
    <row r="367" spans="5:9" s="65" customFormat="1" ht="12">
      <c r="E367" s="64"/>
      <c r="F367" s="64"/>
      <c r="G367" s="64"/>
      <c r="H367" s="64"/>
      <c r="I367" s="64"/>
    </row>
    <row r="368" spans="5:9" s="65" customFormat="1" ht="12">
      <c r="E368" s="64"/>
      <c r="F368" s="64"/>
      <c r="G368" s="64"/>
      <c r="H368" s="64"/>
      <c r="I368" s="64"/>
    </row>
    <row r="369" spans="5:9" s="65" customFormat="1" ht="12">
      <c r="E369" s="64"/>
      <c r="F369" s="64"/>
      <c r="G369" s="64"/>
      <c r="H369" s="64"/>
      <c r="I369" s="64"/>
    </row>
    <row r="370" spans="5:9" s="65" customFormat="1" ht="12">
      <c r="E370" s="64"/>
      <c r="F370" s="64"/>
      <c r="G370" s="64"/>
      <c r="H370" s="64"/>
      <c r="I370" s="64"/>
    </row>
    <row r="371" spans="5:9" s="65" customFormat="1" ht="12">
      <c r="E371" s="64"/>
      <c r="F371" s="64"/>
      <c r="G371" s="64"/>
      <c r="H371" s="64"/>
      <c r="I371" s="64"/>
    </row>
    <row r="372" spans="5:9" s="65" customFormat="1" ht="12">
      <c r="E372" s="64"/>
      <c r="F372" s="64"/>
      <c r="G372" s="64"/>
      <c r="H372" s="64"/>
      <c r="I372" s="64"/>
    </row>
    <row r="373" spans="5:9" s="65" customFormat="1" ht="12">
      <c r="E373" s="64"/>
      <c r="F373" s="64"/>
      <c r="G373" s="64"/>
      <c r="H373" s="64"/>
      <c r="I373" s="64"/>
    </row>
    <row r="374" spans="5:9" s="65" customFormat="1" ht="12">
      <c r="E374" s="64"/>
      <c r="F374" s="64"/>
      <c r="G374" s="64"/>
      <c r="H374" s="64"/>
      <c r="I374" s="64"/>
    </row>
    <row r="375" spans="5:9" s="65" customFormat="1" ht="12">
      <c r="E375" s="64"/>
      <c r="F375" s="64"/>
      <c r="G375" s="64"/>
      <c r="H375" s="64"/>
      <c r="I375" s="64"/>
    </row>
    <row r="376" spans="5:9" s="65" customFormat="1" ht="12">
      <c r="E376" s="64"/>
      <c r="F376" s="64"/>
      <c r="G376" s="64"/>
      <c r="H376" s="64"/>
      <c r="I376" s="64"/>
    </row>
    <row r="377" spans="5:9" s="65" customFormat="1" ht="12">
      <c r="E377" s="64"/>
      <c r="F377" s="64"/>
      <c r="G377" s="64"/>
      <c r="H377" s="64"/>
      <c r="I377" s="64"/>
    </row>
    <row r="378" spans="5:9" s="65" customFormat="1" ht="12">
      <c r="E378" s="64"/>
      <c r="F378" s="64"/>
      <c r="G378" s="64"/>
      <c r="H378" s="64"/>
      <c r="I378" s="64"/>
    </row>
    <row r="379" spans="5:9" s="65" customFormat="1" ht="12">
      <c r="E379" s="64"/>
      <c r="F379" s="64"/>
      <c r="G379" s="64"/>
      <c r="H379" s="64"/>
      <c r="I379" s="64"/>
    </row>
    <row r="380" spans="5:9" s="65" customFormat="1" ht="12">
      <c r="E380" s="64"/>
      <c r="F380" s="64"/>
      <c r="G380" s="64"/>
      <c r="H380" s="64"/>
      <c r="I380" s="64"/>
    </row>
    <row r="381" spans="5:9" s="65" customFormat="1" ht="12">
      <c r="E381" s="64"/>
      <c r="F381" s="64"/>
      <c r="G381" s="64"/>
      <c r="H381" s="64"/>
      <c r="I381" s="64"/>
    </row>
    <row r="382" spans="5:9" s="65" customFormat="1" ht="12">
      <c r="E382" s="64"/>
      <c r="F382" s="64"/>
      <c r="G382" s="64"/>
      <c r="H382" s="64"/>
      <c r="I382" s="64"/>
    </row>
    <row r="383" spans="5:9" s="65" customFormat="1" ht="12">
      <c r="E383" s="64"/>
      <c r="F383" s="64"/>
      <c r="G383" s="64"/>
      <c r="H383" s="64"/>
      <c r="I383" s="64"/>
    </row>
    <row r="384" spans="5:9" s="65" customFormat="1" ht="12">
      <c r="E384" s="64"/>
      <c r="F384" s="64"/>
      <c r="G384" s="64"/>
      <c r="H384" s="64"/>
      <c r="I384" s="64"/>
    </row>
    <row r="385" spans="5:9" s="65" customFormat="1" ht="12">
      <c r="E385" s="64"/>
      <c r="F385" s="64"/>
      <c r="G385" s="64"/>
      <c r="H385" s="64"/>
      <c r="I385" s="64"/>
    </row>
    <row r="386" spans="5:9" s="65" customFormat="1" ht="12">
      <c r="E386" s="64"/>
      <c r="F386" s="64"/>
      <c r="G386" s="64"/>
      <c r="H386" s="64"/>
      <c r="I386" s="64"/>
    </row>
    <row r="387" spans="5:9" s="65" customFormat="1" ht="12">
      <c r="E387" s="64"/>
      <c r="F387" s="64"/>
      <c r="G387" s="64"/>
      <c r="H387" s="64"/>
      <c r="I387" s="64"/>
    </row>
    <row r="388" spans="5:9" s="65" customFormat="1" ht="12">
      <c r="E388" s="64"/>
      <c r="F388" s="64"/>
      <c r="G388" s="64"/>
      <c r="H388" s="64"/>
      <c r="I388" s="64"/>
    </row>
    <row r="389" spans="5:9" s="65" customFormat="1" ht="12">
      <c r="E389" s="64"/>
      <c r="F389" s="64"/>
      <c r="G389" s="64"/>
      <c r="H389" s="64"/>
      <c r="I389" s="64"/>
    </row>
    <row r="390" spans="5:9" s="65" customFormat="1" ht="12">
      <c r="E390" s="64"/>
      <c r="F390" s="64"/>
      <c r="G390" s="64"/>
      <c r="H390" s="64"/>
      <c r="I390" s="64"/>
    </row>
    <row r="391" spans="5:9" s="65" customFormat="1" ht="12">
      <c r="E391" s="64"/>
      <c r="F391" s="64"/>
      <c r="G391" s="64"/>
      <c r="H391" s="64"/>
      <c r="I391" s="64"/>
    </row>
    <row r="392" spans="5:9" s="65" customFormat="1" ht="12">
      <c r="E392" s="64"/>
      <c r="F392" s="64"/>
      <c r="G392" s="64"/>
      <c r="H392" s="64"/>
      <c r="I392" s="64"/>
    </row>
    <row r="393" spans="5:9" s="65" customFormat="1" ht="12">
      <c r="E393" s="64"/>
      <c r="F393" s="64"/>
      <c r="G393" s="64"/>
      <c r="H393" s="64"/>
      <c r="I393" s="64"/>
    </row>
    <row r="394" spans="5:9" s="65" customFormat="1" ht="12">
      <c r="E394" s="64"/>
      <c r="F394" s="64"/>
      <c r="G394" s="64"/>
      <c r="H394" s="64"/>
      <c r="I394" s="64"/>
    </row>
    <row r="395" spans="5:9" s="65" customFormat="1" ht="12">
      <c r="E395" s="64"/>
      <c r="F395" s="64"/>
      <c r="G395" s="64"/>
      <c r="H395" s="64"/>
      <c r="I395" s="64"/>
    </row>
    <row r="396" spans="5:9" s="65" customFormat="1" ht="12">
      <c r="E396" s="64"/>
      <c r="F396" s="64"/>
      <c r="G396" s="64"/>
      <c r="H396" s="64"/>
      <c r="I396" s="64"/>
    </row>
    <row r="397" spans="5:9" s="65" customFormat="1" ht="12">
      <c r="E397" s="64"/>
      <c r="F397" s="64"/>
      <c r="G397" s="64"/>
      <c r="H397" s="64"/>
      <c r="I397" s="64"/>
    </row>
    <row r="398" spans="5:9" s="65" customFormat="1" ht="12">
      <c r="E398" s="64"/>
      <c r="F398" s="64"/>
      <c r="G398" s="64"/>
      <c r="H398" s="64"/>
      <c r="I398" s="64"/>
    </row>
    <row r="399" spans="5:9" s="65" customFormat="1" ht="12">
      <c r="E399" s="64"/>
      <c r="F399" s="64"/>
      <c r="G399" s="64"/>
      <c r="H399" s="64"/>
      <c r="I399" s="64"/>
    </row>
    <row r="400" spans="5:9" s="65" customFormat="1" ht="12">
      <c r="E400" s="64"/>
      <c r="F400" s="64"/>
      <c r="G400" s="64"/>
      <c r="H400" s="64"/>
      <c r="I400" s="64"/>
    </row>
    <row r="401" spans="5:9" s="65" customFormat="1" ht="12">
      <c r="E401" s="64"/>
      <c r="F401" s="64"/>
      <c r="G401" s="64"/>
      <c r="H401" s="64"/>
      <c r="I401" s="64"/>
    </row>
    <row r="402" spans="5:9" s="65" customFormat="1" ht="12">
      <c r="E402" s="64"/>
      <c r="F402" s="64"/>
      <c r="G402" s="64"/>
      <c r="H402" s="64"/>
      <c r="I402" s="64"/>
    </row>
    <row r="403" spans="5:9" s="65" customFormat="1" ht="12">
      <c r="E403" s="64"/>
      <c r="F403" s="64"/>
      <c r="G403" s="64"/>
      <c r="H403" s="64"/>
      <c r="I403" s="64"/>
    </row>
    <row r="404" spans="5:9" s="65" customFormat="1" ht="12">
      <c r="E404" s="64"/>
      <c r="F404" s="64"/>
      <c r="G404" s="64"/>
      <c r="H404" s="64"/>
      <c r="I404" s="64"/>
    </row>
  </sheetData>
  <mergeCells count="112">
    <mergeCell ref="C316:C319"/>
    <mergeCell ref="C320:C323"/>
    <mergeCell ref="A8:A39"/>
    <mergeCell ref="B100:B115"/>
    <mergeCell ref="C100:C103"/>
    <mergeCell ref="C104:C107"/>
    <mergeCell ref="B36:B39"/>
    <mergeCell ref="B128:B139"/>
    <mergeCell ref="A128:A143"/>
    <mergeCell ref="A144:A163"/>
    <mergeCell ref="A40:A71"/>
    <mergeCell ref="A72:A95"/>
    <mergeCell ref="B60:B71"/>
    <mergeCell ref="B72:B83"/>
    <mergeCell ref="A96:A127"/>
    <mergeCell ref="B116:B127"/>
    <mergeCell ref="C112:C115"/>
    <mergeCell ref="C72:C75"/>
    <mergeCell ref="C64:C67"/>
    <mergeCell ref="C80:C83"/>
    <mergeCell ref="C60:C63"/>
    <mergeCell ref="B84:B95"/>
    <mergeCell ref="C88:C91"/>
    <mergeCell ref="C108:C111"/>
    <mergeCell ref="C136:C139"/>
    <mergeCell ref="C120:C123"/>
    <mergeCell ref="C140:C143"/>
    <mergeCell ref="C128:C131"/>
    <mergeCell ref="C220:C223"/>
    <mergeCell ref="C188:C191"/>
    <mergeCell ref="C204:C207"/>
    <mergeCell ref="C208:C211"/>
    <mergeCell ref="C212:C215"/>
    <mergeCell ref="C196:C199"/>
    <mergeCell ref="C124:C127"/>
    <mergeCell ref="C132:C135"/>
    <mergeCell ref="C168:C171"/>
    <mergeCell ref="B3:D3"/>
    <mergeCell ref="B40:C43"/>
    <mergeCell ref="C48:C51"/>
    <mergeCell ref="C52:C55"/>
    <mergeCell ref="C56:C59"/>
    <mergeCell ref="B44:B59"/>
    <mergeCell ref="C44:C47"/>
    <mergeCell ref="C20:C23"/>
    <mergeCell ref="C28:C31"/>
    <mergeCell ref="B8:C11"/>
    <mergeCell ref="C16:C19"/>
    <mergeCell ref="C24:C27"/>
    <mergeCell ref="B12:B35"/>
    <mergeCell ref="C12:C15"/>
    <mergeCell ref="C32:C35"/>
    <mergeCell ref="A4:A7"/>
    <mergeCell ref="B4:C7"/>
    <mergeCell ref="B272:C275"/>
    <mergeCell ref="C280:C283"/>
    <mergeCell ref="C276:C279"/>
    <mergeCell ref="C216:C219"/>
    <mergeCell ref="B192:C195"/>
    <mergeCell ref="B144:C147"/>
    <mergeCell ref="C172:C175"/>
    <mergeCell ref="C184:C187"/>
    <mergeCell ref="C164:C167"/>
    <mergeCell ref="B164:B187"/>
    <mergeCell ref="B148:B163"/>
    <mergeCell ref="C148:C151"/>
    <mergeCell ref="C152:C155"/>
    <mergeCell ref="C156:C159"/>
    <mergeCell ref="C36:C39"/>
    <mergeCell ref="C68:C71"/>
    <mergeCell ref="C76:C79"/>
    <mergeCell ref="C92:C95"/>
    <mergeCell ref="C84:C87"/>
    <mergeCell ref="B96:C99"/>
    <mergeCell ref="C116:C119"/>
    <mergeCell ref="A164:A191"/>
    <mergeCell ref="A192:A223"/>
    <mergeCell ref="B188:B191"/>
    <mergeCell ref="B220:B223"/>
    <mergeCell ref="B140:B143"/>
    <mergeCell ref="C176:C179"/>
    <mergeCell ref="C180:C183"/>
    <mergeCell ref="C284:C287"/>
    <mergeCell ref="A224:A263"/>
    <mergeCell ref="A264:A271"/>
    <mergeCell ref="B264:B271"/>
    <mergeCell ref="B248:B263"/>
    <mergeCell ref="C248:C251"/>
    <mergeCell ref="C252:C255"/>
    <mergeCell ref="C256:C259"/>
    <mergeCell ref="C260:C263"/>
    <mergeCell ref="C264:C267"/>
    <mergeCell ref="C268:C271"/>
    <mergeCell ref="A272:A315"/>
    <mergeCell ref="B276:B315"/>
    <mergeCell ref="B196:B219"/>
    <mergeCell ref="B224:C227"/>
    <mergeCell ref="B228:B247"/>
    <mergeCell ref="C228:C231"/>
    <mergeCell ref="C232:C235"/>
    <mergeCell ref="C288:C291"/>
    <mergeCell ref="C292:C295"/>
    <mergeCell ref="C296:C299"/>
    <mergeCell ref="C300:C303"/>
    <mergeCell ref="C304:C307"/>
    <mergeCell ref="C308:C311"/>
    <mergeCell ref="C312:C315"/>
    <mergeCell ref="C236:C239"/>
    <mergeCell ref="C160:C163"/>
    <mergeCell ref="C240:C243"/>
    <mergeCell ref="C244:C247"/>
    <mergeCell ref="C200:C20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10" manualBreakCount="10">
    <brk id="39" max="9" man="1"/>
    <brk id="71" max="9" man="1"/>
    <brk id="95" max="9" man="1"/>
    <brk id="127" max="9" man="1"/>
    <brk id="163" max="9" man="1"/>
    <brk id="191" max="9" man="1"/>
    <brk id="223" max="9" man="1"/>
    <brk id="263" max="9" man="1"/>
    <brk id="271" max="9" man="1"/>
    <brk id="31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E33" sqref="E33:G44"/>
    </sheetView>
    <sheetView workbookViewId="1">
      <selection activeCell="E7" sqref="E7"/>
    </sheetView>
  </sheetViews>
  <sheetFormatPr defaultRowHeight="16.5" outlineLevelRow="1"/>
  <cols>
    <col min="1" max="1" width="8.125" customWidth="1"/>
    <col min="2" max="2" width="15.125" customWidth="1"/>
    <col min="15" max="15" width="7.375" customWidth="1"/>
    <col min="17" max="17" width="7" customWidth="1"/>
  </cols>
  <sheetData>
    <row r="1" spans="1:18" ht="20.100000000000001" customHeight="1">
      <c r="A1" s="6" t="s">
        <v>397</v>
      </c>
      <c r="B1" s="6"/>
    </row>
    <row r="2" spans="1:18" ht="20.100000000000001" customHeight="1">
      <c r="A2" s="5" t="s">
        <v>89</v>
      </c>
      <c r="B2" s="5"/>
    </row>
    <row r="3" spans="1:18" ht="30" customHeight="1">
      <c r="A3" s="439" t="s">
        <v>0</v>
      </c>
      <c r="B3" s="440"/>
      <c r="C3" s="23" t="s">
        <v>2</v>
      </c>
      <c r="D3" s="22" t="s">
        <v>20</v>
      </c>
      <c r="E3" s="22" t="s">
        <v>22</v>
      </c>
      <c r="F3" s="22" t="s">
        <v>24</v>
      </c>
      <c r="G3" s="22" t="s">
        <v>26</v>
      </c>
      <c r="H3" s="17" t="s">
        <v>153</v>
      </c>
      <c r="I3" s="9"/>
      <c r="J3" s="7"/>
      <c r="K3" s="7"/>
      <c r="L3" s="7"/>
      <c r="M3" s="7"/>
      <c r="N3" s="7"/>
      <c r="O3" s="7"/>
      <c r="P3" s="7"/>
      <c r="Q3" s="7"/>
      <c r="R3" s="7"/>
    </row>
    <row r="4" spans="1:18" ht="30" hidden="1" customHeight="1" outlineLevel="1">
      <c r="A4" s="273" t="s">
        <v>356</v>
      </c>
      <c r="B4" s="274" t="s">
        <v>357</v>
      </c>
      <c r="C4" s="331">
        <f t="shared" ref="C4" si="0">SUM(D4:H4)</f>
        <v>805</v>
      </c>
      <c r="D4" s="317">
        <f>'3.3.3 원인자 검토 (협의날짜순)'!Q12</f>
        <v>805</v>
      </c>
      <c r="E4" s="317">
        <v>0</v>
      </c>
      <c r="F4" s="317">
        <v>0</v>
      </c>
      <c r="G4" s="317">
        <v>0</v>
      </c>
      <c r="H4" s="318"/>
      <c r="I4" s="10"/>
      <c r="J4" s="7"/>
      <c r="K4" s="7"/>
      <c r="L4" s="7"/>
      <c r="M4" s="7"/>
      <c r="N4" s="7"/>
      <c r="O4" s="7"/>
      <c r="P4" s="7"/>
      <c r="Q4" s="7"/>
      <c r="R4" s="7"/>
    </row>
    <row r="5" spans="1:18" ht="30" customHeight="1" collapsed="1">
      <c r="A5" s="441" t="s">
        <v>107</v>
      </c>
      <c r="B5" s="18" t="s">
        <v>50</v>
      </c>
      <c r="C5" s="278">
        <f>SUM(D5:H5)</f>
        <v>6210</v>
      </c>
      <c r="D5" s="279">
        <f>'3.3.3 원인자 검토 (협의날짜순)'!Q16</f>
        <v>6210</v>
      </c>
      <c r="E5" s="279">
        <v>0</v>
      </c>
      <c r="F5" s="279">
        <v>0</v>
      </c>
      <c r="G5" s="279">
        <v>0</v>
      </c>
      <c r="H5" s="280"/>
      <c r="I5" s="10"/>
      <c r="J5" s="7"/>
      <c r="K5" s="7"/>
      <c r="L5" s="7"/>
      <c r="M5" s="7"/>
      <c r="N5" s="7"/>
      <c r="O5" s="7"/>
      <c r="P5" s="7"/>
      <c r="Q5" s="7"/>
      <c r="R5" s="7"/>
    </row>
    <row r="6" spans="1:18" ht="30" customHeight="1">
      <c r="A6" s="441"/>
      <c r="B6" s="18" t="s">
        <v>355</v>
      </c>
      <c r="C6" s="281">
        <f t="shared" ref="C6:C8" si="1">SUM(D6:H6)</f>
        <v>3687.987780040733</v>
      </c>
      <c r="D6" s="15">
        <v>0</v>
      </c>
      <c r="E6" s="15">
        <f>'3.3.3 오수지선관로 시설부담금'!H3</f>
        <v>3687.987780040733</v>
      </c>
      <c r="F6" s="15">
        <v>0</v>
      </c>
      <c r="G6" s="15">
        <v>0</v>
      </c>
      <c r="H6" s="20"/>
      <c r="I6" s="10"/>
      <c r="J6" s="7"/>
      <c r="K6" s="7"/>
      <c r="L6" s="7"/>
      <c r="M6" s="7"/>
      <c r="N6" s="7"/>
      <c r="O6" s="7"/>
      <c r="P6" s="7"/>
      <c r="Q6" s="7"/>
      <c r="R6" s="7"/>
    </row>
    <row r="7" spans="1:18" ht="30" customHeight="1">
      <c r="A7" s="294" t="s">
        <v>108</v>
      </c>
      <c r="B7" s="18" t="s">
        <v>50</v>
      </c>
      <c r="C7" s="281">
        <f t="shared" si="1"/>
        <v>11163</v>
      </c>
      <c r="D7" s="15">
        <f>'3.3.3 원인자 검토 (협의날짜순)'!Q23</f>
        <v>11163</v>
      </c>
      <c r="E7" s="15">
        <v>0</v>
      </c>
      <c r="F7" s="15">
        <v>0</v>
      </c>
      <c r="G7" s="15">
        <v>0</v>
      </c>
      <c r="H7" s="20"/>
      <c r="I7" s="10"/>
      <c r="J7" s="7"/>
      <c r="K7" s="7"/>
      <c r="L7" s="7"/>
      <c r="M7" s="7"/>
      <c r="N7" s="7"/>
      <c r="O7" s="7"/>
      <c r="P7" s="7"/>
      <c r="Q7" s="7"/>
      <c r="R7" s="7"/>
    </row>
    <row r="8" spans="1:18" ht="30" customHeight="1">
      <c r="A8" s="19" t="s">
        <v>109</v>
      </c>
      <c r="B8" s="18" t="s">
        <v>50</v>
      </c>
      <c r="C8" s="282">
        <f t="shared" si="1"/>
        <v>272</v>
      </c>
      <c r="D8" s="16">
        <f>'3.3.3 원인자 검토 (협의날짜순)'!Q25</f>
        <v>272</v>
      </c>
      <c r="E8" s="16">
        <v>0</v>
      </c>
      <c r="F8" s="16">
        <v>0</v>
      </c>
      <c r="G8" s="16">
        <v>0</v>
      </c>
      <c r="H8" s="21"/>
      <c r="I8" s="10"/>
      <c r="J8" s="7"/>
      <c r="K8" s="7"/>
      <c r="L8" s="7"/>
      <c r="M8" s="7"/>
      <c r="N8" s="7"/>
      <c r="O8" s="7"/>
      <c r="P8" s="7"/>
      <c r="Q8" s="7"/>
      <c r="R8" s="7"/>
    </row>
    <row r="9" spans="1:18" ht="30" hidden="1" customHeight="1" outlineLevel="1">
      <c r="A9" s="275" t="s">
        <v>358</v>
      </c>
      <c r="B9" s="269" t="s">
        <v>357</v>
      </c>
      <c r="C9" s="332">
        <f t="shared" ref="C9" si="2">SUM(D9:H9)</f>
        <v>569</v>
      </c>
      <c r="D9" s="276">
        <f>'3.3.3 원인자 검토 (협의날짜순)'!Q30</f>
        <v>569</v>
      </c>
      <c r="E9" s="276">
        <v>0</v>
      </c>
      <c r="F9" s="276">
        <v>0</v>
      </c>
      <c r="G9" s="276">
        <v>0</v>
      </c>
      <c r="H9" s="277"/>
      <c r="I9" s="10"/>
      <c r="J9" s="7"/>
      <c r="K9" s="7"/>
      <c r="L9" s="7"/>
      <c r="M9" s="7"/>
      <c r="N9" s="7"/>
      <c r="O9" s="7"/>
      <c r="P9" s="7"/>
      <c r="Q9" s="7"/>
      <c r="R9" s="7"/>
    </row>
    <row r="10" spans="1:18" ht="30" customHeight="1" collapsed="1">
      <c r="A10" s="439" t="s">
        <v>2</v>
      </c>
      <c r="B10" s="440"/>
      <c r="C10" s="276">
        <f>SUM(C5:C8)</f>
        <v>21332.987780040734</v>
      </c>
      <c r="D10" s="276">
        <f>SUM(D5:D8)</f>
        <v>17645</v>
      </c>
      <c r="E10" s="276">
        <f>SUM(E5:E8)</f>
        <v>3687.987780040733</v>
      </c>
      <c r="F10" s="276">
        <f t="shared" ref="F10:G10" si="3">SUM(F4:F9)</f>
        <v>0</v>
      </c>
      <c r="G10" s="276">
        <f t="shared" si="3"/>
        <v>0</v>
      </c>
      <c r="H10" s="277"/>
      <c r="I10" s="10"/>
      <c r="J10" s="7"/>
      <c r="K10" s="7"/>
      <c r="L10" s="7"/>
      <c r="M10" s="7"/>
      <c r="N10" s="7"/>
      <c r="O10" s="7"/>
      <c r="P10" s="7"/>
      <c r="Q10" s="7"/>
      <c r="R10" s="7"/>
    </row>
    <row r="11" spans="1:18" ht="30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30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ht="30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ht="30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30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30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20.100000000000001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20.100000000000001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20.100000000000001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20.100000000000001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20.100000000000001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20.100000000000001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P22" s="7"/>
      <c r="Q22" s="7"/>
      <c r="R22" s="7"/>
    </row>
    <row r="23" spans="1:18" ht="20.100000000000001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ht="20.100000000000001" customHeight="1"/>
    <row r="25" spans="1:18" ht="20.100000000000001" customHeight="1"/>
    <row r="26" spans="1:18" ht="20.100000000000001" customHeight="1"/>
    <row r="27" spans="1:18" ht="20.100000000000001" customHeight="1"/>
    <row r="28" spans="1:18" ht="20.100000000000001" customHeight="1"/>
    <row r="29" spans="1:18" ht="20.100000000000001" customHeight="1"/>
  </sheetData>
  <mergeCells count="3">
    <mergeCell ref="A3:B3"/>
    <mergeCell ref="A10:B10"/>
    <mergeCell ref="A5:A6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view="pageBreakPreview" zoomScaleNormal="100" zoomScaleSheetLayoutView="100" workbookViewId="0">
      <pane xSplit="1" ySplit="5" topLeftCell="B6" activePane="bottomRight" state="frozen"/>
      <selection activeCell="E33" sqref="E33:G44"/>
      <selection pane="topRight" activeCell="E33" sqref="E33:G44"/>
      <selection pane="bottomLeft" activeCell="E33" sqref="E33:G44"/>
      <selection pane="bottomRight" activeCell="E33" sqref="E33:G44"/>
    </sheetView>
    <sheetView tabSelected="1" view="pageBreakPreview" topLeftCell="A2" zoomScaleNormal="100" zoomScaleSheetLayoutView="100" workbookViewId="1">
      <selection activeCell="E17" sqref="E17"/>
    </sheetView>
  </sheetViews>
  <sheetFormatPr defaultRowHeight="24.95" customHeight="1" outlineLevelRow="1" outlineLevelCol="1"/>
  <cols>
    <col min="1" max="1" width="11.375" bestFit="1" customWidth="1"/>
    <col min="2" max="2" width="9.625" bestFit="1" customWidth="1"/>
    <col min="3" max="3" width="4.75" bestFit="1" customWidth="1"/>
    <col min="4" max="4" width="6.375" bestFit="1" customWidth="1"/>
    <col min="5" max="5" width="6" bestFit="1" customWidth="1"/>
    <col min="6" max="7" width="5.875" bestFit="1" customWidth="1"/>
    <col min="9" max="9" width="6.875" bestFit="1" customWidth="1"/>
    <col min="10" max="10" width="8" bestFit="1" customWidth="1"/>
    <col min="11" max="12" width="9" bestFit="1" customWidth="1"/>
    <col min="13" max="13" width="6.375" bestFit="1" customWidth="1"/>
    <col min="14" max="14" width="7.875" bestFit="1" customWidth="1"/>
    <col min="15" max="15" width="7.375" customWidth="1"/>
    <col min="16" max="16" width="6.375" bestFit="1" customWidth="1"/>
    <col min="17" max="17" width="7" customWidth="1"/>
    <col min="18" max="18" width="8" bestFit="1" customWidth="1"/>
    <col min="19" max="19" width="9" hidden="1" customWidth="1"/>
    <col min="20" max="20" width="11.125" hidden="1" customWidth="1" outlineLevel="1"/>
    <col min="21" max="21" width="8" customWidth="1" collapsed="1"/>
    <col min="22" max="22" width="8" customWidth="1"/>
    <col min="23" max="23" width="10.125" customWidth="1"/>
    <col min="24" max="24" width="11.125" style="139" customWidth="1"/>
    <col min="25" max="25" width="11" style="139" bestFit="1" customWidth="1"/>
    <col min="26" max="26" width="11.625" bestFit="1" customWidth="1"/>
    <col min="27" max="28" width="12.625" bestFit="1" customWidth="1"/>
  </cols>
  <sheetData>
    <row r="1" spans="1:38" ht="24.95" customHeight="1">
      <c r="A1" s="5" t="s">
        <v>161</v>
      </c>
    </row>
    <row r="2" spans="1:38" ht="15" customHeight="1">
      <c r="A2" s="459" t="s">
        <v>162</v>
      </c>
      <c r="B2" s="448"/>
      <c r="C2" s="449"/>
      <c r="D2" s="456" t="s">
        <v>163</v>
      </c>
      <c r="E2" s="456" t="s">
        <v>164</v>
      </c>
      <c r="F2" s="447" t="s">
        <v>165</v>
      </c>
      <c r="G2" s="448"/>
      <c r="H2" s="449"/>
      <c r="I2" s="456" t="s">
        <v>166</v>
      </c>
      <c r="J2" s="456" t="s">
        <v>6</v>
      </c>
      <c r="K2" s="447" t="s">
        <v>168</v>
      </c>
      <c r="L2" s="448"/>
      <c r="M2" s="449"/>
      <c r="N2" s="456" t="s">
        <v>169</v>
      </c>
      <c r="O2" s="447" t="s">
        <v>170</v>
      </c>
      <c r="P2" s="448"/>
      <c r="Q2" s="449"/>
      <c r="R2" s="456" t="s">
        <v>171</v>
      </c>
      <c r="S2" s="373"/>
      <c r="T2" s="442" t="s">
        <v>236</v>
      </c>
      <c r="U2" s="445" t="s">
        <v>371</v>
      </c>
      <c r="V2" s="442" t="s">
        <v>398</v>
      </c>
      <c r="W2" s="442" t="s">
        <v>400</v>
      </c>
    </row>
    <row r="3" spans="1:38" ht="15" customHeight="1">
      <c r="A3" s="460"/>
      <c r="B3" s="451"/>
      <c r="C3" s="452"/>
      <c r="D3" s="457"/>
      <c r="E3" s="457"/>
      <c r="F3" s="450"/>
      <c r="G3" s="451"/>
      <c r="H3" s="452"/>
      <c r="I3" s="457"/>
      <c r="J3" s="457"/>
      <c r="K3" s="450"/>
      <c r="L3" s="451"/>
      <c r="M3" s="452"/>
      <c r="N3" s="457"/>
      <c r="O3" s="450"/>
      <c r="P3" s="451"/>
      <c r="Q3" s="452"/>
      <c r="R3" s="457"/>
      <c r="S3" s="374"/>
      <c r="T3" s="443"/>
      <c r="U3" s="446"/>
      <c r="V3" s="443"/>
      <c r="W3" s="443"/>
    </row>
    <row r="4" spans="1:38" ht="15" customHeight="1">
      <c r="A4" s="460"/>
      <c r="B4" s="451"/>
      <c r="C4" s="452"/>
      <c r="D4" s="457"/>
      <c r="E4" s="457"/>
      <c r="F4" s="450"/>
      <c r="G4" s="451"/>
      <c r="H4" s="452"/>
      <c r="I4" s="457"/>
      <c r="J4" s="457"/>
      <c r="K4" s="453"/>
      <c r="L4" s="454"/>
      <c r="M4" s="455"/>
      <c r="N4" s="457"/>
      <c r="O4" s="453"/>
      <c r="P4" s="454"/>
      <c r="Q4" s="455"/>
      <c r="R4" s="457"/>
      <c r="S4" s="374"/>
      <c r="T4" s="443"/>
      <c r="U4" s="446"/>
      <c r="V4" s="443"/>
      <c r="W4" s="443"/>
    </row>
    <row r="5" spans="1:38" ht="50.1" customHeight="1">
      <c r="A5" s="460"/>
      <c r="B5" s="451"/>
      <c r="C5" s="451"/>
      <c r="D5" s="461"/>
      <c r="E5" s="456"/>
      <c r="F5" s="370" t="s">
        <v>172</v>
      </c>
      <c r="G5" s="370" t="s">
        <v>173</v>
      </c>
      <c r="H5" s="322" t="s">
        <v>174</v>
      </c>
      <c r="I5" s="457"/>
      <c r="J5" s="457"/>
      <c r="K5" s="369" t="s">
        <v>175</v>
      </c>
      <c r="L5" s="369" t="s">
        <v>176</v>
      </c>
      <c r="M5" s="369" t="s">
        <v>177</v>
      </c>
      <c r="N5" s="457"/>
      <c r="O5" s="369" t="s">
        <v>178</v>
      </c>
      <c r="P5" s="369" t="s">
        <v>179</v>
      </c>
      <c r="Q5" s="369" t="s">
        <v>2</v>
      </c>
      <c r="R5" s="457"/>
      <c r="S5" s="368" t="s">
        <v>192</v>
      </c>
      <c r="T5" s="443"/>
      <c r="U5" s="446"/>
      <c r="V5" s="444"/>
      <c r="W5" s="444"/>
      <c r="X5" s="220" t="s">
        <v>370</v>
      </c>
      <c r="Z5" s="138" t="s">
        <v>181</v>
      </c>
      <c r="AA5" s="139" t="s">
        <v>345</v>
      </c>
      <c r="AB5" s="139" t="s">
        <v>344</v>
      </c>
    </row>
    <row r="6" spans="1:38" ht="27.95" hidden="1" customHeight="1" outlineLevel="1">
      <c r="A6" s="462" t="s">
        <v>234</v>
      </c>
      <c r="B6" s="295" t="s">
        <v>224</v>
      </c>
      <c r="C6" s="315" t="s">
        <v>222</v>
      </c>
      <c r="D6" s="261" t="s">
        <v>185</v>
      </c>
      <c r="E6" s="262">
        <v>359</v>
      </c>
      <c r="F6" s="262">
        <f>ROUND(E6*0.27,0)</f>
        <v>97</v>
      </c>
      <c r="G6" s="262">
        <f>E6-F6</f>
        <v>262</v>
      </c>
      <c r="H6" s="262">
        <f>E6</f>
        <v>359</v>
      </c>
      <c r="I6" s="263">
        <v>144.69999999999999</v>
      </c>
      <c r="J6" s="262"/>
      <c r="K6" s="262">
        <f t="shared" ref="K6:K11" si="0">ROUND(F6*S6/1000,0)</f>
        <v>29</v>
      </c>
      <c r="L6" s="262">
        <f t="shared" ref="L6:L11" si="1">ROUND(G6*S6/1000,0)</f>
        <v>78</v>
      </c>
      <c r="M6" s="262">
        <f t="shared" ref="M6:M11" si="2">ROUND(H6*S6/1000,0)</f>
        <v>107</v>
      </c>
      <c r="N6" s="262">
        <v>0</v>
      </c>
      <c r="O6" s="262"/>
      <c r="P6" s="262">
        <v>190</v>
      </c>
      <c r="Q6" s="205">
        <f>+O6+P6</f>
        <v>190</v>
      </c>
      <c r="R6" s="303"/>
      <c r="S6" s="304">
        <v>299</v>
      </c>
      <c r="T6" s="305">
        <v>41792</v>
      </c>
      <c r="U6" s="306" t="s">
        <v>229</v>
      </c>
      <c r="V6" s="306"/>
      <c r="W6" s="306"/>
      <c r="X6" s="259">
        <v>6726</v>
      </c>
      <c r="Z6" s="139"/>
      <c r="AA6" s="145"/>
      <c r="AB6" s="145"/>
    </row>
    <row r="7" spans="1:38" ht="27.95" hidden="1" customHeight="1" outlineLevel="1">
      <c r="A7" s="462"/>
      <c r="B7" s="372" t="s">
        <v>226</v>
      </c>
      <c r="C7" s="316" t="s">
        <v>222</v>
      </c>
      <c r="D7" s="163" t="s">
        <v>185</v>
      </c>
      <c r="E7" s="164">
        <v>313</v>
      </c>
      <c r="F7" s="164">
        <f>ROUND(E7*0.27,0)</f>
        <v>85</v>
      </c>
      <c r="G7" s="297">
        <f>E7-F7</f>
        <v>228</v>
      </c>
      <c r="H7" s="164">
        <f>E7</f>
        <v>313</v>
      </c>
      <c r="I7" s="165">
        <v>92.9</v>
      </c>
      <c r="J7" s="164"/>
      <c r="K7" s="164">
        <f t="shared" si="0"/>
        <v>25</v>
      </c>
      <c r="L7" s="164">
        <f t="shared" si="1"/>
        <v>68</v>
      </c>
      <c r="M7" s="164">
        <f t="shared" si="2"/>
        <v>94</v>
      </c>
      <c r="N7" s="164">
        <v>0</v>
      </c>
      <c r="O7" s="164"/>
      <c r="P7" s="202">
        <f>ROUNDDOWN(+M7*$AB$8,)</f>
        <v>123</v>
      </c>
      <c r="Q7" s="166">
        <f>+O7+P7</f>
        <v>123</v>
      </c>
      <c r="R7" s="167"/>
      <c r="S7" s="296">
        <v>299</v>
      </c>
      <c r="T7" s="301">
        <v>42093</v>
      </c>
      <c r="U7" s="300"/>
      <c r="V7" s="300"/>
      <c r="W7" s="300"/>
      <c r="X7" s="259">
        <v>7079</v>
      </c>
      <c r="Z7" s="139"/>
      <c r="AA7" s="145"/>
      <c r="AB7" s="145"/>
    </row>
    <row r="8" spans="1:38" ht="27.95" hidden="1" customHeight="1" outlineLevel="1">
      <c r="A8" s="462"/>
      <c r="B8" s="298" t="s">
        <v>223</v>
      </c>
      <c r="C8" s="315" t="s">
        <v>222</v>
      </c>
      <c r="D8" s="261" t="s">
        <v>185</v>
      </c>
      <c r="E8" s="262">
        <v>115</v>
      </c>
      <c r="F8" s="262">
        <f t="shared" ref="F8:F11" si="3">ROUND(E8*0.27,0)</f>
        <v>31</v>
      </c>
      <c r="G8" s="262">
        <f t="shared" ref="G8:G11" si="4">E8-F8</f>
        <v>84</v>
      </c>
      <c r="H8" s="262">
        <f t="shared" ref="H8:H11" si="5">E8</f>
        <v>115</v>
      </c>
      <c r="I8" s="263">
        <v>50.84</v>
      </c>
      <c r="J8" s="262"/>
      <c r="K8" s="262">
        <f t="shared" si="0"/>
        <v>9</v>
      </c>
      <c r="L8" s="262">
        <f t="shared" si="1"/>
        <v>25</v>
      </c>
      <c r="M8" s="262">
        <f t="shared" si="2"/>
        <v>34</v>
      </c>
      <c r="N8" s="262">
        <v>0</v>
      </c>
      <c r="O8" s="262"/>
      <c r="P8" s="262">
        <v>67</v>
      </c>
      <c r="Q8" s="205">
        <f>+O8+P8</f>
        <v>67</v>
      </c>
      <c r="R8" s="303"/>
      <c r="S8" s="304">
        <v>299</v>
      </c>
      <c r="T8" s="305">
        <v>42124</v>
      </c>
      <c r="U8" s="306" t="s">
        <v>229</v>
      </c>
      <c r="V8" s="306"/>
      <c r="W8" s="306"/>
      <c r="X8" s="259">
        <v>7079</v>
      </c>
      <c r="Z8" s="139" t="s">
        <v>186</v>
      </c>
      <c r="AA8" s="145">
        <f>406.94/1000</f>
        <v>0.40694000000000002</v>
      </c>
      <c r="AB8" s="145">
        <f>AB15</f>
        <v>1.3139400000000001</v>
      </c>
    </row>
    <row r="9" spans="1:38" ht="27.95" hidden="1" customHeight="1" outlineLevel="1">
      <c r="A9" s="462"/>
      <c r="B9" s="298" t="s">
        <v>227</v>
      </c>
      <c r="C9" s="261" t="s">
        <v>222</v>
      </c>
      <c r="D9" s="319" t="s">
        <v>185</v>
      </c>
      <c r="E9" s="320">
        <v>67</v>
      </c>
      <c r="F9" s="320">
        <f>ROUND(E9*0.27,0)</f>
        <v>18</v>
      </c>
      <c r="G9" s="320">
        <f>E9-F9</f>
        <v>49</v>
      </c>
      <c r="H9" s="320">
        <f>E9</f>
        <v>67</v>
      </c>
      <c r="I9" s="263">
        <v>29.7</v>
      </c>
      <c r="J9" s="262"/>
      <c r="K9" s="262">
        <f t="shared" si="0"/>
        <v>5</v>
      </c>
      <c r="L9" s="262">
        <f t="shared" si="1"/>
        <v>15</v>
      </c>
      <c r="M9" s="262">
        <f t="shared" si="2"/>
        <v>20</v>
      </c>
      <c r="N9" s="262">
        <v>0</v>
      </c>
      <c r="O9" s="262"/>
      <c r="P9" s="262">
        <v>39</v>
      </c>
      <c r="Q9" s="205">
        <f>+O9+P9</f>
        <v>39</v>
      </c>
      <c r="R9" s="303"/>
      <c r="S9" s="304">
        <v>299</v>
      </c>
      <c r="T9" s="305">
        <v>42649</v>
      </c>
      <c r="U9" s="306" t="s">
        <v>229</v>
      </c>
      <c r="V9" s="306"/>
      <c r="W9" s="306"/>
      <c r="X9" s="259">
        <v>7341</v>
      </c>
      <c r="Z9" s="139"/>
      <c r="AA9" s="145"/>
      <c r="AB9" s="145"/>
    </row>
    <row r="10" spans="1:38" ht="27.95" hidden="1" customHeight="1" outlineLevel="1">
      <c r="A10" s="462"/>
      <c r="B10" s="371" t="s">
        <v>228</v>
      </c>
      <c r="C10" s="163" t="s">
        <v>222</v>
      </c>
      <c r="D10" s="163" t="s">
        <v>185</v>
      </c>
      <c r="E10" s="164">
        <v>941</v>
      </c>
      <c r="F10" s="164">
        <f>ROUND(E10*0.27,0)</f>
        <v>254</v>
      </c>
      <c r="G10" s="164">
        <f>E10-F10</f>
        <v>687</v>
      </c>
      <c r="H10" s="164">
        <f>E10</f>
        <v>941</v>
      </c>
      <c r="I10" s="165">
        <v>275.8</v>
      </c>
      <c r="J10" s="164"/>
      <c r="K10" s="164">
        <f t="shared" si="0"/>
        <v>76</v>
      </c>
      <c r="L10" s="164">
        <f t="shared" si="1"/>
        <v>205</v>
      </c>
      <c r="M10" s="164">
        <f t="shared" si="2"/>
        <v>281</v>
      </c>
      <c r="N10" s="164">
        <v>0</v>
      </c>
      <c r="O10" s="164"/>
      <c r="P10" s="202">
        <f>ROUNDDOWN(+M10*$AB$8,)</f>
        <v>369</v>
      </c>
      <c r="Q10" s="166">
        <f>+O10+P10</f>
        <v>369</v>
      </c>
      <c r="R10" s="167"/>
      <c r="S10" s="296">
        <v>299</v>
      </c>
      <c r="T10" s="301">
        <v>42710</v>
      </c>
      <c r="U10" s="300"/>
      <c r="V10" s="300"/>
      <c r="W10" s="300"/>
      <c r="X10" s="259">
        <v>7341</v>
      </c>
      <c r="Z10" s="139"/>
      <c r="AA10" s="145"/>
      <c r="AB10" s="145"/>
    </row>
    <row r="11" spans="1:38" ht="27.95" hidden="1" customHeight="1" outlineLevel="1">
      <c r="A11" s="462"/>
      <c r="B11" s="295" t="s">
        <v>225</v>
      </c>
      <c r="C11" s="261" t="s">
        <v>222</v>
      </c>
      <c r="D11" s="261" t="s">
        <v>185</v>
      </c>
      <c r="E11" s="262">
        <v>37</v>
      </c>
      <c r="F11" s="262">
        <f t="shared" si="3"/>
        <v>10</v>
      </c>
      <c r="G11" s="262">
        <f t="shared" si="4"/>
        <v>27</v>
      </c>
      <c r="H11" s="262">
        <f t="shared" si="5"/>
        <v>37</v>
      </c>
      <c r="I11" s="263">
        <v>13</v>
      </c>
      <c r="J11" s="262"/>
      <c r="K11" s="262">
        <f t="shared" si="0"/>
        <v>3</v>
      </c>
      <c r="L11" s="262">
        <f t="shared" si="1"/>
        <v>8</v>
      </c>
      <c r="M11" s="262">
        <f t="shared" si="2"/>
        <v>11</v>
      </c>
      <c r="N11" s="262">
        <v>0</v>
      </c>
      <c r="O11" s="262"/>
      <c r="P11" s="262">
        <v>17</v>
      </c>
      <c r="Q11" s="205">
        <f t="shared" ref="Q11" si="6">+O11+P11</f>
        <v>17</v>
      </c>
      <c r="R11" s="303"/>
      <c r="S11" s="304">
        <v>299</v>
      </c>
      <c r="T11" s="305">
        <v>42908</v>
      </c>
      <c r="U11" s="306" t="s">
        <v>229</v>
      </c>
      <c r="V11" s="306"/>
      <c r="W11" s="306"/>
      <c r="X11" s="259">
        <v>7000</v>
      </c>
      <c r="Z11" s="139"/>
      <c r="AA11" s="145"/>
      <c r="AB11" s="145"/>
    </row>
    <row r="12" spans="1:38" ht="27.95" hidden="1" customHeight="1" outlineLevel="1">
      <c r="A12" s="462"/>
      <c r="B12" s="458" t="s">
        <v>2</v>
      </c>
      <c r="C12" s="458"/>
      <c r="D12" s="458"/>
      <c r="E12" s="165">
        <f>SUM(E6:E11)</f>
        <v>1832</v>
      </c>
      <c r="F12" s="165">
        <f t="shared" ref="F12:Q12" si="7">SUM(F6:F11)</f>
        <v>495</v>
      </c>
      <c r="G12" s="165">
        <f t="shared" si="7"/>
        <v>1337</v>
      </c>
      <c r="H12" s="165">
        <f t="shared" si="7"/>
        <v>1832</v>
      </c>
      <c r="I12" s="165">
        <f t="shared" si="7"/>
        <v>606.94000000000005</v>
      </c>
      <c r="J12" s="165"/>
      <c r="K12" s="165">
        <f t="shared" si="7"/>
        <v>147</v>
      </c>
      <c r="L12" s="165">
        <f t="shared" si="7"/>
        <v>399</v>
      </c>
      <c r="M12" s="165">
        <f t="shared" si="7"/>
        <v>547</v>
      </c>
      <c r="N12" s="165">
        <f t="shared" si="7"/>
        <v>0</v>
      </c>
      <c r="O12" s="165">
        <f t="shared" si="7"/>
        <v>0</v>
      </c>
      <c r="P12" s="165">
        <f t="shared" si="7"/>
        <v>805</v>
      </c>
      <c r="Q12" s="168">
        <f t="shared" si="7"/>
        <v>805</v>
      </c>
      <c r="R12" s="167"/>
      <c r="S12" s="296"/>
      <c r="T12" s="302"/>
      <c r="U12" s="300"/>
      <c r="V12" s="300"/>
      <c r="W12" s="300"/>
      <c r="X12" s="259"/>
      <c r="Z12" s="463" t="s">
        <v>187</v>
      </c>
      <c r="AA12" s="463"/>
      <c r="AB12" s="463"/>
      <c r="AC12" s="463"/>
      <c r="AD12" s="463"/>
      <c r="AE12" s="463"/>
      <c r="AF12" s="463"/>
      <c r="AG12" s="463"/>
      <c r="AH12" s="218"/>
      <c r="AI12" s="218"/>
      <c r="AJ12" s="218"/>
      <c r="AK12" s="218"/>
      <c r="AL12" s="218"/>
    </row>
    <row r="13" spans="1:38" ht="24.95" customHeight="1" collapsed="1">
      <c r="A13" s="462" t="s">
        <v>191</v>
      </c>
      <c r="B13" s="295" t="s">
        <v>96</v>
      </c>
      <c r="C13" s="261" t="s">
        <v>407</v>
      </c>
      <c r="D13" s="261" t="s">
        <v>185</v>
      </c>
      <c r="E13" s="262">
        <f>'3.3.3 원인자검토(음성군조례)'!E4</f>
        <v>708</v>
      </c>
      <c r="F13" s="262">
        <f>ROUND(E13*0.62,0)</f>
        <v>439</v>
      </c>
      <c r="G13" s="262">
        <f>E13-F13</f>
        <v>269</v>
      </c>
      <c r="H13" s="262">
        <f>E13</f>
        <v>708</v>
      </c>
      <c r="I13" s="263">
        <v>323</v>
      </c>
      <c r="J13" s="262">
        <v>2000</v>
      </c>
      <c r="K13" s="262">
        <f>ROUND(F13*S13/1000,0)</f>
        <v>141</v>
      </c>
      <c r="L13" s="262">
        <f>ROUND(G13*S13/1000,0)</f>
        <v>86</v>
      </c>
      <c r="M13" s="262">
        <f>ROUND(H13*S13/1000,0)</f>
        <v>227</v>
      </c>
      <c r="N13" s="262">
        <f>'[3]1.3.2 공공하수처리시설 신증설'!$B$56</f>
        <v>10143</v>
      </c>
      <c r="O13" s="262">
        <f>ROUNDDOWN(+K13*$I$50,0)</f>
        <v>715</v>
      </c>
      <c r="P13" s="262">
        <f>ROUNDDOWN(+L13*$AB$15,)</f>
        <v>112</v>
      </c>
      <c r="Q13" s="205">
        <f>+O13+P13</f>
        <v>827</v>
      </c>
      <c r="R13" s="303">
        <f>+Q13/N13</f>
        <v>8.1534062900522522E-2</v>
      </c>
      <c r="S13" s="304">
        <v>321</v>
      </c>
      <c r="T13" s="305">
        <v>41275</v>
      </c>
      <c r="U13" s="306" t="s">
        <v>372</v>
      </c>
      <c r="V13" s="205">
        <v>1019</v>
      </c>
      <c r="W13" s="365">
        <f>Q15+Q13-V13</f>
        <v>907</v>
      </c>
      <c r="X13" s="259">
        <v>6013</v>
      </c>
      <c r="Z13" s="139"/>
      <c r="AA13" s="145"/>
      <c r="AB13" s="145"/>
    </row>
    <row r="14" spans="1:38" ht="24.95" customHeight="1">
      <c r="A14" s="462"/>
      <c r="B14" s="182" t="s">
        <v>124</v>
      </c>
      <c r="C14" s="356" t="s">
        <v>184</v>
      </c>
      <c r="D14" s="356" t="s">
        <v>185</v>
      </c>
      <c r="E14" s="202">
        <f>'3.3.3 원인자검토(음성군조례)'!E5</f>
        <v>3661</v>
      </c>
      <c r="F14" s="202">
        <f>ROUND(E14*0.62,0)</f>
        <v>2270</v>
      </c>
      <c r="G14" s="361">
        <f>E14-F14</f>
        <v>1391</v>
      </c>
      <c r="H14" s="202">
        <f>E14</f>
        <v>3661</v>
      </c>
      <c r="I14" s="357">
        <f>E14*S14/1000</f>
        <v>1175.181</v>
      </c>
      <c r="J14" s="202">
        <v>2000</v>
      </c>
      <c r="K14" s="202">
        <f>ROUND(F14*S14/1000,0)</f>
        <v>729</v>
      </c>
      <c r="L14" s="202">
        <f>ROUND(G14*S14/1000,0)</f>
        <v>447</v>
      </c>
      <c r="M14" s="202">
        <f>ROUND(H14*S14/1000,0)</f>
        <v>1175</v>
      </c>
      <c r="N14" s="202">
        <f>N13</f>
        <v>10143</v>
      </c>
      <c r="O14" s="202">
        <f>ROUNDDOWN(+K14*$I$50,0)</f>
        <v>3697</v>
      </c>
      <c r="P14" s="202">
        <f>ROUNDDOWN(+L14*$AB$15,)</f>
        <v>587</v>
      </c>
      <c r="Q14" s="299">
        <f>+O14+P14</f>
        <v>4284</v>
      </c>
      <c r="R14" s="358">
        <f>+Q14/N14</f>
        <v>0.42236024844720499</v>
      </c>
      <c r="S14" s="359">
        <v>321</v>
      </c>
      <c r="T14" s="360">
        <v>42080</v>
      </c>
      <c r="U14" s="375" t="s">
        <v>372</v>
      </c>
      <c r="V14" s="300"/>
      <c r="W14" s="366"/>
      <c r="X14" s="259">
        <v>6165</v>
      </c>
      <c r="Y14" s="259">
        <f>X13+I13</f>
        <v>6336</v>
      </c>
      <c r="Z14" s="139"/>
      <c r="AA14" s="145"/>
      <c r="AB14" s="145"/>
    </row>
    <row r="15" spans="1:38" ht="24.95" customHeight="1">
      <c r="A15" s="462"/>
      <c r="B15" s="298" t="s">
        <v>95</v>
      </c>
      <c r="C15" s="261" t="s">
        <v>407</v>
      </c>
      <c r="D15" s="261" t="s">
        <v>185</v>
      </c>
      <c r="E15" s="262">
        <f>'3.3.3 원인자검토(음성군조례)'!E3</f>
        <v>942</v>
      </c>
      <c r="F15" s="262">
        <f>ROUND(E15*0.62,0)</f>
        <v>584</v>
      </c>
      <c r="G15" s="262">
        <f>E15-F15</f>
        <v>358</v>
      </c>
      <c r="H15" s="262">
        <f>E15</f>
        <v>942</v>
      </c>
      <c r="I15" s="263">
        <f>I13</f>
        <v>323</v>
      </c>
      <c r="J15" s="262">
        <v>2000</v>
      </c>
      <c r="K15" s="262">
        <f>ROUND(F15*S15/1000,0)</f>
        <v>187</v>
      </c>
      <c r="L15" s="262">
        <f>ROUND(G15*S15/1000,0)</f>
        <v>115</v>
      </c>
      <c r="M15" s="262">
        <f>ROUND(H15*S15/1000,0)</f>
        <v>302</v>
      </c>
      <c r="N15" s="262">
        <f>N14</f>
        <v>10143</v>
      </c>
      <c r="O15" s="262">
        <f>ROUNDDOWN(+K15*$I$50,0)</f>
        <v>948</v>
      </c>
      <c r="P15" s="262">
        <f>ROUNDDOWN(+L15*$AB$15,)</f>
        <v>151</v>
      </c>
      <c r="Q15" s="205">
        <f>+O15+P15</f>
        <v>1099</v>
      </c>
      <c r="R15" s="303">
        <f t="shared" ref="R15:R24" si="8">+Q15/N15</f>
        <v>0.10835058661145618</v>
      </c>
      <c r="S15" s="304">
        <v>321</v>
      </c>
      <c r="T15" s="305">
        <v>42803</v>
      </c>
      <c r="U15" s="306" t="s">
        <v>372</v>
      </c>
      <c r="V15" s="306"/>
      <c r="W15" s="367"/>
      <c r="X15" s="259">
        <v>8000</v>
      </c>
      <c r="Z15" s="139" t="s">
        <v>186</v>
      </c>
      <c r="AA15" s="145">
        <f>406.94/1000</f>
        <v>0.40694000000000002</v>
      </c>
      <c r="AB15" s="145">
        <f>'3.3.3 원인자검토(음성군조례)'!H3/1000000</f>
        <v>1.3139400000000001</v>
      </c>
    </row>
    <row r="16" spans="1:38" ht="24.95" customHeight="1">
      <c r="A16" s="462"/>
      <c r="B16" s="458" t="s">
        <v>2</v>
      </c>
      <c r="C16" s="458"/>
      <c r="D16" s="458"/>
      <c r="E16" s="357">
        <f>SUM(E13:E15)</f>
        <v>5311</v>
      </c>
      <c r="F16" s="357">
        <f t="shared" ref="F16:Q16" si="9">SUM(F13:F15)</f>
        <v>3293</v>
      </c>
      <c r="G16" s="357">
        <f t="shared" si="9"/>
        <v>2018</v>
      </c>
      <c r="H16" s="357">
        <f t="shared" si="9"/>
        <v>5311</v>
      </c>
      <c r="I16" s="357">
        <f t="shared" si="9"/>
        <v>1821.181</v>
      </c>
      <c r="J16" s="357"/>
      <c r="K16" s="357">
        <f t="shared" si="9"/>
        <v>1057</v>
      </c>
      <c r="L16" s="357">
        <f t="shared" si="9"/>
        <v>648</v>
      </c>
      <c r="M16" s="357">
        <f t="shared" si="9"/>
        <v>1704</v>
      </c>
      <c r="N16" s="357"/>
      <c r="O16" s="357">
        <f t="shared" si="9"/>
        <v>5360</v>
      </c>
      <c r="P16" s="357">
        <f t="shared" si="9"/>
        <v>850</v>
      </c>
      <c r="Q16" s="363">
        <f t="shared" si="9"/>
        <v>6210</v>
      </c>
      <c r="R16" s="358">
        <f>SUM(R13:R15)</f>
        <v>0.61224489795918369</v>
      </c>
      <c r="S16" s="359"/>
      <c r="T16" s="364"/>
      <c r="U16" s="375"/>
      <c r="V16" s="300"/>
      <c r="W16" s="366"/>
      <c r="X16" s="259"/>
      <c r="Z16" s="463" t="s">
        <v>187</v>
      </c>
      <c r="AA16" s="463"/>
      <c r="AB16" s="463"/>
      <c r="AC16" s="463"/>
      <c r="AD16" s="463"/>
      <c r="AE16" s="463"/>
      <c r="AF16" s="463"/>
      <c r="AG16" s="463"/>
      <c r="AH16" s="218"/>
      <c r="AI16" s="218"/>
      <c r="AJ16" s="218"/>
      <c r="AK16" s="218"/>
      <c r="AL16" s="218"/>
    </row>
    <row r="17" spans="1:38" ht="24.95" customHeight="1">
      <c r="A17" s="462" t="s">
        <v>342</v>
      </c>
      <c r="B17" s="182" t="s">
        <v>99</v>
      </c>
      <c r="C17" s="356" t="s">
        <v>184</v>
      </c>
      <c r="D17" s="356" t="s">
        <v>185</v>
      </c>
      <c r="E17" s="202">
        <f>'3.3.3 원인자검토(음성군조례)'!E8</f>
        <v>430</v>
      </c>
      <c r="F17" s="202">
        <f>ROUND(E17*0.55,0)</f>
        <v>237</v>
      </c>
      <c r="G17" s="202">
        <f>E17-F17</f>
        <v>193</v>
      </c>
      <c r="H17" s="202">
        <f>E17</f>
        <v>430</v>
      </c>
      <c r="I17" s="357">
        <v>155.6</v>
      </c>
      <c r="J17" s="202">
        <v>3500</v>
      </c>
      <c r="K17" s="202">
        <f t="shared" ref="K17:K19" si="10">ROUND(F17*S17/1000,0)</f>
        <v>73</v>
      </c>
      <c r="L17" s="202">
        <f t="shared" ref="L17:L19" si="11">ROUND(G17*S17/1000,0)</f>
        <v>60</v>
      </c>
      <c r="M17" s="202">
        <f t="shared" ref="M17:M19" si="12">ROUND(H17*S17/1000,0)</f>
        <v>133</v>
      </c>
      <c r="N17" s="202">
        <f>'[3]1.4.2 공공하수처리시설 신증설'!$B$56</f>
        <v>22214</v>
      </c>
      <c r="O17" s="202">
        <f t="shared" ref="O17:O22" si="13">ROUNDDOWN(+K17*$K$50,0)</f>
        <v>463</v>
      </c>
      <c r="P17" s="202">
        <f t="shared" ref="P17:P22" si="14">ROUNDDOWN(+L17*$AB$20,)</f>
        <v>78</v>
      </c>
      <c r="Q17" s="299">
        <f t="shared" ref="Q17" si="15">+O17+P17</f>
        <v>541</v>
      </c>
      <c r="R17" s="358">
        <f>+Q17/N17</f>
        <v>2.4354010984064103E-2</v>
      </c>
      <c r="S17" s="359">
        <v>310</v>
      </c>
      <c r="T17" s="360">
        <v>41599</v>
      </c>
      <c r="U17" s="375" t="s">
        <v>372</v>
      </c>
      <c r="V17" s="205">
        <v>1012</v>
      </c>
      <c r="W17" s="365">
        <f>Q17-V17</f>
        <v>-471</v>
      </c>
      <c r="X17" s="259">
        <v>3788</v>
      </c>
      <c r="Z17" s="139"/>
      <c r="AA17" s="145"/>
      <c r="AB17" s="145"/>
    </row>
    <row r="18" spans="1:38" ht="24.95" customHeight="1">
      <c r="A18" s="462"/>
      <c r="B18" s="182" t="s">
        <v>132</v>
      </c>
      <c r="C18" s="356" t="s">
        <v>184</v>
      </c>
      <c r="D18" s="356" t="s">
        <v>185</v>
      </c>
      <c r="E18" s="202">
        <f>'3.3.3 원인자검토(음성군조례)'!E12</f>
        <v>976</v>
      </c>
      <c r="F18" s="202">
        <f>ROUND(E18*0.55,0)</f>
        <v>537</v>
      </c>
      <c r="G18" s="202">
        <f>E18-F18</f>
        <v>439</v>
      </c>
      <c r="H18" s="202">
        <f>E18</f>
        <v>976</v>
      </c>
      <c r="I18" s="357">
        <v>319.2</v>
      </c>
      <c r="J18" s="202">
        <v>3500</v>
      </c>
      <c r="K18" s="202">
        <f t="shared" si="10"/>
        <v>141</v>
      </c>
      <c r="L18" s="202">
        <f t="shared" si="11"/>
        <v>115</v>
      </c>
      <c r="M18" s="202">
        <f t="shared" si="12"/>
        <v>256</v>
      </c>
      <c r="N18" s="202">
        <f>N17</f>
        <v>22214</v>
      </c>
      <c r="O18" s="202">
        <f t="shared" si="13"/>
        <v>894</v>
      </c>
      <c r="P18" s="202">
        <f t="shared" si="14"/>
        <v>151</v>
      </c>
      <c r="Q18" s="299">
        <f t="shared" ref="Q18" si="16">+O18+P18</f>
        <v>1045</v>
      </c>
      <c r="R18" s="358">
        <f>+Q18/N18</f>
        <v>4.7042405690105336E-2</v>
      </c>
      <c r="S18" s="359">
        <v>262</v>
      </c>
      <c r="T18" s="360">
        <v>42216</v>
      </c>
      <c r="U18" s="375" t="s">
        <v>372</v>
      </c>
      <c r="V18" s="205">
        <v>419</v>
      </c>
      <c r="W18" s="365">
        <f t="shared" ref="W18:W19" si="17">Q18-V18</f>
        <v>626</v>
      </c>
      <c r="X18" s="259">
        <v>4244</v>
      </c>
      <c r="Z18" s="139"/>
      <c r="AA18" s="145"/>
      <c r="AB18" s="145"/>
    </row>
    <row r="19" spans="1:38" ht="24.95" customHeight="1">
      <c r="A19" s="462"/>
      <c r="B19" s="182" t="s">
        <v>129</v>
      </c>
      <c r="C19" s="356" t="s">
        <v>184</v>
      </c>
      <c r="D19" s="356" t="s">
        <v>185</v>
      </c>
      <c r="E19" s="202">
        <f>'3.3.3 원인자검토(음성군조례)'!E9</f>
        <v>941</v>
      </c>
      <c r="F19" s="202">
        <f>ROUND(E19*0.55,0)</f>
        <v>518</v>
      </c>
      <c r="G19" s="202">
        <f>E19-F19</f>
        <v>423</v>
      </c>
      <c r="H19" s="202">
        <f>E19</f>
        <v>941</v>
      </c>
      <c r="I19" s="357">
        <v>270.5</v>
      </c>
      <c r="J19" s="202">
        <v>3500</v>
      </c>
      <c r="K19" s="202">
        <f t="shared" si="10"/>
        <v>161</v>
      </c>
      <c r="L19" s="202">
        <f t="shared" si="11"/>
        <v>131</v>
      </c>
      <c r="M19" s="202">
        <f t="shared" si="12"/>
        <v>292</v>
      </c>
      <c r="N19" s="202">
        <f t="shared" ref="N19:N22" si="18">N18</f>
        <v>22214</v>
      </c>
      <c r="O19" s="202">
        <f t="shared" si="13"/>
        <v>1021</v>
      </c>
      <c r="P19" s="202">
        <f t="shared" si="14"/>
        <v>172</v>
      </c>
      <c r="Q19" s="299">
        <f t="shared" ref="Q19" si="19">+O19+P19</f>
        <v>1193</v>
      </c>
      <c r="R19" s="358">
        <f>+Q19/N19</f>
        <v>5.3704870802196811E-2</v>
      </c>
      <c r="S19" s="359">
        <v>310</v>
      </c>
      <c r="T19" s="360">
        <v>42264</v>
      </c>
      <c r="U19" s="375" t="s">
        <v>372</v>
      </c>
      <c r="V19" s="205">
        <v>355</v>
      </c>
      <c r="W19" s="365">
        <f t="shared" si="17"/>
        <v>838</v>
      </c>
      <c r="X19" s="259">
        <v>4244</v>
      </c>
      <c r="Z19" s="139"/>
      <c r="AA19" s="145"/>
      <c r="AB19" s="145"/>
    </row>
    <row r="20" spans="1:38" ht="24.95" customHeight="1">
      <c r="A20" s="462"/>
      <c r="B20" s="182" t="s">
        <v>98</v>
      </c>
      <c r="C20" s="356" t="s">
        <v>184</v>
      </c>
      <c r="D20" s="356" t="s">
        <v>185</v>
      </c>
      <c r="E20" s="202">
        <f>'3.3.3 원인자검토(음성군조례)'!E7</f>
        <v>4780</v>
      </c>
      <c r="F20" s="202">
        <f t="shared" ref="F20" si="20">ROUND(E20*0.55,0)</f>
        <v>2629</v>
      </c>
      <c r="G20" s="202">
        <f t="shared" ref="G20" si="21">E20-F20</f>
        <v>2151</v>
      </c>
      <c r="H20" s="202">
        <f t="shared" ref="H20" si="22">E20</f>
        <v>4780</v>
      </c>
      <c r="I20" s="357">
        <f>+M20</f>
        <v>1482</v>
      </c>
      <c r="J20" s="202">
        <v>3500</v>
      </c>
      <c r="K20" s="202">
        <f t="shared" ref="K20:K22" si="23">ROUND(F20*S20/1000,0)</f>
        <v>815</v>
      </c>
      <c r="L20" s="202">
        <f t="shared" ref="L20:L22" si="24">ROUND(G20*S20/1000,0)</f>
        <v>667</v>
      </c>
      <c r="M20" s="202">
        <f t="shared" ref="M20:M22" si="25">ROUND(H20*S20/1000,0)</f>
        <v>1482</v>
      </c>
      <c r="N20" s="202">
        <f t="shared" si="18"/>
        <v>22214</v>
      </c>
      <c r="O20" s="202">
        <f t="shared" si="13"/>
        <v>5172</v>
      </c>
      <c r="P20" s="202">
        <f t="shared" si="14"/>
        <v>876</v>
      </c>
      <c r="Q20" s="299">
        <f t="shared" ref="Q20" si="26">+O20+P20</f>
        <v>6048</v>
      </c>
      <c r="R20" s="358">
        <f t="shared" si="8"/>
        <v>0.27226073647249482</v>
      </c>
      <c r="S20" s="359">
        <v>310</v>
      </c>
      <c r="T20" s="360">
        <v>42269</v>
      </c>
      <c r="U20" s="375" t="s">
        <v>372</v>
      </c>
      <c r="V20" s="300"/>
      <c r="W20" s="300"/>
      <c r="X20" s="259">
        <v>4244</v>
      </c>
      <c r="Y20" s="259">
        <f>X19+I18+I19</f>
        <v>4833.7</v>
      </c>
      <c r="Z20" s="139" t="s">
        <v>186</v>
      </c>
      <c r="AA20" s="145">
        <f>406.94/1000</f>
        <v>0.40694000000000002</v>
      </c>
      <c r="AB20" s="145">
        <f>'3.3.3 원인자검토(음성군조례)'!H7/1000000</f>
        <v>1.3139400000000001</v>
      </c>
    </row>
    <row r="21" spans="1:38" ht="24.95" customHeight="1">
      <c r="A21" s="462"/>
      <c r="B21" s="182" t="s">
        <v>131</v>
      </c>
      <c r="C21" s="356" t="s">
        <v>184</v>
      </c>
      <c r="D21" s="356" t="s">
        <v>185</v>
      </c>
      <c r="E21" s="202">
        <f>'3.3.3 원인자검토(음성군조례)'!E11</f>
        <v>1495</v>
      </c>
      <c r="F21" s="202">
        <f>ROUND(E21*0.55,0)</f>
        <v>822</v>
      </c>
      <c r="G21" s="202">
        <f>E21-F21</f>
        <v>673</v>
      </c>
      <c r="H21" s="202">
        <f>E21</f>
        <v>1495</v>
      </c>
      <c r="I21" s="357">
        <f>+M21</f>
        <v>463</v>
      </c>
      <c r="J21" s="202">
        <v>3500</v>
      </c>
      <c r="K21" s="202">
        <f t="shared" si="23"/>
        <v>255</v>
      </c>
      <c r="L21" s="202">
        <f t="shared" si="24"/>
        <v>209</v>
      </c>
      <c r="M21" s="202">
        <f t="shared" si="25"/>
        <v>463</v>
      </c>
      <c r="N21" s="202">
        <f t="shared" si="18"/>
        <v>22214</v>
      </c>
      <c r="O21" s="202">
        <f t="shared" si="13"/>
        <v>1618</v>
      </c>
      <c r="P21" s="202">
        <f t="shared" si="14"/>
        <v>274</v>
      </c>
      <c r="Q21" s="299">
        <f>+O21+P21</f>
        <v>1892</v>
      </c>
      <c r="R21" s="358">
        <f>+Q21/N21</f>
        <v>8.5171513459980197E-2</v>
      </c>
      <c r="S21" s="359">
        <v>310</v>
      </c>
      <c r="T21" s="360"/>
      <c r="U21" s="375" t="s">
        <v>372</v>
      </c>
      <c r="V21" s="300"/>
      <c r="W21" s="300"/>
      <c r="X21" s="259"/>
      <c r="Z21" s="139"/>
      <c r="AA21" s="145"/>
      <c r="AB21" s="145"/>
    </row>
    <row r="22" spans="1:38" ht="24.95" customHeight="1">
      <c r="A22" s="462"/>
      <c r="B22" s="362" t="s">
        <v>377</v>
      </c>
      <c r="C22" s="356" t="s">
        <v>184</v>
      </c>
      <c r="D22" s="356" t="s">
        <v>185</v>
      </c>
      <c r="E22" s="202">
        <f>'3.3.3 원인자검토(음성군조례)'!E10</f>
        <v>354</v>
      </c>
      <c r="F22" s="202">
        <f t="shared" ref="F22" si="27">ROUND(E22*0.55,0)</f>
        <v>195</v>
      </c>
      <c r="G22" s="202">
        <f t="shared" ref="G22" si="28">E22-F22</f>
        <v>159</v>
      </c>
      <c r="H22" s="202">
        <f t="shared" ref="H22" si="29">E22</f>
        <v>354</v>
      </c>
      <c r="I22" s="357">
        <f t="shared" ref="I22" si="30">+M22</f>
        <v>110</v>
      </c>
      <c r="J22" s="202">
        <v>3500</v>
      </c>
      <c r="K22" s="202">
        <f t="shared" si="23"/>
        <v>60</v>
      </c>
      <c r="L22" s="202">
        <f t="shared" si="24"/>
        <v>49</v>
      </c>
      <c r="M22" s="202">
        <f t="shared" si="25"/>
        <v>110</v>
      </c>
      <c r="N22" s="202">
        <f t="shared" si="18"/>
        <v>22214</v>
      </c>
      <c r="O22" s="202">
        <f t="shared" si="13"/>
        <v>380</v>
      </c>
      <c r="P22" s="202">
        <f t="shared" si="14"/>
        <v>64</v>
      </c>
      <c r="Q22" s="299">
        <f t="shared" ref="Q22" si="31">+O22+P22</f>
        <v>444</v>
      </c>
      <c r="R22" s="358">
        <f>+Q22/N22</f>
        <v>1.9987395336274423E-2</v>
      </c>
      <c r="S22" s="359">
        <v>310</v>
      </c>
      <c r="T22" s="360"/>
      <c r="U22" s="375" t="s">
        <v>372</v>
      </c>
      <c r="V22" s="300"/>
      <c r="W22" s="300"/>
      <c r="X22" s="259"/>
      <c r="Z22" s="139"/>
      <c r="AA22" s="145"/>
      <c r="AB22" s="145"/>
    </row>
    <row r="23" spans="1:38" ht="24.95" customHeight="1">
      <c r="A23" s="462"/>
      <c r="B23" s="458" t="s">
        <v>2</v>
      </c>
      <c r="C23" s="458"/>
      <c r="D23" s="458"/>
      <c r="E23" s="357">
        <f>SUM(E17:E22)</f>
        <v>8976</v>
      </c>
      <c r="F23" s="357">
        <f t="shared" ref="F23:P23" si="32">SUM(F17:F22)</f>
        <v>4938</v>
      </c>
      <c r="G23" s="357">
        <f t="shared" si="32"/>
        <v>4038</v>
      </c>
      <c r="H23" s="357">
        <f t="shared" si="32"/>
        <v>8976</v>
      </c>
      <c r="I23" s="357">
        <f t="shared" si="32"/>
        <v>2800.3</v>
      </c>
      <c r="J23" s="357"/>
      <c r="K23" s="357">
        <f t="shared" si="32"/>
        <v>1505</v>
      </c>
      <c r="L23" s="357">
        <f t="shared" si="32"/>
        <v>1231</v>
      </c>
      <c r="M23" s="357">
        <f t="shared" si="32"/>
        <v>2736</v>
      </c>
      <c r="N23" s="357"/>
      <c r="O23" s="357">
        <f t="shared" si="32"/>
        <v>9548</v>
      </c>
      <c r="P23" s="357">
        <f t="shared" si="32"/>
        <v>1615</v>
      </c>
      <c r="Q23" s="363">
        <f>SUM(Q17:Q22)</f>
        <v>11163</v>
      </c>
      <c r="R23" s="358">
        <f>SUM(R17:R22)-0.001</f>
        <v>0.50152093274511567</v>
      </c>
      <c r="S23" s="359"/>
      <c r="T23" s="364"/>
      <c r="U23" s="375"/>
      <c r="V23" s="300"/>
      <c r="W23" s="300"/>
      <c r="X23" s="259"/>
      <c r="Z23" s="463" t="s">
        <v>187</v>
      </c>
      <c r="AA23" s="463"/>
      <c r="AB23" s="463"/>
      <c r="AC23" s="463"/>
      <c r="AD23" s="463"/>
      <c r="AE23" s="463"/>
      <c r="AF23" s="463"/>
      <c r="AG23" s="463"/>
      <c r="AH23" s="218"/>
      <c r="AI23" s="218"/>
      <c r="AJ23" s="218"/>
      <c r="AK23" s="218"/>
      <c r="AL23" s="218"/>
    </row>
    <row r="24" spans="1:38" ht="24.95" customHeight="1">
      <c r="A24" s="462" t="s">
        <v>194</v>
      </c>
      <c r="B24" s="362" t="s">
        <v>195</v>
      </c>
      <c r="C24" s="356" t="s">
        <v>184</v>
      </c>
      <c r="D24" s="356" t="s">
        <v>185</v>
      </c>
      <c r="E24" s="202">
        <f>'3.3.3 원인자검토(음성군조례)'!E14</f>
        <v>208</v>
      </c>
      <c r="F24" s="202">
        <f>ROUND(E24*0.4,0)</f>
        <v>83</v>
      </c>
      <c r="G24" s="202">
        <f>E24-F24</f>
        <v>125</v>
      </c>
      <c r="H24" s="202">
        <f>E24</f>
        <v>208</v>
      </c>
      <c r="I24" s="357">
        <v>73</v>
      </c>
      <c r="J24" s="202">
        <v>550</v>
      </c>
      <c r="K24" s="202">
        <f t="shared" ref="K24" si="33">ROUND(F24*S24/1000,0)</f>
        <v>21</v>
      </c>
      <c r="L24" s="202">
        <f t="shared" ref="L24" si="34">ROUND(G24*S24/1000,0)</f>
        <v>32</v>
      </c>
      <c r="M24" s="202">
        <f t="shared" ref="M24" si="35">ROUND(H24*S24/1000,0)</f>
        <v>53</v>
      </c>
      <c r="N24" s="202">
        <f>'[3]1.5.2 공공하수처리시설 신증설'!$B$56</f>
        <v>6045.5</v>
      </c>
      <c r="O24" s="202">
        <f>ROUNDDOWN(+K24*$M$50,0)</f>
        <v>230</v>
      </c>
      <c r="P24" s="202">
        <f>ROUNDDOWN(+L24*$AB$20,)</f>
        <v>42</v>
      </c>
      <c r="Q24" s="299">
        <f t="shared" ref="Q24" si="36">+O24+P24</f>
        <v>272</v>
      </c>
      <c r="R24" s="358">
        <f t="shared" si="8"/>
        <v>4.4992142916218676E-2</v>
      </c>
      <c r="S24" s="359">
        <v>255</v>
      </c>
      <c r="T24" s="360">
        <v>42815</v>
      </c>
      <c r="U24" s="375" t="s">
        <v>399</v>
      </c>
      <c r="V24" s="262">
        <v>96</v>
      </c>
      <c r="W24" s="365">
        <f t="shared" ref="W24" si="37">Q24-V24</f>
        <v>176</v>
      </c>
      <c r="X24" s="259">
        <v>450</v>
      </c>
      <c r="Z24" s="139" t="s">
        <v>186</v>
      </c>
      <c r="AA24" s="145">
        <f>406.94/1000</f>
        <v>0.40694000000000002</v>
      </c>
      <c r="AB24" s="145">
        <f>'3.3.3 원인자검토(음성군조례)'!H11/1000000</f>
        <v>1.3139400000000001</v>
      </c>
    </row>
    <row r="25" spans="1:38" ht="24.95" customHeight="1">
      <c r="A25" s="462"/>
      <c r="B25" s="458" t="s">
        <v>2</v>
      </c>
      <c r="C25" s="458"/>
      <c r="D25" s="458"/>
      <c r="E25" s="165">
        <f>SUM(E24:E24)</f>
        <v>208</v>
      </c>
      <c r="F25" s="165">
        <f>SUM(F24:F24)</f>
        <v>83</v>
      </c>
      <c r="G25" s="165">
        <f>SUM(G24:G24)</f>
        <v>125</v>
      </c>
      <c r="H25" s="165">
        <f>SUM(H24:H24)</f>
        <v>208</v>
      </c>
      <c r="I25" s="165">
        <f>SUM(I24:I24)</f>
        <v>73</v>
      </c>
      <c r="J25" s="165"/>
      <c r="K25" s="165">
        <f>SUM(K24:K24)</f>
        <v>21</v>
      </c>
      <c r="L25" s="165">
        <f>SUM(L24:L24)</f>
        <v>32</v>
      </c>
      <c r="M25" s="165">
        <f>SUM(M24:M24)</f>
        <v>53</v>
      </c>
      <c r="N25" s="165"/>
      <c r="O25" s="165">
        <f>SUM(O24:O24)</f>
        <v>230</v>
      </c>
      <c r="P25" s="165">
        <f>SUM(P24:P24)</f>
        <v>42</v>
      </c>
      <c r="Q25" s="168">
        <f>SUM(Q24:Q24)</f>
        <v>272</v>
      </c>
      <c r="R25" s="167">
        <f>SUM(R24)</f>
        <v>4.4992142916218676E-2</v>
      </c>
      <c r="S25" s="296"/>
      <c r="T25" s="302"/>
      <c r="U25" s="300"/>
      <c r="V25" s="300"/>
      <c r="W25" s="300"/>
      <c r="X25" s="259"/>
      <c r="Z25" s="463" t="s">
        <v>187</v>
      </c>
      <c r="AA25" s="463"/>
      <c r="AB25" s="463"/>
      <c r="AC25" s="463"/>
      <c r="AD25" s="463"/>
      <c r="AE25" s="463"/>
      <c r="AF25" s="463"/>
      <c r="AG25" s="463"/>
      <c r="AH25" s="218"/>
      <c r="AI25" s="218"/>
      <c r="AJ25" s="218"/>
      <c r="AK25" s="218"/>
      <c r="AL25" s="218"/>
    </row>
    <row r="26" spans="1:38" ht="20.100000000000001" hidden="1" customHeight="1" outlineLevel="1">
      <c r="A26" s="462" t="s">
        <v>233</v>
      </c>
      <c r="B26" s="295" t="s">
        <v>231</v>
      </c>
      <c r="C26" s="261" t="s">
        <v>222</v>
      </c>
      <c r="D26" s="261" t="s">
        <v>185</v>
      </c>
      <c r="E26" s="262">
        <v>206</v>
      </c>
      <c r="F26" s="262">
        <f>ROUND(E26*0.27,0)</f>
        <v>56</v>
      </c>
      <c r="G26" s="262">
        <f>E26-F26</f>
        <v>150</v>
      </c>
      <c r="H26" s="262">
        <f>E26</f>
        <v>206</v>
      </c>
      <c r="I26" s="263"/>
      <c r="J26" s="262"/>
      <c r="K26" s="262">
        <f>ROUND(F26*S26/1000,0)</f>
        <v>18</v>
      </c>
      <c r="L26" s="262">
        <f>ROUND(G26*S26/1000,0)</f>
        <v>48</v>
      </c>
      <c r="M26" s="262">
        <f>ROUND(H26*S26/1000,0)</f>
        <v>65</v>
      </c>
      <c r="N26" s="262">
        <v>0</v>
      </c>
      <c r="O26" s="262"/>
      <c r="P26" s="262">
        <v>190</v>
      </c>
      <c r="Q26" s="205">
        <f t="shared" ref="Q26:Q27" si="38">+O26+P26</f>
        <v>190</v>
      </c>
      <c r="R26" s="303"/>
      <c r="S26" s="304">
        <v>317</v>
      </c>
      <c r="T26" s="305">
        <v>42370</v>
      </c>
      <c r="U26" s="306" t="s">
        <v>229</v>
      </c>
      <c r="V26" s="354"/>
      <c r="W26" s="354"/>
      <c r="X26" s="259"/>
      <c r="Z26" s="139"/>
      <c r="AA26" s="145"/>
      <c r="AB26" s="145"/>
    </row>
    <row r="27" spans="1:38" ht="20.100000000000001" hidden="1" customHeight="1" outlineLevel="1">
      <c r="A27" s="462"/>
      <c r="B27" s="295" t="s">
        <v>232</v>
      </c>
      <c r="C27" s="261" t="s">
        <v>222</v>
      </c>
      <c r="D27" s="261" t="s">
        <v>185</v>
      </c>
      <c r="E27" s="262">
        <v>420</v>
      </c>
      <c r="F27" s="262">
        <f>ROUND(E27*0.27,0)</f>
        <v>113</v>
      </c>
      <c r="G27" s="262">
        <f>E27-F27</f>
        <v>307</v>
      </c>
      <c r="H27" s="262">
        <f>E27</f>
        <v>420</v>
      </c>
      <c r="I27" s="263"/>
      <c r="J27" s="262"/>
      <c r="K27" s="262">
        <f>ROUND(F27*S27/1000,0)</f>
        <v>36</v>
      </c>
      <c r="L27" s="262">
        <f>ROUND(G27*S27/1000,0)</f>
        <v>97</v>
      </c>
      <c r="M27" s="262">
        <f>ROUND(H27*S27/1000,0)</f>
        <v>133</v>
      </c>
      <c r="N27" s="262">
        <v>0</v>
      </c>
      <c r="O27" s="262"/>
      <c r="P27" s="262">
        <v>17</v>
      </c>
      <c r="Q27" s="205">
        <f t="shared" si="38"/>
        <v>17</v>
      </c>
      <c r="R27" s="303"/>
      <c r="S27" s="304">
        <v>317</v>
      </c>
      <c r="T27" s="305">
        <v>42425</v>
      </c>
      <c r="U27" s="306" t="s">
        <v>229</v>
      </c>
      <c r="V27" s="354"/>
      <c r="W27" s="354"/>
      <c r="X27" s="259"/>
      <c r="Z27" s="139"/>
      <c r="AA27" s="145"/>
      <c r="AB27" s="145"/>
    </row>
    <row r="28" spans="1:38" ht="20.100000000000001" hidden="1" customHeight="1" outlineLevel="1">
      <c r="A28" s="462"/>
      <c r="B28" s="298" t="s">
        <v>230</v>
      </c>
      <c r="C28" s="261" t="s">
        <v>222</v>
      </c>
      <c r="D28" s="261" t="s">
        <v>185</v>
      </c>
      <c r="E28" s="262">
        <v>998</v>
      </c>
      <c r="F28" s="262">
        <f>ROUND(E28*0.27,0)</f>
        <v>269</v>
      </c>
      <c r="G28" s="262">
        <f>E28-F28</f>
        <v>729</v>
      </c>
      <c r="H28" s="262">
        <f>E28</f>
        <v>998</v>
      </c>
      <c r="I28" s="263">
        <f>+M28</f>
        <v>316</v>
      </c>
      <c r="J28" s="262"/>
      <c r="K28" s="262">
        <f>ROUND(F28*S28/1000,0)</f>
        <v>85</v>
      </c>
      <c r="L28" s="262">
        <f>ROUND(G28*S28/1000,0)</f>
        <v>231</v>
      </c>
      <c r="M28" s="262">
        <f>ROUND(H28*S28/1000,0)</f>
        <v>316</v>
      </c>
      <c r="N28" s="262">
        <v>0</v>
      </c>
      <c r="O28" s="262"/>
      <c r="P28" s="262">
        <v>67</v>
      </c>
      <c r="Q28" s="205">
        <f>+O28+P28</f>
        <v>67</v>
      </c>
      <c r="R28" s="303"/>
      <c r="S28" s="304">
        <v>317</v>
      </c>
      <c r="T28" s="305">
        <v>43033</v>
      </c>
      <c r="U28" s="306" t="s">
        <v>229</v>
      </c>
      <c r="V28" s="354"/>
      <c r="W28" s="354"/>
      <c r="X28" s="259"/>
      <c r="Z28" s="139" t="s">
        <v>186</v>
      </c>
      <c r="AA28" s="145">
        <f>406.94/1000</f>
        <v>0.40694000000000002</v>
      </c>
      <c r="AB28" s="145" t="e">
        <f>'3.3.3 원인자검토(음성군조례)'!#REF!/1000000</f>
        <v>#REF!</v>
      </c>
    </row>
    <row r="29" spans="1:38" ht="20.100000000000001" hidden="1" customHeight="1" outlineLevel="1">
      <c r="A29" s="462"/>
      <c r="B29" s="271" t="s">
        <v>343</v>
      </c>
      <c r="C29" s="163" t="s">
        <v>222</v>
      </c>
      <c r="D29" s="163" t="s">
        <v>185</v>
      </c>
      <c r="E29" s="164">
        <v>710</v>
      </c>
      <c r="F29" s="164">
        <f>ROUND(E29*0.27,0)</f>
        <v>192</v>
      </c>
      <c r="G29" s="164">
        <f>E29-F29</f>
        <v>518</v>
      </c>
      <c r="H29" s="164">
        <f>E29</f>
        <v>710</v>
      </c>
      <c r="I29" s="165">
        <f>+M29</f>
        <v>225</v>
      </c>
      <c r="J29" s="164"/>
      <c r="K29" s="164">
        <f>ROUND(F29*S29/1000,0)</f>
        <v>61</v>
      </c>
      <c r="L29" s="164">
        <f>ROUND(G29*S29/1000,0)</f>
        <v>164</v>
      </c>
      <c r="M29" s="164">
        <f>ROUND(H29*S29/1000,0)</f>
        <v>225</v>
      </c>
      <c r="N29" s="164">
        <v>0</v>
      </c>
      <c r="O29" s="164"/>
      <c r="P29" s="202">
        <f>ROUNDDOWN(+M29*$AB$8,)</f>
        <v>295</v>
      </c>
      <c r="Q29" s="299">
        <f>+O29+P29</f>
        <v>295</v>
      </c>
      <c r="R29" s="167"/>
      <c r="S29" s="296">
        <v>317</v>
      </c>
      <c r="T29" s="301"/>
      <c r="U29" s="300"/>
      <c r="V29" s="355"/>
      <c r="W29" s="355"/>
      <c r="X29" s="259"/>
      <c r="Z29" s="139"/>
      <c r="AA29" s="145"/>
      <c r="AB29" s="145"/>
    </row>
    <row r="30" spans="1:38" ht="20.100000000000001" hidden="1" customHeight="1" outlineLevel="1">
      <c r="A30" s="462"/>
      <c r="B30" s="458" t="s">
        <v>2</v>
      </c>
      <c r="C30" s="458"/>
      <c r="D30" s="458"/>
      <c r="E30" s="165">
        <f>SUM(E26:E29)</f>
        <v>2334</v>
      </c>
      <c r="F30" s="165">
        <f t="shared" ref="F30:Q30" si="39">SUM(F26:F29)</f>
        <v>630</v>
      </c>
      <c r="G30" s="165">
        <f t="shared" si="39"/>
        <v>1704</v>
      </c>
      <c r="H30" s="165">
        <f t="shared" si="39"/>
        <v>2334</v>
      </c>
      <c r="I30" s="165">
        <f t="shared" si="39"/>
        <v>541</v>
      </c>
      <c r="J30" s="165">
        <f t="shared" si="39"/>
        <v>0</v>
      </c>
      <c r="K30" s="165">
        <f t="shared" si="39"/>
        <v>200</v>
      </c>
      <c r="L30" s="165">
        <f t="shared" si="39"/>
        <v>540</v>
      </c>
      <c r="M30" s="165">
        <f t="shared" si="39"/>
        <v>739</v>
      </c>
      <c r="N30" s="165">
        <f t="shared" si="39"/>
        <v>0</v>
      </c>
      <c r="O30" s="165">
        <f t="shared" si="39"/>
        <v>0</v>
      </c>
      <c r="P30" s="165">
        <f t="shared" si="39"/>
        <v>569</v>
      </c>
      <c r="Q30" s="168">
        <f t="shared" si="39"/>
        <v>569</v>
      </c>
      <c r="R30" s="167"/>
      <c r="S30" s="296"/>
      <c r="T30" s="302"/>
      <c r="U30" s="300"/>
      <c r="V30" s="355"/>
      <c r="W30" s="355"/>
      <c r="Z30" s="463" t="s">
        <v>187</v>
      </c>
      <c r="AA30" s="463"/>
      <c r="AB30" s="463"/>
      <c r="AC30" s="463"/>
      <c r="AD30" s="463"/>
      <c r="AE30" s="463"/>
      <c r="AF30" s="463"/>
      <c r="AG30" s="463"/>
      <c r="AH30" s="218"/>
      <c r="AI30" s="218"/>
      <c r="AJ30" s="218"/>
      <c r="AK30" s="218"/>
      <c r="AL30" s="218"/>
    </row>
    <row r="31" spans="1:38" ht="15" customHeight="1" collapsed="1">
      <c r="A31" s="170" t="s">
        <v>198</v>
      </c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</row>
    <row r="32" spans="1:38" ht="15" customHeight="1">
      <c r="A32" s="170" t="s">
        <v>359</v>
      </c>
      <c r="J32" s="171" t="s">
        <v>199</v>
      </c>
      <c r="K32" s="172"/>
      <c r="L32" s="173" t="s">
        <v>374</v>
      </c>
      <c r="M32" s="173"/>
      <c r="N32" s="173"/>
      <c r="O32" s="172" t="s">
        <v>213</v>
      </c>
      <c r="P32" s="172"/>
      <c r="Q32" s="1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</row>
    <row r="33" spans="1:38" ht="15" customHeight="1">
      <c r="A33" s="1" t="s">
        <v>382</v>
      </c>
      <c r="K33" s="1"/>
      <c r="L33" s="1" t="s">
        <v>202</v>
      </c>
      <c r="M33" s="1"/>
      <c r="N33" s="1"/>
      <c r="O33" s="1"/>
      <c r="P33" s="1"/>
      <c r="Q33" s="1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</row>
    <row r="34" spans="1:38" ht="15" customHeight="1">
      <c r="A34" s="1" t="s">
        <v>205</v>
      </c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</row>
    <row r="35" spans="1:38" ht="15" customHeight="1">
      <c r="A35" s="1" t="s">
        <v>383</v>
      </c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</row>
    <row r="36" spans="1:38" ht="15" customHeight="1">
      <c r="A36" s="170" t="s">
        <v>360</v>
      </c>
      <c r="J36" s="171" t="s">
        <v>199</v>
      </c>
      <c r="K36" s="172"/>
      <c r="L36" s="173" t="s">
        <v>405</v>
      </c>
      <c r="M36" s="173"/>
      <c r="N36" s="173"/>
      <c r="O36" s="172" t="s">
        <v>406</v>
      </c>
      <c r="P36" s="172"/>
      <c r="Q36" s="1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</row>
    <row r="37" spans="1:38" ht="15" customHeight="1">
      <c r="A37" s="1" t="s">
        <v>384</v>
      </c>
      <c r="K37" s="1"/>
      <c r="L37" s="1" t="s">
        <v>365</v>
      </c>
      <c r="M37" s="1"/>
      <c r="N37" s="1"/>
      <c r="O37" s="1"/>
      <c r="P37" s="1"/>
      <c r="Q37" s="1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</row>
    <row r="38" spans="1:38" ht="15" customHeight="1">
      <c r="A38" s="1" t="s">
        <v>209</v>
      </c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</row>
    <row r="39" spans="1:38" ht="15" customHeight="1">
      <c r="A39" s="1" t="s">
        <v>385</v>
      </c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</row>
    <row r="40" spans="1:38" ht="15" hidden="1" customHeight="1" outlineLevel="1">
      <c r="A40" s="170" t="s">
        <v>362</v>
      </c>
      <c r="J40" s="171" t="s">
        <v>199</v>
      </c>
      <c r="K40" s="172"/>
      <c r="L40" s="173" t="s">
        <v>373</v>
      </c>
      <c r="M40" s="173"/>
      <c r="N40" s="173"/>
      <c r="O40" s="172" t="s">
        <v>366</v>
      </c>
      <c r="P40" s="172"/>
      <c r="Q40" s="1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</row>
    <row r="41" spans="1:38" ht="15" hidden="1" customHeight="1" outlineLevel="1">
      <c r="A41" s="1" t="s">
        <v>367</v>
      </c>
      <c r="K41" s="1"/>
      <c r="L41" s="1" t="s">
        <v>364</v>
      </c>
      <c r="M41" s="1"/>
      <c r="N41" s="1"/>
      <c r="O41" s="1"/>
      <c r="P41" s="1"/>
      <c r="Q41" s="1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</row>
    <row r="42" spans="1:38" ht="15" hidden="1" customHeight="1" outlineLevel="1">
      <c r="A42" s="1" t="s">
        <v>361</v>
      </c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</row>
    <row r="43" spans="1:38" ht="15" hidden="1" customHeight="1" outlineLevel="1">
      <c r="A43" s="1" t="s">
        <v>363</v>
      </c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</row>
    <row r="44" spans="1:38" ht="15" customHeight="1" collapsed="1">
      <c r="A44" s="170" t="s">
        <v>378</v>
      </c>
      <c r="J44" s="171" t="s">
        <v>199</v>
      </c>
      <c r="K44" s="172"/>
      <c r="L44" s="173" t="s">
        <v>375</v>
      </c>
      <c r="M44" s="173"/>
      <c r="N44" s="173"/>
      <c r="O44" s="172" t="s">
        <v>381</v>
      </c>
      <c r="P44" s="172"/>
      <c r="Q44" s="1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</row>
    <row r="45" spans="1:38" ht="15" customHeight="1">
      <c r="A45" s="1" t="s">
        <v>386</v>
      </c>
      <c r="K45" s="1"/>
      <c r="L45" s="1" t="s">
        <v>380</v>
      </c>
      <c r="M45" s="1"/>
      <c r="N45" s="1"/>
      <c r="O45" s="1"/>
      <c r="P45" s="1"/>
      <c r="Q45" s="1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</row>
    <row r="46" spans="1:38" ht="15" customHeight="1">
      <c r="A46" s="1" t="s">
        <v>379</v>
      </c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</row>
    <row r="47" spans="1:38" ht="15" customHeight="1">
      <c r="A47" s="1" t="s">
        <v>387</v>
      </c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</row>
    <row r="48" spans="1:38" ht="24.95" customHeight="1">
      <c r="H48" t="s">
        <v>188</v>
      </c>
      <c r="I48" s="147">
        <f>N15</f>
        <v>10143</v>
      </c>
      <c r="J48" t="s">
        <v>188</v>
      </c>
      <c r="K48" s="147">
        <f>N20</f>
        <v>22214</v>
      </c>
      <c r="L48" t="s">
        <v>188</v>
      </c>
      <c r="M48" s="147">
        <f>N24</f>
        <v>6045.5</v>
      </c>
      <c r="N48" t="s">
        <v>188</v>
      </c>
      <c r="O48" s="147">
        <f>N22</f>
        <v>22214</v>
      </c>
    </row>
    <row r="49" spans="8:28" ht="24.95" customHeight="1">
      <c r="H49" t="s">
        <v>189</v>
      </c>
      <c r="I49" s="148">
        <f>J15</f>
        <v>2000</v>
      </c>
      <c r="J49" t="s">
        <v>189</v>
      </c>
      <c r="K49" s="148">
        <v>3500</v>
      </c>
      <c r="L49" t="s">
        <v>189</v>
      </c>
      <c r="M49" s="148">
        <v>550</v>
      </c>
      <c r="N49" t="s">
        <v>189</v>
      </c>
      <c r="O49" s="148">
        <v>500</v>
      </c>
    </row>
    <row r="50" spans="8:28" ht="24.95" customHeight="1">
      <c r="H50" t="s">
        <v>190</v>
      </c>
      <c r="I50" s="150">
        <f>+I48/I49</f>
        <v>5.0715000000000003</v>
      </c>
      <c r="J50" t="s">
        <v>190</v>
      </c>
      <c r="K50" s="150">
        <f>+K48/K49</f>
        <v>6.346857142857143</v>
      </c>
      <c r="L50" t="s">
        <v>190</v>
      </c>
      <c r="M50" s="150">
        <f>+M48/M49</f>
        <v>10.991818181818182</v>
      </c>
      <c r="N50" t="s">
        <v>190</v>
      </c>
      <c r="O50" s="150">
        <f>+O48/O49</f>
        <v>44.427999999999997</v>
      </c>
      <c r="R50" s="148"/>
      <c r="U50" s="148"/>
      <c r="V50" s="148"/>
      <c r="W50" s="148"/>
      <c r="Y50" s="260"/>
      <c r="AB50" s="148"/>
    </row>
    <row r="51" spans="8:28" ht="24.95" customHeight="1">
      <c r="H51" t="s">
        <v>346</v>
      </c>
      <c r="J51" t="s">
        <v>347</v>
      </c>
      <c r="L51" t="s">
        <v>348</v>
      </c>
      <c r="N51" t="s">
        <v>349</v>
      </c>
    </row>
  </sheetData>
  <mergeCells count="29">
    <mergeCell ref="A26:A30"/>
    <mergeCell ref="B30:D30"/>
    <mergeCell ref="Z30:AG30"/>
    <mergeCell ref="I2:I5"/>
    <mergeCell ref="J2:J5"/>
    <mergeCell ref="A24:A25"/>
    <mergeCell ref="B25:D25"/>
    <mergeCell ref="Z25:AG25"/>
    <mergeCell ref="A13:A16"/>
    <mergeCell ref="A6:A12"/>
    <mergeCell ref="A17:A23"/>
    <mergeCell ref="Z12:AG12"/>
    <mergeCell ref="B16:D16"/>
    <mergeCell ref="Z16:AG16"/>
    <mergeCell ref="B23:D23"/>
    <mergeCell ref="Z23:AG23"/>
    <mergeCell ref="B12:D12"/>
    <mergeCell ref="A2:C5"/>
    <mergeCell ref="D2:D5"/>
    <mergeCell ref="E2:E5"/>
    <mergeCell ref="F2:H4"/>
    <mergeCell ref="V2:V5"/>
    <mergeCell ref="W2:W5"/>
    <mergeCell ref="U2:U5"/>
    <mergeCell ref="T2:T5"/>
    <mergeCell ref="K2:M4"/>
    <mergeCell ref="N2:N5"/>
    <mergeCell ref="O2:Q4"/>
    <mergeCell ref="R2:R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zoomScaleNormal="100" zoomScaleSheetLayoutView="100" workbookViewId="0">
      <selection activeCell="E33" sqref="E33:G44"/>
    </sheetView>
    <sheetView view="pageBreakPreview" zoomScaleNormal="100" zoomScaleSheetLayoutView="100" workbookViewId="1">
      <selection activeCell="H14" sqref="H14"/>
    </sheetView>
  </sheetViews>
  <sheetFormatPr defaultRowHeight="12"/>
  <cols>
    <col min="1" max="1" width="12.375" style="1" customWidth="1"/>
    <col min="2" max="2" width="16.75" style="1" customWidth="1"/>
    <col min="3" max="4" width="8.125" style="1" customWidth="1"/>
    <col min="5" max="5" width="7.75" style="1" customWidth="1"/>
    <col min="6" max="6" width="8.5" style="1" customWidth="1"/>
    <col min="7" max="7" width="8.625" style="1" customWidth="1"/>
    <col min="8" max="8" width="9.75" style="1" customWidth="1"/>
    <col min="9" max="14" width="9" style="1"/>
    <col min="15" max="15" width="7.375" style="1" customWidth="1"/>
    <col min="16" max="16" width="9" style="1"/>
    <col min="17" max="17" width="7" style="1" customWidth="1"/>
    <col min="18" max="16384" width="9" style="1"/>
  </cols>
  <sheetData>
    <row r="1" spans="1:12" ht="30" customHeight="1">
      <c r="A1" s="5" t="s">
        <v>91</v>
      </c>
    </row>
    <row r="2" spans="1:12" ht="30" customHeight="1">
      <c r="A2" s="4" t="s">
        <v>0</v>
      </c>
      <c r="B2" s="63" t="s">
        <v>1</v>
      </c>
      <c r="C2" s="45" t="s">
        <v>54</v>
      </c>
      <c r="D2" s="47" t="s">
        <v>55</v>
      </c>
      <c r="E2" s="47" t="s">
        <v>56</v>
      </c>
      <c r="F2" s="45" t="s">
        <v>57</v>
      </c>
      <c r="G2" s="45" t="s">
        <v>9</v>
      </c>
      <c r="H2" s="48" t="s">
        <v>87</v>
      </c>
    </row>
    <row r="3" spans="1:12" ht="39.950000000000003" customHeight="1">
      <c r="A3" s="59" t="s">
        <v>404</v>
      </c>
      <c r="B3" s="60" t="s">
        <v>120</v>
      </c>
      <c r="C3" s="61">
        <v>3238</v>
      </c>
      <c r="D3" s="61">
        <v>1</v>
      </c>
      <c r="E3" s="61">
        <v>1</v>
      </c>
      <c r="F3" s="61">
        <v>4291</v>
      </c>
      <c r="G3" s="62">
        <f>I7</f>
        <v>0.85947046843177188</v>
      </c>
      <c r="H3" s="100">
        <f>+G3*F3</f>
        <v>3687.987780040733</v>
      </c>
      <c r="J3" s="1" t="s">
        <v>139</v>
      </c>
      <c r="K3" s="1" t="s">
        <v>140</v>
      </c>
      <c r="L3" s="1" t="s">
        <v>142</v>
      </c>
    </row>
    <row r="4" spans="1:12" ht="20.100000000000001" customHeight="1">
      <c r="A4" s="307"/>
      <c r="B4" s="307"/>
      <c r="C4" s="308"/>
      <c r="D4" s="308"/>
      <c r="E4" s="308"/>
      <c r="F4" s="308"/>
      <c r="G4" s="309"/>
      <c r="H4" s="310"/>
    </row>
    <row r="5" spans="1:12" ht="18" customHeight="1">
      <c r="A5" s="2"/>
      <c r="D5" s="464" t="s">
        <v>392</v>
      </c>
      <c r="E5" s="465"/>
      <c r="F5" s="464" t="s">
        <v>391</v>
      </c>
      <c r="G5" s="465"/>
      <c r="H5" s="312" t="s">
        <v>390</v>
      </c>
      <c r="J5" s="1">
        <v>300</v>
      </c>
      <c r="K5" s="1">
        <v>4444</v>
      </c>
    </row>
    <row r="6" spans="1:12" ht="18" customHeight="1">
      <c r="D6" s="466" t="s">
        <v>393</v>
      </c>
      <c r="E6" s="466"/>
      <c r="F6" s="313">
        <f>F7+F8</f>
        <v>491</v>
      </c>
      <c r="G6" s="314" t="s">
        <v>389</v>
      </c>
      <c r="H6" s="311"/>
      <c r="I6" s="1" t="s">
        <v>354</v>
      </c>
      <c r="J6" s="1">
        <v>80</v>
      </c>
      <c r="K6" s="1">
        <v>500</v>
      </c>
    </row>
    <row r="7" spans="1:12" ht="18" customHeight="1">
      <c r="D7" s="466" t="s">
        <v>388</v>
      </c>
      <c r="E7" s="466"/>
      <c r="F7" s="313">
        <v>422</v>
      </c>
      <c r="G7" s="314" t="s">
        <v>389</v>
      </c>
      <c r="H7" s="321">
        <f>F7/F6</f>
        <v>0.85947046843177188</v>
      </c>
      <c r="I7" s="272">
        <f>F7/F6</f>
        <v>0.85947046843177188</v>
      </c>
      <c r="J7" s="1" t="s">
        <v>138</v>
      </c>
      <c r="K7" s="1">
        <f>SUM(K5:K6)</f>
        <v>4944</v>
      </c>
      <c r="L7" s="103">
        <f>K9*K7/K8</f>
        <v>5531.7393651201646</v>
      </c>
    </row>
    <row r="8" spans="1:12" ht="18" customHeight="1">
      <c r="D8" s="466" t="s">
        <v>350</v>
      </c>
      <c r="E8" s="466"/>
      <c r="F8" s="313">
        <f>G11</f>
        <v>69</v>
      </c>
      <c r="G8" s="314" t="s">
        <v>389</v>
      </c>
      <c r="H8" s="321">
        <f>F8/F6</f>
        <v>0.14052953156822812</v>
      </c>
      <c r="I8" s="272">
        <f>F8/F6</f>
        <v>0.14052953156822812</v>
      </c>
      <c r="J8" s="1" t="s">
        <v>137</v>
      </c>
      <c r="K8" s="1">
        <v>15562</v>
      </c>
    </row>
    <row r="9" spans="1:12" ht="18" customHeight="1">
      <c r="F9" s="1" t="s">
        <v>351</v>
      </c>
      <c r="G9" s="1">
        <v>214</v>
      </c>
      <c r="J9" s="1" t="s">
        <v>141</v>
      </c>
      <c r="K9" s="1">
        <v>17412</v>
      </c>
    </row>
    <row r="10" spans="1:12" ht="18" customHeight="1">
      <c r="F10" s="1" t="s">
        <v>352</v>
      </c>
      <c r="G10" s="1">
        <v>321</v>
      </c>
    </row>
    <row r="11" spans="1:12" ht="18" customHeight="1">
      <c r="F11" s="1" t="s">
        <v>353</v>
      </c>
      <c r="G11" s="1">
        <f>ROUND(G9*G10/1000,0)</f>
        <v>69</v>
      </c>
    </row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</sheetData>
  <mergeCells count="5">
    <mergeCell ref="D5:E5"/>
    <mergeCell ref="F5:G5"/>
    <mergeCell ref="D6:E6"/>
    <mergeCell ref="D7:E7"/>
    <mergeCell ref="D8:E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7"/>
  <sheetViews>
    <sheetView workbookViewId="0"/>
    <sheetView workbookViewId="1"/>
  </sheetViews>
  <sheetFormatPr defaultRowHeight="16.5"/>
  <sheetData>
    <row r="1" spans="1:3" ht="17.25" thickTop="1">
      <c r="A1" s="74">
        <v>1437</v>
      </c>
      <c r="B1" s="75">
        <v>2387</v>
      </c>
      <c r="C1" s="73">
        <f>+A1-B1</f>
        <v>-950</v>
      </c>
    </row>
    <row r="2" spans="1:3">
      <c r="A2" s="76">
        <v>740</v>
      </c>
      <c r="B2" s="77">
        <v>1229</v>
      </c>
      <c r="C2" s="73">
        <f t="shared" ref="C2:C26" si="0">+A2-B2</f>
        <v>-489</v>
      </c>
    </row>
    <row r="3" spans="1:3">
      <c r="A3" s="76">
        <v>896</v>
      </c>
      <c r="B3" s="77">
        <v>1488</v>
      </c>
      <c r="C3" s="73">
        <f t="shared" si="0"/>
        <v>-592</v>
      </c>
    </row>
    <row r="4" spans="1:3">
      <c r="A4" s="78">
        <v>1037</v>
      </c>
      <c r="B4" s="77">
        <v>1722</v>
      </c>
      <c r="C4" s="73">
        <f t="shared" si="0"/>
        <v>-685</v>
      </c>
    </row>
    <row r="5" spans="1:3">
      <c r="A5" s="76">
        <v>522</v>
      </c>
      <c r="B5" s="79">
        <v>867</v>
      </c>
      <c r="C5" s="73">
        <f t="shared" si="0"/>
        <v>-345</v>
      </c>
    </row>
    <row r="6" spans="1:3">
      <c r="A6" s="78">
        <v>1045</v>
      </c>
      <c r="B6" s="77">
        <v>1736</v>
      </c>
      <c r="C6" s="73">
        <f t="shared" si="0"/>
        <v>-691</v>
      </c>
    </row>
    <row r="7" spans="1:3">
      <c r="A7" s="76">
        <v>41</v>
      </c>
      <c r="B7" s="79">
        <v>242</v>
      </c>
      <c r="C7" s="73">
        <f t="shared" si="0"/>
        <v>-201</v>
      </c>
    </row>
    <row r="8" spans="1:3">
      <c r="A8" s="76">
        <v>631</v>
      </c>
      <c r="B8" s="77">
        <v>1047</v>
      </c>
      <c r="C8" s="73">
        <f t="shared" si="0"/>
        <v>-416</v>
      </c>
    </row>
    <row r="9" spans="1:3">
      <c r="A9" s="76">
        <v>752</v>
      </c>
      <c r="B9" s="77">
        <v>1248</v>
      </c>
      <c r="C9" s="73">
        <f t="shared" si="0"/>
        <v>-496</v>
      </c>
    </row>
    <row r="10" spans="1:3">
      <c r="A10" s="76">
        <v>423</v>
      </c>
      <c r="B10" s="79">
        <v>703</v>
      </c>
      <c r="C10" s="73">
        <f t="shared" si="0"/>
        <v>-280</v>
      </c>
    </row>
    <row r="11" spans="1:3">
      <c r="A11" s="76">
        <v>373</v>
      </c>
      <c r="B11" s="79">
        <v>620</v>
      </c>
      <c r="C11" s="73">
        <f t="shared" si="0"/>
        <v>-247</v>
      </c>
    </row>
    <row r="12" spans="1:3">
      <c r="A12" s="76">
        <v>279</v>
      </c>
      <c r="B12" s="79">
        <v>464</v>
      </c>
      <c r="C12" s="73">
        <f t="shared" si="0"/>
        <v>-185</v>
      </c>
    </row>
    <row r="13" spans="1:3">
      <c r="A13" s="76">
        <v>384</v>
      </c>
      <c r="B13" s="79">
        <v>638</v>
      </c>
      <c r="C13" s="73">
        <f t="shared" si="0"/>
        <v>-254</v>
      </c>
    </row>
    <row r="14" spans="1:3">
      <c r="A14" s="76">
        <v>240</v>
      </c>
      <c r="B14" s="79">
        <v>399</v>
      </c>
      <c r="C14" s="73">
        <f t="shared" si="0"/>
        <v>-159</v>
      </c>
    </row>
    <row r="15" spans="1:3">
      <c r="A15" s="80">
        <v>8800</v>
      </c>
      <c r="B15" s="80">
        <v>14790</v>
      </c>
      <c r="C15" s="73">
        <f t="shared" si="0"/>
        <v>-5990</v>
      </c>
    </row>
    <row r="16" spans="1:3">
      <c r="A16" s="76">
        <v>277</v>
      </c>
      <c r="B16" s="79">
        <v>538</v>
      </c>
      <c r="C16" s="73">
        <f t="shared" si="0"/>
        <v>-261</v>
      </c>
    </row>
    <row r="17" spans="1:3">
      <c r="A17" s="76">
        <v>886</v>
      </c>
      <c r="B17" s="77">
        <v>1720</v>
      </c>
      <c r="C17" s="73">
        <f t="shared" si="0"/>
        <v>-834</v>
      </c>
    </row>
    <row r="18" spans="1:3">
      <c r="A18" s="76">
        <v>665</v>
      </c>
      <c r="B18" s="77">
        <v>1291</v>
      </c>
      <c r="C18" s="73">
        <f t="shared" si="0"/>
        <v>-626</v>
      </c>
    </row>
    <row r="19" spans="1:3">
      <c r="A19" s="76">
        <v>665</v>
      </c>
      <c r="B19" s="77">
        <v>1291</v>
      </c>
      <c r="C19" s="73">
        <f t="shared" si="0"/>
        <v>-626</v>
      </c>
    </row>
    <row r="20" spans="1:3">
      <c r="A20" s="76">
        <v>332</v>
      </c>
      <c r="B20" s="79">
        <v>645</v>
      </c>
      <c r="C20" s="73">
        <f t="shared" si="0"/>
        <v>-313</v>
      </c>
    </row>
    <row r="21" spans="1:3">
      <c r="A21" s="78">
        <v>1045</v>
      </c>
      <c r="B21" s="77">
        <v>2029</v>
      </c>
      <c r="C21" s="73">
        <f t="shared" si="0"/>
        <v>-984</v>
      </c>
    </row>
    <row r="22" spans="1:3">
      <c r="A22" s="78">
        <v>2881</v>
      </c>
      <c r="B22" s="77">
        <v>5591</v>
      </c>
      <c r="C22" s="73">
        <f t="shared" si="0"/>
        <v>-2710</v>
      </c>
    </row>
    <row r="23" spans="1:3">
      <c r="A23" s="81">
        <v>6751</v>
      </c>
      <c r="B23" s="80">
        <v>13105</v>
      </c>
      <c r="C23" s="73">
        <f t="shared" si="0"/>
        <v>-6354</v>
      </c>
    </row>
    <row r="24" spans="1:3">
      <c r="A24" s="76">
        <v>834</v>
      </c>
      <c r="B24" s="77">
        <v>7082</v>
      </c>
      <c r="C24" s="73">
        <f t="shared" si="0"/>
        <v>-6248</v>
      </c>
    </row>
    <row r="25" spans="1:3">
      <c r="A25" s="76">
        <v>528</v>
      </c>
      <c r="B25" s="77">
        <v>4482</v>
      </c>
      <c r="C25" s="73">
        <f t="shared" si="0"/>
        <v>-3954</v>
      </c>
    </row>
    <row r="26" spans="1:3" ht="17.25" thickBot="1">
      <c r="A26" s="82">
        <v>1362</v>
      </c>
      <c r="B26" s="83">
        <v>11564</v>
      </c>
      <c r="C26" s="73">
        <f t="shared" si="0"/>
        <v>-10202</v>
      </c>
    </row>
    <row r="27" spans="1:3" ht="17.25" thickTop="1"/>
  </sheetData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Normal="100" zoomScaleSheetLayoutView="100" workbookViewId="0">
      <selection activeCell="I10" sqref="I10"/>
    </sheetView>
    <sheetView workbookViewId="1"/>
  </sheetViews>
  <sheetFormatPr defaultRowHeight="24.95" customHeight="1"/>
  <cols>
    <col min="1" max="1" width="11.375" bestFit="1" customWidth="1"/>
    <col min="2" max="2" width="9.625" bestFit="1" customWidth="1"/>
    <col min="3" max="3" width="4.75" bestFit="1" customWidth="1"/>
    <col min="4" max="4" width="6.375" bestFit="1" customWidth="1"/>
    <col min="5" max="5" width="6" bestFit="1" customWidth="1"/>
    <col min="6" max="7" width="5.875" bestFit="1" customWidth="1"/>
    <col min="9" max="9" width="6.875" bestFit="1" customWidth="1"/>
    <col min="10" max="10" width="8" bestFit="1" customWidth="1"/>
    <col min="11" max="12" width="9" bestFit="1" customWidth="1"/>
    <col min="13" max="13" width="6.375" bestFit="1" customWidth="1"/>
    <col min="14" max="14" width="7.875" bestFit="1" customWidth="1"/>
    <col min="15" max="16" width="6.375" bestFit="1" customWidth="1"/>
    <col min="17" max="17" width="6" bestFit="1" customWidth="1"/>
    <col min="18" max="18" width="8" bestFit="1" customWidth="1"/>
    <col min="19" max="19" width="8" customWidth="1"/>
    <col min="21" max="21" width="11.125" bestFit="1" customWidth="1"/>
    <col min="22" max="22" width="11.125" style="139" customWidth="1"/>
    <col min="23" max="23" width="11" bestFit="1" customWidth="1"/>
    <col min="24" max="24" width="11.625" bestFit="1" customWidth="1"/>
    <col min="25" max="26" width="12.625" bestFit="1" customWidth="1"/>
  </cols>
  <sheetData>
    <row r="1" spans="1:36" ht="24.95" customHeight="1">
      <c r="A1" s="5" t="s">
        <v>161</v>
      </c>
    </row>
    <row r="2" spans="1:36" ht="20.100000000000001" customHeight="1">
      <c r="A2" s="467" t="s">
        <v>162</v>
      </c>
      <c r="B2" s="468"/>
      <c r="C2" s="469"/>
      <c r="D2" s="470" t="s">
        <v>163</v>
      </c>
      <c r="E2" s="470" t="s">
        <v>164</v>
      </c>
      <c r="F2" s="467" t="s">
        <v>165</v>
      </c>
      <c r="G2" s="468"/>
      <c r="H2" s="469"/>
      <c r="I2" s="470" t="s">
        <v>166</v>
      </c>
      <c r="J2" s="470" t="s">
        <v>167</v>
      </c>
      <c r="K2" s="467" t="s">
        <v>168</v>
      </c>
      <c r="L2" s="468"/>
      <c r="M2" s="469"/>
      <c r="N2" s="470" t="s">
        <v>169</v>
      </c>
      <c r="O2" s="467" t="s">
        <v>170</v>
      </c>
      <c r="P2" s="468"/>
      <c r="Q2" s="469"/>
      <c r="R2" s="470" t="s">
        <v>171</v>
      </c>
      <c r="S2" s="197"/>
    </row>
    <row r="3" spans="1:36" ht="20.100000000000001" customHeight="1">
      <c r="A3" s="450"/>
      <c r="B3" s="451"/>
      <c r="C3" s="452"/>
      <c r="D3" s="457"/>
      <c r="E3" s="457"/>
      <c r="F3" s="450"/>
      <c r="G3" s="451"/>
      <c r="H3" s="452"/>
      <c r="I3" s="457"/>
      <c r="J3" s="457"/>
      <c r="K3" s="450"/>
      <c r="L3" s="451"/>
      <c r="M3" s="452"/>
      <c r="N3" s="457"/>
      <c r="O3" s="450"/>
      <c r="P3" s="451"/>
      <c r="Q3" s="452"/>
      <c r="R3" s="457"/>
      <c r="S3" s="197"/>
    </row>
    <row r="4" spans="1:36" ht="20.100000000000001" customHeight="1">
      <c r="A4" s="450"/>
      <c r="B4" s="451"/>
      <c r="C4" s="452"/>
      <c r="D4" s="457"/>
      <c r="E4" s="457"/>
      <c r="F4" s="453"/>
      <c r="G4" s="454"/>
      <c r="H4" s="455"/>
      <c r="I4" s="457"/>
      <c r="J4" s="457"/>
      <c r="K4" s="453"/>
      <c r="L4" s="454"/>
      <c r="M4" s="455"/>
      <c r="N4" s="457"/>
      <c r="O4" s="453"/>
      <c r="P4" s="454"/>
      <c r="Q4" s="455"/>
      <c r="R4" s="457"/>
      <c r="S4" s="197"/>
    </row>
    <row r="5" spans="1:36" ht="50.1" customHeight="1">
      <c r="A5" s="450"/>
      <c r="B5" s="451"/>
      <c r="C5" s="455"/>
      <c r="D5" s="471"/>
      <c r="E5" s="471"/>
      <c r="F5" s="137" t="s">
        <v>172</v>
      </c>
      <c r="G5" s="137" t="s">
        <v>173</v>
      </c>
      <c r="H5" s="137" t="s">
        <v>174</v>
      </c>
      <c r="I5" s="471"/>
      <c r="J5" s="471"/>
      <c r="K5" s="137" t="s">
        <v>175</v>
      </c>
      <c r="L5" s="137" t="s">
        <v>176</v>
      </c>
      <c r="M5" s="137" t="s">
        <v>177</v>
      </c>
      <c r="N5" s="471"/>
      <c r="O5" s="137" t="s">
        <v>178</v>
      </c>
      <c r="P5" s="137" t="s">
        <v>179</v>
      </c>
      <c r="Q5" s="137" t="s">
        <v>180</v>
      </c>
      <c r="R5" s="471"/>
      <c r="S5" s="196"/>
      <c r="T5" s="153" t="s">
        <v>192</v>
      </c>
      <c r="U5" s="219" t="s">
        <v>236</v>
      </c>
      <c r="V5" s="220"/>
      <c r="X5" s="138" t="s">
        <v>181</v>
      </c>
      <c r="Y5" s="139" t="s">
        <v>182</v>
      </c>
      <c r="Z5" s="139" t="s">
        <v>183</v>
      </c>
    </row>
    <row r="6" spans="1:36" ht="30" customHeight="1">
      <c r="A6" s="472" t="s">
        <v>234</v>
      </c>
      <c r="B6" s="72" t="s">
        <v>223</v>
      </c>
      <c r="C6" s="151" t="s">
        <v>222</v>
      </c>
      <c r="D6" s="140" t="s">
        <v>185</v>
      </c>
      <c r="E6" s="141">
        <v>115</v>
      </c>
      <c r="F6" s="141">
        <f t="shared" ref="F6:F11" si="0">ROUND(E6*0.27,0)</f>
        <v>31</v>
      </c>
      <c r="G6" s="141">
        <f t="shared" ref="G6:G11" si="1">E6-F6</f>
        <v>84</v>
      </c>
      <c r="H6" s="141">
        <f t="shared" ref="H6:H11" si="2">E6</f>
        <v>115</v>
      </c>
      <c r="I6" s="142">
        <v>50.84</v>
      </c>
      <c r="J6" s="141"/>
      <c r="K6" s="141">
        <f>ROUND(F6*T6/1000,0)</f>
        <v>9</v>
      </c>
      <c r="L6" s="141">
        <f>ROUND(G6*T6/1000,0)</f>
        <v>25</v>
      </c>
      <c r="M6" s="141">
        <f>ROUND(H6*T6/1000,0)</f>
        <v>34</v>
      </c>
      <c r="N6" s="141">
        <v>0</v>
      </c>
      <c r="O6" s="141"/>
      <c r="P6" s="201">
        <v>67</v>
      </c>
      <c r="Q6" s="204">
        <f>+O6+P6</f>
        <v>67</v>
      </c>
      <c r="R6" s="144"/>
      <c r="S6" s="206" t="s">
        <v>229</v>
      </c>
      <c r="T6">
        <v>299</v>
      </c>
      <c r="U6" s="221">
        <v>42124</v>
      </c>
      <c r="V6" s="259">
        <v>7079</v>
      </c>
      <c r="X6" s="139" t="s">
        <v>186</v>
      </c>
      <c r="Y6" s="145">
        <f>406.94/1000</f>
        <v>0.40694000000000002</v>
      </c>
      <c r="Z6" s="145" t="e">
        <f>'3.3.3 원인자검토(음성군조례)'!#REF!/1000000</f>
        <v>#REF!</v>
      </c>
    </row>
    <row r="7" spans="1:36" ht="30" customHeight="1">
      <c r="A7" s="473"/>
      <c r="B7" s="174" t="s">
        <v>224</v>
      </c>
      <c r="C7" s="151" t="s">
        <v>222</v>
      </c>
      <c r="D7" s="140" t="s">
        <v>185</v>
      </c>
      <c r="E7" s="141">
        <v>359</v>
      </c>
      <c r="F7" s="141">
        <f t="shared" si="0"/>
        <v>97</v>
      </c>
      <c r="G7" s="141">
        <f t="shared" si="1"/>
        <v>262</v>
      </c>
      <c r="H7" s="141">
        <f t="shared" si="2"/>
        <v>359</v>
      </c>
      <c r="I7" s="142">
        <v>144.69999999999999</v>
      </c>
      <c r="J7" s="141"/>
      <c r="K7" s="141">
        <f t="shared" ref="K7:K11" si="3">ROUND(F7*T7/1000,0)</f>
        <v>29</v>
      </c>
      <c r="L7" s="141">
        <f t="shared" ref="L7:L11" si="4">ROUND(G7*T7/1000,0)</f>
        <v>78</v>
      </c>
      <c r="M7" s="141">
        <f t="shared" ref="M7:M11" si="5">ROUND(H7*T7/1000,0)</f>
        <v>107</v>
      </c>
      <c r="N7" s="141">
        <v>0</v>
      </c>
      <c r="O7" s="141"/>
      <c r="P7" s="201">
        <v>190</v>
      </c>
      <c r="Q7" s="204">
        <f t="shared" ref="Q7:Q11" si="6">+O7+P7</f>
        <v>190</v>
      </c>
      <c r="R7" s="144"/>
      <c r="S7" s="206" t="s">
        <v>229</v>
      </c>
      <c r="T7">
        <v>299</v>
      </c>
      <c r="U7" s="221">
        <v>41792</v>
      </c>
      <c r="V7" s="259">
        <v>6726</v>
      </c>
      <c r="X7" s="139"/>
      <c r="Y7" s="145"/>
      <c r="Z7" s="145"/>
    </row>
    <row r="8" spans="1:36" ht="30" customHeight="1">
      <c r="A8" s="473"/>
      <c r="B8" s="174" t="s">
        <v>225</v>
      </c>
      <c r="C8" s="151" t="s">
        <v>222</v>
      </c>
      <c r="D8" s="140" t="s">
        <v>185</v>
      </c>
      <c r="E8" s="141">
        <v>37</v>
      </c>
      <c r="F8" s="141">
        <f t="shared" si="0"/>
        <v>10</v>
      </c>
      <c r="G8" s="141">
        <f t="shared" si="1"/>
        <v>27</v>
      </c>
      <c r="H8" s="141">
        <f t="shared" si="2"/>
        <v>37</v>
      </c>
      <c r="I8" s="142">
        <v>13</v>
      </c>
      <c r="J8" s="141"/>
      <c r="K8" s="141">
        <f t="shared" si="3"/>
        <v>3</v>
      </c>
      <c r="L8" s="141">
        <f t="shared" si="4"/>
        <v>8</v>
      </c>
      <c r="M8" s="141">
        <f t="shared" si="5"/>
        <v>11</v>
      </c>
      <c r="N8" s="141">
        <v>0</v>
      </c>
      <c r="O8" s="141"/>
      <c r="P8" s="201">
        <v>17</v>
      </c>
      <c r="Q8" s="204">
        <f t="shared" si="6"/>
        <v>17</v>
      </c>
      <c r="R8" s="144"/>
      <c r="S8" s="206" t="s">
        <v>229</v>
      </c>
      <c r="T8">
        <v>299</v>
      </c>
      <c r="U8" s="221">
        <v>42908</v>
      </c>
      <c r="V8" s="259">
        <v>7000</v>
      </c>
      <c r="X8" s="139"/>
      <c r="Y8" s="145"/>
      <c r="Z8" s="145"/>
    </row>
    <row r="9" spans="1:36" ht="30" customHeight="1">
      <c r="A9" s="473"/>
      <c r="B9" s="72" t="s">
        <v>227</v>
      </c>
      <c r="C9" s="151" t="s">
        <v>222</v>
      </c>
      <c r="D9" s="140" t="s">
        <v>185</v>
      </c>
      <c r="E9" s="141">
        <v>67</v>
      </c>
      <c r="F9" s="141">
        <f t="shared" si="0"/>
        <v>18</v>
      </c>
      <c r="G9" s="141">
        <f t="shared" si="1"/>
        <v>49</v>
      </c>
      <c r="H9" s="141">
        <f t="shared" si="2"/>
        <v>67</v>
      </c>
      <c r="I9" s="142">
        <v>29.7</v>
      </c>
      <c r="J9" s="141"/>
      <c r="K9" s="141">
        <f t="shared" si="3"/>
        <v>5</v>
      </c>
      <c r="L9" s="141">
        <f t="shared" si="4"/>
        <v>15</v>
      </c>
      <c r="M9" s="141">
        <f t="shared" si="5"/>
        <v>20</v>
      </c>
      <c r="N9" s="141">
        <v>0</v>
      </c>
      <c r="O9" s="141"/>
      <c r="P9" s="201">
        <v>39</v>
      </c>
      <c r="Q9" s="204">
        <f t="shared" si="6"/>
        <v>39</v>
      </c>
      <c r="R9" s="144"/>
      <c r="S9" s="206" t="s">
        <v>229</v>
      </c>
      <c r="T9">
        <v>299</v>
      </c>
      <c r="U9" s="221">
        <v>42649</v>
      </c>
      <c r="V9" s="259">
        <v>7341</v>
      </c>
      <c r="X9" s="139"/>
      <c r="Y9" s="145"/>
      <c r="Z9" s="145"/>
    </row>
    <row r="10" spans="1:36" ht="30" customHeight="1">
      <c r="A10" s="473"/>
      <c r="B10" s="72" t="s">
        <v>228</v>
      </c>
      <c r="C10" s="151" t="s">
        <v>222</v>
      </c>
      <c r="D10" s="140" t="s">
        <v>185</v>
      </c>
      <c r="E10" s="141">
        <v>941</v>
      </c>
      <c r="F10" s="141">
        <f t="shared" si="0"/>
        <v>254</v>
      </c>
      <c r="G10" s="141">
        <f t="shared" si="1"/>
        <v>687</v>
      </c>
      <c r="H10" s="141">
        <f t="shared" si="2"/>
        <v>941</v>
      </c>
      <c r="I10" s="142">
        <v>275.8</v>
      </c>
      <c r="J10" s="141"/>
      <c r="K10" s="141">
        <f t="shared" si="3"/>
        <v>76</v>
      </c>
      <c r="L10" s="141">
        <f t="shared" si="4"/>
        <v>205</v>
      </c>
      <c r="M10" s="141">
        <f t="shared" si="5"/>
        <v>281</v>
      </c>
      <c r="N10" s="141">
        <v>0</v>
      </c>
      <c r="O10" s="141"/>
      <c r="P10" s="201">
        <f>ROUNDDOWN(+M10*$Y$6,)</f>
        <v>114</v>
      </c>
      <c r="Q10" s="143">
        <f t="shared" si="6"/>
        <v>114</v>
      </c>
      <c r="R10" s="144"/>
      <c r="S10" s="206"/>
      <c r="T10">
        <v>299</v>
      </c>
      <c r="U10" s="221">
        <v>42710</v>
      </c>
      <c r="V10" s="259">
        <v>7341</v>
      </c>
      <c r="X10" s="139"/>
      <c r="Y10" s="145"/>
      <c r="Z10" s="145"/>
    </row>
    <row r="11" spans="1:36" ht="30" customHeight="1">
      <c r="A11" s="473"/>
      <c r="B11" s="174" t="s">
        <v>226</v>
      </c>
      <c r="C11" s="151" t="s">
        <v>222</v>
      </c>
      <c r="D11" s="140" t="s">
        <v>185</v>
      </c>
      <c r="E11" s="141">
        <v>313</v>
      </c>
      <c r="F11" s="141">
        <f t="shared" si="0"/>
        <v>85</v>
      </c>
      <c r="G11" s="152">
        <f t="shared" si="1"/>
        <v>228</v>
      </c>
      <c r="H11" s="141">
        <f t="shared" si="2"/>
        <v>313</v>
      </c>
      <c r="I11" s="142">
        <v>92.9</v>
      </c>
      <c r="J11" s="141"/>
      <c r="K11" s="141">
        <f t="shared" si="3"/>
        <v>25</v>
      </c>
      <c r="L11" s="141">
        <f t="shared" si="4"/>
        <v>68</v>
      </c>
      <c r="M11" s="141">
        <f t="shared" si="5"/>
        <v>94</v>
      </c>
      <c r="N11" s="141">
        <v>0</v>
      </c>
      <c r="O11" s="141"/>
      <c r="P11" s="201">
        <f>ROUNDDOWN(+M11*$Y$6,)</f>
        <v>38</v>
      </c>
      <c r="Q11" s="143">
        <f t="shared" si="6"/>
        <v>38</v>
      </c>
      <c r="R11" s="144"/>
      <c r="S11" s="206"/>
      <c r="T11">
        <v>299</v>
      </c>
      <c r="U11" s="221">
        <v>42093</v>
      </c>
      <c r="V11" s="259">
        <v>7079</v>
      </c>
      <c r="X11" s="139"/>
      <c r="Y11" s="145"/>
      <c r="Z11" s="145"/>
    </row>
    <row r="12" spans="1:36" ht="30" customHeight="1">
      <c r="A12" s="473"/>
      <c r="B12" s="474" t="s">
        <v>180</v>
      </c>
      <c r="C12" s="474"/>
      <c r="D12" s="475"/>
      <c r="E12" s="154">
        <f>SUM(E6:E11)</f>
        <v>1832</v>
      </c>
      <c r="F12" s="154">
        <f t="shared" ref="F12:I12" si="7">SUM(F6:F11)</f>
        <v>495</v>
      </c>
      <c r="G12" s="154">
        <f t="shared" si="7"/>
        <v>1337</v>
      </c>
      <c r="H12" s="154">
        <f t="shared" si="7"/>
        <v>1832</v>
      </c>
      <c r="I12" s="154">
        <f t="shared" si="7"/>
        <v>606.93999999999994</v>
      </c>
      <c r="J12" s="154"/>
      <c r="K12" s="154">
        <f t="shared" ref="K12:M12" si="8">SUM(K6:K11)</f>
        <v>147</v>
      </c>
      <c r="L12" s="154">
        <f t="shared" si="8"/>
        <v>399</v>
      </c>
      <c r="M12" s="154">
        <f t="shared" si="8"/>
        <v>547</v>
      </c>
      <c r="N12" s="154">
        <v>0</v>
      </c>
      <c r="O12" s="154">
        <f t="shared" ref="O12:Q12" si="9">SUM(O6:O11)</f>
        <v>0</v>
      </c>
      <c r="P12" s="154">
        <f t="shared" si="9"/>
        <v>465</v>
      </c>
      <c r="Q12" s="155">
        <f t="shared" si="9"/>
        <v>465</v>
      </c>
      <c r="R12" s="156"/>
      <c r="S12" s="206"/>
      <c r="V12" s="259"/>
      <c r="X12" s="463" t="s">
        <v>187</v>
      </c>
      <c r="Y12" s="463"/>
      <c r="Z12" s="463"/>
      <c r="AA12" s="463"/>
      <c r="AB12" s="463"/>
      <c r="AC12" s="463"/>
      <c r="AD12" s="463"/>
      <c r="AE12" s="463"/>
      <c r="AF12" s="195"/>
      <c r="AG12" s="195"/>
      <c r="AH12" s="195"/>
      <c r="AI12" s="195"/>
      <c r="AJ12" s="195"/>
    </row>
    <row r="13" spans="1:36" ht="30" customHeight="1">
      <c r="A13" s="472" t="s">
        <v>191</v>
      </c>
      <c r="B13" s="72" t="s">
        <v>95</v>
      </c>
      <c r="C13" s="151" t="s">
        <v>184</v>
      </c>
      <c r="D13" s="140" t="s">
        <v>185</v>
      </c>
      <c r="E13" s="141">
        <f>'3.3.3 원인자검토(음성군조례)'!E3</f>
        <v>942</v>
      </c>
      <c r="F13" s="141">
        <f>ROUND(E13*0.62,0)</f>
        <v>584</v>
      </c>
      <c r="G13" s="141">
        <f>E13-F13</f>
        <v>358</v>
      </c>
      <c r="H13" s="141">
        <f>E13</f>
        <v>942</v>
      </c>
      <c r="I13" s="142">
        <f>+M13</f>
        <v>302</v>
      </c>
      <c r="J13" s="141">
        <v>2000</v>
      </c>
      <c r="K13" s="141">
        <f>ROUND(F13*T13/1000,0)</f>
        <v>187</v>
      </c>
      <c r="L13" s="141">
        <f>ROUND(G13*T13/1000,0)</f>
        <v>115</v>
      </c>
      <c r="M13" s="141">
        <f>ROUND(H13*T13/1000,0)</f>
        <v>302</v>
      </c>
      <c r="N13" s="141">
        <f>'3.3.3 원인자검토(음성군조례)'!C3</f>
        <v>10143</v>
      </c>
      <c r="O13" s="141">
        <f>ROUNDDOWN(+K13*$I$45,0)</f>
        <v>948</v>
      </c>
      <c r="P13" s="201">
        <f>ROUNDDOWN(+L13*Z13,)</f>
        <v>151</v>
      </c>
      <c r="Q13" s="143">
        <f>+O13+P13</f>
        <v>1099</v>
      </c>
      <c r="R13" s="144">
        <f t="shared" ref="R13:R25" si="10">+Q13/N13</f>
        <v>0.10835058661145618</v>
      </c>
      <c r="S13" s="206"/>
      <c r="T13">
        <v>321</v>
      </c>
      <c r="U13" s="221">
        <v>42803</v>
      </c>
      <c r="V13" s="259">
        <v>8000</v>
      </c>
      <c r="X13" s="139" t="s">
        <v>186</v>
      </c>
      <c r="Y13" s="145">
        <f>406.94/1000</f>
        <v>0.40694000000000002</v>
      </c>
      <c r="Z13" s="145">
        <f>'3.3.3 원인자검토(음성군조례)'!H3/1000000</f>
        <v>1.3139400000000001</v>
      </c>
    </row>
    <row r="14" spans="1:36" ht="30" customHeight="1">
      <c r="A14" s="473"/>
      <c r="B14" s="174" t="s">
        <v>96</v>
      </c>
      <c r="C14" s="151" t="s">
        <v>184</v>
      </c>
      <c r="D14" s="140" t="s">
        <v>185</v>
      </c>
      <c r="E14" s="141">
        <f>'3.3.3 원인자검토(음성군조례)'!E4</f>
        <v>708</v>
      </c>
      <c r="F14" s="141">
        <f>ROUND(E14*0.62,0)</f>
        <v>439</v>
      </c>
      <c r="G14" s="141">
        <f>E14-F14</f>
        <v>269</v>
      </c>
      <c r="H14" s="141">
        <f>E14</f>
        <v>708</v>
      </c>
      <c r="I14" s="142">
        <v>323</v>
      </c>
      <c r="J14" s="141">
        <v>2000</v>
      </c>
      <c r="K14" s="141">
        <f>ROUND(F14*T14/1000,0)</f>
        <v>141</v>
      </c>
      <c r="L14" s="141">
        <f>ROUND(G14*T14/1000,0)</f>
        <v>86</v>
      </c>
      <c r="M14" s="141">
        <f>ROUND(H14*T14/1000,0)</f>
        <v>227</v>
      </c>
      <c r="N14" s="141">
        <f>'3.3.3 원인자검토(음성군조례)'!C3</f>
        <v>10143</v>
      </c>
      <c r="O14" s="141"/>
      <c r="P14" s="201"/>
      <c r="Q14" s="204">
        <v>1019</v>
      </c>
      <c r="R14" s="144">
        <f t="shared" si="10"/>
        <v>0.10046337375529922</v>
      </c>
      <c r="S14" s="206" t="s">
        <v>229</v>
      </c>
      <c r="T14">
        <v>321</v>
      </c>
      <c r="U14" s="221">
        <v>41275</v>
      </c>
      <c r="V14" s="259">
        <v>6013</v>
      </c>
      <c r="X14" s="139"/>
      <c r="Y14" s="145"/>
      <c r="Z14" s="145"/>
    </row>
    <row r="15" spans="1:36" ht="30" customHeight="1">
      <c r="A15" s="473"/>
      <c r="B15" s="174" t="s">
        <v>124</v>
      </c>
      <c r="C15" s="151" t="s">
        <v>184</v>
      </c>
      <c r="D15" s="140" t="s">
        <v>185</v>
      </c>
      <c r="E15" s="141">
        <f>'3.3.3 원인자검토(음성군조례)'!E5</f>
        <v>3661</v>
      </c>
      <c r="F15" s="141">
        <f>ROUND(E15*0.62,0)</f>
        <v>2270</v>
      </c>
      <c r="G15" s="152">
        <f>E15-F15</f>
        <v>1391</v>
      </c>
      <c r="H15" s="141">
        <f>E15</f>
        <v>3661</v>
      </c>
      <c r="I15" s="142"/>
      <c r="J15" s="141">
        <v>2000</v>
      </c>
      <c r="K15" s="141">
        <f>ROUND(F15*T15/1000,0)</f>
        <v>729</v>
      </c>
      <c r="L15" s="141">
        <f>ROUND(G15*T15/1000,0)</f>
        <v>447</v>
      </c>
      <c r="M15" s="141">
        <f>ROUND(H15*T15/1000,0)</f>
        <v>1175</v>
      </c>
      <c r="N15" s="141">
        <f>'3.3.3 원인자검토(음성군조례)'!C3</f>
        <v>10143</v>
      </c>
      <c r="O15" s="141">
        <f>ROUNDDOWN(+K15*$I$45,0)</f>
        <v>3697</v>
      </c>
      <c r="P15" s="201">
        <f>ROUNDDOWN(+L15*Z13,)</f>
        <v>587</v>
      </c>
      <c r="Q15" s="143">
        <f>+O15+P15</f>
        <v>4284</v>
      </c>
      <c r="R15" s="144">
        <f t="shared" si="10"/>
        <v>0.42236024844720499</v>
      </c>
      <c r="S15" s="206"/>
      <c r="T15">
        <v>321</v>
      </c>
      <c r="U15" s="221">
        <v>42080</v>
      </c>
      <c r="V15" s="259">
        <v>6165</v>
      </c>
      <c r="X15" s="139"/>
      <c r="Y15" s="145"/>
      <c r="Z15" s="145"/>
    </row>
    <row r="16" spans="1:36" ht="30" customHeight="1">
      <c r="A16" s="473"/>
      <c r="B16" s="474" t="s">
        <v>180</v>
      </c>
      <c r="C16" s="474"/>
      <c r="D16" s="475"/>
      <c r="E16" s="154">
        <f>SUM(E13:E15)</f>
        <v>5311</v>
      </c>
      <c r="F16" s="154">
        <f t="shared" ref="F16:Q16" si="11">SUM(F13:F15)</f>
        <v>3293</v>
      </c>
      <c r="G16" s="154">
        <f t="shared" si="11"/>
        <v>2018</v>
      </c>
      <c r="H16" s="154">
        <f t="shared" si="11"/>
        <v>5311</v>
      </c>
      <c r="I16" s="154">
        <f t="shared" si="11"/>
        <v>625</v>
      </c>
      <c r="J16" s="154"/>
      <c r="K16" s="154">
        <f t="shared" si="11"/>
        <v>1057</v>
      </c>
      <c r="L16" s="154">
        <f t="shared" si="11"/>
        <v>648</v>
      </c>
      <c r="M16" s="154">
        <f t="shared" si="11"/>
        <v>1704</v>
      </c>
      <c r="N16" s="154">
        <v>9954</v>
      </c>
      <c r="O16" s="154">
        <f t="shared" si="11"/>
        <v>4645</v>
      </c>
      <c r="P16" s="154">
        <f t="shared" si="11"/>
        <v>738</v>
      </c>
      <c r="Q16" s="155">
        <f t="shared" si="11"/>
        <v>6402</v>
      </c>
      <c r="R16" s="156">
        <f t="shared" si="10"/>
        <v>0.64315852923447858</v>
      </c>
      <c r="S16" s="206"/>
      <c r="V16" s="259"/>
      <c r="X16" s="463" t="s">
        <v>187</v>
      </c>
      <c r="Y16" s="463"/>
      <c r="Z16" s="463"/>
      <c r="AA16" s="463"/>
      <c r="AB16" s="463"/>
      <c r="AC16" s="463"/>
      <c r="AD16" s="463"/>
      <c r="AE16" s="463"/>
      <c r="AF16" s="146"/>
      <c r="AG16" s="146"/>
      <c r="AH16" s="146"/>
      <c r="AI16" s="146"/>
      <c r="AJ16" s="146"/>
    </row>
    <row r="17" spans="1:36" ht="30" customHeight="1">
      <c r="A17" s="462" t="s">
        <v>193</v>
      </c>
      <c r="B17" s="174" t="s">
        <v>98</v>
      </c>
      <c r="C17" s="163" t="s">
        <v>184</v>
      </c>
      <c r="D17" s="163" t="s">
        <v>185</v>
      </c>
      <c r="E17" s="164">
        <f>'3.3.3 원인자검토(음성군조례)'!E7</f>
        <v>4780</v>
      </c>
      <c r="F17" s="164">
        <f t="shared" ref="F17:F22" si="12">ROUND(E17*0.55,0)</f>
        <v>2629</v>
      </c>
      <c r="G17" s="164">
        <f t="shared" ref="G17:G22" si="13">E17-F17</f>
        <v>2151</v>
      </c>
      <c r="H17" s="164">
        <f t="shared" ref="H17:H22" si="14">E17</f>
        <v>4780</v>
      </c>
      <c r="I17" s="165">
        <f>+M17</f>
        <v>1482</v>
      </c>
      <c r="J17" s="164">
        <v>4000</v>
      </c>
      <c r="K17" s="164">
        <f>ROUND(F17*T17/1000,0)</f>
        <v>815</v>
      </c>
      <c r="L17" s="164">
        <f>ROUND(G17*T17/1000,0)</f>
        <v>667</v>
      </c>
      <c r="M17" s="164">
        <f>ROUND(H17*T17/1000,0)</f>
        <v>1482</v>
      </c>
      <c r="N17" s="164">
        <f>'3.3.3 원인자검토(음성군조례)'!C7</f>
        <v>23289</v>
      </c>
      <c r="O17" s="164">
        <f>ROUNDDOWN(+K17*$K$45,0)</f>
        <v>4745</v>
      </c>
      <c r="P17" s="202">
        <f>ROUNDDOWN(+L17*$Z$17,)</f>
        <v>876</v>
      </c>
      <c r="Q17" s="166">
        <f t="shared" ref="Q17:Q21" si="15">+O17+P17</f>
        <v>5621</v>
      </c>
      <c r="R17" s="167">
        <f t="shared" si="10"/>
        <v>0.24135858130447851</v>
      </c>
      <c r="S17" s="206"/>
      <c r="T17">
        <v>310</v>
      </c>
      <c r="U17" s="221">
        <v>42269</v>
      </c>
      <c r="V17" s="259">
        <v>4244</v>
      </c>
      <c r="X17" s="139" t="s">
        <v>186</v>
      </c>
      <c r="Y17" s="145">
        <f>406.94/1000</f>
        <v>0.40694000000000002</v>
      </c>
      <c r="Z17" s="145">
        <f>'3.3.3 원인자검토(음성군조례)'!H7/1000000</f>
        <v>1.3139400000000001</v>
      </c>
    </row>
    <row r="18" spans="1:36" ht="30" customHeight="1">
      <c r="A18" s="462"/>
      <c r="B18" s="174" t="s">
        <v>99</v>
      </c>
      <c r="C18" s="163" t="s">
        <v>184</v>
      </c>
      <c r="D18" s="163" t="s">
        <v>185</v>
      </c>
      <c r="E18" s="164">
        <f>'3.3.3 원인자검토(음성군조례)'!E8</f>
        <v>430</v>
      </c>
      <c r="F18" s="164">
        <f t="shared" si="12"/>
        <v>237</v>
      </c>
      <c r="G18" s="164">
        <f t="shared" si="13"/>
        <v>193</v>
      </c>
      <c r="H18" s="164">
        <f t="shared" si="14"/>
        <v>430</v>
      </c>
      <c r="I18" s="165">
        <v>155.6</v>
      </c>
      <c r="J18" s="164">
        <v>4000</v>
      </c>
      <c r="K18" s="164">
        <f t="shared" ref="K18:K22" si="16">ROUND(F18*T18/1000,0)</f>
        <v>73</v>
      </c>
      <c r="L18" s="164">
        <f t="shared" ref="L18:L22" si="17">ROUND(G18*T18/1000,0)</f>
        <v>60</v>
      </c>
      <c r="M18" s="164">
        <f t="shared" ref="M18:M22" si="18">ROUND(H18*T18/1000,0)</f>
        <v>133</v>
      </c>
      <c r="N18" s="164">
        <f>'3.3.3 원인자검토(음성군조례)'!C7</f>
        <v>23289</v>
      </c>
      <c r="O18" s="164"/>
      <c r="P18" s="202"/>
      <c r="Q18" s="205">
        <v>1012</v>
      </c>
      <c r="R18" s="167">
        <f t="shared" si="10"/>
        <v>4.3453991154622354E-2</v>
      </c>
      <c r="S18" s="206" t="s">
        <v>229</v>
      </c>
      <c r="T18">
        <v>310</v>
      </c>
      <c r="U18" s="221">
        <v>41599</v>
      </c>
      <c r="V18" s="259">
        <v>3788</v>
      </c>
      <c r="X18" s="139"/>
      <c r="Y18" s="145"/>
      <c r="Z18" s="145"/>
    </row>
    <row r="19" spans="1:36" ht="30" customHeight="1">
      <c r="A19" s="462"/>
      <c r="B19" s="174" t="s">
        <v>129</v>
      </c>
      <c r="C19" s="163" t="s">
        <v>184</v>
      </c>
      <c r="D19" s="163" t="s">
        <v>185</v>
      </c>
      <c r="E19" s="164">
        <f>'3.3.3 원인자검토(음성군조례)'!E9</f>
        <v>941</v>
      </c>
      <c r="F19" s="164">
        <f t="shared" si="12"/>
        <v>518</v>
      </c>
      <c r="G19" s="164">
        <f t="shared" si="13"/>
        <v>423</v>
      </c>
      <c r="H19" s="164">
        <f t="shared" si="14"/>
        <v>941</v>
      </c>
      <c r="I19" s="165">
        <v>270.5</v>
      </c>
      <c r="J19" s="164">
        <v>4000</v>
      </c>
      <c r="K19" s="164">
        <f t="shared" si="16"/>
        <v>161</v>
      </c>
      <c r="L19" s="164">
        <f t="shared" si="17"/>
        <v>131</v>
      </c>
      <c r="M19" s="164">
        <f t="shared" si="18"/>
        <v>292</v>
      </c>
      <c r="N19" s="164">
        <f>'3.3.3 원인자검토(음성군조례)'!C7</f>
        <v>23289</v>
      </c>
      <c r="O19" s="164"/>
      <c r="P19" s="202"/>
      <c r="Q19" s="205">
        <v>355</v>
      </c>
      <c r="R19" s="167">
        <f t="shared" si="10"/>
        <v>1.5243247885267723E-2</v>
      </c>
      <c r="S19" s="206" t="s">
        <v>229</v>
      </c>
      <c r="T19">
        <v>310</v>
      </c>
      <c r="U19" s="221">
        <v>42264</v>
      </c>
      <c r="V19" s="259">
        <v>4244</v>
      </c>
      <c r="X19" s="139"/>
      <c r="Y19" s="145"/>
      <c r="Z19" s="145"/>
    </row>
    <row r="20" spans="1:36" ht="30" customHeight="1">
      <c r="A20" s="462"/>
      <c r="B20" s="72" t="s">
        <v>196</v>
      </c>
      <c r="C20" s="163" t="s">
        <v>184</v>
      </c>
      <c r="D20" s="163" t="s">
        <v>185</v>
      </c>
      <c r="E20" s="164">
        <f>'3.3.3 원인자검토(음성군조례)'!E10</f>
        <v>354</v>
      </c>
      <c r="F20" s="164">
        <f t="shared" si="12"/>
        <v>195</v>
      </c>
      <c r="G20" s="164">
        <f t="shared" si="13"/>
        <v>159</v>
      </c>
      <c r="H20" s="164">
        <f t="shared" si="14"/>
        <v>354</v>
      </c>
      <c r="I20" s="165">
        <f t="shared" ref="I20:I21" si="19">+M20</f>
        <v>110</v>
      </c>
      <c r="J20" s="164">
        <v>4000</v>
      </c>
      <c r="K20" s="164">
        <f t="shared" si="16"/>
        <v>60</v>
      </c>
      <c r="L20" s="164">
        <f t="shared" si="17"/>
        <v>49</v>
      </c>
      <c r="M20" s="164">
        <f t="shared" si="18"/>
        <v>110</v>
      </c>
      <c r="N20" s="164">
        <f>'3.3.3 원인자검토(음성군조례)'!C7</f>
        <v>23289</v>
      </c>
      <c r="O20" s="164">
        <f>ROUNDDOWN(+K20*$K$45,0)</f>
        <v>349</v>
      </c>
      <c r="P20" s="202">
        <f>ROUNDDOWN(+L20*$Z$17,)</f>
        <v>64</v>
      </c>
      <c r="Q20" s="166">
        <f t="shared" si="15"/>
        <v>413</v>
      </c>
      <c r="R20" s="167">
        <f t="shared" si="10"/>
        <v>1.7733694018635407E-2</v>
      </c>
      <c r="S20" s="206"/>
      <c r="T20">
        <v>310</v>
      </c>
      <c r="U20" s="221"/>
      <c r="V20" s="259"/>
      <c r="X20" s="139"/>
      <c r="Y20" s="145"/>
      <c r="Z20" s="145"/>
    </row>
    <row r="21" spans="1:36" ht="30" customHeight="1">
      <c r="A21" s="462"/>
      <c r="B21" s="174" t="s">
        <v>131</v>
      </c>
      <c r="C21" s="163" t="s">
        <v>184</v>
      </c>
      <c r="D21" s="163" t="s">
        <v>185</v>
      </c>
      <c r="E21" s="164">
        <f>'3.3.3 원인자검토(음성군조례)'!E11</f>
        <v>1495</v>
      </c>
      <c r="F21" s="164">
        <f t="shared" si="12"/>
        <v>822</v>
      </c>
      <c r="G21" s="164">
        <f t="shared" si="13"/>
        <v>673</v>
      </c>
      <c r="H21" s="164">
        <f t="shared" si="14"/>
        <v>1495</v>
      </c>
      <c r="I21" s="165">
        <f t="shared" si="19"/>
        <v>463</v>
      </c>
      <c r="J21" s="164">
        <v>4000</v>
      </c>
      <c r="K21" s="164">
        <f t="shared" si="16"/>
        <v>255</v>
      </c>
      <c r="L21" s="164">
        <f t="shared" si="17"/>
        <v>209</v>
      </c>
      <c r="M21" s="164">
        <f t="shared" si="18"/>
        <v>463</v>
      </c>
      <c r="N21" s="164">
        <f>'3.3.3 원인자검토(음성군조례)'!C7</f>
        <v>23289</v>
      </c>
      <c r="O21" s="164">
        <f>ROUNDDOWN(+K21*$K$45,0)</f>
        <v>1484</v>
      </c>
      <c r="P21" s="202">
        <f>ROUNDDOWN(+L21*$Z$17,)</f>
        <v>274</v>
      </c>
      <c r="Q21" s="166">
        <f t="shared" si="15"/>
        <v>1758</v>
      </c>
      <c r="R21" s="167">
        <f t="shared" si="10"/>
        <v>7.5486281076903264E-2</v>
      </c>
      <c r="S21" s="206"/>
      <c r="T21">
        <v>310</v>
      </c>
      <c r="U21" s="221"/>
      <c r="V21" s="259"/>
      <c r="X21" s="139"/>
      <c r="Y21" s="145"/>
      <c r="Z21" s="145"/>
    </row>
    <row r="22" spans="1:36" ht="30" customHeight="1">
      <c r="A22" s="462"/>
      <c r="B22" s="174" t="s">
        <v>132</v>
      </c>
      <c r="C22" s="163" t="s">
        <v>184</v>
      </c>
      <c r="D22" s="163" t="s">
        <v>185</v>
      </c>
      <c r="E22" s="164">
        <f>'3.3.3 원인자검토(음성군조례)'!E12</f>
        <v>976</v>
      </c>
      <c r="F22" s="164">
        <f t="shared" si="12"/>
        <v>537</v>
      </c>
      <c r="G22" s="164">
        <f t="shared" si="13"/>
        <v>439</v>
      </c>
      <c r="H22" s="164">
        <f t="shared" si="14"/>
        <v>976</v>
      </c>
      <c r="I22" s="165">
        <v>319.2</v>
      </c>
      <c r="J22" s="164">
        <v>4000</v>
      </c>
      <c r="K22" s="164">
        <f t="shared" si="16"/>
        <v>166</v>
      </c>
      <c r="L22" s="164">
        <f t="shared" si="17"/>
        <v>136</v>
      </c>
      <c r="M22" s="164">
        <f t="shared" si="18"/>
        <v>303</v>
      </c>
      <c r="N22" s="164">
        <f>'3.3.3 원인자검토(음성군조례)'!C7</f>
        <v>23289</v>
      </c>
      <c r="O22" s="164"/>
      <c r="P22" s="202"/>
      <c r="Q22" s="205">
        <v>419</v>
      </c>
      <c r="R22" s="167">
        <f t="shared" si="10"/>
        <v>1.7991326377259649E-2</v>
      </c>
      <c r="S22" s="206" t="s">
        <v>229</v>
      </c>
      <c r="T22">
        <v>310</v>
      </c>
      <c r="U22" s="221">
        <v>42216</v>
      </c>
      <c r="V22" s="259">
        <v>4244</v>
      </c>
      <c r="X22" s="139"/>
      <c r="Y22" s="145"/>
      <c r="Z22" s="145"/>
    </row>
    <row r="23" spans="1:36" ht="30" customHeight="1">
      <c r="A23" s="462"/>
      <c r="B23" s="479" t="s">
        <v>180</v>
      </c>
      <c r="C23" s="458"/>
      <c r="D23" s="458"/>
      <c r="E23" s="165">
        <f>SUM(E17:E22)</f>
        <v>8976</v>
      </c>
      <c r="F23" s="165">
        <f t="shared" ref="F23" si="20">SUM(F17:F22)</f>
        <v>4938</v>
      </c>
      <c r="G23" s="165">
        <f t="shared" ref="G23" si="21">SUM(G17:G22)</f>
        <v>4038</v>
      </c>
      <c r="H23" s="165">
        <f t="shared" ref="H23" si="22">SUM(H17:H22)</f>
        <v>8976</v>
      </c>
      <c r="I23" s="165">
        <f t="shared" ref="I23" si="23">SUM(I17:I22)</f>
        <v>2800.2999999999997</v>
      </c>
      <c r="J23" s="165"/>
      <c r="K23" s="165">
        <f t="shared" ref="K23" si="24">SUM(K17:K22)</f>
        <v>1530</v>
      </c>
      <c r="L23" s="165">
        <f t="shared" ref="L23" si="25">SUM(L17:L22)</f>
        <v>1252</v>
      </c>
      <c r="M23" s="165">
        <f t="shared" ref="M23" si="26">SUM(M17:M22)</f>
        <v>2783</v>
      </c>
      <c r="N23" s="165">
        <f>'3.3.3 원인자검토(음성군조례)'!C7</f>
        <v>23289</v>
      </c>
      <c r="O23" s="165">
        <f t="shared" ref="O23" si="27">SUM(O17:O22)</f>
        <v>6578</v>
      </c>
      <c r="P23" s="165">
        <f t="shared" ref="P23" si="28">SUM(P17:P22)</f>
        <v>1214</v>
      </c>
      <c r="Q23" s="168">
        <f t="shared" ref="Q23" si="29">SUM(Q17:Q22)</f>
        <v>9578</v>
      </c>
      <c r="R23" s="167">
        <f t="shared" si="10"/>
        <v>0.4112671218171669</v>
      </c>
      <c r="S23" s="206"/>
      <c r="V23" s="259"/>
      <c r="X23" s="463" t="s">
        <v>187</v>
      </c>
      <c r="Y23" s="463"/>
      <c r="Z23" s="463"/>
      <c r="AA23" s="463"/>
      <c r="AB23" s="463"/>
      <c r="AC23" s="463"/>
      <c r="AD23" s="463"/>
      <c r="AE23" s="463"/>
      <c r="AF23" s="146"/>
      <c r="AG23" s="146"/>
      <c r="AH23" s="146"/>
      <c r="AI23" s="146"/>
      <c r="AJ23" s="146"/>
    </row>
    <row r="24" spans="1:36" ht="30" customHeight="1">
      <c r="A24" s="473" t="s">
        <v>194</v>
      </c>
      <c r="B24" s="175" t="s">
        <v>195</v>
      </c>
      <c r="C24" s="157" t="s">
        <v>184</v>
      </c>
      <c r="D24" s="158" t="s">
        <v>185</v>
      </c>
      <c r="E24" s="159">
        <f>'3.3.3 원인자검토(음성군조례)'!E14</f>
        <v>208</v>
      </c>
      <c r="F24" s="159">
        <f>ROUND(E24*0.4,0)</f>
        <v>83</v>
      </c>
      <c r="G24" s="159">
        <f>E24-F24</f>
        <v>125</v>
      </c>
      <c r="H24" s="159">
        <f>E24</f>
        <v>208</v>
      </c>
      <c r="I24" s="160">
        <f>+M24</f>
        <v>53</v>
      </c>
      <c r="J24" s="159">
        <v>750</v>
      </c>
      <c r="K24" s="159">
        <f>ROUND(F24*T24/1000,0)</f>
        <v>21</v>
      </c>
      <c r="L24" s="159">
        <f>ROUND(G24*T24/1000,0)</f>
        <v>32</v>
      </c>
      <c r="M24" s="159">
        <f>ROUND(H24*T24/1000,0)</f>
        <v>53</v>
      </c>
      <c r="N24" s="159">
        <f>'3.3.3 원인자검토(음성군조례)'!C14</f>
        <v>6625</v>
      </c>
      <c r="O24" s="159">
        <f>ROUNDDOWN(+K24*$M$45,0)</f>
        <v>185</v>
      </c>
      <c r="P24" s="203">
        <f>ROUNDDOWN(+L24*Z24,)</f>
        <v>42</v>
      </c>
      <c r="Q24" s="161">
        <f>+O24+P24</f>
        <v>227</v>
      </c>
      <c r="R24" s="162">
        <f t="shared" si="10"/>
        <v>3.4264150943396229E-2</v>
      </c>
      <c r="S24" s="206"/>
      <c r="T24">
        <v>255</v>
      </c>
      <c r="U24" s="221">
        <v>42815</v>
      </c>
      <c r="V24" s="259">
        <v>450</v>
      </c>
      <c r="X24" s="139" t="s">
        <v>186</v>
      </c>
      <c r="Y24" s="145">
        <f>406.94/1000</f>
        <v>0.40694000000000002</v>
      </c>
      <c r="Z24" s="145">
        <f>'3.3.3 원인자검토(음성군조례)'!H11/1000000</f>
        <v>1.3139400000000001</v>
      </c>
    </row>
    <row r="25" spans="1:36" ht="30" customHeight="1">
      <c r="A25" s="473"/>
      <c r="B25" s="474" t="s">
        <v>180</v>
      </c>
      <c r="C25" s="474"/>
      <c r="D25" s="475"/>
      <c r="E25" s="154">
        <f>SUM(E24:E24)</f>
        <v>208</v>
      </c>
      <c r="F25" s="154">
        <f>SUM(F24:F24)</f>
        <v>83</v>
      </c>
      <c r="G25" s="154">
        <f>SUM(G24:G24)</f>
        <v>125</v>
      </c>
      <c r="H25" s="154">
        <f>SUM(H24:H24)</f>
        <v>208</v>
      </c>
      <c r="I25" s="154">
        <f>SUM(I24:I24)</f>
        <v>53</v>
      </c>
      <c r="J25" s="154"/>
      <c r="K25" s="154">
        <f>SUM(K24:K24)</f>
        <v>21</v>
      </c>
      <c r="L25" s="154">
        <f>SUM(L24:L24)</f>
        <v>32</v>
      </c>
      <c r="M25" s="154">
        <f>SUM(M24:M24)</f>
        <v>53</v>
      </c>
      <c r="N25" s="154">
        <f>'3.3.3 원인자검토(음성군조례)'!C14</f>
        <v>6625</v>
      </c>
      <c r="O25" s="154">
        <f>SUM(O24:O24)</f>
        <v>185</v>
      </c>
      <c r="P25" s="154">
        <f>SUM(P24:P24)</f>
        <v>42</v>
      </c>
      <c r="Q25" s="155">
        <f>SUM(Q24:Q24)</f>
        <v>227</v>
      </c>
      <c r="R25" s="156">
        <f t="shared" si="10"/>
        <v>3.4264150943396229E-2</v>
      </c>
      <c r="S25" s="206"/>
      <c r="V25" s="259"/>
      <c r="X25" s="463" t="s">
        <v>187</v>
      </c>
      <c r="Y25" s="463"/>
      <c r="Z25" s="463"/>
      <c r="AA25" s="463"/>
      <c r="AB25" s="463"/>
      <c r="AC25" s="463"/>
      <c r="AD25" s="463"/>
      <c r="AE25" s="463"/>
      <c r="AF25" s="146"/>
      <c r="AG25" s="146"/>
      <c r="AH25" s="146"/>
      <c r="AI25" s="146"/>
      <c r="AJ25" s="146"/>
    </row>
    <row r="26" spans="1:36" ht="30" customHeight="1">
      <c r="A26" s="472" t="s">
        <v>233</v>
      </c>
      <c r="B26" s="72" t="s">
        <v>230</v>
      </c>
      <c r="C26" s="207" t="s">
        <v>222</v>
      </c>
      <c r="D26" s="208" t="s">
        <v>185</v>
      </c>
      <c r="E26" s="209">
        <v>998</v>
      </c>
      <c r="F26" s="209">
        <f>ROUND(E26*0.27,0)</f>
        <v>269</v>
      </c>
      <c r="G26" s="209">
        <f>E26-F26</f>
        <v>729</v>
      </c>
      <c r="H26" s="209">
        <f>E26</f>
        <v>998</v>
      </c>
      <c r="I26" s="210">
        <f>+M26</f>
        <v>316</v>
      </c>
      <c r="J26" s="209"/>
      <c r="K26" s="209">
        <f>ROUND(F26*T26/1000,0)</f>
        <v>85</v>
      </c>
      <c r="L26" s="209">
        <f>ROUND(G26*T26/1000,0)</f>
        <v>231</v>
      </c>
      <c r="M26" s="209">
        <f>ROUND(H26*T26/1000,0)</f>
        <v>316</v>
      </c>
      <c r="N26" s="209">
        <v>0</v>
      </c>
      <c r="O26" s="209"/>
      <c r="P26" s="211">
        <v>67</v>
      </c>
      <c r="Q26" s="212">
        <f>+O26+P26</f>
        <v>67</v>
      </c>
      <c r="R26" s="213"/>
      <c r="S26" s="206" t="s">
        <v>229</v>
      </c>
      <c r="T26">
        <v>317</v>
      </c>
      <c r="U26" s="221">
        <v>43033</v>
      </c>
      <c r="V26" s="259"/>
      <c r="X26" s="139" t="s">
        <v>186</v>
      </c>
      <c r="Y26" s="145">
        <f>406.94/1000</f>
        <v>0.40694000000000002</v>
      </c>
      <c r="Z26" s="145" t="e">
        <f>'3.3.3 원인자검토(음성군조례)'!#REF!/1000000</f>
        <v>#REF!</v>
      </c>
    </row>
    <row r="27" spans="1:36" ht="30" customHeight="1">
      <c r="A27" s="473"/>
      <c r="B27" s="174" t="s">
        <v>231</v>
      </c>
      <c r="C27" s="151" t="s">
        <v>222</v>
      </c>
      <c r="D27" s="140" t="s">
        <v>185</v>
      </c>
      <c r="E27" s="141">
        <v>206</v>
      </c>
      <c r="F27" s="141">
        <f>ROUND(E27*0.27,0)</f>
        <v>56</v>
      </c>
      <c r="G27" s="141">
        <f>E27-F27</f>
        <v>150</v>
      </c>
      <c r="H27" s="141">
        <f>E27</f>
        <v>206</v>
      </c>
      <c r="I27" s="142"/>
      <c r="J27" s="141"/>
      <c r="K27" s="141">
        <f t="shared" ref="K27:K28" si="30">ROUND(F27*T27/1000,0)</f>
        <v>18</v>
      </c>
      <c r="L27" s="141">
        <f t="shared" ref="L27:L28" si="31">ROUND(G27*T27/1000,0)</f>
        <v>48</v>
      </c>
      <c r="M27" s="141">
        <f t="shared" ref="M27:M28" si="32">ROUND(H27*T27/1000,0)</f>
        <v>65</v>
      </c>
      <c r="N27" s="141">
        <v>0</v>
      </c>
      <c r="O27" s="141"/>
      <c r="P27" s="201">
        <v>190</v>
      </c>
      <c r="Q27" s="204">
        <f t="shared" ref="Q27:Q28" si="33">+O27+P27</f>
        <v>190</v>
      </c>
      <c r="R27" s="214"/>
      <c r="S27" s="206" t="s">
        <v>229</v>
      </c>
      <c r="T27">
        <v>317</v>
      </c>
      <c r="U27" s="221">
        <v>42370</v>
      </c>
      <c r="V27" s="259"/>
      <c r="X27" s="139"/>
      <c r="Y27" s="145"/>
      <c r="Z27" s="145"/>
    </row>
    <row r="28" spans="1:36" ht="30" customHeight="1">
      <c r="A28" s="473"/>
      <c r="B28" s="174" t="s">
        <v>232</v>
      </c>
      <c r="C28" s="151" t="s">
        <v>222</v>
      </c>
      <c r="D28" s="140" t="s">
        <v>185</v>
      </c>
      <c r="E28" s="141">
        <v>420</v>
      </c>
      <c r="F28" s="141">
        <f>ROUND(E28*0.27,0)</f>
        <v>113</v>
      </c>
      <c r="G28" s="141">
        <f>E28-F28</f>
        <v>307</v>
      </c>
      <c r="H28" s="141">
        <f>E28</f>
        <v>420</v>
      </c>
      <c r="I28" s="142"/>
      <c r="J28" s="141"/>
      <c r="K28" s="141">
        <f t="shared" si="30"/>
        <v>36</v>
      </c>
      <c r="L28" s="141">
        <f t="shared" si="31"/>
        <v>97</v>
      </c>
      <c r="M28" s="141">
        <f t="shared" si="32"/>
        <v>133</v>
      </c>
      <c r="N28" s="141">
        <v>0</v>
      </c>
      <c r="O28" s="141"/>
      <c r="P28" s="201">
        <v>17</v>
      </c>
      <c r="Q28" s="204">
        <f t="shared" si="33"/>
        <v>17</v>
      </c>
      <c r="R28" s="214"/>
      <c r="S28" s="206" t="s">
        <v>229</v>
      </c>
      <c r="T28">
        <v>317</v>
      </c>
      <c r="U28" s="221">
        <v>42425</v>
      </c>
      <c r="V28" s="259"/>
      <c r="X28" s="139"/>
      <c r="Y28" s="145"/>
      <c r="Z28" s="145"/>
    </row>
    <row r="29" spans="1:36" ht="30" customHeight="1">
      <c r="A29" s="476"/>
      <c r="B29" s="477" t="s">
        <v>180</v>
      </c>
      <c r="C29" s="477"/>
      <c r="D29" s="478"/>
      <c r="E29" s="215">
        <f>SUM(E26:E28)</f>
        <v>1624</v>
      </c>
      <c r="F29" s="215">
        <f>SUM(F26:F28)</f>
        <v>438</v>
      </c>
      <c r="G29" s="215">
        <f>SUM(G26:G28)</f>
        <v>1186</v>
      </c>
      <c r="H29" s="215">
        <f>SUM(H26:H28)</f>
        <v>1624</v>
      </c>
      <c r="I29" s="215">
        <f>SUM(I26:I28)</f>
        <v>316</v>
      </c>
      <c r="J29" s="215"/>
      <c r="K29" s="215">
        <f>SUM(K26:K28)</f>
        <v>139</v>
      </c>
      <c r="L29" s="215">
        <f>SUM(L26:L28)</f>
        <v>376</v>
      </c>
      <c r="M29" s="215">
        <f>SUM(M26:M28)</f>
        <v>514</v>
      </c>
      <c r="N29" s="215">
        <v>0</v>
      </c>
      <c r="O29" s="215">
        <f>SUM(O26:O28)</f>
        <v>0</v>
      </c>
      <c r="P29" s="215">
        <f>SUM(P26:P28)</f>
        <v>274</v>
      </c>
      <c r="Q29" s="216">
        <f>SUM(Q26:Q28)</f>
        <v>274</v>
      </c>
      <c r="R29" s="217"/>
      <c r="S29" s="206"/>
      <c r="X29" s="463" t="s">
        <v>187</v>
      </c>
      <c r="Y29" s="463"/>
      <c r="Z29" s="463"/>
      <c r="AA29" s="463"/>
      <c r="AB29" s="463"/>
      <c r="AC29" s="463"/>
      <c r="AD29" s="463"/>
      <c r="AE29" s="463"/>
      <c r="AF29" s="195"/>
      <c r="AG29" s="195"/>
      <c r="AH29" s="195"/>
      <c r="AI29" s="195"/>
      <c r="AJ29" s="195"/>
    </row>
    <row r="30" spans="1:36" ht="24.95" customHeight="1">
      <c r="A30" s="170" t="s">
        <v>198</v>
      </c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</row>
    <row r="31" spans="1:36" ht="24.95" customHeight="1">
      <c r="A31" s="170" t="s">
        <v>204</v>
      </c>
      <c r="J31" s="171" t="s">
        <v>199</v>
      </c>
      <c r="K31" s="172"/>
      <c r="L31" s="173" t="s">
        <v>201</v>
      </c>
      <c r="M31" s="173"/>
      <c r="N31" s="173"/>
      <c r="O31" s="172" t="s">
        <v>213</v>
      </c>
      <c r="P31" s="172"/>
      <c r="Q31" s="1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</row>
    <row r="32" spans="1:36" ht="24.95" customHeight="1">
      <c r="A32" s="1" t="s">
        <v>200</v>
      </c>
      <c r="K32" s="1"/>
      <c r="L32" s="1" t="s">
        <v>202</v>
      </c>
      <c r="M32" s="1"/>
      <c r="N32" s="1"/>
      <c r="O32" s="1"/>
      <c r="P32" s="1"/>
      <c r="Q32" s="1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</row>
    <row r="33" spans="1:36" ht="24.95" customHeight="1">
      <c r="A33" s="1" t="s">
        <v>205</v>
      </c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</row>
    <row r="34" spans="1:36" ht="24.95" customHeight="1">
      <c r="A34" s="1" t="s">
        <v>203</v>
      </c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</row>
    <row r="35" spans="1:36" ht="24.95" customHeight="1">
      <c r="A35" s="170" t="s">
        <v>208</v>
      </c>
      <c r="J35" s="171" t="s">
        <v>199</v>
      </c>
      <c r="K35" s="172"/>
      <c r="L35" s="173" t="s">
        <v>210</v>
      </c>
      <c r="M35" s="173"/>
      <c r="N35" s="173"/>
      <c r="O35" s="172" t="s">
        <v>212</v>
      </c>
      <c r="P35" s="172"/>
      <c r="Q35" s="1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</row>
    <row r="36" spans="1:36" ht="24.95" customHeight="1">
      <c r="A36" s="1" t="s">
        <v>217</v>
      </c>
      <c r="K36" s="1"/>
      <c r="L36" s="1" t="s">
        <v>211</v>
      </c>
      <c r="M36" s="1"/>
      <c r="N36" s="1"/>
      <c r="O36" s="1"/>
      <c r="P36" s="1"/>
      <c r="Q36" s="1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</row>
    <row r="37" spans="1:36" ht="24.95" customHeight="1">
      <c r="A37" s="1" t="s">
        <v>209</v>
      </c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</row>
    <row r="38" spans="1:36" ht="24.95" customHeight="1">
      <c r="A38" s="1" t="s">
        <v>218</v>
      </c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</row>
    <row r="39" spans="1:36" ht="24.95" customHeight="1">
      <c r="A39" s="170" t="s">
        <v>206</v>
      </c>
      <c r="J39" s="171" t="s">
        <v>199</v>
      </c>
      <c r="K39" s="172"/>
      <c r="L39" s="173" t="s">
        <v>214</v>
      </c>
      <c r="M39" s="173"/>
      <c r="N39" s="173"/>
      <c r="O39" s="172" t="s">
        <v>216</v>
      </c>
      <c r="P39" s="172"/>
      <c r="Q39" s="1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</row>
    <row r="40" spans="1:36" ht="24.95" customHeight="1">
      <c r="A40" s="1" t="s">
        <v>219</v>
      </c>
      <c r="K40" s="1"/>
      <c r="L40" s="1" t="s">
        <v>215</v>
      </c>
      <c r="M40" s="1"/>
      <c r="N40" s="1"/>
      <c r="O40" s="1"/>
      <c r="P40" s="1"/>
      <c r="Q40" s="1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</row>
    <row r="41" spans="1:36" ht="24.95" customHeight="1">
      <c r="A41" s="1" t="s">
        <v>207</v>
      </c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</row>
    <row r="42" spans="1:36" ht="24.95" customHeight="1">
      <c r="A42" s="1" t="s">
        <v>220</v>
      </c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</row>
    <row r="43" spans="1:36" ht="24.95" customHeight="1">
      <c r="H43" t="s">
        <v>188</v>
      </c>
      <c r="I43" s="147">
        <f>N13</f>
        <v>10143</v>
      </c>
      <c r="J43" t="s">
        <v>188</v>
      </c>
      <c r="K43" s="147">
        <f>N17</f>
        <v>23289</v>
      </c>
      <c r="L43" t="s">
        <v>188</v>
      </c>
      <c r="M43" s="147">
        <f>N24</f>
        <v>6625</v>
      </c>
      <c r="N43" s="149"/>
    </row>
    <row r="44" spans="1:36" ht="24.95" customHeight="1">
      <c r="H44" t="s">
        <v>189</v>
      </c>
      <c r="I44" s="148">
        <f>J13</f>
        <v>2000</v>
      </c>
      <c r="J44" t="s">
        <v>189</v>
      </c>
      <c r="K44" s="148">
        <f>J17</f>
        <v>4000</v>
      </c>
      <c r="L44" t="s">
        <v>189</v>
      </c>
      <c r="M44" s="148">
        <f>J24</f>
        <v>750</v>
      </c>
    </row>
    <row r="45" spans="1:36" ht="24.95" customHeight="1">
      <c r="H45" t="s">
        <v>190</v>
      </c>
      <c r="I45" s="150">
        <f>+I43/I44</f>
        <v>5.0715000000000003</v>
      </c>
      <c r="J45" t="s">
        <v>190</v>
      </c>
      <c r="K45" s="150">
        <f>+K43/K44</f>
        <v>5.8222500000000004</v>
      </c>
      <c r="L45" t="s">
        <v>190</v>
      </c>
      <c r="M45" s="150">
        <f>+M43/M44</f>
        <v>8.8333333333333339</v>
      </c>
      <c r="R45" s="148"/>
      <c r="S45" s="148"/>
      <c r="W45" s="5"/>
      <c r="Z45" s="148"/>
    </row>
  </sheetData>
  <mergeCells count="25">
    <mergeCell ref="A26:A29"/>
    <mergeCell ref="B29:D29"/>
    <mergeCell ref="X29:AE29"/>
    <mergeCell ref="A17:A23"/>
    <mergeCell ref="B23:D23"/>
    <mergeCell ref="X23:AE23"/>
    <mergeCell ref="A24:A25"/>
    <mergeCell ref="B25:D25"/>
    <mergeCell ref="X25:AE25"/>
    <mergeCell ref="K2:M4"/>
    <mergeCell ref="N2:N5"/>
    <mergeCell ref="O2:Q4"/>
    <mergeCell ref="R2:R5"/>
    <mergeCell ref="X16:AE16"/>
    <mergeCell ref="X12:AE12"/>
    <mergeCell ref="F2:H4"/>
    <mergeCell ref="I2:I5"/>
    <mergeCell ref="J2:J5"/>
    <mergeCell ref="A13:A16"/>
    <mergeCell ref="B16:D16"/>
    <mergeCell ref="A2:C5"/>
    <mergeCell ref="D2:D5"/>
    <mergeCell ref="E2:E5"/>
    <mergeCell ref="A6:A12"/>
    <mergeCell ref="B12:D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Normal="100" zoomScaleSheetLayoutView="100" workbookViewId="0">
      <selection activeCell="I10" sqref="I10"/>
    </sheetView>
    <sheetView workbookViewId="1"/>
  </sheetViews>
  <sheetFormatPr defaultRowHeight="24.95" customHeight="1"/>
  <cols>
    <col min="1" max="1" width="11.375" bestFit="1" customWidth="1"/>
    <col min="2" max="2" width="9.625" bestFit="1" customWidth="1"/>
    <col min="3" max="3" width="4.75" bestFit="1" customWidth="1"/>
    <col min="4" max="4" width="6.375" bestFit="1" customWidth="1"/>
    <col min="5" max="5" width="6" bestFit="1" customWidth="1"/>
    <col min="6" max="7" width="5.875" bestFit="1" customWidth="1"/>
    <col min="9" max="9" width="6.875" bestFit="1" customWidth="1"/>
    <col min="10" max="10" width="8" bestFit="1" customWidth="1"/>
    <col min="11" max="12" width="9" bestFit="1" customWidth="1"/>
    <col min="13" max="13" width="6.375" bestFit="1" customWidth="1"/>
    <col min="14" max="14" width="7.875" bestFit="1" customWidth="1"/>
    <col min="15" max="16" width="6.375" bestFit="1" customWidth="1"/>
    <col min="17" max="17" width="6" bestFit="1" customWidth="1"/>
    <col min="18" max="18" width="8" bestFit="1" customWidth="1"/>
    <col min="19" max="19" width="8" customWidth="1"/>
    <col min="21" max="21" width="11.125" bestFit="1" customWidth="1"/>
    <col min="22" max="22" width="11.125" style="139" customWidth="1"/>
    <col min="23" max="23" width="11" bestFit="1" customWidth="1"/>
    <col min="24" max="24" width="11.625" bestFit="1" customWidth="1"/>
    <col min="25" max="26" width="12.625" bestFit="1" customWidth="1"/>
  </cols>
  <sheetData>
    <row r="1" spans="1:36" ht="24.95" customHeight="1">
      <c r="A1" s="5" t="s">
        <v>161</v>
      </c>
    </row>
    <row r="2" spans="1:36" ht="20.100000000000001" customHeight="1">
      <c r="A2" s="467" t="s">
        <v>162</v>
      </c>
      <c r="B2" s="468"/>
      <c r="C2" s="469"/>
      <c r="D2" s="470" t="s">
        <v>163</v>
      </c>
      <c r="E2" s="470" t="s">
        <v>164</v>
      </c>
      <c r="F2" s="467" t="s">
        <v>165</v>
      </c>
      <c r="G2" s="468"/>
      <c r="H2" s="469"/>
      <c r="I2" s="470" t="s">
        <v>166</v>
      </c>
      <c r="J2" s="470" t="s">
        <v>167</v>
      </c>
      <c r="K2" s="467" t="s">
        <v>168</v>
      </c>
      <c r="L2" s="468"/>
      <c r="M2" s="469"/>
      <c r="N2" s="470" t="s">
        <v>169</v>
      </c>
      <c r="O2" s="467" t="s">
        <v>170</v>
      </c>
      <c r="P2" s="468"/>
      <c r="Q2" s="469"/>
      <c r="R2" s="470" t="s">
        <v>171</v>
      </c>
      <c r="S2" s="199"/>
    </row>
    <row r="3" spans="1:36" ht="20.100000000000001" customHeight="1">
      <c r="A3" s="450"/>
      <c r="B3" s="451"/>
      <c r="C3" s="452"/>
      <c r="D3" s="457"/>
      <c r="E3" s="457"/>
      <c r="F3" s="450"/>
      <c r="G3" s="451"/>
      <c r="H3" s="452"/>
      <c r="I3" s="457"/>
      <c r="J3" s="457"/>
      <c r="K3" s="450"/>
      <c r="L3" s="451"/>
      <c r="M3" s="452"/>
      <c r="N3" s="457"/>
      <c r="O3" s="450"/>
      <c r="P3" s="451"/>
      <c r="Q3" s="452"/>
      <c r="R3" s="457"/>
      <c r="S3" s="199"/>
    </row>
    <row r="4" spans="1:36" ht="20.100000000000001" customHeight="1">
      <c r="A4" s="450"/>
      <c r="B4" s="451"/>
      <c r="C4" s="452"/>
      <c r="D4" s="457"/>
      <c r="E4" s="457"/>
      <c r="F4" s="453"/>
      <c r="G4" s="454"/>
      <c r="H4" s="455"/>
      <c r="I4" s="457"/>
      <c r="J4" s="457"/>
      <c r="K4" s="453"/>
      <c r="L4" s="454"/>
      <c r="M4" s="455"/>
      <c r="N4" s="457"/>
      <c r="O4" s="453"/>
      <c r="P4" s="454"/>
      <c r="Q4" s="455"/>
      <c r="R4" s="457"/>
      <c r="S4" s="199"/>
    </row>
    <row r="5" spans="1:36" ht="50.1" customHeight="1">
      <c r="A5" s="450"/>
      <c r="B5" s="451"/>
      <c r="C5" s="455"/>
      <c r="D5" s="471"/>
      <c r="E5" s="471"/>
      <c r="F5" s="137" t="s">
        <v>172</v>
      </c>
      <c r="G5" s="137" t="s">
        <v>173</v>
      </c>
      <c r="H5" s="137" t="s">
        <v>174</v>
      </c>
      <c r="I5" s="471"/>
      <c r="J5" s="471"/>
      <c r="K5" s="137" t="s">
        <v>175</v>
      </c>
      <c r="L5" s="137" t="s">
        <v>176</v>
      </c>
      <c r="M5" s="137" t="s">
        <v>177</v>
      </c>
      <c r="N5" s="471"/>
      <c r="O5" s="137" t="s">
        <v>178</v>
      </c>
      <c r="P5" s="137" t="s">
        <v>179</v>
      </c>
      <c r="Q5" s="137" t="s">
        <v>180</v>
      </c>
      <c r="R5" s="471"/>
      <c r="S5" s="198" t="s">
        <v>235</v>
      </c>
      <c r="T5" s="198" t="s">
        <v>192</v>
      </c>
      <c r="U5" s="219" t="s">
        <v>236</v>
      </c>
      <c r="V5" s="220"/>
      <c r="X5" s="138" t="s">
        <v>181</v>
      </c>
      <c r="Y5" s="139" t="s">
        <v>182</v>
      </c>
      <c r="Z5" s="139" t="s">
        <v>183</v>
      </c>
    </row>
    <row r="6" spans="1:36" ht="30" customHeight="1">
      <c r="A6" s="472" t="s">
        <v>234</v>
      </c>
      <c r="B6" s="72" t="s">
        <v>223</v>
      </c>
      <c r="C6" s="151" t="s">
        <v>222</v>
      </c>
      <c r="D6" s="140" t="s">
        <v>185</v>
      </c>
      <c r="E6" s="141">
        <v>115</v>
      </c>
      <c r="F6" s="141">
        <f t="shared" ref="F6:F11" si="0">ROUND(E6*0.27,0)</f>
        <v>31</v>
      </c>
      <c r="G6" s="141">
        <f t="shared" ref="G6:G11" si="1">E6-F6</f>
        <v>84</v>
      </c>
      <c r="H6" s="141">
        <f t="shared" ref="H6:H11" si="2">E6</f>
        <v>115</v>
      </c>
      <c r="I6" s="142">
        <f>+M6</f>
        <v>34</v>
      </c>
      <c r="J6" s="141"/>
      <c r="K6" s="141">
        <f>ROUND(F6*T6/1000,0)</f>
        <v>9</v>
      </c>
      <c r="L6" s="141">
        <f>ROUND(G6*T6/1000,0)</f>
        <v>25</v>
      </c>
      <c r="M6" s="141">
        <f>ROUND(H6*T6/1000,0)</f>
        <v>34</v>
      </c>
      <c r="N6" s="141">
        <v>0</v>
      </c>
      <c r="O6" s="141"/>
      <c r="P6" s="201">
        <f t="shared" ref="P6:P11" si="3">ROUNDDOWN(+M6*$Z$6,)</f>
        <v>44</v>
      </c>
      <c r="Q6" s="204">
        <f t="shared" ref="Q6:Q11" si="4">+O6+P6</f>
        <v>44</v>
      </c>
      <c r="R6" s="144"/>
      <c r="S6" s="206" t="s">
        <v>229</v>
      </c>
      <c r="T6">
        <v>299</v>
      </c>
      <c r="U6" s="221">
        <v>42124</v>
      </c>
      <c r="V6" s="259">
        <v>7079</v>
      </c>
      <c r="X6" s="139" t="s">
        <v>186</v>
      </c>
      <c r="Y6" s="145">
        <f>406.94/1000</f>
        <v>0.40694000000000002</v>
      </c>
      <c r="Z6" s="145">
        <f>Z13</f>
        <v>1.3139400000000001</v>
      </c>
    </row>
    <row r="7" spans="1:36" ht="30" customHeight="1">
      <c r="A7" s="473"/>
      <c r="B7" s="174" t="s">
        <v>224</v>
      </c>
      <c r="C7" s="151" t="s">
        <v>222</v>
      </c>
      <c r="D7" s="140" t="s">
        <v>185</v>
      </c>
      <c r="E7" s="141">
        <v>359</v>
      </c>
      <c r="F7" s="141">
        <f t="shared" si="0"/>
        <v>97</v>
      </c>
      <c r="G7" s="141">
        <f t="shared" si="1"/>
        <v>262</v>
      </c>
      <c r="H7" s="141">
        <f t="shared" si="2"/>
        <v>359</v>
      </c>
      <c r="I7" s="142"/>
      <c r="J7" s="141"/>
      <c r="K7" s="141">
        <f t="shared" ref="K7:K11" si="5">ROUND(F7*T7/1000,0)</f>
        <v>29</v>
      </c>
      <c r="L7" s="141">
        <f t="shared" ref="L7:L11" si="6">ROUND(G7*T7/1000,0)</f>
        <v>78</v>
      </c>
      <c r="M7" s="141">
        <f t="shared" ref="M7:M11" si="7">ROUND(H7*T7/1000,0)</f>
        <v>107</v>
      </c>
      <c r="N7" s="141">
        <v>0</v>
      </c>
      <c r="O7" s="141"/>
      <c r="P7" s="201">
        <f t="shared" si="3"/>
        <v>140</v>
      </c>
      <c r="Q7" s="204">
        <f t="shared" si="4"/>
        <v>140</v>
      </c>
      <c r="R7" s="144"/>
      <c r="S7" s="206" t="s">
        <v>229</v>
      </c>
      <c r="T7">
        <v>299</v>
      </c>
      <c r="U7" s="221">
        <v>41792</v>
      </c>
      <c r="V7" s="259">
        <v>6726</v>
      </c>
      <c r="X7" s="139"/>
      <c r="Y7" s="145"/>
      <c r="Z7" s="145"/>
    </row>
    <row r="8" spans="1:36" ht="30" customHeight="1">
      <c r="A8" s="473"/>
      <c r="B8" s="174" t="s">
        <v>225</v>
      </c>
      <c r="C8" s="151" t="s">
        <v>222</v>
      </c>
      <c r="D8" s="140" t="s">
        <v>185</v>
      </c>
      <c r="E8" s="141">
        <v>37</v>
      </c>
      <c r="F8" s="141">
        <f t="shared" si="0"/>
        <v>10</v>
      </c>
      <c r="G8" s="141">
        <f t="shared" si="1"/>
        <v>27</v>
      </c>
      <c r="H8" s="141">
        <f t="shared" si="2"/>
        <v>37</v>
      </c>
      <c r="I8" s="142"/>
      <c r="J8" s="141"/>
      <c r="K8" s="141">
        <f t="shared" si="5"/>
        <v>3</v>
      </c>
      <c r="L8" s="141">
        <f t="shared" si="6"/>
        <v>8</v>
      </c>
      <c r="M8" s="141">
        <f t="shared" si="7"/>
        <v>11</v>
      </c>
      <c r="N8" s="141">
        <v>0</v>
      </c>
      <c r="O8" s="141"/>
      <c r="P8" s="201">
        <f t="shared" si="3"/>
        <v>14</v>
      </c>
      <c r="Q8" s="204">
        <f t="shared" si="4"/>
        <v>14</v>
      </c>
      <c r="R8" s="144"/>
      <c r="S8" s="206" t="s">
        <v>229</v>
      </c>
      <c r="T8">
        <v>299</v>
      </c>
      <c r="U8" s="221">
        <v>42908</v>
      </c>
      <c r="V8" s="259">
        <v>7000</v>
      </c>
      <c r="X8" s="139"/>
      <c r="Y8" s="145"/>
      <c r="Z8" s="145"/>
    </row>
    <row r="9" spans="1:36" ht="30" customHeight="1">
      <c r="A9" s="473"/>
      <c r="B9" s="72" t="s">
        <v>227</v>
      </c>
      <c r="C9" s="151" t="s">
        <v>222</v>
      </c>
      <c r="D9" s="140" t="s">
        <v>185</v>
      </c>
      <c r="E9" s="141">
        <v>67</v>
      </c>
      <c r="F9" s="141">
        <f t="shared" si="0"/>
        <v>18</v>
      </c>
      <c r="G9" s="141">
        <f t="shared" si="1"/>
        <v>49</v>
      </c>
      <c r="H9" s="141">
        <f t="shared" si="2"/>
        <v>67</v>
      </c>
      <c r="I9" s="142"/>
      <c r="J9" s="141"/>
      <c r="K9" s="141">
        <f t="shared" si="5"/>
        <v>5</v>
      </c>
      <c r="L9" s="141">
        <f t="shared" si="6"/>
        <v>15</v>
      </c>
      <c r="M9" s="141">
        <f t="shared" si="7"/>
        <v>20</v>
      </c>
      <c r="N9" s="141">
        <v>0</v>
      </c>
      <c r="O9" s="141"/>
      <c r="P9" s="201">
        <f t="shared" si="3"/>
        <v>26</v>
      </c>
      <c r="Q9" s="204">
        <f t="shared" si="4"/>
        <v>26</v>
      </c>
      <c r="R9" s="144"/>
      <c r="S9" s="206" t="s">
        <v>229</v>
      </c>
      <c r="T9">
        <v>299</v>
      </c>
      <c r="U9" s="221">
        <v>42649</v>
      </c>
      <c r="V9" s="259">
        <v>7341</v>
      </c>
      <c r="X9" s="139"/>
      <c r="Y9" s="145"/>
      <c r="Z9" s="145"/>
    </row>
    <row r="10" spans="1:36" ht="30" customHeight="1">
      <c r="A10" s="473"/>
      <c r="B10" s="72" t="s">
        <v>228</v>
      </c>
      <c r="C10" s="151" t="s">
        <v>222</v>
      </c>
      <c r="D10" s="140" t="s">
        <v>185</v>
      </c>
      <c r="E10" s="141">
        <v>941</v>
      </c>
      <c r="F10" s="141">
        <f t="shared" si="0"/>
        <v>254</v>
      </c>
      <c r="G10" s="141">
        <f t="shared" si="1"/>
        <v>687</v>
      </c>
      <c r="H10" s="141">
        <f t="shared" si="2"/>
        <v>941</v>
      </c>
      <c r="I10" s="142"/>
      <c r="J10" s="141"/>
      <c r="K10" s="141">
        <f t="shared" si="5"/>
        <v>76</v>
      </c>
      <c r="L10" s="141">
        <f t="shared" si="6"/>
        <v>205</v>
      </c>
      <c r="M10" s="141">
        <f t="shared" si="7"/>
        <v>281</v>
      </c>
      <c r="N10" s="141">
        <v>0</v>
      </c>
      <c r="O10" s="141"/>
      <c r="P10" s="201">
        <f t="shared" si="3"/>
        <v>369</v>
      </c>
      <c r="Q10" s="143">
        <f t="shared" si="4"/>
        <v>369</v>
      </c>
      <c r="R10" s="144"/>
      <c r="S10" s="206"/>
      <c r="T10">
        <v>299</v>
      </c>
      <c r="U10" s="221">
        <v>42710</v>
      </c>
      <c r="V10" s="259">
        <v>7341</v>
      </c>
      <c r="X10" s="139"/>
      <c r="Y10" s="145"/>
      <c r="Z10" s="145"/>
    </row>
    <row r="11" spans="1:36" ht="30" customHeight="1">
      <c r="A11" s="473"/>
      <c r="B11" s="174" t="s">
        <v>226</v>
      </c>
      <c r="C11" s="151" t="s">
        <v>222</v>
      </c>
      <c r="D11" s="140" t="s">
        <v>185</v>
      </c>
      <c r="E11" s="141">
        <v>313</v>
      </c>
      <c r="F11" s="141">
        <f t="shared" si="0"/>
        <v>85</v>
      </c>
      <c r="G11" s="152">
        <f t="shared" si="1"/>
        <v>228</v>
      </c>
      <c r="H11" s="141">
        <f t="shared" si="2"/>
        <v>313</v>
      </c>
      <c r="I11" s="142"/>
      <c r="J11" s="141"/>
      <c r="K11" s="141">
        <f t="shared" si="5"/>
        <v>25</v>
      </c>
      <c r="L11" s="141">
        <f t="shared" si="6"/>
        <v>68</v>
      </c>
      <c r="M11" s="141">
        <f t="shared" si="7"/>
        <v>94</v>
      </c>
      <c r="N11" s="141">
        <v>0</v>
      </c>
      <c r="O11" s="141"/>
      <c r="P11" s="201">
        <f t="shared" si="3"/>
        <v>123</v>
      </c>
      <c r="Q11" s="143">
        <f t="shared" si="4"/>
        <v>123</v>
      </c>
      <c r="R11" s="144"/>
      <c r="S11" s="206"/>
      <c r="T11">
        <v>299</v>
      </c>
      <c r="U11" s="221">
        <v>42093</v>
      </c>
      <c r="V11" s="259">
        <v>7079</v>
      </c>
      <c r="X11" s="139"/>
      <c r="Y11" s="145"/>
      <c r="Z11" s="145"/>
    </row>
    <row r="12" spans="1:36" ht="30" customHeight="1">
      <c r="A12" s="473"/>
      <c r="B12" s="474" t="s">
        <v>180</v>
      </c>
      <c r="C12" s="474"/>
      <c r="D12" s="475"/>
      <c r="E12" s="154">
        <f>SUM(E6:E11)</f>
        <v>1832</v>
      </c>
      <c r="F12" s="154">
        <f t="shared" ref="F12:I12" si="8">SUM(F6:F11)</f>
        <v>495</v>
      </c>
      <c r="G12" s="154">
        <f t="shared" si="8"/>
        <v>1337</v>
      </c>
      <c r="H12" s="154">
        <f t="shared" si="8"/>
        <v>1832</v>
      </c>
      <c r="I12" s="154">
        <f t="shared" si="8"/>
        <v>34</v>
      </c>
      <c r="J12" s="154"/>
      <c r="K12" s="154">
        <f t="shared" ref="K12:M12" si="9">SUM(K6:K11)</f>
        <v>147</v>
      </c>
      <c r="L12" s="154">
        <f t="shared" si="9"/>
        <v>399</v>
      </c>
      <c r="M12" s="154">
        <f t="shared" si="9"/>
        <v>547</v>
      </c>
      <c r="N12" s="154">
        <v>0</v>
      </c>
      <c r="O12" s="154">
        <f t="shared" ref="O12:Q12" si="10">SUM(O6:O11)</f>
        <v>0</v>
      </c>
      <c r="P12" s="154">
        <f t="shared" si="10"/>
        <v>716</v>
      </c>
      <c r="Q12" s="155">
        <f t="shared" si="10"/>
        <v>716</v>
      </c>
      <c r="R12" s="156"/>
      <c r="S12" s="206"/>
      <c r="V12" s="259"/>
      <c r="X12" s="463" t="s">
        <v>187</v>
      </c>
      <c r="Y12" s="463"/>
      <c r="Z12" s="463"/>
      <c r="AA12" s="463"/>
      <c r="AB12" s="463"/>
      <c r="AC12" s="463"/>
      <c r="AD12" s="463"/>
      <c r="AE12" s="463"/>
      <c r="AF12" s="200"/>
      <c r="AG12" s="200"/>
      <c r="AH12" s="200"/>
      <c r="AI12" s="200"/>
      <c r="AJ12" s="200"/>
    </row>
    <row r="13" spans="1:36" ht="30" customHeight="1">
      <c r="A13" s="472" t="s">
        <v>191</v>
      </c>
      <c r="B13" s="72" t="s">
        <v>95</v>
      </c>
      <c r="C13" s="151" t="s">
        <v>184</v>
      </c>
      <c r="D13" s="140" t="s">
        <v>185</v>
      </c>
      <c r="E13" s="141">
        <f>'3.3.3 원인자검토(음성군조례)'!E3</f>
        <v>942</v>
      </c>
      <c r="F13" s="141">
        <f>ROUND(E13*0.62,0)</f>
        <v>584</v>
      </c>
      <c r="G13" s="141">
        <f>E13-F13</f>
        <v>358</v>
      </c>
      <c r="H13" s="141">
        <f>E13</f>
        <v>942</v>
      </c>
      <c r="I13" s="142">
        <f>+M13</f>
        <v>302</v>
      </c>
      <c r="J13" s="141">
        <v>2000</v>
      </c>
      <c r="K13" s="141">
        <f>ROUND(F13*T13/1000,0)</f>
        <v>187</v>
      </c>
      <c r="L13" s="141">
        <f>ROUND(G13*T13/1000,0)</f>
        <v>115</v>
      </c>
      <c r="M13" s="141">
        <f>ROUND(H13*T13/1000,0)</f>
        <v>302</v>
      </c>
      <c r="N13" s="141">
        <f>'3.3.3 원인자검토(음성군조례)'!C3</f>
        <v>10143</v>
      </c>
      <c r="O13" s="141">
        <f>ROUNDDOWN(+K13*$I$45,0)</f>
        <v>948</v>
      </c>
      <c r="P13" s="201">
        <f>ROUNDDOWN(+L13*Z13,)</f>
        <v>151</v>
      </c>
      <c r="Q13" s="143">
        <f>+O13+P13</f>
        <v>1099</v>
      </c>
      <c r="R13" s="144">
        <f t="shared" ref="R13:R25" si="11">+Q13/N13</f>
        <v>0.10835058661145618</v>
      </c>
      <c r="S13" s="206"/>
      <c r="T13">
        <v>321</v>
      </c>
      <c r="U13" s="221">
        <v>42803</v>
      </c>
      <c r="V13" s="259">
        <v>8000</v>
      </c>
      <c r="X13" s="139" t="s">
        <v>186</v>
      </c>
      <c r="Y13" s="145">
        <f>406.94/1000</f>
        <v>0.40694000000000002</v>
      </c>
      <c r="Z13" s="145">
        <f>'3.3.3 원인자검토(음성군조례)'!H3/1000000</f>
        <v>1.3139400000000001</v>
      </c>
    </row>
    <row r="14" spans="1:36" ht="30" customHeight="1">
      <c r="A14" s="473"/>
      <c r="B14" s="174" t="s">
        <v>96</v>
      </c>
      <c r="C14" s="151" t="s">
        <v>184</v>
      </c>
      <c r="D14" s="140" t="s">
        <v>185</v>
      </c>
      <c r="E14" s="141">
        <f>'3.3.3 원인자검토(음성군조례)'!E4</f>
        <v>708</v>
      </c>
      <c r="F14" s="141">
        <f>ROUND(E14*0.62,0)</f>
        <v>439</v>
      </c>
      <c r="G14" s="141">
        <f>E14-F14</f>
        <v>269</v>
      </c>
      <c r="H14" s="141">
        <f>E14</f>
        <v>708</v>
      </c>
      <c r="I14" s="142"/>
      <c r="J14" s="141">
        <v>2000</v>
      </c>
      <c r="K14" s="141">
        <f>ROUND(F14*T14/1000,0)</f>
        <v>141</v>
      </c>
      <c r="L14" s="141">
        <f>ROUND(G14*T14/1000,0)</f>
        <v>86</v>
      </c>
      <c r="M14" s="141">
        <f>ROUND(H14*T14/1000,0)</f>
        <v>227</v>
      </c>
      <c r="N14" s="141">
        <f>'3.3.3 원인자검토(음성군조례)'!C3</f>
        <v>10143</v>
      </c>
      <c r="O14" s="141">
        <f>ROUNDDOWN(+K14*$I$45,0)</f>
        <v>715</v>
      </c>
      <c r="P14" s="201">
        <f>ROUNDDOWN(+L14*Z13,)</f>
        <v>112</v>
      </c>
      <c r="Q14" s="204">
        <f t="shared" ref="Q14" si="12">+O14+P14</f>
        <v>827</v>
      </c>
      <c r="R14" s="144">
        <f t="shared" si="11"/>
        <v>8.1534062900522522E-2</v>
      </c>
      <c r="S14" s="206" t="s">
        <v>229</v>
      </c>
      <c r="T14">
        <v>321</v>
      </c>
      <c r="U14" s="221">
        <v>41275</v>
      </c>
      <c r="V14" s="259">
        <v>6013</v>
      </c>
      <c r="X14" s="139"/>
      <c r="Y14" s="145"/>
      <c r="Z14" s="145"/>
    </row>
    <row r="15" spans="1:36" ht="30" customHeight="1">
      <c r="A15" s="473"/>
      <c r="B15" s="174" t="s">
        <v>97</v>
      </c>
      <c r="C15" s="151" t="s">
        <v>184</v>
      </c>
      <c r="D15" s="140" t="s">
        <v>185</v>
      </c>
      <c r="E15" s="141">
        <f>'3.3.3 원인자검토(음성군조례)'!E5</f>
        <v>3661</v>
      </c>
      <c r="F15" s="141">
        <f>ROUND(E15*0.62,0)</f>
        <v>2270</v>
      </c>
      <c r="G15" s="152">
        <f>E15-F15</f>
        <v>1391</v>
      </c>
      <c r="H15" s="141">
        <f>E15</f>
        <v>3661</v>
      </c>
      <c r="I15" s="142"/>
      <c r="J15" s="141">
        <v>2000</v>
      </c>
      <c r="K15" s="141">
        <f>ROUND(F15*T15/1000,0)</f>
        <v>729</v>
      </c>
      <c r="L15" s="141">
        <f>ROUND(G15*T15/1000,0)</f>
        <v>447</v>
      </c>
      <c r="M15" s="141">
        <f>ROUND(H15*T15/1000,0)</f>
        <v>1175</v>
      </c>
      <c r="N15" s="141">
        <f>'3.3.3 원인자검토(음성군조례)'!C3</f>
        <v>10143</v>
      </c>
      <c r="O15" s="141">
        <f>ROUNDDOWN(+K15*$I$45,0)</f>
        <v>3697</v>
      </c>
      <c r="P15" s="201">
        <f>ROUNDDOWN(+L15*Z13,)</f>
        <v>587</v>
      </c>
      <c r="Q15" s="143">
        <f>+O15+P15</f>
        <v>4284</v>
      </c>
      <c r="R15" s="144">
        <f t="shared" si="11"/>
        <v>0.42236024844720499</v>
      </c>
      <c r="S15" s="206"/>
      <c r="T15">
        <v>321</v>
      </c>
      <c r="U15" s="221">
        <v>42080</v>
      </c>
      <c r="V15" s="259">
        <v>6165</v>
      </c>
      <c r="X15" s="139"/>
      <c r="Y15" s="145"/>
      <c r="Z15" s="145"/>
    </row>
    <row r="16" spans="1:36" ht="30" customHeight="1">
      <c r="A16" s="473"/>
      <c r="B16" s="474" t="s">
        <v>180</v>
      </c>
      <c r="C16" s="474"/>
      <c r="D16" s="475"/>
      <c r="E16" s="154">
        <f>SUM(E13:E15)</f>
        <v>5311</v>
      </c>
      <c r="F16" s="154">
        <f t="shared" ref="F16:Q16" si="13">SUM(F13:F15)</f>
        <v>3293</v>
      </c>
      <c r="G16" s="154">
        <f t="shared" si="13"/>
        <v>2018</v>
      </c>
      <c r="H16" s="154">
        <f t="shared" si="13"/>
        <v>5311</v>
      </c>
      <c r="I16" s="154">
        <f t="shared" si="13"/>
        <v>302</v>
      </c>
      <c r="J16" s="154"/>
      <c r="K16" s="154">
        <f t="shared" si="13"/>
        <v>1057</v>
      </c>
      <c r="L16" s="154">
        <f t="shared" si="13"/>
        <v>648</v>
      </c>
      <c r="M16" s="154">
        <f t="shared" si="13"/>
        <v>1704</v>
      </c>
      <c r="N16" s="154">
        <v>9954</v>
      </c>
      <c r="O16" s="154">
        <f t="shared" si="13"/>
        <v>5360</v>
      </c>
      <c r="P16" s="154">
        <f t="shared" si="13"/>
        <v>850</v>
      </c>
      <c r="Q16" s="155">
        <f t="shared" si="13"/>
        <v>6210</v>
      </c>
      <c r="R16" s="156">
        <f t="shared" si="11"/>
        <v>0.6238698010849909</v>
      </c>
      <c r="S16" s="206"/>
      <c r="V16" s="259"/>
      <c r="X16" s="463" t="s">
        <v>187</v>
      </c>
      <c r="Y16" s="463"/>
      <c r="Z16" s="463"/>
      <c r="AA16" s="463"/>
      <c r="AB16" s="463"/>
      <c r="AC16" s="463"/>
      <c r="AD16" s="463"/>
      <c r="AE16" s="463"/>
      <c r="AF16" s="200"/>
      <c r="AG16" s="200"/>
      <c r="AH16" s="200"/>
      <c r="AI16" s="200"/>
      <c r="AJ16" s="200"/>
    </row>
    <row r="17" spans="1:36" ht="30" customHeight="1">
      <c r="A17" s="462" t="s">
        <v>193</v>
      </c>
      <c r="B17" s="174" t="s">
        <v>98</v>
      </c>
      <c r="C17" s="163" t="s">
        <v>184</v>
      </c>
      <c r="D17" s="163" t="s">
        <v>185</v>
      </c>
      <c r="E17" s="164">
        <f>'3.3.3 원인자검토(음성군조례)'!E7</f>
        <v>4780</v>
      </c>
      <c r="F17" s="164">
        <f t="shared" ref="F17:F22" si="14">ROUND(E17*0.55,0)</f>
        <v>2629</v>
      </c>
      <c r="G17" s="164">
        <f t="shared" ref="G17:G22" si="15">E17-F17</f>
        <v>2151</v>
      </c>
      <c r="H17" s="164">
        <f t="shared" ref="H17:H22" si="16">E17</f>
        <v>4780</v>
      </c>
      <c r="I17" s="165">
        <f>+M17</f>
        <v>1482</v>
      </c>
      <c r="J17" s="164">
        <v>4000</v>
      </c>
      <c r="K17" s="164">
        <f>ROUND(F17*T17/1000,0)</f>
        <v>815</v>
      </c>
      <c r="L17" s="164">
        <f>ROUND(G17*T17/1000,0)</f>
        <v>667</v>
      </c>
      <c r="M17" s="164">
        <f>ROUND(H17*T17/1000,0)</f>
        <v>1482</v>
      </c>
      <c r="N17" s="164">
        <f>'3.3.3 원인자검토(음성군조례)'!C7</f>
        <v>23289</v>
      </c>
      <c r="O17" s="164">
        <f t="shared" ref="O17:O22" si="17">ROUNDDOWN(+K17*$K$45,0)</f>
        <v>4745</v>
      </c>
      <c r="P17" s="202">
        <f t="shared" ref="P17:P22" si="18">ROUNDDOWN(+L17*$Z$17,)</f>
        <v>876</v>
      </c>
      <c r="Q17" s="166">
        <f t="shared" ref="Q17:Q22" si="19">+O17+P17</f>
        <v>5621</v>
      </c>
      <c r="R17" s="167">
        <f t="shared" si="11"/>
        <v>0.24135858130447851</v>
      </c>
      <c r="S17" s="206"/>
      <c r="T17">
        <v>310</v>
      </c>
      <c r="U17" s="221">
        <v>42269</v>
      </c>
      <c r="V17" s="259">
        <v>4244</v>
      </c>
      <c r="X17" s="139" t="s">
        <v>186</v>
      </c>
      <c r="Y17" s="145">
        <f>406.94/1000</f>
        <v>0.40694000000000002</v>
      </c>
      <c r="Z17" s="145">
        <f>'3.3.3 원인자검토(음성군조례)'!H7/1000000</f>
        <v>1.3139400000000001</v>
      </c>
    </row>
    <row r="18" spans="1:36" ht="30" customHeight="1">
      <c r="A18" s="462"/>
      <c r="B18" s="174" t="s">
        <v>99</v>
      </c>
      <c r="C18" s="163" t="s">
        <v>184</v>
      </c>
      <c r="D18" s="163" t="s">
        <v>185</v>
      </c>
      <c r="E18" s="164">
        <f>'3.3.3 원인자검토(음성군조례)'!E8</f>
        <v>430</v>
      </c>
      <c r="F18" s="164">
        <f t="shared" si="14"/>
        <v>237</v>
      </c>
      <c r="G18" s="164">
        <f t="shared" si="15"/>
        <v>193</v>
      </c>
      <c r="H18" s="164">
        <f t="shared" si="16"/>
        <v>430</v>
      </c>
      <c r="I18" s="165">
        <f t="shared" ref="I18:I22" si="20">+M18</f>
        <v>133</v>
      </c>
      <c r="J18" s="164">
        <v>4000</v>
      </c>
      <c r="K18" s="164">
        <f t="shared" ref="K18:K22" si="21">ROUND(F18*T18/1000,0)</f>
        <v>73</v>
      </c>
      <c r="L18" s="164">
        <f t="shared" ref="L18:L22" si="22">ROUND(G18*T18/1000,0)</f>
        <v>60</v>
      </c>
      <c r="M18" s="164">
        <f t="shared" ref="M18:M22" si="23">ROUND(H18*T18/1000,0)</f>
        <v>133</v>
      </c>
      <c r="N18" s="164">
        <f>'3.3.3 원인자검토(음성군조례)'!C7</f>
        <v>23289</v>
      </c>
      <c r="O18" s="164">
        <f t="shared" si="17"/>
        <v>425</v>
      </c>
      <c r="P18" s="202">
        <f t="shared" si="18"/>
        <v>78</v>
      </c>
      <c r="Q18" s="205">
        <f t="shared" si="19"/>
        <v>503</v>
      </c>
      <c r="R18" s="167">
        <f t="shared" si="11"/>
        <v>2.1598179397999056E-2</v>
      </c>
      <c r="S18" s="206" t="s">
        <v>229</v>
      </c>
      <c r="T18">
        <v>310</v>
      </c>
      <c r="U18" s="221">
        <v>41599</v>
      </c>
      <c r="V18" s="259">
        <v>3788</v>
      </c>
      <c r="X18" s="139"/>
      <c r="Y18" s="145"/>
      <c r="Z18" s="145"/>
    </row>
    <row r="19" spans="1:36" ht="30" customHeight="1">
      <c r="A19" s="462"/>
      <c r="B19" s="174" t="s">
        <v>129</v>
      </c>
      <c r="C19" s="163" t="s">
        <v>184</v>
      </c>
      <c r="D19" s="163" t="s">
        <v>185</v>
      </c>
      <c r="E19" s="164">
        <f>'3.3.3 원인자검토(음성군조례)'!E9</f>
        <v>941</v>
      </c>
      <c r="F19" s="164">
        <f t="shared" si="14"/>
        <v>518</v>
      </c>
      <c r="G19" s="164">
        <f t="shared" si="15"/>
        <v>423</v>
      </c>
      <c r="H19" s="164">
        <f t="shared" si="16"/>
        <v>941</v>
      </c>
      <c r="I19" s="165">
        <f t="shared" si="20"/>
        <v>292</v>
      </c>
      <c r="J19" s="164">
        <v>4000</v>
      </c>
      <c r="K19" s="164">
        <f t="shared" si="21"/>
        <v>161</v>
      </c>
      <c r="L19" s="164">
        <f t="shared" si="22"/>
        <v>131</v>
      </c>
      <c r="M19" s="164">
        <f t="shared" si="23"/>
        <v>292</v>
      </c>
      <c r="N19" s="164">
        <f>'3.3.3 원인자검토(음성군조례)'!C7</f>
        <v>23289</v>
      </c>
      <c r="O19" s="164">
        <f t="shared" si="17"/>
        <v>937</v>
      </c>
      <c r="P19" s="202">
        <f t="shared" si="18"/>
        <v>172</v>
      </c>
      <c r="Q19" s="205">
        <f t="shared" si="19"/>
        <v>1109</v>
      </c>
      <c r="R19" s="167">
        <f t="shared" si="11"/>
        <v>4.7619047619047616E-2</v>
      </c>
      <c r="S19" s="206" t="s">
        <v>229</v>
      </c>
      <c r="T19">
        <v>310</v>
      </c>
      <c r="U19" s="221">
        <v>42264</v>
      </c>
      <c r="V19" s="259">
        <v>4244</v>
      </c>
      <c r="X19" s="139"/>
      <c r="Y19" s="145"/>
      <c r="Z19" s="145"/>
    </row>
    <row r="20" spans="1:36" ht="30" customHeight="1">
      <c r="A20" s="462"/>
      <c r="B20" s="72" t="s">
        <v>196</v>
      </c>
      <c r="C20" s="163" t="s">
        <v>184</v>
      </c>
      <c r="D20" s="163" t="s">
        <v>185</v>
      </c>
      <c r="E20" s="164">
        <f>'3.3.3 원인자검토(음성군조례)'!E10</f>
        <v>354</v>
      </c>
      <c r="F20" s="164">
        <f t="shared" si="14"/>
        <v>195</v>
      </c>
      <c r="G20" s="164">
        <f t="shared" si="15"/>
        <v>159</v>
      </c>
      <c r="H20" s="164">
        <f t="shared" si="16"/>
        <v>354</v>
      </c>
      <c r="I20" s="165">
        <f t="shared" si="20"/>
        <v>110</v>
      </c>
      <c r="J20" s="164">
        <v>4000</v>
      </c>
      <c r="K20" s="164">
        <f t="shared" si="21"/>
        <v>60</v>
      </c>
      <c r="L20" s="164">
        <f t="shared" si="22"/>
        <v>49</v>
      </c>
      <c r="M20" s="164">
        <f t="shared" si="23"/>
        <v>110</v>
      </c>
      <c r="N20" s="164">
        <f>'3.3.3 원인자검토(음성군조례)'!C7</f>
        <v>23289</v>
      </c>
      <c r="O20" s="164">
        <f t="shared" si="17"/>
        <v>349</v>
      </c>
      <c r="P20" s="202">
        <f t="shared" si="18"/>
        <v>64</v>
      </c>
      <c r="Q20" s="166">
        <f t="shared" si="19"/>
        <v>413</v>
      </c>
      <c r="R20" s="167">
        <f t="shared" si="11"/>
        <v>1.7733694018635407E-2</v>
      </c>
      <c r="S20" s="206"/>
      <c r="T20">
        <v>310</v>
      </c>
      <c r="U20" s="221"/>
      <c r="V20" s="259"/>
      <c r="X20" s="139"/>
      <c r="Y20" s="145"/>
      <c r="Z20" s="145"/>
    </row>
    <row r="21" spans="1:36" ht="30" customHeight="1">
      <c r="A21" s="462"/>
      <c r="B21" s="174" t="s">
        <v>131</v>
      </c>
      <c r="C21" s="163" t="s">
        <v>184</v>
      </c>
      <c r="D21" s="163" t="s">
        <v>185</v>
      </c>
      <c r="E21" s="164">
        <f>'3.3.3 원인자검토(음성군조례)'!E11</f>
        <v>1495</v>
      </c>
      <c r="F21" s="164">
        <f t="shared" si="14"/>
        <v>822</v>
      </c>
      <c r="G21" s="164">
        <f t="shared" si="15"/>
        <v>673</v>
      </c>
      <c r="H21" s="164">
        <f t="shared" si="16"/>
        <v>1495</v>
      </c>
      <c r="I21" s="165">
        <f t="shared" si="20"/>
        <v>463</v>
      </c>
      <c r="J21" s="164">
        <v>4000</v>
      </c>
      <c r="K21" s="164">
        <f t="shared" si="21"/>
        <v>255</v>
      </c>
      <c r="L21" s="164">
        <f t="shared" si="22"/>
        <v>209</v>
      </c>
      <c r="M21" s="164">
        <f t="shared" si="23"/>
        <v>463</v>
      </c>
      <c r="N21" s="164">
        <f>'3.3.3 원인자검토(음성군조례)'!C7</f>
        <v>23289</v>
      </c>
      <c r="O21" s="164">
        <f t="shared" si="17"/>
        <v>1484</v>
      </c>
      <c r="P21" s="202">
        <f t="shared" si="18"/>
        <v>274</v>
      </c>
      <c r="Q21" s="166">
        <f t="shared" si="19"/>
        <v>1758</v>
      </c>
      <c r="R21" s="167">
        <f t="shared" si="11"/>
        <v>7.5486281076903264E-2</v>
      </c>
      <c r="S21" s="206"/>
      <c r="T21">
        <v>310</v>
      </c>
      <c r="U21" s="221"/>
      <c r="V21" s="259"/>
      <c r="X21" s="139"/>
      <c r="Y21" s="145"/>
      <c r="Z21" s="145"/>
    </row>
    <row r="22" spans="1:36" ht="30" customHeight="1">
      <c r="A22" s="462"/>
      <c r="B22" s="174" t="s">
        <v>132</v>
      </c>
      <c r="C22" s="163" t="s">
        <v>184</v>
      </c>
      <c r="D22" s="163" t="s">
        <v>185</v>
      </c>
      <c r="E22" s="164">
        <f>'3.3.3 원인자검토(음성군조례)'!E12</f>
        <v>976</v>
      </c>
      <c r="F22" s="164">
        <f t="shared" si="14"/>
        <v>537</v>
      </c>
      <c r="G22" s="164">
        <f t="shared" si="15"/>
        <v>439</v>
      </c>
      <c r="H22" s="164">
        <f t="shared" si="16"/>
        <v>976</v>
      </c>
      <c r="I22" s="165">
        <f t="shared" si="20"/>
        <v>303</v>
      </c>
      <c r="J22" s="164">
        <v>4000</v>
      </c>
      <c r="K22" s="164">
        <f t="shared" si="21"/>
        <v>166</v>
      </c>
      <c r="L22" s="164">
        <f t="shared" si="22"/>
        <v>136</v>
      </c>
      <c r="M22" s="164">
        <f t="shared" si="23"/>
        <v>303</v>
      </c>
      <c r="N22" s="164">
        <f>'3.3.3 원인자검토(음성군조례)'!C7</f>
        <v>23289</v>
      </c>
      <c r="O22" s="164">
        <f t="shared" si="17"/>
        <v>966</v>
      </c>
      <c r="P22" s="202">
        <f t="shared" si="18"/>
        <v>178</v>
      </c>
      <c r="Q22" s="205">
        <f t="shared" si="19"/>
        <v>1144</v>
      </c>
      <c r="R22" s="167">
        <f t="shared" si="11"/>
        <v>4.9121903044355701E-2</v>
      </c>
      <c r="S22" s="206" t="s">
        <v>229</v>
      </c>
      <c r="T22">
        <v>310</v>
      </c>
      <c r="U22" s="221">
        <v>42216</v>
      </c>
      <c r="V22" s="259">
        <v>4244</v>
      </c>
      <c r="X22" s="139"/>
      <c r="Y22" s="145"/>
      <c r="Z22" s="145"/>
    </row>
    <row r="23" spans="1:36" ht="30" customHeight="1">
      <c r="A23" s="462"/>
      <c r="B23" s="479" t="s">
        <v>180</v>
      </c>
      <c r="C23" s="458"/>
      <c r="D23" s="458"/>
      <c r="E23" s="165">
        <f>SUM(E17:E22)</f>
        <v>8976</v>
      </c>
      <c r="F23" s="165">
        <f t="shared" ref="F23:I23" si="24">SUM(F17:F22)</f>
        <v>4938</v>
      </c>
      <c r="G23" s="165">
        <f t="shared" si="24"/>
        <v>4038</v>
      </c>
      <c r="H23" s="165">
        <f t="shared" si="24"/>
        <v>8976</v>
      </c>
      <c r="I23" s="165">
        <f t="shared" si="24"/>
        <v>2783</v>
      </c>
      <c r="J23" s="165"/>
      <c r="K23" s="165">
        <f t="shared" ref="K23:M23" si="25">SUM(K17:K22)</f>
        <v>1530</v>
      </c>
      <c r="L23" s="165">
        <f t="shared" si="25"/>
        <v>1252</v>
      </c>
      <c r="M23" s="165">
        <f t="shared" si="25"/>
        <v>2783</v>
      </c>
      <c r="N23" s="165">
        <f>'3.3.3 원인자검토(음성군조례)'!C7</f>
        <v>23289</v>
      </c>
      <c r="O23" s="165">
        <f t="shared" ref="O23:Q23" si="26">SUM(O17:O22)</f>
        <v>8906</v>
      </c>
      <c r="P23" s="165">
        <f t="shared" si="26"/>
        <v>1642</v>
      </c>
      <c r="Q23" s="168">
        <f t="shared" si="26"/>
        <v>10548</v>
      </c>
      <c r="R23" s="167">
        <f t="shared" si="11"/>
        <v>0.45291768646141956</v>
      </c>
      <c r="S23" s="206"/>
      <c r="V23" s="259"/>
      <c r="X23" s="463" t="s">
        <v>187</v>
      </c>
      <c r="Y23" s="463"/>
      <c r="Z23" s="463"/>
      <c r="AA23" s="463"/>
      <c r="AB23" s="463"/>
      <c r="AC23" s="463"/>
      <c r="AD23" s="463"/>
      <c r="AE23" s="463"/>
      <c r="AF23" s="200"/>
      <c r="AG23" s="200"/>
      <c r="AH23" s="200"/>
      <c r="AI23" s="200"/>
      <c r="AJ23" s="200"/>
    </row>
    <row r="24" spans="1:36" ht="30" customHeight="1">
      <c r="A24" s="473" t="s">
        <v>194</v>
      </c>
      <c r="B24" s="175" t="s">
        <v>195</v>
      </c>
      <c r="C24" s="157" t="s">
        <v>184</v>
      </c>
      <c r="D24" s="158" t="s">
        <v>185</v>
      </c>
      <c r="E24" s="159">
        <f>'3.3.3 원인자검토(음성군조례)'!E14</f>
        <v>208</v>
      </c>
      <c r="F24" s="159">
        <f>ROUND(E24*0.4,0)</f>
        <v>83</v>
      </c>
      <c r="G24" s="159">
        <f>E24-F24</f>
        <v>125</v>
      </c>
      <c r="H24" s="159">
        <f>E24</f>
        <v>208</v>
      </c>
      <c r="I24" s="160">
        <f>+M24</f>
        <v>53</v>
      </c>
      <c r="J24" s="159">
        <v>750</v>
      </c>
      <c r="K24" s="159">
        <f>ROUND(F24*T24/1000,0)</f>
        <v>21</v>
      </c>
      <c r="L24" s="159">
        <f>ROUND(G24*T24/1000,0)</f>
        <v>32</v>
      </c>
      <c r="M24" s="159">
        <f>ROUND(H24*T24/1000,0)</f>
        <v>53</v>
      </c>
      <c r="N24" s="159">
        <f>'3.3.3 원인자검토(음성군조례)'!C14</f>
        <v>6625</v>
      </c>
      <c r="O24" s="159">
        <f>ROUNDDOWN(+K24*$M$45,0)</f>
        <v>185</v>
      </c>
      <c r="P24" s="203">
        <f>ROUNDDOWN(+L24*Z24,)</f>
        <v>42</v>
      </c>
      <c r="Q24" s="161">
        <f>+O24+P24</f>
        <v>227</v>
      </c>
      <c r="R24" s="162">
        <f t="shared" si="11"/>
        <v>3.4264150943396229E-2</v>
      </c>
      <c r="S24" s="206"/>
      <c r="T24">
        <v>255</v>
      </c>
      <c r="U24" s="221">
        <v>42815</v>
      </c>
      <c r="V24" s="259">
        <v>450</v>
      </c>
      <c r="X24" s="139" t="s">
        <v>186</v>
      </c>
      <c r="Y24" s="145">
        <f>406.94/1000</f>
        <v>0.40694000000000002</v>
      </c>
      <c r="Z24" s="145">
        <f>'3.3.3 원인자검토(음성군조례)'!H11/1000000</f>
        <v>1.3139400000000001</v>
      </c>
    </row>
    <row r="25" spans="1:36" ht="30" customHeight="1">
      <c r="A25" s="473"/>
      <c r="B25" s="474" t="s">
        <v>180</v>
      </c>
      <c r="C25" s="474"/>
      <c r="D25" s="475"/>
      <c r="E25" s="154">
        <f>SUM(E24:E24)</f>
        <v>208</v>
      </c>
      <c r="F25" s="154">
        <f>SUM(F24:F24)</f>
        <v>83</v>
      </c>
      <c r="G25" s="154">
        <f>SUM(G24:G24)</f>
        <v>125</v>
      </c>
      <c r="H25" s="154">
        <f>SUM(H24:H24)</f>
        <v>208</v>
      </c>
      <c r="I25" s="154">
        <f>SUM(I24:I24)</f>
        <v>53</v>
      </c>
      <c r="J25" s="154"/>
      <c r="K25" s="154">
        <f>SUM(K24:K24)</f>
        <v>21</v>
      </c>
      <c r="L25" s="154">
        <f>SUM(L24:L24)</f>
        <v>32</v>
      </c>
      <c r="M25" s="154">
        <f>SUM(M24:M24)</f>
        <v>53</v>
      </c>
      <c r="N25" s="154">
        <f>'3.3.3 원인자검토(음성군조례)'!C14</f>
        <v>6625</v>
      </c>
      <c r="O25" s="154">
        <f>SUM(O24:O24)</f>
        <v>185</v>
      </c>
      <c r="P25" s="154">
        <f>SUM(P24:P24)</f>
        <v>42</v>
      </c>
      <c r="Q25" s="155">
        <f>SUM(Q24:Q24)</f>
        <v>227</v>
      </c>
      <c r="R25" s="156">
        <f t="shared" si="11"/>
        <v>3.4264150943396229E-2</v>
      </c>
      <c r="S25" s="206"/>
      <c r="V25" s="259"/>
      <c r="X25" s="463" t="s">
        <v>187</v>
      </c>
      <c r="Y25" s="463"/>
      <c r="Z25" s="463"/>
      <c r="AA25" s="463"/>
      <c r="AB25" s="463"/>
      <c r="AC25" s="463"/>
      <c r="AD25" s="463"/>
      <c r="AE25" s="463"/>
      <c r="AF25" s="200"/>
      <c r="AG25" s="200"/>
      <c r="AH25" s="200"/>
      <c r="AI25" s="200"/>
      <c r="AJ25" s="200"/>
    </row>
    <row r="26" spans="1:36" ht="30" customHeight="1">
      <c r="A26" s="472" t="s">
        <v>233</v>
      </c>
      <c r="B26" s="72" t="s">
        <v>230</v>
      </c>
      <c r="C26" s="207" t="s">
        <v>222</v>
      </c>
      <c r="D26" s="208" t="s">
        <v>185</v>
      </c>
      <c r="E26" s="209">
        <v>998</v>
      </c>
      <c r="F26" s="209">
        <f>ROUND(E26*0.27,0)</f>
        <v>269</v>
      </c>
      <c r="G26" s="209">
        <f>E26-F26</f>
        <v>729</v>
      </c>
      <c r="H26" s="209">
        <f>E26</f>
        <v>998</v>
      </c>
      <c r="I26" s="210">
        <f>+M26</f>
        <v>316</v>
      </c>
      <c r="J26" s="209"/>
      <c r="K26" s="209">
        <f>ROUND(F26*T26/1000,0)</f>
        <v>85</v>
      </c>
      <c r="L26" s="209">
        <f>ROUND(G26*T26/1000,0)</f>
        <v>231</v>
      </c>
      <c r="M26" s="209">
        <f>ROUND(H26*T26/1000,0)</f>
        <v>316</v>
      </c>
      <c r="N26" s="209">
        <v>0</v>
      </c>
      <c r="O26" s="209"/>
      <c r="P26" s="201">
        <f>ROUNDDOWN(+M26*$Z$6,)</f>
        <v>415</v>
      </c>
      <c r="Q26" s="212">
        <f t="shared" ref="Q26:Q28" si="27">+O26+P26</f>
        <v>415</v>
      </c>
      <c r="R26" s="213"/>
      <c r="S26" s="206" t="s">
        <v>229</v>
      </c>
      <c r="T26">
        <v>317</v>
      </c>
      <c r="U26" s="221">
        <v>43033</v>
      </c>
      <c r="V26" s="259"/>
      <c r="X26" s="139" t="s">
        <v>186</v>
      </c>
      <c r="Y26" s="145">
        <f>406.94/1000</f>
        <v>0.40694000000000002</v>
      </c>
      <c r="Z26" s="145" t="e">
        <f>'3.3.3 원인자검토(음성군조례)'!#REF!/1000000</f>
        <v>#REF!</v>
      </c>
    </row>
    <row r="27" spans="1:36" ht="30" customHeight="1">
      <c r="A27" s="473"/>
      <c r="B27" s="174" t="s">
        <v>231</v>
      </c>
      <c r="C27" s="151" t="s">
        <v>222</v>
      </c>
      <c r="D27" s="140" t="s">
        <v>185</v>
      </c>
      <c r="E27" s="141">
        <v>206</v>
      </c>
      <c r="F27" s="141">
        <f>ROUND(E27*0.27,0)</f>
        <v>56</v>
      </c>
      <c r="G27" s="141">
        <f>E27-F27</f>
        <v>150</v>
      </c>
      <c r="H27" s="141">
        <f>E27</f>
        <v>206</v>
      </c>
      <c r="I27" s="142"/>
      <c r="J27" s="141"/>
      <c r="K27" s="141">
        <f t="shared" ref="K27:K28" si="28">ROUND(F27*T27/1000,0)</f>
        <v>18</v>
      </c>
      <c r="L27" s="141">
        <f t="shared" ref="L27:L28" si="29">ROUND(G27*T27/1000,0)</f>
        <v>48</v>
      </c>
      <c r="M27" s="141">
        <f t="shared" ref="M27:M28" si="30">ROUND(H27*T27/1000,0)</f>
        <v>65</v>
      </c>
      <c r="N27" s="141">
        <v>0</v>
      </c>
      <c r="O27" s="141"/>
      <c r="P27" s="201">
        <f>ROUNDDOWN(+M27*$Z$6,)</f>
        <v>85</v>
      </c>
      <c r="Q27" s="204">
        <f t="shared" si="27"/>
        <v>85</v>
      </c>
      <c r="R27" s="214"/>
      <c r="S27" s="206" t="s">
        <v>229</v>
      </c>
      <c r="T27">
        <v>317</v>
      </c>
      <c r="U27" s="221">
        <v>42370</v>
      </c>
      <c r="V27" s="259"/>
      <c r="X27" s="139"/>
      <c r="Y27" s="145"/>
      <c r="Z27" s="145"/>
    </row>
    <row r="28" spans="1:36" ht="30" customHeight="1">
      <c r="A28" s="473"/>
      <c r="B28" s="174" t="s">
        <v>232</v>
      </c>
      <c r="C28" s="151" t="s">
        <v>222</v>
      </c>
      <c r="D28" s="140" t="s">
        <v>185</v>
      </c>
      <c r="E28" s="141">
        <v>420</v>
      </c>
      <c r="F28" s="141">
        <f>ROUND(E28*0.27,0)</f>
        <v>113</v>
      </c>
      <c r="G28" s="141">
        <f>E28-F28</f>
        <v>307</v>
      </c>
      <c r="H28" s="141">
        <f>E28</f>
        <v>420</v>
      </c>
      <c r="I28" s="142"/>
      <c r="J28" s="141"/>
      <c r="K28" s="141">
        <f t="shared" si="28"/>
        <v>36</v>
      </c>
      <c r="L28" s="141">
        <f t="shared" si="29"/>
        <v>97</v>
      </c>
      <c r="M28" s="141">
        <f t="shared" si="30"/>
        <v>133</v>
      </c>
      <c r="N28" s="141">
        <v>0</v>
      </c>
      <c r="O28" s="141"/>
      <c r="P28" s="201">
        <f>ROUNDDOWN(+M28*$Z$6,)</f>
        <v>174</v>
      </c>
      <c r="Q28" s="204">
        <f t="shared" si="27"/>
        <v>174</v>
      </c>
      <c r="R28" s="214"/>
      <c r="S28" s="206" t="s">
        <v>229</v>
      </c>
      <c r="T28">
        <v>317</v>
      </c>
      <c r="U28" s="221">
        <v>42425</v>
      </c>
      <c r="V28" s="259"/>
      <c r="X28" s="139"/>
      <c r="Y28" s="145"/>
      <c r="Z28" s="145"/>
    </row>
    <row r="29" spans="1:36" ht="30" customHeight="1">
      <c r="A29" s="476"/>
      <c r="B29" s="477" t="s">
        <v>180</v>
      </c>
      <c r="C29" s="477"/>
      <c r="D29" s="478"/>
      <c r="E29" s="215">
        <f>SUM(E26:E28)</f>
        <v>1624</v>
      </c>
      <c r="F29" s="215">
        <f>SUM(F26:F28)</f>
        <v>438</v>
      </c>
      <c r="G29" s="215">
        <f>SUM(G26:G28)</f>
        <v>1186</v>
      </c>
      <c r="H29" s="215">
        <f>SUM(H26:H28)</f>
        <v>1624</v>
      </c>
      <c r="I29" s="215">
        <f>SUM(I26:I28)</f>
        <v>316</v>
      </c>
      <c r="J29" s="215"/>
      <c r="K29" s="215">
        <f>SUM(K26:K28)</f>
        <v>139</v>
      </c>
      <c r="L29" s="215">
        <f>SUM(L26:L28)</f>
        <v>376</v>
      </c>
      <c r="M29" s="215">
        <f>SUM(M26:M28)</f>
        <v>514</v>
      </c>
      <c r="N29" s="215">
        <v>0</v>
      </c>
      <c r="O29" s="215">
        <f>SUM(O26:O28)</f>
        <v>0</v>
      </c>
      <c r="P29" s="215">
        <f>SUM(P26:P28)</f>
        <v>674</v>
      </c>
      <c r="Q29" s="216">
        <f>SUM(Q26:Q28)</f>
        <v>674</v>
      </c>
      <c r="R29" s="217"/>
      <c r="S29" s="206"/>
      <c r="X29" s="463" t="s">
        <v>187</v>
      </c>
      <c r="Y29" s="463"/>
      <c r="Z29" s="463"/>
      <c r="AA29" s="463"/>
      <c r="AB29" s="463"/>
      <c r="AC29" s="463"/>
      <c r="AD29" s="463"/>
      <c r="AE29" s="463"/>
      <c r="AF29" s="200"/>
      <c r="AG29" s="200"/>
      <c r="AH29" s="200"/>
      <c r="AI29" s="200"/>
      <c r="AJ29" s="200"/>
    </row>
    <row r="30" spans="1:36" ht="24.95" customHeight="1">
      <c r="A30" s="170" t="s">
        <v>198</v>
      </c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</row>
    <row r="31" spans="1:36" ht="24.95" customHeight="1">
      <c r="A31" s="170" t="s">
        <v>204</v>
      </c>
      <c r="J31" s="171" t="s">
        <v>199</v>
      </c>
      <c r="K31" s="172"/>
      <c r="L31" s="173" t="s">
        <v>201</v>
      </c>
      <c r="M31" s="173"/>
      <c r="N31" s="173"/>
      <c r="O31" s="172" t="s">
        <v>213</v>
      </c>
      <c r="P31" s="172"/>
      <c r="Q31" s="1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</row>
    <row r="32" spans="1:36" ht="24.95" customHeight="1">
      <c r="A32" s="1" t="s">
        <v>200</v>
      </c>
      <c r="K32" s="1"/>
      <c r="L32" s="1" t="s">
        <v>202</v>
      </c>
      <c r="M32" s="1"/>
      <c r="N32" s="1"/>
      <c r="O32" s="1"/>
      <c r="P32" s="1"/>
      <c r="Q32" s="1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</row>
    <row r="33" spans="1:36" ht="24.95" customHeight="1">
      <c r="A33" s="1" t="s">
        <v>205</v>
      </c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</row>
    <row r="34" spans="1:36" ht="24.95" customHeight="1">
      <c r="A34" s="1" t="s">
        <v>203</v>
      </c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</row>
    <row r="35" spans="1:36" ht="24.95" customHeight="1">
      <c r="A35" s="170" t="s">
        <v>208</v>
      </c>
      <c r="J35" s="171" t="s">
        <v>199</v>
      </c>
      <c r="K35" s="172"/>
      <c r="L35" s="173" t="s">
        <v>210</v>
      </c>
      <c r="M35" s="173"/>
      <c r="N35" s="173"/>
      <c r="O35" s="172" t="s">
        <v>212</v>
      </c>
      <c r="P35" s="172"/>
      <c r="Q35" s="1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</row>
    <row r="36" spans="1:36" ht="24.95" customHeight="1">
      <c r="A36" s="1" t="s">
        <v>217</v>
      </c>
      <c r="K36" s="1"/>
      <c r="L36" s="1" t="s">
        <v>211</v>
      </c>
      <c r="M36" s="1"/>
      <c r="N36" s="1"/>
      <c r="O36" s="1"/>
      <c r="P36" s="1"/>
      <c r="Q36" s="1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</row>
    <row r="37" spans="1:36" ht="24.95" customHeight="1">
      <c r="A37" s="1" t="s">
        <v>209</v>
      </c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</row>
    <row r="38" spans="1:36" ht="24.95" customHeight="1">
      <c r="A38" s="1" t="s">
        <v>218</v>
      </c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</row>
    <row r="39" spans="1:36" ht="24.95" customHeight="1">
      <c r="A39" s="170" t="s">
        <v>206</v>
      </c>
      <c r="J39" s="171" t="s">
        <v>199</v>
      </c>
      <c r="K39" s="172"/>
      <c r="L39" s="173" t="s">
        <v>214</v>
      </c>
      <c r="M39" s="173"/>
      <c r="N39" s="173"/>
      <c r="O39" s="172" t="s">
        <v>216</v>
      </c>
      <c r="P39" s="172"/>
      <c r="Q39" s="1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</row>
    <row r="40" spans="1:36" ht="24.95" customHeight="1">
      <c r="A40" s="1" t="s">
        <v>219</v>
      </c>
      <c r="K40" s="1"/>
      <c r="L40" s="1" t="s">
        <v>215</v>
      </c>
      <c r="M40" s="1"/>
      <c r="N40" s="1"/>
      <c r="O40" s="1"/>
      <c r="P40" s="1"/>
      <c r="Q40" s="1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</row>
    <row r="41" spans="1:36" ht="24.95" customHeight="1">
      <c r="A41" s="1" t="s">
        <v>207</v>
      </c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</row>
    <row r="42" spans="1:36" ht="24.95" customHeight="1">
      <c r="A42" s="1" t="s">
        <v>220</v>
      </c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</row>
    <row r="43" spans="1:36" ht="24.95" customHeight="1">
      <c r="H43" t="s">
        <v>141</v>
      </c>
      <c r="I43" s="147">
        <f>N13</f>
        <v>10143</v>
      </c>
      <c r="J43" t="s">
        <v>141</v>
      </c>
      <c r="K43" s="147">
        <f>N17</f>
        <v>23289</v>
      </c>
      <c r="L43" t="s">
        <v>141</v>
      </c>
      <c r="M43" s="147">
        <f>N24</f>
        <v>6625</v>
      </c>
      <c r="N43" s="149"/>
    </row>
    <row r="44" spans="1:36" ht="24.95" customHeight="1">
      <c r="H44" t="s">
        <v>189</v>
      </c>
      <c r="I44" s="148">
        <f>J13</f>
        <v>2000</v>
      </c>
      <c r="J44" t="s">
        <v>189</v>
      </c>
      <c r="K44" s="148">
        <f>J17</f>
        <v>4000</v>
      </c>
      <c r="L44" t="s">
        <v>189</v>
      </c>
      <c r="M44" s="148">
        <f>J24</f>
        <v>750</v>
      </c>
    </row>
    <row r="45" spans="1:36" ht="24.95" customHeight="1">
      <c r="H45" t="s">
        <v>190</v>
      </c>
      <c r="I45" s="150">
        <f>+I43/I44</f>
        <v>5.0715000000000003</v>
      </c>
      <c r="J45" t="s">
        <v>190</v>
      </c>
      <c r="K45" s="150">
        <f>+K43/K44</f>
        <v>5.8222500000000004</v>
      </c>
      <c r="L45" t="s">
        <v>190</v>
      </c>
      <c r="M45" s="150">
        <f>+M43/M44</f>
        <v>8.8333333333333339</v>
      </c>
      <c r="R45" s="148"/>
      <c r="S45" s="148"/>
      <c r="W45" s="5"/>
      <c r="Z45" s="148"/>
    </row>
  </sheetData>
  <mergeCells count="25">
    <mergeCell ref="K2:M4"/>
    <mergeCell ref="N2:N5"/>
    <mergeCell ref="O2:Q4"/>
    <mergeCell ref="R2:R5"/>
    <mergeCell ref="A6:A12"/>
    <mergeCell ref="B12:D12"/>
    <mergeCell ref="A2:C5"/>
    <mergeCell ref="D2:D5"/>
    <mergeCell ref="E2:E5"/>
    <mergeCell ref="F2:H4"/>
    <mergeCell ref="I2:I5"/>
    <mergeCell ref="J2:J5"/>
    <mergeCell ref="X12:AE12"/>
    <mergeCell ref="A13:A16"/>
    <mergeCell ref="B16:D16"/>
    <mergeCell ref="X16:AE16"/>
    <mergeCell ref="A17:A23"/>
    <mergeCell ref="B23:D23"/>
    <mergeCell ref="X23:AE23"/>
    <mergeCell ref="A24:A25"/>
    <mergeCell ref="B25:D25"/>
    <mergeCell ref="X25:AE25"/>
    <mergeCell ref="A26:A29"/>
    <mergeCell ref="B29:D29"/>
    <mergeCell ref="X29:AE2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workbookViewId="0">
      <selection sqref="A1:M2"/>
    </sheetView>
    <sheetView workbookViewId="1">
      <selection sqref="A1:M2"/>
    </sheetView>
  </sheetViews>
  <sheetFormatPr defaultRowHeight="16.5"/>
  <sheetData>
    <row r="1" spans="1:52" ht="16.5" customHeight="1">
      <c r="A1" s="484" t="s">
        <v>237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 t="s">
        <v>283</v>
      </c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 t="s">
        <v>299</v>
      </c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 t="s">
        <v>332</v>
      </c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</row>
    <row r="2" spans="1:52" ht="16.5" customHeight="1">
      <c r="A2" s="484"/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</row>
    <row r="3" spans="1:52">
      <c r="A3" s="222" t="s">
        <v>242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2" t="s">
        <v>284</v>
      </c>
      <c r="O3" s="223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2" t="s">
        <v>284</v>
      </c>
      <c r="AB3" s="223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2" t="s">
        <v>333</v>
      </c>
      <c r="AO3" s="223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</row>
    <row r="4" spans="1:52">
      <c r="A4" s="485" t="s">
        <v>243</v>
      </c>
      <c r="B4" s="486"/>
      <c r="C4" s="487"/>
      <c r="D4" s="485" t="s">
        <v>244</v>
      </c>
      <c r="E4" s="486"/>
      <c r="F4" s="486"/>
      <c r="G4" s="486"/>
      <c r="H4" s="487"/>
      <c r="I4" s="485" t="s">
        <v>245</v>
      </c>
      <c r="J4" s="486"/>
      <c r="K4" s="486"/>
      <c r="L4" s="486"/>
      <c r="M4" s="487"/>
      <c r="N4" s="485" t="s">
        <v>285</v>
      </c>
      <c r="O4" s="486"/>
      <c r="P4" s="496"/>
      <c r="Q4" s="498" t="s">
        <v>286</v>
      </c>
      <c r="R4" s="499"/>
      <c r="S4" s="499"/>
      <c r="T4" s="499"/>
      <c r="U4" s="500"/>
      <c r="V4" s="501" t="s">
        <v>287</v>
      </c>
      <c r="W4" s="499"/>
      <c r="X4" s="499"/>
      <c r="Y4" s="499"/>
      <c r="Z4" s="500"/>
      <c r="AA4" s="485" t="s">
        <v>285</v>
      </c>
      <c r="AB4" s="486"/>
      <c r="AC4" s="496"/>
      <c r="AD4" s="485" t="s">
        <v>286</v>
      </c>
      <c r="AE4" s="486"/>
      <c r="AF4" s="486"/>
      <c r="AG4" s="486"/>
      <c r="AH4" s="487"/>
      <c r="AI4" s="485" t="s">
        <v>287</v>
      </c>
      <c r="AJ4" s="486"/>
      <c r="AK4" s="486"/>
      <c r="AL4" s="486"/>
      <c r="AM4" s="487"/>
      <c r="AN4" s="485" t="s">
        <v>334</v>
      </c>
      <c r="AO4" s="486"/>
      <c r="AP4" s="496"/>
      <c r="AQ4" s="485" t="s">
        <v>335</v>
      </c>
      <c r="AR4" s="486"/>
      <c r="AS4" s="486"/>
      <c r="AT4" s="486"/>
      <c r="AU4" s="487"/>
      <c r="AV4" s="485" t="s">
        <v>336</v>
      </c>
      <c r="AW4" s="486"/>
      <c r="AX4" s="486"/>
      <c r="AY4" s="486"/>
      <c r="AZ4" s="487"/>
    </row>
    <row r="5" spans="1:52">
      <c r="A5" s="488"/>
      <c r="B5" s="489"/>
      <c r="C5" s="490"/>
      <c r="D5" s="225" t="s">
        <v>246</v>
      </c>
      <c r="E5" s="226" t="s">
        <v>247</v>
      </c>
      <c r="F5" s="226" t="s">
        <v>238</v>
      </c>
      <c r="G5" s="226" t="s">
        <v>239</v>
      </c>
      <c r="H5" s="227" t="s">
        <v>240</v>
      </c>
      <c r="I5" s="225" t="s">
        <v>246</v>
      </c>
      <c r="J5" s="226" t="s">
        <v>248</v>
      </c>
      <c r="K5" s="226" t="s">
        <v>238</v>
      </c>
      <c r="L5" s="226" t="s">
        <v>239</v>
      </c>
      <c r="M5" s="227" t="s">
        <v>240</v>
      </c>
      <c r="N5" s="488"/>
      <c r="O5" s="489"/>
      <c r="P5" s="497"/>
      <c r="Q5" s="250" t="s">
        <v>288</v>
      </c>
      <c r="R5" s="251" t="s">
        <v>289</v>
      </c>
      <c r="S5" s="251" t="s">
        <v>238</v>
      </c>
      <c r="T5" s="251" t="s">
        <v>239</v>
      </c>
      <c r="U5" s="252" t="s">
        <v>240</v>
      </c>
      <c r="V5" s="253" t="s">
        <v>288</v>
      </c>
      <c r="W5" s="254" t="s">
        <v>289</v>
      </c>
      <c r="X5" s="254" t="s">
        <v>238</v>
      </c>
      <c r="Y5" s="254" t="s">
        <v>239</v>
      </c>
      <c r="Z5" s="255" t="s">
        <v>240</v>
      </c>
      <c r="AA5" s="502"/>
      <c r="AB5" s="503"/>
      <c r="AC5" s="504"/>
      <c r="AD5" s="225" t="s">
        <v>300</v>
      </c>
      <c r="AE5" s="226" t="s">
        <v>301</v>
      </c>
      <c r="AF5" s="226" t="s">
        <v>238</v>
      </c>
      <c r="AG5" s="226" t="s">
        <v>239</v>
      </c>
      <c r="AH5" s="227" t="s">
        <v>240</v>
      </c>
      <c r="AI5" s="225" t="s">
        <v>302</v>
      </c>
      <c r="AJ5" s="226" t="s">
        <v>303</v>
      </c>
      <c r="AK5" s="226" t="s">
        <v>238</v>
      </c>
      <c r="AL5" s="226" t="s">
        <v>239</v>
      </c>
      <c r="AM5" s="227" t="s">
        <v>240</v>
      </c>
      <c r="AN5" s="502"/>
      <c r="AO5" s="503"/>
      <c r="AP5" s="504"/>
      <c r="AQ5" s="225" t="s">
        <v>337</v>
      </c>
      <c r="AR5" s="226" t="s">
        <v>289</v>
      </c>
      <c r="AS5" s="226" t="s">
        <v>238</v>
      </c>
      <c r="AT5" s="226" t="s">
        <v>239</v>
      </c>
      <c r="AU5" s="227" t="s">
        <v>240</v>
      </c>
      <c r="AV5" s="225" t="s">
        <v>338</v>
      </c>
      <c r="AW5" s="226" t="s">
        <v>289</v>
      </c>
      <c r="AX5" s="226" t="s">
        <v>238</v>
      </c>
      <c r="AY5" s="226" t="s">
        <v>239</v>
      </c>
      <c r="AZ5" s="227" t="s">
        <v>240</v>
      </c>
    </row>
    <row r="6" spans="1:52">
      <c r="A6" s="491" t="s">
        <v>249</v>
      </c>
      <c r="B6" s="494" t="s">
        <v>250</v>
      </c>
      <c r="C6" s="228" t="s">
        <v>251</v>
      </c>
      <c r="D6" s="229">
        <v>8109</v>
      </c>
      <c r="E6" s="230">
        <v>8033</v>
      </c>
      <c r="F6" s="230">
        <v>7164</v>
      </c>
      <c r="G6" s="230">
        <v>7400</v>
      </c>
      <c r="H6" s="231">
        <v>7874</v>
      </c>
      <c r="I6" s="229">
        <v>7972</v>
      </c>
      <c r="J6" s="230">
        <v>6155</v>
      </c>
      <c r="K6" s="230">
        <v>6235</v>
      </c>
      <c r="L6" s="230">
        <v>6444</v>
      </c>
      <c r="M6" s="231">
        <v>6790</v>
      </c>
      <c r="N6" s="491" t="s">
        <v>290</v>
      </c>
      <c r="O6" s="494" t="s">
        <v>291</v>
      </c>
      <c r="P6" s="228" t="s">
        <v>292</v>
      </c>
      <c r="Q6" s="256">
        <v>5955</v>
      </c>
      <c r="R6" s="257">
        <v>6124</v>
      </c>
      <c r="S6" s="257">
        <v>6378</v>
      </c>
      <c r="T6" s="257">
        <v>6231</v>
      </c>
      <c r="U6" s="258">
        <v>6135</v>
      </c>
      <c r="V6" s="256">
        <v>5729</v>
      </c>
      <c r="W6" s="257">
        <v>5761</v>
      </c>
      <c r="X6" s="257">
        <v>5406</v>
      </c>
      <c r="Y6" s="257">
        <v>5308</v>
      </c>
      <c r="Z6" s="258">
        <v>5400</v>
      </c>
      <c r="AA6" s="491" t="s">
        <v>304</v>
      </c>
      <c r="AB6" s="494" t="s">
        <v>305</v>
      </c>
      <c r="AC6" s="228" t="s">
        <v>306</v>
      </c>
      <c r="AD6" s="229">
        <v>3654</v>
      </c>
      <c r="AE6" s="230">
        <v>3823</v>
      </c>
      <c r="AF6" s="230">
        <v>4122</v>
      </c>
      <c r="AG6" s="230">
        <v>4291</v>
      </c>
      <c r="AH6" s="231">
        <v>4392</v>
      </c>
      <c r="AI6" s="229">
        <v>3578</v>
      </c>
      <c r="AJ6" s="230">
        <v>3725</v>
      </c>
      <c r="AK6" s="230">
        <v>3988</v>
      </c>
      <c r="AL6" s="230">
        <v>4164</v>
      </c>
      <c r="AM6" s="231">
        <v>4185</v>
      </c>
      <c r="AN6" s="491" t="s">
        <v>290</v>
      </c>
      <c r="AO6" s="494" t="s">
        <v>291</v>
      </c>
      <c r="AP6" s="228" t="s">
        <v>292</v>
      </c>
      <c r="AQ6" s="229">
        <v>410</v>
      </c>
      <c r="AR6" s="230">
        <v>419</v>
      </c>
      <c r="AS6" s="230">
        <v>428</v>
      </c>
      <c r="AT6" s="230">
        <v>416</v>
      </c>
      <c r="AU6" s="231">
        <v>473</v>
      </c>
      <c r="AV6" s="229">
        <v>388</v>
      </c>
      <c r="AW6" s="230">
        <v>832</v>
      </c>
      <c r="AX6" s="230">
        <v>392</v>
      </c>
      <c r="AY6" s="230">
        <v>407</v>
      </c>
      <c r="AZ6" s="231">
        <v>459</v>
      </c>
    </row>
    <row r="7" spans="1:52">
      <c r="A7" s="492"/>
      <c r="B7" s="481"/>
      <c r="C7" s="232" t="s">
        <v>252</v>
      </c>
      <c r="D7" s="233">
        <v>15814</v>
      </c>
      <c r="E7" s="234">
        <v>16672</v>
      </c>
      <c r="F7" s="234">
        <v>17589</v>
      </c>
      <c r="G7" s="234">
        <v>13892</v>
      </c>
      <c r="H7" s="235">
        <v>22603</v>
      </c>
      <c r="I7" s="233">
        <v>15663</v>
      </c>
      <c r="J7" s="234">
        <v>7505</v>
      </c>
      <c r="K7" s="234">
        <v>9218</v>
      </c>
      <c r="L7" s="234">
        <v>8394</v>
      </c>
      <c r="M7" s="235">
        <v>8454</v>
      </c>
      <c r="N7" s="492"/>
      <c r="O7" s="481"/>
      <c r="P7" s="232" t="s">
        <v>293</v>
      </c>
      <c r="Q7" s="233">
        <v>7014</v>
      </c>
      <c r="R7" s="234">
        <v>7370</v>
      </c>
      <c r="S7" s="234">
        <v>7612</v>
      </c>
      <c r="T7" s="234">
        <v>7927</v>
      </c>
      <c r="U7" s="235">
        <v>10429</v>
      </c>
      <c r="V7" s="233">
        <v>6971</v>
      </c>
      <c r="W7" s="234">
        <v>7099</v>
      </c>
      <c r="X7" s="234">
        <v>6883</v>
      </c>
      <c r="Y7" s="234">
        <v>6842</v>
      </c>
      <c r="Z7" s="235">
        <v>9418</v>
      </c>
      <c r="AA7" s="492"/>
      <c r="AB7" s="481"/>
      <c r="AC7" s="232" t="s">
        <v>307</v>
      </c>
      <c r="AD7" s="233">
        <v>4778</v>
      </c>
      <c r="AE7" s="234">
        <v>4515</v>
      </c>
      <c r="AF7" s="234">
        <v>5468</v>
      </c>
      <c r="AG7" s="234">
        <v>5560</v>
      </c>
      <c r="AH7" s="235">
        <v>5315</v>
      </c>
      <c r="AI7" s="233">
        <v>4698</v>
      </c>
      <c r="AJ7" s="234">
        <v>4398</v>
      </c>
      <c r="AK7" s="234">
        <v>5304</v>
      </c>
      <c r="AL7" s="234">
        <v>5425</v>
      </c>
      <c r="AM7" s="235">
        <v>5781</v>
      </c>
      <c r="AN7" s="492"/>
      <c r="AO7" s="481"/>
      <c r="AP7" s="232" t="s">
        <v>339</v>
      </c>
      <c r="AQ7" s="233">
        <v>768</v>
      </c>
      <c r="AR7" s="234">
        <v>643</v>
      </c>
      <c r="AS7" s="234">
        <v>610</v>
      </c>
      <c r="AT7" s="234">
        <v>597</v>
      </c>
      <c r="AU7" s="235">
        <v>1408</v>
      </c>
      <c r="AV7" s="233">
        <v>731</v>
      </c>
      <c r="AW7" s="234">
        <v>5920</v>
      </c>
      <c r="AX7" s="234">
        <v>582</v>
      </c>
      <c r="AY7" s="234">
        <v>561</v>
      </c>
      <c r="AZ7" s="235">
        <v>904</v>
      </c>
    </row>
    <row r="8" spans="1:52">
      <c r="A8" s="492"/>
      <c r="B8" s="481"/>
      <c r="C8" s="232" t="s">
        <v>253</v>
      </c>
      <c r="D8" s="233">
        <v>5386</v>
      </c>
      <c r="E8" s="234">
        <v>5021</v>
      </c>
      <c r="F8" s="234">
        <v>5292</v>
      </c>
      <c r="G8" s="234">
        <v>4685</v>
      </c>
      <c r="H8" s="235">
        <v>5428</v>
      </c>
      <c r="I8" s="233">
        <v>5253</v>
      </c>
      <c r="J8" s="234">
        <v>4705</v>
      </c>
      <c r="K8" s="234">
        <v>3276</v>
      </c>
      <c r="L8" s="234">
        <v>5471</v>
      </c>
      <c r="M8" s="235">
        <v>0</v>
      </c>
      <c r="N8" s="492"/>
      <c r="O8" s="481"/>
      <c r="P8" s="232" t="s">
        <v>294</v>
      </c>
      <c r="Q8" s="233">
        <v>4352</v>
      </c>
      <c r="R8" s="234">
        <v>5304</v>
      </c>
      <c r="S8" s="234">
        <v>5398</v>
      </c>
      <c r="T8" s="234">
        <v>5187</v>
      </c>
      <c r="U8" s="235">
        <v>4955</v>
      </c>
      <c r="V8" s="233">
        <v>3791</v>
      </c>
      <c r="W8" s="234">
        <v>4645</v>
      </c>
      <c r="X8" s="234">
        <v>4099</v>
      </c>
      <c r="Y8" s="234">
        <v>4330</v>
      </c>
      <c r="Z8" s="235">
        <v>4017</v>
      </c>
      <c r="AA8" s="492"/>
      <c r="AB8" s="481"/>
      <c r="AC8" s="232" t="s">
        <v>308</v>
      </c>
      <c r="AD8" s="233">
        <v>2777</v>
      </c>
      <c r="AE8" s="234">
        <v>3392</v>
      </c>
      <c r="AF8" s="234">
        <v>2985</v>
      </c>
      <c r="AG8" s="234">
        <v>2379</v>
      </c>
      <c r="AH8" s="235">
        <v>3479</v>
      </c>
      <c r="AI8" s="233">
        <v>2720</v>
      </c>
      <c r="AJ8" s="234">
        <v>3228</v>
      </c>
      <c r="AK8" s="234">
        <v>2895</v>
      </c>
      <c r="AL8" s="234">
        <v>3108</v>
      </c>
      <c r="AM8" s="235">
        <v>3028</v>
      </c>
      <c r="AN8" s="492"/>
      <c r="AO8" s="481"/>
      <c r="AP8" s="232" t="s">
        <v>340</v>
      </c>
      <c r="AQ8" s="233">
        <v>31</v>
      </c>
      <c r="AR8" s="234">
        <v>159</v>
      </c>
      <c r="AS8" s="234">
        <v>258</v>
      </c>
      <c r="AT8" s="234">
        <v>221</v>
      </c>
      <c r="AU8" s="235">
        <v>292</v>
      </c>
      <c r="AV8" s="233">
        <v>45</v>
      </c>
      <c r="AW8" s="234">
        <v>120</v>
      </c>
      <c r="AX8" s="234">
        <v>223</v>
      </c>
      <c r="AY8" s="234">
        <v>201</v>
      </c>
      <c r="AZ8" s="235">
        <v>245</v>
      </c>
    </row>
    <row r="9" spans="1:52" ht="16.5" customHeight="1">
      <c r="A9" s="492"/>
      <c r="B9" s="480" t="s">
        <v>254</v>
      </c>
      <c r="C9" s="232" t="s">
        <v>251</v>
      </c>
      <c r="D9" s="233">
        <v>9200</v>
      </c>
      <c r="E9" s="234">
        <v>8992</v>
      </c>
      <c r="F9" s="234">
        <v>7984</v>
      </c>
      <c r="G9" s="234">
        <v>8031</v>
      </c>
      <c r="H9" s="235">
        <v>8967</v>
      </c>
      <c r="I9" s="233">
        <v>9063</v>
      </c>
      <c r="J9" s="234">
        <v>6169</v>
      </c>
      <c r="K9" s="234">
        <v>6509</v>
      </c>
      <c r="L9" s="234">
        <v>6720</v>
      </c>
      <c r="M9" s="235">
        <v>7077</v>
      </c>
      <c r="N9" s="492"/>
      <c r="O9" s="480" t="s">
        <v>295</v>
      </c>
      <c r="P9" s="232" t="s">
        <v>292</v>
      </c>
      <c r="Q9" s="233">
        <v>6113</v>
      </c>
      <c r="R9" s="234">
        <v>6306</v>
      </c>
      <c r="S9" s="234">
        <v>6579</v>
      </c>
      <c r="T9" s="234">
        <v>6360</v>
      </c>
      <c r="U9" s="235">
        <v>6365</v>
      </c>
      <c r="V9" s="233">
        <v>5912</v>
      </c>
      <c r="W9" s="234">
        <v>5946</v>
      </c>
      <c r="X9" s="234">
        <v>5557</v>
      </c>
      <c r="Y9" s="234">
        <v>5436</v>
      </c>
      <c r="Z9" s="235">
        <v>5703</v>
      </c>
      <c r="AA9" s="492"/>
      <c r="AB9" s="480" t="s">
        <v>309</v>
      </c>
      <c r="AC9" s="232" t="s">
        <v>306</v>
      </c>
      <c r="AD9" s="233">
        <v>3781</v>
      </c>
      <c r="AE9" s="234">
        <v>3880</v>
      </c>
      <c r="AF9" s="234">
        <v>4244</v>
      </c>
      <c r="AG9" s="234">
        <v>4384</v>
      </c>
      <c r="AH9" s="235">
        <v>4415</v>
      </c>
      <c r="AI9" s="233">
        <v>3705</v>
      </c>
      <c r="AJ9" s="234">
        <v>3787</v>
      </c>
      <c r="AK9" s="234">
        <v>4109</v>
      </c>
      <c r="AL9" s="234">
        <v>4245</v>
      </c>
      <c r="AM9" s="235">
        <v>4258</v>
      </c>
      <c r="AN9" s="492"/>
      <c r="AO9" s="480" t="s">
        <v>341</v>
      </c>
      <c r="AP9" s="232" t="s">
        <v>292</v>
      </c>
      <c r="AQ9" s="233">
        <v>445</v>
      </c>
      <c r="AR9" s="234">
        <v>443</v>
      </c>
      <c r="AS9" s="234">
        <v>456</v>
      </c>
      <c r="AT9" s="234">
        <v>445</v>
      </c>
      <c r="AU9" s="235">
        <v>540</v>
      </c>
      <c r="AV9" s="233">
        <v>419</v>
      </c>
      <c r="AW9" s="234">
        <v>640</v>
      </c>
      <c r="AX9" s="234">
        <v>421</v>
      </c>
      <c r="AY9" s="234">
        <v>436</v>
      </c>
      <c r="AZ9" s="235">
        <v>514</v>
      </c>
    </row>
    <row r="10" spans="1:52">
      <c r="A10" s="492"/>
      <c r="B10" s="481"/>
      <c r="C10" s="232" t="s">
        <v>255</v>
      </c>
      <c r="D10" s="233">
        <v>15814</v>
      </c>
      <c r="E10" s="234">
        <v>16672</v>
      </c>
      <c r="F10" s="234">
        <v>17589</v>
      </c>
      <c r="G10" s="234">
        <v>13892</v>
      </c>
      <c r="H10" s="235">
        <v>22603</v>
      </c>
      <c r="I10" s="233">
        <v>15663</v>
      </c>
      <c r="J10" s="234">
        <v>7505</v>
      </c>
      <c r="K10" s="234">
        <v>9218</v>
      </c>
      <c r="L10" s="234">
        <v>8042</v>
      </c>
      <c r="M10" s="235">
        <v>8454</v>
      </c>
      <c r="N10" s="492"/>
      <c r="O10" s="481"/>
      <c r="P10" s="232" t="s">
        <v>293</v>
      </c>
      <c r="Q10" s="233">
        <v>7014</v>
      </c>
      <c r="R10" s="234">
        <v>7370</v>
      </c>
      <c r="S10" s="234">
        <v>7612</v>
      </c>
      <c r="T10" s="234">
        <v>7927</v>
      </c>
      <c r="U10" s="235">
        <v>10429</v>
      </c>
      <c r="V10" s="233">
        <v>6971</v>
      </c>
      <c r="W10" s="234">
        <v>7099</v>
      </c>
      <c r="X10" s="234">
        <v>6883</v>
      </c>
      <c r="Y10" s="234">
        <v>6754</v>
      </c>
      <c r="Z10" s="235">
        <v>9418</v>
      </c>
      <c r="AA10" s="492"/>
      <c r="AB10" s="481"/>
      <c r="AC10" s="232" t="s">
        <v>307</v>
      </c>
      <c r="AD10" s="233">
        <v>4562</v>
      </c>
      <c r="AE10" s="234">
        <v>4515</v>
      </c>
      <c r="AF10" s="234">
        <v>5468</v>
      </c>
      <c r="AG10" s="234">
        <v>5542</v>
      </c>
      <c r="AH10" s="235">
        <v>5215</v>
      </c>
      <c r="AI10" s="233">
        <v>4488</v>
      </c>
      <c r="AJ10" s="234">
        <v>4398</v>
      </c>
      <c r="AK10" s="234">
        <v>5304</v>
      </c>
      <c r="AL10" s="234">
        <v>5403</v>
      </c>
      <c r="AM10" s="235">
        <v>5781</v>
      </c>
      <c r="AN10" s="492"/>
      <c r="AO10" s="481"/>
      <c r="AP10" s="232" t="s">
        <v>277</v>
      </c>
      <c r="AQ10" s="233">
        <v>636</v>
      </c>
      <c r="AR10" s="234">
        <v>643</v>
      </c>
      <c r="AS10" s="234">
        <v>598</v>
      </c>
      <c r="AT10" s="234">
        <v>543</v>
      </c>
      <c r="AU10" s="235">
        <v>1408</v>
      </c>
      <c r="AV10" s="233">
        <v>610</v>
      </c>
      <c r="AW10" s="234">
        <v>5849</v>
      </c>
      <c r="AX10" s="234">
        <v>570</v>
      </c>
      <c r="AY10" s="234">
        <v>524</v>
      </c>
      <c r="AZ10" s="235">
        <v>904</v>
      </c>
    </row>
    <row r="11" spans="1:52">
      <c r="A11" s="492"/>
      <c r="B11" s="481"/>
      <c r="C11" s="232" t="s">
        <v>256</v>
      </c>
      <c r="D11" s="233">
        <v>5792</v>
      </c>
      <c r="E11" s="234">
        <v>5082</v>
      </c>
      <c r="F11" s="234">
        <v>5924</v>
      </c>
      <c r="G11" s="234">
        <v>4685</v>
      </c>
      <c r="H11" s="235">
        <v>6103</v>
      </c>
      <c r="I11" s="233">
        <v>5655</v>
      </c>
      <c r="J11" s="234">
        <v>4705</v>
      </c>
      <c r="K11" s="234">
        <v>4708</v>
      </c>
      <c r="L11" s="234">
        <v>5682</v>
      </c>
      <c r="M11" s="235">
        <v>5563</v>
      </c>
      <c r="N11" s="492"/>
      <c r="O11" s="481"/>
      <c r="P11" s="232" t="s">
        <v>294</v>
      </c>
      <c r="Q11" s="233">
        <v>4858</v>
      </c>
      <c r="R11" s="234">
        <v>5542</v>
      </c>
      <c r="S11" s="234">
        <v>5398</v>
      </c>
      <c r="T11" s="234">
        <v>5622</v>
      </c>
      <c r="U11" s="235">
        <v>5346</v>
      </c>
      <c r="V11" s="233">
        <v>4463</v>
      </c>
      <c r="W11" s="234">
        <v>4874</v>
      </c>
      <c r="X11" s="234">
        <v>4727</v>
      </c>
      <c r="Y11" s="234">
        <v>4675</v>
      </c>
      <c r="Z11" s="235">
        <v>4341</v>
      </c>
      <c r="AA11" s="492"/>
      <c r="AB11" s="481"/>
      <c r="AC11" s="232" t="s">
        <v>308</v>
      </c>
      <c r="AD11" s="233">
        <v>3083</v>
      </c>
      <c r="AE11" s="234">
        <v>3392</v>
      </c>
      <c r="AF11" s="234">
        <v>2985</v>
      </c>
      <c r="AG11" s="234">
        <v>3344</v>
      </c>
      <c r="AH11" s="235">
        <v>3661</v>
      </c>
      <c r="AI11" s="233">
        <v>3070</v>
      </c>
      <c r="AJ11" s="234">
        <v>3295</v>
      </c>
      <c r="AK11" s="234">
        <v>2895</v>
      </c>
      <c r="AL11" s="234">
        <v>3228</v>
      </c>
      <c r="AM11" s="235">
        <v>3117</v>
      </c>
      <c r="AN11" s="492"/>
      <c r="AO11" s="481"/>
      <c r="AP11" s="232" t="s">
        <v>278</v>
      </c>
      <c r="AQ11" s="233">
        <v>261</v>
      </c>
      <c r="AR11" s="234">
        <v>159</v>
      </c>
      <c r="AS11" s="234">
        <v>258</v>
      </c>
      <c r="AT11" s="234">
        <v>294</v>
      </c>
      <c r="AU11" s="235">
        <v>303</v>
      </c>
      <c r="AV11" s="233">
        <v>241</v>
      </c>
      <c r="AW11" s="234">
        <v>120</v>
      </c>
      <c r="AX11" s="234">
        <v>223</v>
      </c>
      <c r="AY11" s="234">
        <v>239</v>
      </c>
      <c r="AZ11" s="235">
        <v>331</v>
      </c>
    </row>
    <row r="12" spans="1:52">
      <c r="A12" s="492"/>
      <c r="B12" s="482" t="s">
        <v>257</v>
      </c>
      <c r="C12" s="236" t="s">
        <v>258</v>
      </c>
      <c r="D12" s="237">
        <v>7491</v>
      </c>
      <c r="E12" s="238">
        <v>7450</v>
      </c>
      <c r="F12" s="238">
        <v>6726</v>
      </c>
      <c r="G12" s="238">
        <v>7079</v>
      </c>
      <c r="H12" s="239">
        <v>7341</v>
      </c>
      <c r="I12" s="233">
        <v>7354</v>
      </c>
      <c r="J12" s="234">
        <v>6146</v>
      </c>
      <c r="K12" s="234">
        <v>6090</v>
      </c>
      <c r="L12" s="234">
        <v>6303</v>
      </c>
      <c r="M12" s="235">
        <v>6652</v>
      </c>
      <c r="N12" s="492"/>
      <c r="O12" s="482" t="s">
        <v>296</v>
      </c>
      <c r="P12" s="236" t="s">
        <v>292</v>
      </c>
      <c r="Q12" s="237">
        <v>5866</v>
      </c>
      <c r="R12" s="238">
        <v>6013</v>
      </c>
      <c r="S12" s="238">
        <v>6271</v>
      </c>
      <c r="T12" s="238">
        <v>6165</v>
      </c>
      <c r="U12" s="239">
        <v>6024</v>
      </c>
      <c r="V12" s="233">
        <v>5625</v>
      </c>
      <c r="W12" s="234">
        <v>5649</v>
      </c>
      <c r="X12" s="234">
        <v>5325</v>
      </c>
      <c r="Y12" s="234">
        <v>5242</v>
      </c>
      <c r="Z12" s="235">
        <v>5252</v>
      </c>
      <c r="AA12" s="492"/>
      <c r="AB12" s="482" t="s">
        <v>310</v>
      </c>
      <c r="AC12" s="236" t="s">
        <v>306</v>
      </c>
      <c r="AD12" s="237">
        <v>3581</v>
      </c>
      <c r="AE12" s="238">
        <v>3788</v>
      </c>
      <c r="AF12" s="238">
        <v>4056</v>
      </c>
      <c r="AG12" s="238">
        <v>4244</v>
      </c>
      <c r="AH12" s="239">
        <v>4382</v>
      </c>
      <c r="AI12" s="233">
        <v>3505</v>
      </c>
      <c r="AJ12" s="234">
        <v>3687</v>
      </c>
      <c r="AK12" s="234">
        <v>3924</v>
      </c>
      <c r="AL12" s="234">
        <v>4122</v>
      </c>
      <c r="AM12" s="235">
        <v>4150</v>
      </c>
      <c r="AN12" s="492"/>
      <c r="AO12" s="482" t="s">
        <v>280</v>
      </c>
      <c r="AP12" s="236" t="s">
        <v>276</v>
      </c>
      <c r="AQ12" s="237">
        <v>390</v>
      </c>
      <c r="AR12" s="238">
        <v>404</v>
      </c>
      <c r="AS12" s="238">
        <v>413</v>
      </c>
      <c r="AT12" s="238">
        <v>402</v>
      </c>
      <c r="AU12" s="239">
        <v>440</v>
      </c>
      <c r="AV12" s="233">
        <v>370</v>
      </c>
      <c r="AW12" s="234">
        <v>948</v>
      </c>
      <c r="AX12" s="234">
        <v>377</v>
      </c>
      <c r="AY12" s="234">
        <v>392</v>
      </c>
      <c r="AZ12" s="235">
        <v>432</v>
      </c>
    </row>
    <row r="13" spans="1:52">
      <c r="A13" s="492"/>
      <c r="B13" s="482"/>
      <c r="C13" s="236" t="s">
        <v>259</v>
      </c>
      <c r="D13" s="240">
        <v>11854</v>
      </c>
      <c r="E13" s="241">
        <v>13186</v>
      </c>
      <c r="F13" s="241">
        <v>10212</v>
      </c>
      <c r="G13" s="241">
        <v>9831</v>
      </c>
      <c r="H13" s="242">
        <v>14185</v>
      </c>
      <c r="I13" s="233">
        <v>11720</v>
      </c>
      <c r="J13" s="234">
        <v>7271</v>
      </c>
      <c r="K13" s="234">
        <v>8404</v>
      </c>
      <c r="L13" s="234">
        <v>8394</v>
      </c>
      <c r="M13" s="235">
        <v>8025</v>
      </c>
      <c r="N13" s="492"/>
      <c r="O13" s="482"/>
      <c r="P13" s="236" t="s">
        <v>293</v>
      </c>
      <c r="Q13" s="240">
        <v>6884</v>
      </c>
      <c r="R13" s="241">
        <v>7062</v>
      </c>
      <c r="S13" s="241">
        <v>7442</v>
      </c>
      <c r="T13" s="241">
        <v>6920</v>
      </c>
      <c r="U13" s="242">
        <v>7831</v>
      </c>
      <c r="V13" s="233">
        <v>6844</v>
      </c>
      <c r="W13" s="234">
        <v>6931</v>
      </c>
      <c r="X13" s="234">
        <v>6410</v>
      </c>
      <c r="Y13" s="234">
        <v>6842</v>
      </c>
      <c r="Z13" s="235">
        <v>7069</v>
      </c>
      <c r="AA13" s="492"/>
      <c r="AB13" s="482"/>
      <c r="AC13" s="236" t="s">
        <v>307</v>
      </c>
      <c r="AD13" s="240">
        <v>4778</v>
      </c>
      <c r="AE13" s="241">
        <v>4282</v>
      </c>
      <c r="AF13" s="241">
        <v>5187</v>
      </c>
      <c r="AG13" s="241">
        <v>5560</v>
      </c>
      <c r="AH13" s="242">
        <v>5315</v>
      </c>
      <c r="AI13" s="233">
        <v>4698</v>
      </c>
      <c r="AJ13" s="234">
        <v>4192</v>
      </c>
      <c r="AK13" s="234">
        <v>5038</v>
      </c>
      <c r="AL13" s="234">
        <v>5425</v>
      </c>
      <c r="AM13" s="235">
        <v>5379</v>
      </c>
      <c r="AN13" s="492"/>
      <c r="AO13" s="482"/>
      <c r="AP13" s="236" t="s">
        <v>277</v>
      </c>
      <c r="AQ13" s="240">
        <v>768</v>
      </c>
      <c r="AR13" s="241">
        <v>607</v>
      </c>
      <c r="AS13" s="241">
        <v>610</v>
      </c>
      <c r="AT13" s="241">
        <v>597</v>
      </c>
      <c r="AU13" s="242">
        <v>682</v>
      </c>
      <c r="AV13" s="233">
        <v>731</v>
      </c>
      <c r="AW13" s="234">
        <v>5920</v>
      </c>
      <c r="AX13" s="234">
        <v>582</v>
      </c>
      <c r="AY13" s="234">
        <v>561</v>
      </c>
      <c r="AZ13" s="235">
        <v>667</v>
      </c>
    </row>
    <row r="14" spans="1:52">
      <c r="A14" s="493"/>
      <c r="B14" s="483"/>
      <c r="C14" s="243" t="s">
        <v>253</v>
      </c>
      <c r="D14" s="244">
        <v>5386</v>
      </c>
      <c r="E14" s="245">
        <v>5021</v>
      </c>
      <c r="F14" s="245">
        <v>5292</v>
      </c>
      <c r="G14" s="245">
        <v>4981</v>
      </c>
      <c r="H14" s="246">
        <v>5428</v>
      </c>
      <c r="I14" s="247">
        <v>5253</v>
      </c>
      <c r="J14" s="248">
        <v>5014</v>
      </c>
      <c r="K14" s="248">
        <v>3276</v>
      </c>
      <c r="L14" s="248">
        <v>5471</v>
      </c>
      <c r="M14" s="249">
        <v>5462</v>
      </c>
      <c r="N14" s="493"/>
      <c r="O14" s="483"/>
      <c r="P14" s="243" t="s">
        <v>294</v>
      </c>
      <c r="Q14" s="244">
        <v>4352</v>
      </c>
      <c r="R14" s="245">
        <v>5304</v>
      </c>
      <c r="S14" s="245">
        <v>5441</v>
      </c>
      <c r="T14" s="245">
        <v>5187</v>
      </c>
      <c r="U14" s="246">
        <v>4955</v>
      </c>
      <c r="V14" s="247">
        <v>3791</v>
      </c>
      <c r="W14" s="248">
        <v>4645</v>
      </c>
      <c r="X14" s="248">
        <v>4099</v>
      </c>
      <c r="Y14" s="248">
        <v>4330</v>
      </c>
      <c r="Z14" s="249">
        <v>4017</v>
      </c>
      <c r="AA14" s="493"/>
      <c r="AB14" s="483"/>
      <c r="AC14" s="243" t="s">
        <v>308</v>
      </c>
      <c r="AD14" s="244">
        <v>2777</v>
      </c>
      <c r="AE14" s="245">
        <v>3436</v>
      </c>
      <c r="AF14" s="245">
        <v>3451</v>
      </c>
      <c r="AG14" s="245">
        <v>2379</v>
      </c>
      <c r="AH14" s="246">
        <v>3479</v>
      </c>
      <c r="AI14" s="247">
        <v>2720</v>
      </c>
      <c r="AJ14" s="248">
        <v>3228</v>
      </c>
      <c r="AK14" s="248">
        <v>3325</v>
      </c>
      <c r="AL14" s="248">
        <v>3108</v>
      </c>
      <c r="AM14" s="249">
        <v>3028</v>
      </c>
      <c r="AN14" s="493"/>
      <c r="AO14" s="483"/>
      <c r="AP14" s="243" t="s">
        <v>278</v>
      </c>
      <c r="AQ14" s="244">
        <v>31</v>
      </c>
      <c r="AR14" s="245">
        <v>193</v>
      </c>
      <c r="AS14" s="245">
        <v>273</v>
      </c>
      <c r="AT14" s="245">
        <v>221</v>
      </c>
      <c r="AU14" s="246">
        <v>292</v>
      </c>
      <c r="AV14" s="247">
        <v>45</v>
      </c>
      <c r="AW14" s="248">
        <v>189</v>
      </c>
      <c r="AX14" s="248">
        <v>257</v>
      </c>
      <c r="AY14" s="248">
        <v>201</v>
      </c>
      <c r="AZ14" s="249">
        <v>245</v>
      </c>
    </row>
    <row r="15" spans="1:52" ht="16.5" customHeight="1">
      <c r="A15" s="495" t="s">
        <v>260</v>
      </c>
      <c r="B15" s="494" t="s">
        <v>261</v>
      </c>
      <c r="C15" s="228" t="s">
        <v>262</v>
      </c>
      <c r="D15" s="229">
        <v>10085</v>
      </c>
      <c r="E15" s="230">
        <v>10149</v>
      </c>
      <c r="F15" s="230">
        <v>8338</v>
      </c>
      <c r="G15" s="230">
        <v>8387</v>
      </c>
      <c r="H15" s="231">
        <v>10623</v>
      </c>
      <c r="I15" s="229">
        <v>9946</v>
      </c>
      <c r="J15" s="230">
        <v>6115</v>
      </c>
      <c r="K15" s="230">
        <v>6823</v>
      </c>
      <c r="L15" s="230">
        <v>6829</v>
      </c>
      <c r="M15" s="231">
        <v>7449</v>
      </c>
      <c r="N15" s="495" t="s">
        <v>297</v>
      </c>
      <c r="O15" s="494" t="s">
        <v>291</v>
      </c>
      <c r="P15" s="228" t="s">
        <v>292</v>
      </c>
      <c r="Q15" s="229">
        <v>6427</v>
      </c>
      <c r="R15" s="230">
        <v>6634</v>
      </c>
      <c r="S15" s="230">
        <v>7025</v>
      </c>
      <c r="T15" s="230">
        <v>6534</v>
      </c>
      <c r="U15" s="231">
        <v>6791</v>
      </c>
      <c r="V15" s="229">
        <v>6288</v>
      </c>
      <c r="W15" s="230">
        <v>6247</v>
      </c>
      <c r="X15" s="230">
        <v>5936</v>
      </c>
      <c r="Y15" s="230">
        <v>5620</v>
      </c>
      <c r="Z15" s="231">
        <v>5607</v>
      </c>
      <c r="AA15" s="495" t="s">
        <v>311</v>
      </c>
      <c r="AB15" s="494" t="s">
        <v>312</v>
      </c>
      <c r="AC15" s="228" t="s">
        <v>313</v>
      </c>
      <c r="AD15" s="229">
        <v>3921</v>
      </c>
      <c r="AE15" s="230">
        <v>4016</v>
      </c>
      <c r="AF15" s="230">
        <v>4447</v>
      </c>
      <c r="AG15" s="230">
        <v>4376</v>
      </c>
      <c r="AH15" s="231">
        <v>4510</v>
      </c>
      <c r="AI15" s="229">
        <v>3847</v>
      </c>
      <c r="AJ15" s="230">
        <v>3935</v>
      </c>
      <c r="AK15" s="230">
        <v>4311</v>
      </c>
      <c r="AL15" s="230">
        <v>4240</v>
      </c>
      <c r="AM15" s="231">
        <v>4488</v>
      </c>
      <c r="AN15" s="495" t="s">
        <v>281</v>
      </c>
      <c r="AO15" s="494" t="s">
        <v>275</v>
      </c>
      <c r="AP15" s="228" t="s">
        <v>276</v>
      </c>
      <c r="AQ15" s="229">
        <v>456</v>
      </c>
      <c r="AR15" s="230">
        <v>429</v>
      </c>
      <c r="AS15" s="230">
        <v>480</v>
      </c>
      <c r="AT15" s="230">
        <v>438</v>
      </c>
      <c r="AU15" s="231">
        <v>589</v>
      </c>
      <c r="AV15" s="229">
        <v>438</v>
      </c>
      <c r="AW15" s="230">
        <v>411</v>
      </c>
      <c r="AX15" s="230">
        <v>444</v>
      </c>
      <c r="AY15" s="230">
        <v>435</v>
      </c>
      <c r="AZ15" s="231">
        <v>526</v>
      </c>
    </row>
    <row r="16" spans="1:52">
      <c r="A16" s="492"/>
      <c r="B16" s="481"/>
      <c r="C16" s="232" t="s">
        <v>259</v>
      </c>
      <c r="D16" s="233">
        <v>15814</v>
      </c>
      <c r="E16" s="234">
        <v>14395</v>
      </c>
      <c r="F16" s="234">
        <v>13690</v>
      </c>
      <c r="G16" s="234">
        <v>13892</v>
      </c>
      <c r="H16" s="235">
        <v>22603</v>
      </c>
      <c r="I16" s="233">
        <v>15663</v>
      </c>
      <c r="J16" s="234">
        <v>7084</v>
      </c>
      <c r="K16" s="234">
        <v>8097</v>
      </c>
      <c r="L16" s="234">
        <v>8394</v>
      </c>
      <c r="M16" s="235">
        <v>8454</v>
      </c>
      <c r="N16" s="492"/>
      <c r="O16" s="481"/>
      <c r="P16" s="232" t="s">
        <v>293</v>
      </c>
      <c r="Q16" s="233">
        <v>7014</v>
      </c>
      <c r="R16" s="234">
        <v>7257</v>
      </c>
      <c r="S16" s="234">
        <v>7607</v>
      </c>
      <c r="T16" s="234">
        <v>7927</v>
      </c>
      <c r="U16" s="235">
        <v>10429</v>
      </c>
      <c r="V16" s="233">
        <v>6971</v>
      </c>
      <c r="W16" s="234">
        <v>6971</v>
      </c>
      <c r="X16" s="234">
        <v>6883</v>
      </c>
      <c r="Y16" s="234">
        <v>6754</v>
      </c>
      <c r="Z16" s="235">
        <v>9418</v>
      </c>
      <c r="AA16" s="492"/>
      <c r="AB16" s="481"/>
      <c r="AC16" s="232" t="s">
        <v>314</v>
      </c>
      <c r="AD16" s="233">
        <v>4244</v>
      </c>
      <c r="AE16" s="234">
        <v>4377</v>
      </c>
      <c r="AF16" s="234">
        <v>5235</v>
      </c>
      <c r="AG16" s="234">
        <v>4678</v>
      </c>
      <c r="AH16" s="235">
        <v>5315</v>
      </c>
      <c r="AI16" s="233">
        <v>4186</v>
      </c>
      <c r="AJ16" s="234">
        <v>4216</v>
      </c>
      <c r="AK16" s="234">
        <v>5111</v>
      </c>
      <c r="AL16" s="234">
        <v>4540</v>
      </c>
      <c r="AM16" s="235">
        <v>5728</v>
      </c>
      <c r="AN16" s="492"/>
      <c r="AO16" s="481"/>
      <c r="AP16" s="232" t="s">
        <v>277</v>
      </c>
      <c r="AQ16" s="233">
        <v>636</v>
      </c>
      <c r="AR16" s="234">
        <v>619</v>
      </c>
      <c r="AS16" s="234">
        <v>610</v>
      </c>
      <c r="AT16" s="234">
        <v>534</v>
      </c>
      <c r="AU16" s="235">
        <v>1408</v>
      </c>
      <c r="AV16" s="233">
        <v>610</v>
      </c>
      <c r="AW16" s="234">
        <v>596</v>
      </c>
      <c r="AX16" s="234">
        <v>582</v>
      </c>
      <c r="AY16" s="234">
        <v>512</v>
      </c>
      <c r="AZ16" s="235">
        <v>877</v>
      </c>
    </row>
    <row r="17" spans="1:52">
      <c r="A17" s="492"/>
      <c r="B17" s="481"/>
      <c r="C17" s="232" t="s">
        <v>263</v>
      </c>
      <c r="D17" s="233">
        <v>6881</v>
      </c>
      <c r="E17" s="234">
        <v>6914</v>
      </c>
      <c r="F17" s="234">
        <v>6174</v>
      </c>
      <c r="G17" s="234">
        <v>6801</v>
      </c>
      <c r="H17" s="235">
        <v>7955</v>
      </c>
      <c r="I17" s="233">
        <v>6742</v>
      </c>
      <c r="J17" s="234">
        <v>5262</v>
      </c>
      <c r="K17" s="234">
        <v>5899</v>
      </c>
      <c r="L17" s="234">
        <v>5613</v>
      </c>
      <c r="M17" s="235">
        <v>6460</v>
      </c>
      <c r="N17" s="492"/>
      <c r="O17" s="481"/>
      <c r="P17" s="232" t="s">
        <v>294</v>
      </c>
      <c r="Q17" s="233">
        <v>5772</v>
      </c>
      <c r="R17" s="234">
        <v>5952</v>
      </c>
      <c r="S17" s="234">
        <v>6338</v>
      </c>
      <c r="T17" s="234">
        <v>5864</v>
      </c>
      <c r="U17" s="235">
        <v>5913</v>
      </c>
      <c r="V17" s="233">
        <v>5577</v>
      </c>
      <c r="W17" s="234">
        <v>4874</v>
      </c>
      <c r="X17" s="234">
        <v>5204</v>
      </c>
      <c r="Y17" s="234">
        <v>4926</v>
      </c>
      <c r="Z17" s="235">
        <v>4676</v>
      </c>
      <c r="AA17" s="492"/>
      <c r="AB17" s="481"/>
      <c r="AC17" s="232" t="s">
        <v>315</v>
      </c>
      <c r="AD17" s="233">
        <v>3503</v>
      </c>
      <c r="AE17" s="234">
        <v>3605</v>
      </c>
      <c r="AF17" s="234">
        <v>3769</v>
      </c>
      <c r="AG17" s="234">
        <v>3952</v>
      </c>
      <c r="AH17" s="235">
        <v>3546</v>
      </c>
      <c r="AI17" s="233">
        <v>3451</v>
      </c>
      <c r="AJ17" s="234">
        <v>3532</v>
      </c>
      <c r="AK17" s="234">
        <v>3633</v>
      </c>
      <c r="AL17" s="234">
        <v>3831</v>
      </c>
      <c r="AM17" s="235">
        <v>3776</v>
      </c>
      <c r="AN17" s="492"/>
      <c r="AO17" s="481"/>
      <c r="AP17" s="232" t="s">
        <v>278</v>
      </c>
      <c r="AQ17" s="233">
        <v>256</v>
      </c>
      <c r="AR17" s="234">
        <v>159</v>
      </c>
      <c r="AS17" s="234">
        <v>305</v>
      </c>
      <c r="AT17" s="234">
        <v>309</v>
      </c>
      <c r="AU17" s="235">
        <v>360</v>
      </c>
      <c r="AV17" s="233">
        <v>269</v>
      </c>
      <c r="AW17" s="234">
        <v>120</v>
      </c>
      <c r="AX17" s="234">
        <v>286</v>
      </c>
      <c r="AY17" s="234">
        <v>283</v>
      </c>
      <c r="AZ17" s="235">
        <v>359</v>
      </c>
    </row>
    <row r="18" spans="1:52" ht="16.5" customHeight="1">
      <c r="A18" s="492"/>
      <c r="B18" s="480" t="s">
        <v>264</v>
      </c>
      <c r="C18" s="232" t="s">
        <v>251</v>
      </c>
      <c r="D18" s="233">
        <v>10748</v>
      </c>
      <c r="E18" s="234">
        <v>10569</v>
      </c>
      <c r="F18" s="234">
        <v>8800</v>
      </c>
      <c r="G18" s="234">
        <v>8814</v>
      </c>
      <c r="H18" s="235">
        <v>11886</v>
      </c>
      <c r="I18" s="233">
        <v>10606</v>
      </c>
      <c r="J18" s="234">
        <v>6147</v>
      </c>
      <c r="K18" s="234">
        <v>6933</v>
      </c>
      <c r="L18" s="234">
        <v>6947</v>
      </c>
      <c r="M18" s="235">
        <v>7629</v>
      </c>
      <c r="N18" s="492"/>
      <c r="O18" s="480" t="s">
        <v>295</v>
      </c>
      <c r="P18" s="232" t="s">
        <v>292</v>
      </c>
      <c r="Q18" s="233">
        <v>6465</v>
      </c>
      <c r="R18" s="234">
        <v>6630</v>
      </c>
      <c r="S18" s="234">
        <v>7075</v>
      </c>
      <c r="T18" s="234">
        <v>6696</v>
      </c>
      <c r="U18" s="235">
        <v>7001</v>
      </c>
      <c r="V18" s="233">
        <v>6305</v>
      </c>
      <c r="W18" s="234">
        <v>6222</v>
      </c>
      <c r="X18" s="234">
        <v>5962</v>
      </c>
      <c r="Y18" s="234">
        <v>5779</v>
      </c>
      <c r="Z18" s="235">
        <v>5924</v>
      </c>
      <c r="AA18" s="492"/>
      <c r="AB18" s="480" t="s">
        <v>316</v>
      </c>
      <c r="AC18" s="232" t="s">
        <v>313</v>
      </c>
      <c r="AD18" s="233">
        <v>3934</v>
      </c>
      <c r="AE18" s="234">
        <v>4022</v>
      </c>
      <c r="AF18" s="234">
        <v>4428</v>
      </c>
      <c r="AG18" s="234">
        <v>4377</v>
      </c>
      <c r="AH18" s="235">
        <v>4583</v>
      </c>
      <c r="AI18" s="233">
        <v>3860</v>
      </c>
      <c r="AJ18" s="234">
        <v>3943</v>
      </c>
      <c r="AK18" s="234">
        <v>4293</v>
      </c>
      <c r="AL18" s="234">
        <v>4235</v>
      </c>
      <c r="AM18" s="235">
        <v>4562</v>
      </c>
      <c r="AN18" s="492"/>
      <c r="AO18" s="480" t="s">
        <v>279</v>
      </c>
      <c r="AP18" s="232" t="s">
        <v>276</v>
      </c>
      <c r="AQ18" s="233">
        <v>494</v>
      </c>
      <c r="AR18" s="234">
        <v>428</v>
      </c>
      <c r="AS18" s="234">
        <v>493</v>
      </c>
      <c r="AT18" s="234">
        <v>449</v>
      </c>
      <c r="AU18" s="235">
        <v>685</v>
      </c>
      <c r="AV18" s="233">
        <v>473</v>
      </c>
      <c r="AW18" s="234">
        <v>402</v>
      </c>
      <c r="AX18" s="234">
        <v>457</v>
      </c>
      <c r="AY18" s="234">
        <v>445</v>
      </c>
      <c r="AZ18" s="235">
        <v>578</v>
      </c>
    </row>
    <row r="19" spans="1:52">
      <c r="A19" s="492"/>
      <c r="B19" s="481"/>
      <c r="C19" s="232" t="s">
        <v>265</v>
      </c>
      <c r="D19" s="233">
        <v>15814</v>
      </c>
      <c r="E19" s="234">
        <v>14395</v>
      </c>
      <c r="F19" s="234">
        <v>13690</v>
      </c>
      <c r="G19" s="234">
        <v>13892</v>
      </c>
      <c r="H19" s="235">
        <v>22603</v>
      </c>
      <c r="I19" s="233">
        <v>15663</v>
      </c>
      <c r="J19" s="234">
        <v>7084</v>
      </c>
      <c r="K19" s="234">
        <v>8097</v>
      </c>
      <c r="L19" s="234">
        <v>8042</v>
      </c>
      <c r="M19" s="235">
        <v>8454</v>
      </c>
      <c r="N19" s="492"/>
      <c r="O19" s="481"/>
      <c r="P19" s="232" t="s">
        <v>293</v>
      </c>
      <c r="Q19" s="233">
        <v>7014</v>
      </c>
      <c r="R19" s="234">
        <v>7257</v>
      </c>
      <c r="S19" s="234">
        <v>7607</v>
      </c>
      <c r="T19" s="234">
        <v>7927</v>
      </c>
      <c r="U19" s="235">
        <v>10429</v>
      </c>
      <c r="V19" s="233">
        <v>6971</v>
      </c>
      <c r="W19" s="234">
        <v>6971</v>
      </c>
      <c r="X19" s="234">
        <v>6883</v>
      </c>
      <c r="Y19" s="234">
        <v>6754</v>
      </c>
      <c r="Z19" s="235">
        <v>9418</v>
      </c>
      <c r="AA19" s="492"/>
      <c r="AB19" s="481"/>
      <c r="AC19" s="232" t="s">
        <v>314</v>
      </c>
      <c r="AD19" s="233">
        <v>4244</v>
      </c>
      <c r="AE19" s="234">
        <v>4377</v>
      </c>
      <c r="AF19" s="234">
        <v>5235</v>
      </c>
      <c r="AG19" s="234">
        <v>4661</v>
      </c>
      <c r="AH19" s="235">
        <v>5098</v>
      </c>
      <c r="AI19" s="233">
        <v>4186</v>
      </c>
      <c r="AJ19" s="234">
        <v>4216</v>
      </c>
      <c r="AK19" s="234">
        <v>5111</v>
      </c>
      <c r="AL19" s="234">
        <v>4504</v>
      </c>
      <c r="AM19" s="235">
        <v>5728</v>
      </c>
      <c r="AN19" s="492"/>
      <c r="AO19" s="481"/>
      <c r="AP19" s="232" t="s">
        <v>277</v>
      </c>
      <c r="AQ19" s="233">
        <v>636</v>
      </c>
      <c r="AR19" s="234">
        <v>619</v>
      </c>
      <c r="AS19" s="234">
        <v>598</v>
      </c>
      <c r="AT19" s="234">
        <v>534</v>
      </c>
      <c r="AU19" s="235">
        <v>1408</v>
      </c>
      <c r="AV19" s="233">
        <v>610</v>
      </c>
      <c r="AW19" s="234">
        <v>596</v>
      </c>
      <c r="AX19" s="234">
        <v>570</v>
      </c>
      <c r="AY19" s="234">
        <v>512</v>
      </c>
      <c r="AZ19" s="235">
        <v>877</v>
      </c>
    </row>
    <row r="20" spans="1:52">
      <c r="A20" s="492"/>
      <c r="B20" s="481"/>
      <c r="C20" s="232" t="s">
        <v>266</v>
      </c>
      <c r="D20" s="233">
        <v>6881</v>
      </c>
      <c r="E20" s="234">
        <v>8669</v>
      </c>
      <c r="F20" s="234">
        <v>6500</v>
      </c>
      <c r="G20" s="234">
        <v>6829</v>
      </c>
      <c r="H20" s="235">
        <v>8274</v>
      </c>
      <c r="I20" s="233">
        <v>6742</v>
      </c>
      <c r="J20" s="234">
        <v>5262</v>
      </c>
      <c r="K20" s="234">
        <v>5899</v>
      </c>
      <c r="L20" s="234">
        <v>6075</v>
      </c>
      <c r="M20" s="235">
        <v>6460</v>
      </c>
      <c r="N20" s="492"/>
      <c r="O20" s="481"/>
      <c r="P20" s="232" t="s">
        <v>294</v>
      </c>
      <c r="Q20" s="233">
        <v>5817</v>
      </c>
      <c r="R20" s="234">
        <v>5952</v>
      </c>
      <c r="S20" s="234">
        <v>6338</v>
      </c>
      <c r="T20" s="234">
        <v>6103</v>
      </c>
      <c r="U20" s="235">
        <v>5972</v>
      </c>
      <c r="V20" s="233">
        <v>5617</v>
      </c>
      <c r="W20" s="234">
        <v>4874</v>
      </c>
      <c r="X20" s="234">
        <v>5204</v>
      </c>
      <c r="Y20" s="234">
        <v>5234</v>
      </c>
      <c r="Z20" s="235">
        <v>4676</v>
      </c>
      <c r="AA20" s="492"/>
      <c r="AB20" s="481"/>
      <c r="AC20" s="232" t="s">
        <v>315</v>
      </c>
      <c r="AD20" s="233">
        <v>3670</v>
      </c>
      <c r="AE20" s="234">
        <v>3605</v>
      </c>
      <c r="AF20" s="234">
        <v>3831</v>
      </c>
      <c r="AG20" s="234">
        <v>3952</v>
      </c>
      <c r="AH20" s="235">
        <v>4110</v>
      </c>
      <c r="AI20" s="233">
        <v>3599</v>
      </c>
      <c r="AJ20" s="234">
        <v>3532</v>
      </c>
      <c r="AK20" s="234">
        <v>3685</v>
      </c>
      <c r="AL20" s="234">
        <v>3831</v>
      </c>
      <c r="AM20" s="235">
        <v>3782</v>
      </c>
      <c r="AN20" s="492"/>
      <c r="AO20" s="481"/>
      <c r="AP20" s="232" t="s">
        <v>278</v>
      </c>
      <c r="AQ20" s="233">
        <v>318</v>
      </c>
      <c r="AR20" s="234">
        <v>159</v>
      </c>
      <c r="AS20" s="234">
        <v>360</v>
      </c>
      <c r="AT20" s="234">
        <v>309</v>
      </c>
      <c r="AU20" s="235">
        <v>360</v>
      </c>
      <c r="AV20" s="233">
        <v>309</v>
      </c>
      <c r="AW20" s="234">
        <v>120</v>
      </c>
      <c r="AX20" s="234">
        <v>319</v>
      </c>
      <c r="AY20" s="234">
        <v>283</v>
      </c>
      <c r="AZ20" s="235">
        <v>359</v>
      </c>
    </row>
    <row r="21" spans="1:52">
      <c r="A21" s="492"/>
      <c r="B21" s="482" t="s">
        <v>267</v>
      </c>
      <c r="C21" s="236" t="s">
        <v>268</v>
      </c>
      <c r="D21" s="237">
        <v>9036</v>
      </c>
      <c r="E21" s="238">
        <v>9386</v>
      </c>
      <c r="F21" s="238">
        <v>7209</v>
      </c>
      <c r="G21" s="238">
        <v>7960</v>
      </c>
      <c r="H21" s="239">
        <v>9648</v>
      </c>
      <c r="I21" s="233">
        <v>8902</v>
      </c>
      <c r="J21" s="234">
        <v>6056</v>
      </c>
      <c r="K21" s="234">
        <v>6553</v>
      </c>
      <c r="L21" s="234">
        <v>6710</v>
      </c>
      <c r="M21" s="235">
        <v>7310</v>
      </c>
      <c r="N21" s="492"/>
      <c r="O21" s="482" t="s">
        <v>296</v>
      </c>
      <c r="P21" s="236" t="s">
        <v>292</v>
      </c>
      <c r="Q21" s="237">
        <v>6366</v>
      </c>
      <c r="R21" s="238">
        <v>6642</v>
      </c>
      <c r="S21" s="238">
        <v>6904</v>
      </c>
      <c r="T21" s="238">
        <v>6373</v>
      </c>
      <c r="U21" s="239">
        <v>6629</v>
      </c>
      <c r="V21" s="233">
        <v>6263</v>
      </c>
      <c r="W21" s="234">
        <v>6294</v>
      </c>
      <c r="X21" s="234">
        <v>5871</v>
      </c>
      <c r="Y21" s="234">
        <v>5461</v>
      </c>
      <c r="Z21" s="235">
        <v>5362</v>
      </c>
      <c r="AA21" s="492"/>
      <c r="AB21" s="482" t="s">
        <v>317</v>
      </c>
      <c r="AC21" s="236" t="s">
        <v>313</v>
      </c>
      <c r="AD21" s="237">
        <v>3901</v>
      </c>
      <c r="AE21" s="238">
        <v>4005</v>
      </c>
      <c r="AF21" s="238">
        <v>4492</v>
      </c>
      <c r="AG21" s="238">
        <v>4376</v>
      </c>
      <c r="AH21" s="239">
        <v>4454</v>
      </c>
      <c r="AI21" s="233">
        <v>3827</v>
      </c>
      <c r="AJ21" s="234">
        <v>3922</v>
      </c>
      <c r="AK21" s="234">
        <v>4354</v>
      </c>
      <c r="AL21" s="234">
        <v>4246</v>
      </c>
      <c r="AM21" s="235">
        <v>4431</v>
      </c>
      <c r="AN21" s="492"/>
      <c r="AO21" s="482" t="s">
        <v>280</v>
      </c>
      <c r="AP21" s="236" t="s">
        <v>276</v>
      </c>
      <c r="AQ21" s="237">
        <v>397</v>
      </c>
      <c r="AR21" s="238">
        <v>430</v>
      </c>
      <c r="AS21" s="238">
        <v>446</v>
      </c>
      <c r="AT21" s="238">
        <v>428</v>
      </c>
      <c r="AU21" s="239">
        <v>515</v>
      </c>
      <c r="AV21" s="233">
        <v>383</v>
      </c>
      <c r="AW21" s="234">
        <v>427</v>
      </c>
      <c r="AX21" s="234">
        <v>413</v>
      </c>
      <c r="AY21" s="234">
        <v>426</v>
      </c>
      <c r="AZ21" s="235">
        <v>485</v>
      </c>
    </row>
    <row r="22" spans="1:52">
      <c r="A22" s="492"/>
      <c r="B22" s="482"/>
      <c r="C22" s="236" t="s">
        <v>269</v>
      </c>
      <c r="D22" s="240">
        <v>9933</v>
      </c>
      <c r="E22" s="241">
        <v>12261</v>
      </c>
      <c r="F22" s="241">
        <v>8930</v>
      </c>
      <c r="G22" s="241">
        <v>9831</v>
      </c>
      <c r="H22" s="242">
        <v>14185</v>
      </c>
      <c r="I22" s="233">
        <v>9793</v>
      </c>
      <c r="J22" s="234">
        <v>6685</v>
      </c>
      <c r="K22" s="234">
        <v>7306</v>
      </c>
      <c r="L22" s="234">
        <v>8394</v>
      </c>
      <c r="M22" s="235">
        <v>7840</v>
      </c>
      <c r="N22" s="492"/>
      <c r="O22" s="482"/>
      <c r="P22" s="236" t="s">
        <v>293</v>
      </c>
      <c r="Q22" s="240">
        <v>6884</v>
      </c>
      <c r="R22" s="241">
        <v>7062</v>
      </c>
      <c r="S22" s="241">
        <v>7364</v>
      </c>
      <c r="T22" s="241">
        <v>6767</v>
      </c>
      <c r="U22" s="242">
        <v>7424</v>
      </c>
      <c r="V22" s="233">
        <v>6844</v>
      </c>
      <c r="W22" s="234">
        <v>6931</v>
      </c>
      <c r="X22" s="234">
        <v>6286</v>
      </c>
      <c r="Y22" s="234">
        <v>5814</v>
      </c>
      <c r="Z22" s="235">
        <v>6370</v>
      </c>
      <c r="AA22" s="492"/>
      <c r="AB22" s="482"/>
      <c r="AC22" s="236" t="s">
        <v>314</v>
      </c>
      <c r="AD22" s="240">
        <v>4116</v>
      </c>
      <c r="AE22" s="241">
        <v>4135</v>
      </c>
      <c r="AF22" s="241">
        <v>5187</v>
      </c>
      <c r="AG22" s="241">
        <v>4678</v>
      </c>
      <c r="AH22" s="242">
        <v>5315</v>
      </c>
      <c r="AI22" s="233">
        <v>4008</v>
      </c>
      <c r="AJ22" s="234">
        <v>4087</v>
      </c>
      <c r="AK22" s="234">
        <v>5038</v>
      </c>
      <c r="AL22" s="234">
        <v>4540</v>
      </c>
      <c r="AM22" s="235">
        <v>5379</v>
      </c>
      <c r="AN22" s="492"/>
      <c r="AO22" s="482"/>
      <c r="AP22" s="236" t="s">
        <v>277</v>
      </c>
      <c r="AQ22" s="240">
        <v>575</v>
      </c>
      <c r="AR22" s="241">
        <v>563</v>
      </c>
      <c r="AS22" s="241">
        <v>610</v>
      </c>
      <c r="AT22" s="241">
        <v>516</v>
      </c>
      <c r="AU22" s="242">
        <v>682</v>
      </c>
      <c r="AV22" s="233">
        <v>510</v>
      </c>
      <c r="AW22" s="234">
        <v>546</v>
      </c>
      <c r="AX22" s="234">
        <v>582</v>
      </c>
      <c r="AY22" s="234">
        <v>503</v>
      </c>
      <c r="AZ22" s="235">
        <v>667</v>
      </c>
    </row>
    <row r="23" spans="1:52">
      <c r="A23" s="493"/>
      <c r="B23" s="483"/>
      <c r="C23" s="243" t="s">
        <v>256</v>
      </c>
      <c r="D23" s="244">
        <v>6902</v>
      </c>
      <c r="E23" s="245">
        <v>6914</v>
      </c>
      <c r="F23" s="245">
        <v>6174</v>
      </c>
      <c r="G23" s="245">
        <v>6801</v>
      </c>
      <c r="H23" s="246">
        <v>7955</v>
      </c>
      <c r="I23" s="247">
        <v>6764</v>
      </c>
      <c r="J23" s="248">
        <v>5586</v>
      </c>
      <c r="K23" s="248">
        <v>5956</v>
      </c>
      <c r="L23" s="248">
        <v>5613</v>
      </c>
      <c r="M23" s="249">
        <v>6856</v>
      </c>
      <c r="N23" s="493"/>
      <c r="O23" s="483"/>
      <c r="P23" s="243" t="s">
        <v>294</v>
      </c>
      <c r="Q23" s="244">
        <v>5772</v>
      </c>
      <c r="R23" s="245">
        <v>6374</v>
      </c>
      <c r="S23" s="245">
        <v>6493</v>
      </c>
      <c r="T23" s="245">
        <v>5864</v>
      </c>
      <c r="U23" s="246">
        <v>5913</v>
      </c>
      <c r="V23" s="247">
        <v>5577</v>
      </c>
      <c r="W23" s="248">
        <v>5384</v>
      </c>
      <c r="X23" s="248">
        <v>5445</v>
      </c>
      <c r="Y23" s="248">
        <v>4926</v>
      </c>
      <c r="Z23" s="249">
        <v>4857</v>
      </c>
      <c r="AA23" s="493"/>
      <c r="AB23" s="483"/>
      <c r="AC23" s="243" t="s">
        <v>315</v>
      </c>
      <c r="AD23" s="244">
        <v>3503</v>
      </c>
      <c r="AE23" s="245">
        <v>3732</v>
      </c>
      <c r="AF23" s="245">
        <v>3769</v>
      </c>
      <c r="AG23" s="245">
        <v>4074</v>
      </c>
      <c r="AH23" s="246">
        <v>3546</v>
      </c>
      <c r="AI23" s="247">
        <v>3451</v>
      </c>
      <c r="AJ23" s="248">
        <v>3671</v>
      </c>
      <c r="AK23" s="248">
        <v>3633</v>
      </c>
      <c r="AL23" s="248">
        <v>3957</v>
      </c>
      <c r="AM23" s="249">
        <v>3776</v>
      </c>
      <c r="AN23" s="493"/>
      <c r="AO23" s="483"/>
      <c r="AP23" s="243" t="s">
        <v>278</v>
      </c>
      <c r="AQ23" s="244">
        <v>256</v>
      </c>
      <c r="AR23" s="245">
        <v>286</v>
      </c>
      <c r="AS23" s="245">
        <v>305</v>
      </c>
      <c r="AT23" s="245">
        <v>319</v>
      </c>
      <c r="AU23" s="246">
        <v>377</v>
      </c>
      <c r="AV23" s="247">
        <v>269</v>
      </c>
      <c r="AW23" s="248">
        <v>320</v>
      </c>
      <c r="AX23" s="248">
        <v>286</v>
      </c>
      <c r="AY23" s="248">
        <v>321</v>
      </c>
      <c r="AZ23" s="249">
        <v>388</v>
      </c>
    </row>
    <row r="24" spans="1:52" ht="16.5" customHeight="1">
      <c r="A24" s="495" t="s">
        <v>270</v>
      </c>
      <c r="B24" s="494" t="s">
        <v>271</v>
      </c>
      <c r="C24" s="228" t="s">
        <v>272</v>
      </c>
      <c r="D24" s="229">
        <v>6944</v>
      </c>
      <c r="E24" s="230">
        <v>6964</v>
      </c>
      <c r="F24" s="230">
        <v>6423</v>
      </c>
      <c r="G24" s="230">
        <v>7263</v>
      </c>
      <c r="H24" s="231">
        <v>6380</v>
      </c>
      <c r="I24" s="229">
        <v>6801</v>
      </c>
      <c r="J24" s="230">
        <v>6093</v>
      </c>
      <c r="K24" s="230">
        <v>5832</v>
      </c>
      <c r="L24" s="230">
        <v>6266</v>
      </c>
      <c r="M24" s="231">
        <v>6146</v>
      </c>
      <c r="N24" s="495" t="s">
        <v>298</v>
      </c>
      <c r="O24" s="494" t="s">
        <v>291</v>
      </c>
      <c r="P24" s="228" t="s">
        <v>292</v>
      </c>
      <c r="Q24" s="229">
        <v>5648</v>
      </c>
      <c r="R24" s="230">
        <v>5794</v>
      </c>
      <c r="S24" s="230">
        <v>6029</v>
      </c>
      <c r="T24" s="230">
        <v>6198</v>
      </c>
      <c r="U24" s="231">
        <v>5780</v>
      </c>
      <c r="V24" s="229">
        <v>5399</v>
      </c>
      <c r="W24" s="230">
        <v>5532</v>
      </c>
      <c r="X24" s="230">
        <v>5253</v>
      </c>
      <c r="Y24" s="230">
        <v>5217</v>
      </c>
      <c r="Z24" s="231">
        <v>5000</v>
      </c>
      <c r="AA24" s="495" t="s">
        <v>318</v>
      </c>
      <c r="AB24" s="494" t="s">
        <v>319</v>
      </c>
      <c r="AC24" s="228" t="s">
        <v>306</v>
      </c>
      <c r="AD24" s="229">
        <v>3366</v>
      </c>
      <c r="AE24" s="230">
        <v>3659</v>
      </c>
      <c r="AF24" s="230">
        <v>3863</v>
      </c>
      <c r="AG24" s="230">
        <v>4093</v>
      </c>
      <c r="AH24" s="231">
        <v>4466</v>
      </c>
      <c r="AI24" s="229">
        <v>3293</v>
      </c>
      <c r="AJ24" s="230">
        <v>3563</v>
      </c>
      <c r="AK24" s="230">
        <v>3736</v>
      </c>
      <c r="AL24" s="230">
        <v>3977</v>
      </c>
      <c r="AM24" s="231">
        <v>4208</v>
      </c>
      <c r="AN24" s="495" t="s">
        <v>282</v>
      </c>
      <c r="AO24" s="494" t="s">
        <v>275</v>
      </c>
      <c r="AP24" s="228" t="s">
        <v>276</v>
      </c>
      <c r="AQ24" s="229">
        <v>376</v>
      </c>
      <c r="AR24" s="230">
        <v>418</v>
      </c>
      <c r="AS24" s="230">
        <v>397</v>
      </c>
      <c r="AT24" s="230">
        <v>401</v>
      </c>
      <c r="AU24" s="231">
        <v>422</v>
      </c>
      <c r="AV24" s="229">
        <v>355</v>
      </c>
      <c r="AW24" s="230">
        <v>1711</v>
      </c>
      <c r="AX24" s="230">
        <v>362</v>
      </c>
      <c r="AY24" s="230">
        <v>380</v>
      </c>
      <c r="AZ24" s="231">
        <v>413</v>
      </c>
    </row>
    <row r="25" spans="1:52">
      <c r="A25" s="492"/>
      <c r="B25" s="481"/>
      <c r="C25" s="232" t="s">
        <v>269</v>
      </c>
      <c r="D25" s="233">
        <v>10631</v>
      </c>
      <c r="E25" s="234">
        <v>11403</v>
      </c>
      <c r="F25" s="234">
        <v>8057</v>
      </c>
      <c r="G25" s="234">
        <v>9322</v>
      </c>
      <c r="H25" s="235">
        <v>10216</v>
      </c>
      <c r="I25" s="233">
        <v>10476</v>
      </c>
      <c r="J25" s="234">
        <v>7047</v>
      </c>
      <c r="K25" s="234">
        <v>7113</v>
      </c>
      <c r="L25" s="234">
        <v>7714</v>
      </c>
      <c r="M25" s="235">
        <v>7307</v>
      </c>
      <c r="N25" s="492"/>
      <c r="O25" s="481"/>
      <c r="P25" s="232" t="s">
        <v>293</v>
      </c>
      <c r="Q25" s="233">
        <v>6662</v>
      </c>
      <c r="R25" s="234">
        <v>6733</v>
      </c>
      <c r="S25" s="234">
        <v>6767</v>
      </c>
      <c r="T25" s="234">
        <v>6733</v>
      </c>
      <c r="U25" s="235">
        <v>6895</v>
      </c>
      <c r="V25" s="233">
        <v>6538</v>
      </c>
      <c r="W25" s="234">
        <v>6681</v>
      </c>
      <c r="X25" s="234">
        <v>6410</v>
      </c>
      <c r="Y25" s="234">
        <v>5721</v>
      </c>
      <c r="Z25" s="235">
        <v>6631</v>
      </c>
      <c r="AA25" s="492"/>
      <c r="AB25" s="481"/>
      <c r="AC25" s="232" t="s">
        <v>307</v>
      </c>
      <c r="AD25" s="233">
        <v>3829</v>
      </c>
      <c r="AE25" s="234">
        <v>4120</v>
      </c>
      <c r="AF25" s="234">
        <v>4363</v>
      </c>
      <c r="AG25" s="234">
        <v>4718</v>
      </c>
      <c r="AH25" s="235">
        <v>5035</v>
      </c>
      <c r="AI25" s="233">
        <v>3754</v>
      </c>
      <c r="AJ25" s="234">
        <v>4018</v>
      </c>
      <c r="AK25" s="234">
        <v>4217</v>
      </c>
      <c r="AL25" s="234">
        <v>4615</v>
      </c>
      <c r="AM25" s="235">
        <v>4903</v>
      </c>
      <c r="AN25" s="492"/>
      <c r="AO25" s="481"/>
      <c r="AP25" s="232" t="s">
        <v>277</v>
      </c>
      <c r="AQ25" s="233">
        <v>558</v>
      </c>
      <c r="AR25" s="234">
        <v>618</v>
      </c>
      <c r="AS25" s="234">
        <v>540</v>
      </c>
      <c r="AT25" s="234">
        <v>576</v>
      </c>
      <c r="AU25" s="235">
        <v>608</v>
      </c>
      <c r="AV25" s="233">
        <v>489</v>
      </c>
      <c r="AW25" s="234">
        <v>5920</v>
      </c>
      <c r="AX25" s="234">
        <v>505</v>
      </c>
      <c r="AY25" s="234">
        <v>560</v>
      </c>
      <c r="AZ25" s="235">
        <v>618</v>
      </c>
    </row>
    <row r="26" spans="1:52">
      <c r="A26" s="492"/>
      <c r="B26" s="481"/>
      <c r="C26" s="232" t="s">
        <v>273</v>
      </c>
      <c r="D26" s="233">
        <v>5386</v>
      </c>
      <c r="E26" s="234">
        <v>5021</v>
      </c>
      <c r="F26" s="234">
        <v>5292</v>
      </c>
      <c r="G26" s="234">
        <v>6318</v>
      </c>
      <c r="H26" s="235">
        <v>5428</v>
      </c>
      <c r="I26" s="233">
        <v>5253</v>
      </c>
      <c r="J26" s="234">
        <v>5014</v>
      </c>
      <c r="K26" s="234">
        <v>3403</v>
      </c>
      <c r="L26" s="234">
        <v>5471</v>
      </c>
      <c r="M26" s="235">
        <v>5462</v>
      </c>
      <c r="N26" s="492"/>
      <c r="O26" s="481"/>
      <c r="P26" s="232" t="s">
        <v>294</v>
      </c>
      <c r="Q26" s="233">
        <v>4352</v>
      </c>
      <c r="R26" s="234">
        <v>5304</v>
      </c>
      <c r="S26" s="234">
        <v>5398</v>
      </c>
      <c r="T26" s="234">
        <v>5355</v>
      </c>
      <c r="U26" s="235">
        <v>4955</v>
      </c>
      <c r="V26" s="233">
        <v>3791</v>
      </c>
      <c r="W26" s="234">
        <v>4923</v>
      </c>
      <c r="X26" s="234">
        <v>4502</v>
      </c>
      <c r="Y26" s="234">
        <v>4330</v>
      </c>
      <c r="Z26" s="235">
        <v>4017</v>
      </c>
      <c r="AA26" s="492"/>
      <c r="AB26" s="481"/>
      <c r="AC26" s="232" t="s">
        <v>320</v>
      </c>
      <c r="AD26" s="233">
        <v>2777</v>
      </c>
      <c r="AE26" s="234">
        <v>3392</v>
      </c>
      <c r="AF26" s="234">
        <v>2985</v>
      </c>
      <c r="AG26" s="234">
        <v>2379</v>
      </c>
      <c r="AH26" s="235">
        <v>3878</v>
      </c>
      <c r="AI26" s="233">
        <v>2720</v>
      </c>
      <c r="AJ26" s="234">
        <v>3295</v>
      </c>
      <c r="AK26" s="234">
        <v>2895</v>
      </c>
      <c r="AL26" s="234">
        <v>3108</v>
      </c>
      <c r="AM26" s="235">
        <v>3231</v>
      </c>
      <c r="AN26" s="492"/>
      <c r="AO26" s="481"/>
      <c r="AP26" s="232" t="s">
        <v>278</v>
      </c>
      <c r="AQ26" s="233">
        <v>196</v>
      </c>
      <c r="AR26" s="234">
        <v>193</v>
      </c>
      <c r="AS26" s="234">
        <v>258</v>
      </c>
      <c r="AT26" s="234">
        <v>235</v>
      </c>
      <c r="AU26" s="235">
        <v>292</v>
      </c>
      <c r="AV26" s="233">
        <v>144</v>
      </c>
      <c r="AW26" s="234">
        <v>189</v>
      </c>
      <c r="AX26" s="234">
        <v>223</v>
      </c>
      <c r="AY26" s="234">
        <v>201</v>
      </c>
      <c r="AZ26" s="235">
        <v>245</v>
      </c>
    </row>
    <row r="27" spans="1:52" ht="16.5" customHeight="1">
      <c r="A27" s="492"/>
      <c r="B27" s="480" t="s">
        <v>264</v>
      </c>
      <c r="C27" s="232" t="s">
        <v>272</v>
      </c>
      <c r="D27" s="233">
        <v>7317</v>
      </c>
      <c r="E27" s="234">
        <v>7779</v>
      </c>
      <c r="F27" s="234">
        <v>6676</v>
      </c>
      <c r="G27" s="234">
        <v>7952</v>
      </c>
      <c r="H27" s="235">
        <v>7129</v>
      </c>
      <c r="I27" s="233">
        <v>7181</v>
      </c>
      <c r="J27" s="234">
        <v>6148</v>
      </c>
      <c r="K27" s="234">
        <v>5836</v>
      </c>
      <c r="L27" s="234">
        <v>6683</v>
      </c>
      <c r="M27" s="235">
        <v>6211</v>
      </c>
      <c r="N27" s="492"/>
      <c r="O27" s="480" t="s">
        <v>295</v>
      </c>
      <c r="P27" s="232" t="s">
        <v>292</v>
      </c>
      <c r="Q27" s="233">
        <v>5690</v>
      </c>
      <c r="R27" s="234">
        <v>5986</v>
      </c>
      <c r="S27" s="234">
        <v>6024</v>
      </c>
      <c r="T27" s="234">
        <v>6225</v>
      </c>
      <c r="U27" s="235">
        <v>5963</v>
      </c>
      <c r="V27" s="233">
        <v>5471</v>
      </c>
      <c r="W27" s="234">
        <v>5713</v>
      </c>
      <c r="X27" s="234">
        <v>5246</v>
      </c>
      <c r="Y27" s="234">
        <v>5265</v>
      </c>
      <c r="Z27" s="235">
        <v>5322</v>
      </c>
      <c r="AA27" s="492"/>
      <c r="AB27" s="480" t="s">
        <v>321</v>
      </c>
      <c r="AC27" s="232" t="s">
        <v>322</v>
      </c>
      <c r="AD27" s="233">
        <v>3460</v>
      </c>
      <c r="AE27" s="234">
        <v>3662</v>
      </c>
      <c r="AF27" s="234">
        <v>3853</v>
      </c>
      <c r="AG27" s="234">
        <v>4210</v>
      </c>
      <c r="AH27" s="235">
        <v>4436</v>
      </c>
      <c r="AI27" s="233">
        <v>3384</v>
      </c>
      <c r="AJ27" s="234">
        <v>3566</v>
      </c>
      <c r="AK27" s="234">
        <v>3727</v>
      </c>
      <c r="AL27" s="234">
        <v>4062</v>
      </c>
      <c r="AM27" s="235">
        <v>4126</v>
      </c>
      <c r="AN27" s="492"/>
      <c r="AO27" s="480" t="s">
        <v>279</v>
      </c>
      <c r="AP27" s="232" t="s">
        <v>276</v>
      </c>
      <c r="AQ27" s="233">
        <v>389</v>
      </c>
      <c r="AR27" s="234">
        <v>467</v>
      </c>
      <c r="AS27" s="234">
        <v>410</v>
      </c>
      <c r="AT27" s="234">
        <v>434</v>
      </c>
      <c r="AU27" s="235">
        <v>464</v>
      </c>
      <c r="AV27" s="233">
        <v>365</v>
      </c>
      <c r="AW27" s="234">
        <v>1590</v>
      </c>
      <c r="AX27" s="234">
        <v>374</v>
      </c>
      <c r="AY27" s="234">
        <v>414</v>
      </c>
      <c r="AZ27" s="235">
        <v>449</v>
      </c>
    </row>
    <row r="28" spans="1:52">
      <c r="A28" s="492"/>
      <c r="B28" s="481"/>
      <c r="C28" s="232" t="s">
        <v>269</v>
      </c>
      <c r="D28" s="233">
        <v>10631</v>
      </c>
      <c r="E28" s="234">
        <v>11403</v>
      </c>
      <c r="F28" s="234">
        <v>8057</v>
      </c>
      <c r="G28" s="234">
        <v>9322</v>
      </c>
      <c r="H28" s="235">
        <v>10216</v>
      </c>
      <c r="I28" s="233">
        <v>10476</v>
      </c>
      <c r="J28" s="234">
        <v>7047</v>
      </c>
      <c r="K28" s="234">
        <v>7113</v>
      </c>
      <c r="L28" s="234">
        <v>7714</v>
      </c>
      <c r="M28" s="235">
        <v>6819</v>
      </c>
      <c r="N28" s="492"/>
      <c r="O28" s="481"/>
      <c r="P28" s="232" t="s">
        <v>293</v>
      </c>
      <c r="Q28" s="233">
        <v>6662</v>
      </c>
      <c r="R28" s="234">
        <v>6733</v>
      </c>
      <c r="S28" s="234">
        <v>6767</v>
      </c>
      <c r="T28" s="234">
        <v>6733</v>
      </c>
      <c r="U28" s="235">
        <v>6895</v>
      </c>
      <c r="V28" s="233">
        <v>6538</v>
      </c>
      <c r="W28" s="234">
        <v>6681</v>
      </c>
      <c r="X28" s="234">
        <v>5934</v>
      </c>
      <c r="Y28" s="234">
        <v>5721</v>
      </c>
      <c r="Z28" s="235">
        <v>6631</v>
      </c>
      <c r="AA28" s="492"/>
      <c r="AB28" s="481"/>
      <c r="AC28" s="232" t="s">
        <v>323</v>
      </c>
      <c r="AD28" s="233">
        <v>3816</v>
      </c>
      <c r="AE28" s="234">
        <v>4063</v>
      </c>
      <c r="AF28" s="234">
        <v>4217</v>
      </c>
      <c r="AG28" s="234">
        <v>4718</v>
      </c>
      <c r="AH28" s="235">
        <v>4870</v>
      </c>
      <c r="AI28" s="233">
        <v>3752</v>
      </c>
      <c r="AJ28" s="234">
        <v>3937</v>
      </c>
      <c r="AK28" s="234">
        <v>4103</v>
      </c>
      <c r="AL28" s="234">
        <v>4584</v>
      </c>
      <c r="AM28" s="235">
        <v>4740</v>
      </c>
      <c r="AN28" s="492"/>
      <c r="AO28" s="481"/>
      <c r="AP28" s="232" t="s">
        <v>277</v>
      </c>
      <c r="AQ28" s="233">
        <v>463</v>
      </c>
      <c r="AR28" s="234">
        <v>618</v>
      </c>
      <c r="AS28" s="234">
        <v>540</v>
      </c>
      <c r="AT28" s="234">
        <v>516</v>
      </c>
      <c r="AU28" s="235">
        <v>608</v>
      </c>
      <c r="AV28" s="233">
        <v>438</v>
      </c>
      <c r="AW28" s="234">
        <v>5849</v>
      </c>
      <c r="AX28" s="234">
        <v>505</v>
      </c>
      <c r="AY28" s="234">
        <v>506</v>
      </c>
      <c r="AZ28" s="235">
        <v>557</v>
      </c>
    </row>
    <row r="29" spans="1:52">
      <c r="A29" s="492"/>
      <c r="B29" s="481"/>
      <c r="C29" s="232" t="s">
        <v>273</v>
      </c>
      <c r="D29" s="233">
        <v>5792</v>
      </c>
      <c r="E29" s="234">
        <v>5642</v>
      </c>
      <c r="F29" s="234">
        <v>5924</v>
      </c>
      <c r="G29" s="234">
        <v>6687</v>
      </c>
      <c r="H29" s="235">
        <v>6270</v>
      </c>
      <c r="I29" s="233">
        <v>5655</v>
      </c>
      <c r="J29" s="234">
        <v>5414</v>
      </c>
      <c r="K29" s="234">
        <v>5119</v>
      </c>
      <c r="L29" s="234">
        <v>5997</v>
      </c>
      <c r="M29" s="235">
        <v>5712</v>
      </c>
      <c r="N29" s="492"/>
      <c r="O29" s="481"/>
      <c r="P29" s="232" t="s">
        <v>294</v>
      </c>
      <c r="Q29" s="233">
        <v>4858</v>
      </c>
      <c r="R29" s="234">
        <v>5542</v>
      </c>
      <c r="S29" s="234">
        <v>5398</v>
      </c>
      <c r="T29" s="234">
        <v>5744</v>
      </c>
      <c r="U29" s="235">
        <v>5346</v>
      </c>
      <c r="V29" s="233">
        <v>4463</v>
      </c>
      <c r="W29" s="234">
        <v>5171</v>
      </c>
      <c r="X29" s="234">
        <v>4727</v>
      </c>
      <c r="Y29" s="234">
        <v>4675</v>
      </c>
      <c r="Z29" s="235">
        <v>4341</v>
      </c>
      <c r="AA29" s="492"/>
      <c r="AB29" s="481"/>
      <c r="AC29" s="232" t="s">
        <v>324</v>
      </c>
      <c r="AD29" s="233">
        <v>3083</v>
      </c>
      <c r="AE29" s="234">
        <v>3392</v>
      </c>
      <c r="AF29" s="234">
        <v>2985</v>
      </c>
      <c r="AG29" s="234">
        <v>3344</v>
      </c>
      <c r="AH29" s="235">
        <v>4196</v>
      </c>
      <c r="AI29" s="233">
        <v>3070</v>
      </c>
      <c r="AJ29" s="234">
        <v>3295</v>
      </c>
      <c r="AK29" s="234">
        <v>2895</v>
      </c>
      <c r="AL29" s="234">
        <v>3228</v>
      </c>
      <c r="AM29" s="235">
        <v>3506</v>
      </c>
      <c r="AN29" s="492"/>
      <c r="AO29" s="481"/>
      <c r="AP29" s="232" t="s">
        <v>278</v>
      </c>
      <c r="AQ29" s="233">
        <v>261</v>
      </c>
      <c r="AR29" s="234">
        <v>314</v>
      </c>
      <c r="AS29" s="234">
        <v>258</v>
      </c>
      <c r="AT29" s="234">
        <v>294</v>
      </c>
      <c r="AU29" s="235">
        <v>325</v>
      </c>
      <c r="AV29" s="233">
        <v>266</v>
      </c>
      <c r="AW29" s="234">
        <v>338</v>
      </c>
      <c r="AX29" s="234">
        <v>223</v>
      </c>
      <c r="AY29" s="234">
        <v>239</v>
      </c>
      <c r="AZ29" s="235">
        <v>349</v>
      </c>
    </row>
    <row r="30" spans="1:52">
      <c r="A30" s="492"/>
      <c r="B30" s="482" t="s">
        <v>257</v>
      </c>
      <c r="C30" s="236" t="s">
        <v>272</v>
      </c>
      <c r="D30" s="237">
        <v>6846</v>
      </c>
      <c r="E30" s="238">
        <v>6730</v>
      </c>
      <c r="F30" s="238">
        <v>6340</v>
      </c>
      <c r="G30" s="238">
        <v>7084</v>
      </c>
      <c r="H30" s="239">
        <v>6250</v>
      </c>
      <c r="I30" s="233">
        <v>6701</v>
      </c>
      <c r="J30" s="234">
        <v>6077</v>
      </c>
      <c r="K30" s="234">
        <v>5831</v>
      </c>
      <c r="L30" s="234">
        <v>6158</v>
      </c>
      <c r="M30" s="235">
        <v>6138</v>
      </c>
      <c r="N30" s="492"/>
      <c r="O30" s="482" t="s">
        <v>296</v>
      </c>
      <c r="P30" s="236" t="s">
        <v>292</v>
      </c>
      <c r="Q30" s="237">
        <v>5637</v>
      </c>
      <c r="R30" s="238">
        <v>5739</v>
      </c>
      <c r="S30" s="238">
        <v>6031</v>
      </c>
      <c r="T30" s="238">
        <v>6191</v>
      </c>
      <c r="U30" s="239">
        <v>5748</v>
      </c>
      <c r="V30" s="233">
        <v>5380</v>
      </c>
      <c r="W30" s="234">
        <v>5481</v>
      </c>
      <c r="X30" s="234">
        <v>5255</v>
      </c>
      <c r="Y30" s="234">
        <v>5205</v>
      </c>
      <c r="Z30" s="235">
        <v>4944</v>
      </c>
      <c r="AA30" s="492"/>
      <c r="AB30" s="482" t="s">
        <v>325</v>
      </c>
      <c r="AC30" s="236" t="s">
        <v>326</v>
      </c>
      <c r="AD30" s="237">
        <v>3341</v>
      </c>
      <c r="AE30" s="238">
        <v>3659</v>
      </c>
      <c r="AF30" s="238">
        <v>3867</v>
      </c>
      <c r="AG30" s="238">
        <v>4063</v>
      </c>
      <c r="AH30" s="239">
        <v>4471</v>
      </c>
      <c r="AI30" s="233">
        <v>3270</v>
      </c>
      <c r="AJ30" s="234">
        <v>3562</v>
      </c>
      <c r="AK30" s="234">
        <v>3739</v>
      </c>
      <c r="AL30" s="234">
        <v>3954</v>
      </c>
      <c r="AM30" s="235">
        <v>4222</v>
      </c>
      <c r="AN30" s="492"/>
      <c r="AO30" s="482" t="s">
        <v>280</v>
      </c>
      <c r="AP30" s="236" t="s">
        <v>276</v>
      </c>
      <c r="AQ30" s="237">
        <v>373</v>
      </c>
      <c r="AR30" s="238">
        <v>404</v>
      </c>
      <c r="AS30" s="238">
        <v>393</v>
      </c>
      <c r="AT30" s="238">
        <v>393</v>
      </c>
      <c r="AU30" s="239">
        <v>414</v>
      </c>
      <c r="AV30" s="233">
        <v>352</v>
      </c>
      <c r="AW30" s="234">
        <v>1746</v>
      </c>
      <c r="AX30" s="234">
        <v>358</v>
      </c>
      <c r="AY30" s="234">
        <v>371</v>
      </c>
      <c r="AZ30" s="235">
        <v>407</v>
      </c>
    </row>
    <row r="31" spans="1:52">
      <c r="A31" s="492"/>
      <c r="B31" s="482"/>
      <c r="C31" s="236" t="s">
        <v>269</v>
      </c>
      <c r="D31" s="240">
        <v>9120</v>
      </c>
      <c r="E31" s="241">
        <v>8005</v>
      </c>
      <c r="F31" s="241">
        <v>7599</v>
      </c>
      <c r="G31" s="241">
        <v>8302</v>
      </c>
      <c r="H31" s="242">
        <v>8060</v>
      </c>
      <c r="I31" s="233">
        <v>8893</v>
      </c>
      <c r="J31" s="234">
        <v>6887</v>
      </c>
      <c r="K31" s="234">
        <v>6797</v>
      </c>
      <c r="L31" s="234">
        <v>7677</v>
      </c>
      <c r="M31" s="235">
        <v>7307</v>
      </c>
      <c r="N31" s="492"/>
      <c r="O31" s="482"/>
      <c r="P31" s="236" t="s">
        <v>293</v>
      </c>
      <c r="Q31" s="240">
        <v>6345</v>
      </c>
      <c r="R31" s="241">
        <v>6293</v>
      </c>
      <c r="S31" s="241">
        <v>6737</v>
      </c>
      <c r="T31" s="241">
        <v>6724</v>
      </c>
      <c r="U31" s="242">
        <v>6497</v>
      </c>
      <c r="V31" s="233">
        <v>6198</v>
      </c>
      <c r="W31" s="234">
        <v>6111</v>
      </c>
      <c r="X31" s="234">
        <v>6410</v>
      </c>
      <c r="Y31" s="234">
        <v>5704</v>
      </c>
      <c r="Z31" s="235">
        <v>6094</v>
      </c>
      <c r="AA31" s="492"/>
      <c r="AB31" s="482"/>
      <c r="AC31" s="236" t="s">
        <v>323</v>
      </c>
      <c r="AD31" s="240">
        <v>3829</v>
      </c>
      <c r="AE31" s="241">
        <v>4120</v>
      </c>
      <c r="AF31" s="241">
        <v>4363</v>
      </c>
      <c r="AG31" s="241">
        <v>4671</v>
      </c>
      <c r="AH31" s="242">
        <v>5035</v>
      </c>
      <c r="AI31" s="233">
        <v>3754</v>
      </c>
      <c r="AJ31" s="234">
        <v>4018</v>
      </c>
      <c r="AK31" s="234">
        <v>4217</v>
      </c>
      <c r="AL31" s="234">
        <v>4615</v>
      </c>
      <c r="AM31" s="235">
        <v>4903</v>
      </c>
      <c r="AN31" s="492"/>
      <c r="AO31" s="482"/>
      <c r="AP31" s="236" t="s">
        <v>277</v>
      </c>
      <c r="AQ31" s="240">
        <v>558</v>
      </c>
      <c r="AR31" s="241">
        <v>607</v>
      </c>
      <c r="AS31" s="241">
        <v>524</v>
      </c>
      <c r="AT31" s="241">
        <v>576</v>
      </c>
      <c r="AU31" s="242">
        <v>544</v>
      </c>
      <c r="AV31" s="233">
        <v>489</v>
      </c>
      <c r="AW31" s="234">
        <v>5920</v>
      </c>
      <c r="AX31" s="234">
        <v>491</v>
      </c>
      <c r="AY31" s="234">
        <v>560</v>
      </c>
      <c r="AZ31" s="235">
        <v>618</v>
      </c>
    </row>
    <row r="32" spans="1:52">
      <c r="A32" s="493"/>
      <c r="B32" s="483"/>
      <c r="C32" s="243" t="s">
        <v>273</v>
      </c>
      <c r="D32" s="244">
        <v>5386</v>
      </c>
      <c r="E32" s="245">
        <v>5021</v>
      </c>
      <c r="F32" s="245">
        <v>5292</v>
      </c>
      <c r="G32" s="245">
        <v>6318</v>
      </c>
      <c r="H32" s="246">
        <v>5428</v>
      </c>
      <c r="I32" s="247">
        <v>5253</v>
      </c>
      <c r="J32" s="248">
        <v>5014</v>
      </c>
      <c r="K32" s="248">
        <v>3403</v>
      </c>
      <c r="L32" s="248">
        <v>5471</v>
      </c>
      <c r="M32" s="249">
        <v>5462</v>
      </c>
      <c r="N32" s="493"/>
      <c r="O32" s="483"/>
      <c r="P32" s="243" t="s">
        <v>294</v>
      </c>
      <c r="Q32" s="244">
        <v>4352</v>
      </c>
      <c r="R32" s="245">
        <v>5304</v>
      </c>
      <c r="S32" s="245">
        <v>5441</v>
      </c>
      <c r="T32" s="245">
        <v>5355</v>
      </c>
      <c r="U32" s="246">
        <v>4955</v>
      </c>
      <c r="V32" s="247">
        <v>3791</v>
      </c>
      <c r="W32" s="248">
        <v>4923</v>
      </c>
      <c r="X32" s="248">
        <v>4502</v>
      </c>
      <c r="Y32" s="248">
        <v>4330</v>
      </c>
      <c r="Z32" s="249">
        <v>4017</v>
      </c>
      <c r="AA32" s="493"/>
      <c r="AB32" s="483"/>
      <c r="AC32" s="243" t="s">
        <v>324</v>
      </c>
      <c r="AD32" s="244">
        <v>2777</v>
      </c>
      <c r="AE32" s="245">
        <v>3436</v>
      </c>
      <c r="AF32" s="245">
        <v>3578</v>
      </c>
      <c r="AG32" s="245">
        <v>2379</v>
      </c>
      <c r="AH32" s="246">
        <v>3878</v>
      </c>
      <c r="AI32" s="247">
        <v>2720</v>
      </c>
      <c r="AJ32" s="248">
        <v>3321</v>
      </c>
      <c r="AK32" s="248">
        <v>3444</v>
      </c>
      <c r="AL32" s="248">
        <v>3108</v>
      </c>
      <c r="AM32" s="249">
        <v>3231</v>
      </c>
      <c r="AN32" s="493"/>
      <c r="AO32" s="483"/>
      <c r="AP32" s="243" t="s">
        <v>278</v>
      </c>
      <c r="AQ32" s="244">
        <v>196</v>
      </c>
      <c r="AR32" s="245">
        <v>193</v>
      </c>
      <c r="AS32" s="245">
        <v>295</v>
      </c>
      <c r="AT32" s="245">
        <v>235</v>
      </c>
      <c r="AU32" s="246">
        <v>292</v>
      </c>
      <c r="AV32" s="247">
        <v>144</v>
      </c>
      <c r="AW32" s="248">
        <v>189</v>
      </c>
      <c r="AX32" s="248">
        <v>261</v>
      </c>
      <c r="AY32" s="248">
        <v>201</v>
      </c>
      <c r="AZ32" s="249">
        <v>245</v>
      </c>
    </row>
    <row r="33" spans="1:52" ht="16.5" customHeight="1">
      <c r="A33" s="495" t="s">
        <v>241</v>
      </c>
      <c r="B33" s="494" t="s">
        <v>271</v>
      </c>
      <c r="C33" s="228" t="s">
        <v>272</v>
      </c>
      <c r="D33" s="229">
        <v>8210</v>
      </c>
      <c r="E33" s="230">
        <v>8023</v>
      </c>
      <c r="F33" s="230">
        <v>7256</v>
      </c>
      <c r="G33" s="230">
        <v>7154</v>
      </c>
      <c r="H33" s="231">
        <v>7939</v>
      </c>
      <c r="I33" s="229">
        <v>8078</v>
      </c>
      <c r="J33" s="230">
        <v>6210</v>
      </c>
      <c r="K33" s="230">
        <v>6303</v>
      </c>
      <c r="L33" s="230">
        <v>6431</v>
      </c>
      <c r="M33" s="231">
        <v>6931</v>
      </c>
      <c r="N33" s="495" t="s">
        <v>241</v>
      </c>
      <c r="O33" s="494" t="s">
        <v>291</v>
      </c>
      <c r="P33" s="228" t="s">
        <v>292</v>
      </c>
      <c r="Q33" s="229">
        <v>5999</v>
      </c>
      <c r="R33" s="230">
        <v>6169</v>
      </c>
      <c r="S33" s="230">
        <v>6389</v>
      </c>
      <c r="T33" s="230">
        <v>6150</v>
      </c>
      <c r="U33" s="231">
        <v>6151</v>
      </c>
      <c r="V33" s="229">
        <v>5758</v>
      </c>
      <c r="W33" s="230">
        <v>5748</v>
      </c>
      <c r="X33" s="230">
        <v>5327</v>
      </c>
      <c r="Y33" s="230">
        <v>5261</v>
      </c>
      <c r="Z33" s="231">
        <v>5598</v>
      </c>
      <c r="AA33" s="495" t="s">
        <v>241</v>
      </c>
      <c r="AB33" s="494" t="s">
        <v>327</v>
      </c>
      <c r="AC33" s="228" t="s">
        <v>326</v>
      </c>
      <c r="AD33" s="229">
        <v>3754</v>
      </c>
      <c r="AE33" s="230">
        <v>3866</v>
      </c>
      <c r="AF33" s="230">
        <v>4183</v>
      </c>
      <c r="AG33" s="230">
        <v>4394</v>
      </c>
      <c r="AH33" s="231">
        <v>4303</v>
      </c>
      <c r="AI33" s="229">
        <v>3675</v>
      </c>
      <c r="AJ33" s="230">
        <v>3761</v>
      </c>
      <c r="AK33" s="230">
        <v>4046</v>
      </c>
      <c r="AL33" s="230">
        <v>4262</v>
      </c>
      <c r="AM33" s="231">
        <v>4066</v>
      </c>
      <c r="AN33" s="495" t="s">
        <v>241</v>
      </c>
      <c r="AO33" s="494" t="s">
        <v>275</v>
      </c>
      <c r="AP33" s="228" t="s">
        <v>276</v>
      </c>
      <c r="AQ33" s="229">
        <v>416</v>
      </c>
      <c r="AR33" s="230">
        <v>417</v>
      </c>
      <c r="AS33" s="230">
        <v>430</v>
      </c>
      <c r="AT33" s="230">
        <v>419</v>
      </c>
      <c r="AU33" s="231">
        <v>467</v>
      </c>
      <c r="AV33" s="229">
        <v>392</v>
      </c>
      <c r="AW33" s="230">
        <v>390</v>
      </c>
      <c r="AX33" s="230">
        <v>395</v>
      </c>
      <c r="AY33" s="230">
        <v>415</v>
      </c>
      <c r="AZ33" s="231">
        <v>467</v>
      </c>
    </row>
    <row r="34" spans="1:52">
      <c r="A34" s="492"/>
      <c r="B34" s="481"/>
      <c r="C34" s="232" t="s">
        <v>269</v>
      </c>
      <c r="D34" s="233">
        <v>15043</v>
      </c>
      <c r="E34" s="234">
        <v>16672</v>
      </c>
      <c r="F34" s="234">
        <v>17589</v>
      </c>
      <c r="G34" s="234">
        <v>11283</v>
      </c>
      <c r="H34" s="235">
        <v>12621</v>
      </c>
      <c r="I34" s="233">
        <v>14877</v>
      </c>
      <c r="J34" s="234">
        <v>7505</v>
      </c>
      <c r="K34" s="234">
        <v>9218</v>
      </c>
      <c r="L34" s="234">
        <v>7601</v>
      </c>
      <c r="M34" s="235">
        <v>8367</v>
      </c>
      <c r="N34" s="492"/>
      <c r="O34" s="481"/>
      <c r="P34" s="232" t="s">
        <v>293</v>
      </c>
      <c r="Q34" s="233">
        <v>7009</v>
      </c>
      <c r="R34" s="234">
        <v>7370</v>
      </c>
      <c r="S34" s="234">
        <v>7612</v>
      </c>
      <c r="T34" s="234">
        <v>6920</v>
      </c>
      <c r="U34" s="235">
        <v>7831</v>
      </c>
      <c r="V34" s="233">
        <v>6846</v>
      </c>
      <c r="W34" s="234">
        <v>7099</v>
      </c>
      <c r="X34" s="234">
        <v>6545</v>
      </c>
      <c r="Y34" s="234">
        <v>6842</v>
      </c>
      <c r="Z34" s="235">
        <v>8367</v>
      </c>
      <c r="AA34" s="492"/>
      <c r="AB34" s="481"/>
      <c r="AC34" s="232" t="s">
        <v>323</v>
      </c>
      <c r="AD34" s="233">
        <v>4778</v>
      </c>
      <c r="AE34" s="234">
        <v>4515</v>
      </c>
      <c r="AF34" s="234">
        <v>5468</v>
      </c>
      <c r="AG34" s="234">
        <v>5560</v>
      </c>
      <c r="AH34" s="235">
        <v>5215</v>
      </c>
      <c r="AI34" s="233">
        <v>4698</v>
      </c>
      <c r="AJ34" s="234">
        <v>4398</v>
      </c>
      <c r="AK34" s="234">
        <v>5304</v>
      </c>
      <c r="AL34" s="234">
        <v>5425</v>
      </c>
      <c r="AM34" s="235">
        <v>5781</v>
      </c>
      <c r="AN34" s="492"/>
      <c r="AO34" s="481"/>
      <c r="AP34" s="232" t="s">
        <v>277</v>
      </c>
      <c r="AQ34" s="233">
        <v>768</v>
      </c>
      <c r="AR34" s="234">
        <v>643</v>
      </c>
      <c r="AS34" s="234">
        <v>558</v>
      </c>
      <c r="AT34" s="234">
        <v>597</v>
      </c>
      <c r="AU34" s="235">
        <v>911</v>
      </c>
      <c r="AV34" s="233">
        <v>731</v>
      </c>
      <c r="AW34" s="234">
        <v>621</v>
      </c>
      <c r="AX34" s="234">
        <v>530</v>
      </c>
      <c r="AY34" s="234">
        <v>561</v>
      </c>
      <c r="AZ34" s="235">
        <v>904</v>
      </c>
    </row>
    <row r="35" spans="1:52">
      <c r="A35" s="492"/>
      <c r="B35" s="481"/>
      <c r="C35" s="232" t="s">
        <v>273</v>
      </c>
      <c r="D35" s="233">
        <v>6171</v>
      </c>
      <c r="E35" s="234">
        <v>5082</v>
      </c>
      <c r="F35" s="234">
        <v>5864</v>
      </c>
      <c r="G35" s="234">
        <v>4685</v>
      </c>
      <c r="H35" s="235">
        <v>6103</v>
      </c>
      <c r="I35" s="233">
        <v>6031</v>
      </c>
      <c r="J35" s="234">
        <v>4705</v>
      </c>
      <c r="K35" s="234">
        <v>3276</v>
      </c>
      <c r="L35" s="234">
        <v>5477</v>
      </c>
      <c r="M35" s="235">
        <v>5563</v>
      </c>
      <c r="N35" s="492"/>
      <c r="O35" s="481"/>
      <c r="P35" s="232" t="s">
        <v>294</v>
      </c>
      <c r="Q35" s="233">
        <v>4773</v>
      </c>
      <c r="R35" s="234">
        <v>5392</v>
      </c>
      <c r="S35" s="234">
        <v>5651</v>
      </c>
      <c r="T35" s="234">
        <v>5187</v>
      </c>
      <c r="U35" s="235">
        <v>5343</v>
      </c>
      <c r="V35" s="233">
        <v>4509</v>
      </c>
      <c r="W35" s="234">
        <v>4645</v>
      </c>
      <c r="X35" s="234">
        <v>4099</v>
      </c>
      <c r="Y35" s="234">
        <v>4406</v>
      </c>
      <c r="Z35" s="235">
        <v>4300</v>
      </c>
      <c r="AA35" s="492"/>
      <c r="AB35" s="481"/>
      <c r="AC35" s="232" t="s">
        <v>324</v>
      </c>
      <c r="AD35" s="233">
        <v>3037</v>
      </c>
      <c r="AE35" s="234">
        <v>3416</v>
      </c>
      <c r="AF35" s="234">
        <v>3451</v>
      </c>
      <c r="AG35" s="234">
        <v>3651</v>
      </c>
      <c r="AH35" s="235">
        <v>3479</v>
      </c>
      <c r="AI35" s="233">
        <v>2971</v>
      </c>
      <c r="AJ35" s="234">
        <v>3228</v>
      </c>
      <c r="AK35" s="234">
        <v>3325</v>
      </c>
      <c r="AL35" s="234">
        <v>3495</v>
      </c>
      <c r="AM35" s="235">
        <v>3028</v>
      </c>
      <c r="AN35" s="492"/>
      <c r="AO35" s="481"/>
      <c r="AP35" s="232" t="s">
        <v>278</v>
      </c>
      <c r="AQ35" s="233">
        <v>31</v>
      </c>
      <c r="AR35" s="234">
        <v>271</v>
      </c>
      <c r="AS35" s="234">
        <v>273</v>
      </c>
      <c r="AT35" s="234">
        <v>221</v>
      </c>
      <c r="AU35" s="235">
        <v>303</v>
      </c>
      <c r="AV35" s="233">
        <v>45</v>
      </c>
      <c r="AW35" s="234">
        <v>231</v>
      </c>
      <c r="AX35" s="234">
        <v>257</v>
      </c>
      <c r="AY35" s="234">
        <v>217</v>
      </c>
      <c r="AZ35" s="235">
        <v>289</v>
      </c>
    </row>
    <row r="36" spans="1:52" ht="16.5" customHeight="1">
      <c r="A36" s="492"/>
      <c r="B36" s="480" t="s">
        <v>264</v>
      </c>
      <c r="C36" s="232" t="s">
        <v>272</v>
      </c>
      <c r="D36" s="233">
        <v>9029</v>
      </c>
      <c r="E36" s="234">
        <v>8565</v>
      </c>
      <c r="F36" s="234">
        <v>8047</v>
      </c>
      <c r="G36" s="234">
        <v>7698</v>
      </c>
      <c r="H36" s="235">
        <v>8358</v>
      </c>
      <c r="I36" s="233">
        <v>8895</v>
      </c>
      <c r="J36" s="234">
        <v>6191</v>
      </c>
      <c r="K36" s="234">
        <v>6537</v>
      </c>
      <c r="L36" s="234">
        <v>6629</v>
      </c>
      <c r="M36" s="235">
        <v>7006</v>
      </c>
      <c r="N36" s="492"/>
      <c r="O36" s="480" t="s">
        <v>295</v>
      </c>
      <c r="P36" s="232" t="s">
        <v>292</v>
      </c>
      <c r="Q36" s="233">
        <v>6071</v>
      </c>
      <c r="R36" s="234">
        <v>6245</v>
      </c>
      <c r="S36" s="234">
        <v>6482</v>
      </c>
      <c r="T36" s="234">
        <v>6255</v>
      </c>
      <c r="U36" s="235">
        <v>6233</v>
      </c>
      <c r="V36" s="233">
        <v>5856</v>
      </c>
      <c r="W36" s="234">
        <v>5880</v>
      </c>
      <c r="X36" s="234">
        <v>5397</v>
      </c>
      <c r="Y36" s="234">
        <v>5341</v>
      </c>
      <c r="Z36" s="235">
        <v>5714</v>
      </c>
      <c r="AA36" s="492"/>
      <c r="AB36" s="480" t="s">
        <v>321</v>
      </c>
      <c r="AC36" s="232" t="s">
        <v>326</v>
      </c>
      <c r="AD36" s="233">
        <v>3814</v>
      </c>
      <c r="AE36" s="234">
        <v>3883</v>
      </c>
      <c r="AF36" s="234">
        <v>4313</v>
      </c>
      <c r="AG36" s="234">
        <v>4452</v>
      </c>
      <c r="AH36" s="235">
        <v>4349</v>
      </c>
      <c r="AI36" s="233">
        <v>3736</v>
      </c>
      <c r="AJ36" s="234">
        <v>3783</v>
      </c>
      <c r="AK36" s="234">
        <v>4172</v>
      </c>
      <c r="AL36" s="234">
        <v>4317</v>
      </c>
      <c r="AM36" s="235">
        <v>4180</v>
      </c>
      <c r="AN36" s="492"/>
      <c r="AO36" s="480" t="s">
        <v>279</v>
      </c>
      <c r="AP36" s="232" t="s">
        <v>276</v>
      </c>
      <c r="AQ36" s="233">
        <v>438</v>
      </c>
      <c r="AR36" s="234">
        <v>443</v>
      </c>
      <c r="AS36" s="234">
        <v>451</v>
      </c>
      <c r="AT36" s="234">
        <v>447</v>
      </c>
      <c r="AU36" s="235">
        <v>507</v>
      </c>
      <c r="AV36" s="233">
        <v>409</v>
      </c>
      <c r="AW36" s="234">
        <v>412</v>
      </c>
      <c r="AX36" s="234">
        <v>417</v>
      </c>
      <c r="AY36" s="234">
        <v>441</v>
      </c>
      <c r="AZ36" s="235">
        <v>507</v>
      </c>
    </row>
    <row r="37" spans="1:52">
      <c r="A37" s="492"/>
      <c r="B37" s="481"/>
      <c r="C37" s="232" t="s">
        <v>269</v>
      </c>
      <c r="D37" s="233">
        <v>15043</v>
      </c>
      <c r="E37" s="234">
        <v>16672</v>
      </c>
      <c r="F37" s="234">
        <v>17589</v>
      </c>
      <c r="G37" s="234">
        <v>11283</v>
      </c>
      <c r="H37" s="235">
        <v>12621</v>
      </c>
      <c r="I37" s="233">
        <v>14877</v>
      </c>
      <c r="J37" s="234">
        <v>7505</v>
      </c>
      <c r="K37" s="234">
        <v>9218</v>
      </c>
      <c r="L37" s="234">
        <v>7601</v>
      </c>
      <c r="M37" s="235">
        <v>8367</v>
      </c>
      <c r="N37" s="492"/>
      <c r="O37" s="481"/>
      <c r="P37" s="232" t="s">
        <v>293</v>
      </c>
      <c r="Q37" s="233">
        <v>7009</v>
      </c>
      <c r="R37" s="234">
        <v>7370</v>
      </c>
      <c r="S37" s="234">
        <v>7612</v>
      </c>
      <c r="T37" s="234">
        <v>6835</v>
      </c>
      <c r="U37" s="235">
        <v>7092</v>
      </c>
      <c r="V37" s="233">
        <v>6846</v>
      </c>
      <c r="W37" s="234">
        <v>7099</v>
      </c>
      <c r="X37" s="234">
        <v>6545</v>
      </c>
      <c r="Y37" s="234">
        <v>5918</v>
      </c>
      <c r="Z37" s="235">
        <v>8367</v>
      </c>
      <c r="AA37" s="492"/>
      <c r="AB37" s="481"/>
      <c r="AC37" s="232" t="s">
        <v>293</v>
      </c>
      <c r="AD37" s="233">
        <v>4562</v>
      </c>
      <c r="AE37" s="234">
        <v>4515</v>
      </c>
      <c r="AF37" s="234">
        <v>5468</v>
      </c>
      <c r="AG37" s="234">
        <v>5542</v>
      </c>
      <c r="AH37" s="235">
        <v>5215</v>
      </c>
      <c r="AI37" s="233">
        <v>4488</v>
      </c>
      <c r="AJ37" s="234">
        <v>4398</v>
      </c>
      <c r="AK37" s="234">
        <v>5304</v>
      </c>
      <c r="AL37" s="234">
        <v>5403</v>
      </c>
      <c r="AM37" s="235">
        <v>5781</v>
      </c>
      <c r="AN37" s="492"/>
      <c r="AO37" s="481"/>
      <c r="AP37" s="232" t="s">
        <v>277</v>
      </c>
      <c r="AQ37" s="233">
        <v>598</v>
      </c>
      <c r="AR37" s="234">
        <v>643</v>
      </c>
      <c r="AS37" s="234">
        <v>558</v>
      </c>
      <c r="AT37" s="234">
        <v>543</v>
      </c>
      <c r="AU37" s="235">
        <v>911</v>
      </c>
      <c r="AV37" s="233">
        <v>557</v>
      </c>
      <c r="AW37" s="234">
        <v>621</v>
      </c>
      <c r="AX37" s="234">
        <v>530</v>
      </c>
      <c r="AY37" s="234">
        <v>524</v>
      </c>
      <c r="AZ37" s="235">
        <v>904</v>
      </c>
    </row>
    <row r="38" spans="1:52">
      <c r="A38" s="492"/>
      <c r="B38" s="481"/>
      <c r="C38" s="232" t="s">
        <v>274</v>
      </c>
      <c r="D38" s="233">
        <v>6543</v>
      </c>
      <c r="E38" s="234">
        <v>5082</v>
      </c>
      <c r="F38" s="234">
        <v>6329</v>
      </c>
      <c r="G38" s="234">
        <v>4685</v>
      </c>
      <c r="H38" s="235">
        <v>6103</v>
      </c>
      <c r="I38" s="233">
        <v>6421</v>
      </c>
      <c r="J38" s="234">
        <v>4705</v>
      </c>
      <c r="K38" s="234">
        <v>4708</v>
      </c>
      <c r="L38" s="234">
        <v>5682</v>
      </c>
      <c r="M38" s="235">
        <v>5563</v>
      </c>
      <c r="N38" s="492"/>
      <c r="O38" s="481"/>
      <c r="P38" s="232" t="s">
        <v>294</v>
      </c>
      <c r="Q38" s="233">
        <v>5004</v>
      </c>
      <c r="R38" s="234">
        <v>5639</v>
      </c>
      <c r="S38" s="234">
        <v>5881</v>
      </c>
      <c r="T38" s="234">
        <v>5622</v>
      </c>
      <c r="U38" s="235">
        <v>5382</v>
      </c>
      <c r="V38" s="233">
        <v>4780</v>
      </c>
      <c r="W38" s="234">
        <v>4994</v>
      </c>
      <c r="X38" s="234">
        <v>4941</v>
      </c>
      <c r="Y38" s="234">
        <v>4687</v>
      </c>
      <c r="Z38" s="235">
        <v>4491</v>
      </c>
      <c r="AA38" s="492"/>
      <c r="AB38" s="481"/>
      <c r="AC38" s="232" t="s">
        <v>328</v>
      </c>
      <c r="AD38" s="233">
        <v>3281</v>
      </c>
      <c r="AE38" s="234">
        <v>3416</v>
      </c>
      <c r="AF38" s="234">
        <v>3685</v>
      </c>
      <c r="AG38" s="234">
        <v>3664</v>
      </c>
      <c r="AH38" s="235">
        <v>3661</v>
      </c>
      <c r="AI38" s="233">
        <v>3208</v>
      </c>
      <c r="AJ38" s="234">
        <v>3325</v>
      </c>
      <c r="AK38" s="234">
        <v>3569</v>
      </c>
      <c r="AL38" s="234">
        <v>3568</v>
      </c>
      <c r="AM38" s="235">
        <v>3117</v>
      </c>
      <c r="AN38" s="492"/>
      <c r="AO38" s="481"/>
      <c r="AP38" s="232" t="s">
        <v>278</v>
      </c>
      <c r="AQ38" s="233">
        <v>271</v>
      </c>
      <c r="AR38" s="234">
        <v>275</v>
      </c>
      <c r="AS38" s="234">
        <v>349</v>
      </c>
      <c r="AT38" s="234">
        <v>325</v>
      </c>
      <c r="AU38" s="235">
        <v>303</v>
      </c>
      <c r="AV38" s="233">
        <v>241</v>
      </c>
      <c r="AW38" s="234">
        <v>262</v>
      </c>
      <c r="AX38" s="234">
        <v>318</v>
      </c>
      <c r="AY38" s="234">
        <v>321</v>
      </c>
      <c r="AZ38" s="235">
        <v>331</v>
      </c>
    </row>
    <row r="39" spans="1:52">
      <c r="A39" s="492"/>
      <c r="B39" s="482" t="s">
        <v>257</v>
      </c>
      <c r="C39" s="236" t="s">
        <v>268</v>
      </c>
      <c r="D39" s="237">
        <v>7710</v>
      </c>
      <c r="E39" s="238">
        <v>7677</v>
      </c>
      <c r="F39" s="238">
        <v>6931</v>
      </c>
      <c r="G39" s="238">
        <v>6837</v>
      </c>
      <c r="H39" s="239">
        <v>7646</v>
      </c>
      <c r="I39" s="233">
        <v>7579</v>
      </c>
      <c r="J39" s="234">
        <v>6222</v>
      </c>
      <c r="K39" s="234">
        <v>6208</v>
      </c>
      <c r="L39" s="234">
        <v>6315</v>
      </c>
      <c r="M39" s="235">
        <v>6879</v>
      </c>
      <c r="N39" s="492"/>
      <c r="O39" s="482" t="s">
        <v>296</v>
      </c>
      <c r="P39" s="236" t="s">
        <v>292</v>
      </c>
      <c r="Q39" s="237">
        <v>5954</v>
      </c>
      <c r="R39" s="238">
        <v>6121</v>
      </c>
      <c r="S39" s="238">
        <v>6351</v>
      </c>
      <c r="T39" s="238">
        <v>6088</v>
      </c>
      <c r="U39" s="239">
        <v>6093</v>
      </c>
      <c r="V39" s="233">
        <v>5698</v>
      </c>
      <c r="W39" s="234">
        <v>5664</v>
      </c>
      <c r="X39" s="234">
        <v>5298</v>
      </c>
      <c r="Y39" s="234">
        <v>5214</v>
      </c>
      <c r="Z39" s="235">
        <v>5516</v>
      </c>
      <c r="AA39" s="492"/>
      <c r="AB39" s="482" t="s">
        <v>329</v>
      </c>
      <c r="AC39" s="236" t="s">
        <v>330</v>
      </c>
      <c r="AD39" s="237">
        <v>3717</v>
      </c>
      <c r="AE39" s="238">
        <v>3855</v>
      </c>
      <c r="AF39" s="238">
        <v>4129</v>
      </c>
      <c r="AG39" s="238">
        <v>4360</v>
      </c>
      <c r="AH39" s="239">
        <v>4271</v>
      </c>
      <c r="AI39" s="233">
        <v>3637</v>
      </c>
      <c r="AJ39" s="234">
        <v>3747</v>
      </c>
      <c r="AK39" s="234">
        <v>3994</v>
      </c>
      <c r="AL39" s="234">
        <v>4230</v>
      </c>
      <c r="AM39" s="235">
        <v>3987</v>
      </c>
      <c r="AN39" s="492"/>
      <c r="AO39" s="482" t="s">
        <v>280</v>
      </c>
      <c r="AP39" s="236" t="s">
        <v>276</v>
      </c>
      <c r="AQ39" s="237">
        <v>402</v>
      </c>
      <c r="AR39" s="238">
        <v>400</v>
      </c>
      <c r="AS39" s="238">
        <v>422</v>
      </c>
      <c r="AT39" s="238">
        <v>403</v>
      </c>
      <c r="AU39" s="239">
        <v>440</v>
      </c>
      <c r="AV39" s="233">
        <v>382</v>
      </c>
      <c r="AW39" s="234">
        <v>376</v>
      </c>
      <c r="AX39" s="234">
        <v>386</v>
      </c>
      <c r="AY39" s="234">
        <v>400</v>
      </c>
      <c r="AZ39" s="235">
        <v>438</v>
      </c>
    </row>
    <row r="40" spans="1:52">
      <c r="A40" s="492"/>
      <c r="B40" s="482"/>
      <c r="C40" s="236" t="s">
        <v>269</v>
      </c>
      <c r="D40" s="240">
        <v>11854</v>
      </c>
      <c r="E40" s="241">
        <v>13186</v>
      </c>
      <c r="F40" s="241">
        <v>10212</v>
      </c>
      <c r="G40" s="241">
        <v>8155</v>
      </c>
      <c r="H40" s="242">
        <v>9630</v>
      </c>
      <c r="I40" s="233">
        <v>11720</v>
      </c>
      <c r="J40" s="234">
        <v>7271</v>
      </c>
      <c r="K40" s="234">
        <v>8404</v>
      </c>
      <c r="L40" s="234">
        <v>7156</v>
      </c>
      <c r="M40" s="235">
        <v>8025</v>
      </c>
      <c r="N40" s="492"/>
      <c r="O40" s="482"/>
      <c r="P40" s="236" t="s">
        <v>293</v>
      </c>
      <c r="Q40" s="240">
        <v>6857</v>
      </c>
      <c r="R40" s="241">
        <v>6888</v>
      </c>
      <c r="S40" s="241">
        <v>7442</v>
      </c>
      <c r="T40" s="241">
        <v>6920</v>
      </c>
      <c r="U40" s="242">
        <v>7831</v>
      </c>
      <c r="V40" s="233">
        <v>6786</v>
      </c>
      <c r="W40" s="234">
        <v>6384</v>
      </c>
      <c r="X40" s="234">
        <v>6126</v>
      </c>
      <c r="Y40" s="234">
        <v>6842</v>
      </c>
      <c r="Z40" s="235">
        <v>7069</v>
      </c>
      <c r="AA40" s="492"/>
      <c r="AB40" s="482"/>
      <c r="AC40" s="236" t="s">
        <v>331</v>
      </c>
      <c r="AD40" s="240">
        <v>4778</v>
      </c>
      <c r="AE40" s="241">
        <v>4282</v>
      </c>
      <c r="AF40" s="241">
        <v>4652</v>
      </c>
      <c r="AG40" s="241">
        <v>5560</v>
      </c>
      <c r="AH40" s="242">
        <v>4870</v>
      </c>
      <c r="AI40" s="233">
        <v>4698</v>
      </c>
      <c r="AJ40" s="234">
        <v>4192</v>
      </c>
      <c r="AK40" s="234">
        <v>4522</v>
      </c>
      <c r="AL40" s="234">
        <v>5425</v>
      </c>
      <c r="AM40" s="235">
        <v>4980</v>
      </c>
      <c r="AN40" s="492"/>
      <c r="AO40" s="482"/>
      <c r="AP40" s="236" t="s">
        <v>277</v>
      </c>
      <c r="AQ40" s="240">
        <v>768</v>
      </c>
      <c r="AR40" s="241">
        <v>576</v>
      </c>
      <c r="AS40" s="241">
        <v>533</v>
      </c>
      <c r="AT40" s="241">
        <v>597</v>
      </c>
      <c r="AU40" s="242">
        <v>549</v>
      </c>
      <c r="AV40" s="233">
        <v>731</v>
      </c>
      <c r="AW40" s="234">
        <v>536</v>
      </c>
      <c r="AX40" s="234">
        <v>486</v>
      </c>
      <c r="AY40" s="234">
        <v>561</v>
      </c>
      <c r="AZ40" s="235">
        <v>567</v>
      </c>
    </row>
    <row r="41" spans="1:52">
      <c r="A41" s="493"/>
      <c r="B41" s="483"/>
      <c r="C41" s="243" t="s">
        <v>274</v>
      </c>
      <c r="D41" s="244">
        <v>6171</v>
      </c>
      <c r="E41" s="245">
        <v>5300</v>
      </c>
      <c r="F41" s="245">
        <v>5864</v>
      </c>
      <c r="G41" s="245">
        <v>4981</v>
      </c>
      <c r="H41" s="246">
        <v>6104</v>
      </c>
      <c r="I41" s="247">
        <v>6031</v>
      </c>
      <c r="J41" s="248">
        <v>5625</v>
      </c>
      <c r="K41" s="248">
        <v>3276</v>
      </c>
      <c r="L41" s="248">
        <v>5477</v>
      </c>
      <c r="M41" s="249">
        <v>5803</v>
      </c>
      <c r="N41" s="493"/>
      <c r="O41" s="483"/>
      <c r="P41" s="243" t="s">
        <v>294</v>
      </c>
      <c r="Q41" s="244">
        <v>4773</v>
      </c>
      <c r="R41" s="245">
        <v>5392</v>
      </c>
      <c r="S41" s="245">
        <v>5651</v>
      </c>
      <c r="T41" s="245">
        <v>5187</v>
      </c>
      <c r="U41" s="246">
        <v>5343</v>
      </c>
      <c r="V41" s="247">
        <v>4509</v>
      </c>
      <c r="W41" s="248">
        <v>4645</v>
      </c>
      <c r="X41" s="248">
        <v>4099</v>
      </c>
      <c r="Y41" s="248">
        <v>4406</v>
      </c>
      <c r="Z41" s="249">
        <v>4300</v>
      </c>
      <c r="AA41" s="493"/>
      <c r="AB41" s="483"/>
      <c r="AC41" s="243" t="s">
        <v>328</v>
      </c>
      <c r="AD41" s="244">
        <v>3037</v>
      </c>
      <c r="AE41" s="245">
        <v>3467</v>
      </c>
      <c r="AF41" s="245">
        <v>3451</v>
      </c>
      <c r="AG41" s="245">
        <v>3651</v>
      </c>
      <c r="AH41" s="246">
        <v>3479</v>
      </c>
      <c r="AI41" s="247">
        <v>2971</v>
      </c>
      <c r="AJ41" s="248">
        <v>3228</v>
      </c>
      <c r="AK41" s="248">
        <v>3325</v>
      </c>
      <c r="AL41" s="248">
        <v>3495</v>
      </c>
      <c r="AM41" s="249">
        <v>3028</v>
      </c>
      <c r="AN41" s="493"/>
      <c r="AO41" s="483"/>
      <c r="AP41" s="243" t="s">
        <v>278</v>
      </c>
      <c r="AQ41" s="244">
        <v>31</v>
      </c>
      <c r="AR41" s="245">
        <v>271</v>
      </c>
      <c r="AS41" s="245">
        <v>273</v>
      </c>
      <c r="AT41" s="245">
        <v>221</v>
      </c>
      <c r="AU41" s="246">
        <v>312</v>
      </c>
      <c r="AV41" s="247">
        <v>45</v>
      </c>
      <c r="AW41" s="248">
        <v>231</v>
      </c>
      <c r="AX41" s="248">
        <v>257</v>
      </c>
      <c r="AY41" s="248">
        <v>217</v>
      </c>
      <c r="AZ41" s="249">
        <v>289</v>
      </c>
    </row>
  </sheetData>
  <mergeCells count="80">
    <mergeCell ref="AN24:AN32"/>
    <mergeCell ref="AO24:AO26"/>
    <mergeCell ref="AO27:AO29"/>
    <mergeCell ref="AO30:AO32"/>
    <mergeCell ref="AN33:AN41"/>
    <mergeCell ref="AO33:AO35"/>
    <mergeCell ref="AO36:AO38"/>
    <mergeCell ref="AO39:AO41"/>
    <mergeCell ref="AO9:AO11"/>
    <mergeCell ref="AO12:AO14"/>
    <mergeCell ref="AN15:AN23"/>
    <mergeCell ref="AO15:AO17"/>
    <mergeCell ref="AO18:AO20"/>
    <mergeCell ref="AO21:AO23"/>
    <mergeCell ref="AA33:AA41"/>
    <mergeCell ref="AB33:AB35"/>
    <mergeCell ref="AB36:AB38"/>
    <mergeCell ref="AB39:AB41"/>
    <mergeCell ref="AN1:AZ2"/>
    <mergeCell ref="AN4:AP5"/>
    <mergeCell ref="AQ4:AU4"/>
    <mergeCell ref="AV4:AZ4"/>
    <mergeCell ref="AN6:AN14"/>
    <mergeCell ref="AO6:AO8"/>
    <mergeCell ref="AA15:AA23"/>
    <mergeCell ref="AB15:AB17"/>
    <mergeCell ref="AB18:AB20"/>
    <mergeCell ref="AB21:AB23"/>
    <mergeCell ref="AA24:AA32"/>
    <mergeCell ref="AB24:AB26"/>
    <mergeCell ref="AB27:AB29"/>
    <mergeCell ref="AB30:AB32"/>
    <mergeCell ref="AA1:AM2"/>
    <mergeCell ref="AA4:AC5"/>
    <mergeCell ref="AD4:AH4"/>
    <mergeCell ref="AI4:AM4"/>
    <mergeCell ref="AA6:AA14"/>
    <mergeCell ref="AB6:AB8"/>
    <mergeCell ref="AB9:AB11"/>
    <mergeCell ref="AB12:AB14"/>
    <mergeCell ref="N24:N32"/>
    <mergeCell ref="O24:O26"/>
    <mergeCell ref="O27:O29"/>
    <mergeCell ref="O30:O32"/>
    <mergeCell ref="N33:N41"/>
    <mergeCell ref="O33:O35"/>
    <mergeCell ref="O36:O38"/>
    <mergeCell ref="O39:O41"/>
    <mergeCell ref="O9:O11"/>
    <mergeCell ref="O12:O14"/>
    <mergeCell ref="N15:N23"/>
    <mergeCell ref="O15:O17"/>
    <mergeCell ref="O18:O20"/>
    <mergeCell ref="O21:O23"/>
    <mergeCell ref="A33:A41"/>
    <mergeCell ref="B33:B35"/>
    <mergeCell ref="B36:B38"/>
    <mergeCell ref="B39:B41"/>
    <mergeCell ref="N1:Z2"/>
    <mergeCell ref="N4:P5"/>
    <mergeCell ref="Q4:U4"/>
    <mergeCell ref="V4:Z4"/>
    <mergeCell ref="N6:N14"/>
    <mergeCell ref="O6:O8"/>
    <mergeCell ref="A15:A23"/>
    <mergeCell ref="B15:B17"/>
    <mergeCell ref="B18:B20"/>
    <mergeCell ref="B21:B23"/>
    <mergeCell ref="A24:A32"/>
    <mergeCell ref="B24:B26"/>
    <mergeCell ref="B27:B29"/>
    <mergeCell ref="B30:B32"/>
    <mergeCell ref="A1:M2"/>
    <mergeCell ref="A4:C5"/>
    <mergeCell ref="D4:H4"/>
    <mergeCell ref="I4:M4"/>
    <mergeCell ref="A6:A14"/>
    <mergeCell ref="B6:B8"/>
    <mergeCell ref="B9:B11"/>
    <mergeCell ref="B12:B1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11</vt:i4>
      </vt:variant>
    </vt:vector>
  </HeadingPairs>
  <TitlesOfParts>
    <vt:vector size="25" baseType="lpstr">
      <vt:lpstr>3.재원조달계획</vt:lpstr>
      <vt:lpstr>3.2 처리구역별 재원조달계획</vt:lpstr>
      <vt:lpstr>3.3 원인자부담금</vt:lpstr>
      <vt:lpstr>3.3.3 원인자 검토 (협의날짜순)</vt:lpstr>
      <vt:lpstr>3.3.3 오수지선관로 시설부담금</vt:lpstr>
      <vt:lpstr>출력금지</vt:lpstr>
      <vt:lpstr>3.3.3 원인자 검토</vt:lpstr>
      <vt:lpstr>3.3.3 원인자 검토 (2)</vt:lpstr>
      <vt:lpstr>처리장 운영현황</vt:lpstr>
      <vt:lpstr>3.3.3 원인자검토(음성군조례)</vt:lpstr>
      <vt:lpstr>3.3.3 오수간선관로 원인자</vt:lpstr>
      <vt:lpstr>3.3.2 공공하수처리시설 원인자</vt:lpstr>
      <vt:lpstr>3.3.2 공공하수처리시설 원인자(음성군조례)</vt:lpstr>
      <vt:lpstr>원인자검토(물가상승률)</vt:lpstr>
      <vt:lpstr>'3.2 처리구역별 재원조달계획'!Print_Area</vt:lpstr>
      <vt:lpstr>'3.3.3 오수지선관로 시설부담금'!Print_Area</vt:lpstr>
      <vt:lpstr>'3.3.3 원인자 검토'!Print_Area</vt:lpstr>
      <vt:lpstr>'3.3.3 원인자 검토 (2)'!Print_Area</vt:lpstr>
      <vt:lpstr>'3.3.3 원인자 검토 (협의날짜순)'!Print_Area</vt:lpstr>
      <vt:lpstr>'3.2 처리구역별 재원조달계획'!Print_Titles</vt:lpstr>
      <vt:lpstr>'3.3.2 공공하수처리시설 원인자'!Print_Titles</vt:lpstr>
      <vt:lpstr>'3.3.2 공공하수처리시설 원인자(음성군조례)'!Print_Titles</vt:lpstr>
      <vt:lpstr>'3.3.3 원인자검토(음성군조례)'!Print_Titles</vt:lpstr>
      <vt:lpstr>'3.재원조달계획'!Print_Titles</vt:lpstr>
      <vt:lpstr>'원인자검토(물가상승률)'!Print_Titles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이산</dc:creator>
  <cp:lastModifiedBy>임성우</cp:lastModifiedBy>
  <cp:lastPrinted>2018-08-31T00:44:24Z</cp:lastPrinted>
  <dcterms:created xsi:type="dcterms:W3CDTF">2016-03-18T05:43:54Z</dcterms:created>
  <dcterms:modified xsi:type="dcterms:W3CDTF">2018-09-03T05:12:30Z</dcterms:modified>
</cp:coreProperties>
</file>