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01. project\2017년\02 음성군 하수도정비기본계획\27 2차 검토의견\20180730대소 용량검토\"/>
    </mc:Choice>
  </mc:AlternateContent>
  <bookViews>
    <workbookView xWindow="-30" yWindow="15" windowWidth="15030" windowHeight="12825" tabRatio="849" firstSheet="4" activeTab="5"/>
  </bookViews>
  <sheets>
    <sheet name="물질수지" sheetId="14" state="hidden" r:id="rId1"/>
    <sheet name="간지" sheetId="57" r:id="rId2"/>
    <sheet name="생물반응조 용량 검토(총괄표)" sheetId="56" r:id="rId3"/>
    <sheet name="설계기준(설계치12)" sheetId="1" r:id="rId4"/>
    <sheet name="구조물용량계산(설계치12)" sheetId="5" r:id="rId5"/>
    <sheet name="설계기준(설계치20)" sheetId="60" r:id="rId6"/>
    <sheet name="구조물용량계산(설계치20)" sheetId="61" r:id="rId7"/>
    <sheet name="설계기준(유입수질농도증가12)" sheetId="51" r:id="rId8"/>
    <sheet name="구조물용량계산(유입수질농도증가12)" sheetId="52" r:id="rId9"/>
    <sheet name="설계기준(유입수질농도증가20)" sheetId="58" r:id="rId10"/>
    <sheet name="구조물용량계산(유입수질농도증가20)" sheetId="59" r:id="rId11"/>
    <sheet name="생물반응조 용량 검토" sheetId="53" state="hidden" r:id="rId12"/>
    <sheet name="생물반응조 용량 검토 (2)" sheetId="54" state="hidden" r:id="rId13"/>
    <sheet name="Sheet2" sheetId="55" state="hidden" r:id="rId14"/>
    <sheet name="기계용량계산 (2계열)" sheetId="50" state="hidden" r:id="rId15"/>
    <sheet name="Alum" sheetId="33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dkfj" localSheetId="14">#REF!</definedName>
    <definedName name="dkfj" localSheetId="12">#REF!</definedName>
    <definedName name="_xlnm.Print_Area" localSheetId="15">Alum!$A$1:$E$17</definedName>
    <definedName name="_xlnm.Print_Area" localSheetId="1">간지!$A$1:$C$7</definedName>
    <definedName name="_xlnm.Print_Area" localSheetId="4">'구조물용량계산(설계치12)'!$A$1:$Q$291</definedName>
    <definedName name="_xlnm.Print_Area" localSheetId="6">'구조물용량계산(설계치20)'!$A$1:$Q$291</definedName>
    <definedName name="_xlnm.Print_Area" localSheetId="8">'구조물용량계산(유입수질농도증가12)'!$A$1:$Q$291</definedName>
    <definedName name="_xlnm.Print_Area" localSheetId="10">'구조물용량계산(유입수질농도증가20)'!$A$1:$Q$291</definedName>
    <definedName name="_xlnm.Print_Area" localSheetId="14">'기계용량계산 (2계열)'!$A$1:$R$345</definedName>
    <definedName name="_xlnm.Print_Area" localSheetId="0">물질수지!$A$1:$AB$52</definedName>
    <definedName name="_xlnm.Print_Area" localSheetId="3">'설계기준(설계치12)'!$A$1:$Q$16</definedName>
    <definedName name="_xlnm.Print_Area" localSheetId="5">'설계기준(설계치20)'!$A$1:$Q$16</definedName>
    <definedName name="_xlnm.Print_Area" localSheetId="7">'설계기준(유입수질농도증가12)'!$A$1:$Q$16</definedName>
    <definedName name="_xlnm.Print_Area" localSheetId="9">'설계기준(유입수질농도증가20)'!$A$1:$Q$16</definedName>
    <definedName name="Print_Area_MI" localSheetId="14">#REF!</definedName>
    <definedName name="Print_Area_MI" localSheetId="12">#REF!</definedName>
    <definedName name="_xlnm.Print_Titles" localSheetId="4">'구조물용량계산(설계치12)'!$2:$2</definedName>
    <definedName name="_xlnm.Print_Titles" localSheetId="6">'구조물용량계산(설계치20)'!$2:$2</definedName>
    <definedName name="_xlnm.Print_Titles" localSheetId="8">'구조물용량계산(유입수질농도증가12)'!$2:$2</definedName>
    <definedName name="_xlnm.Print_Titles" localSheetId="10">'구조물용량계산(유입수질농도증가20)'!$2:$2</definedName>
    <definedName name="Print_Titles_MI" localSheetId="14">#REF!</definedName>
    <definedName name="Print_Titles_MI" localSheetId="12">#REF!</definedName>
    <definedName name="ㅐ520" localSheetId="14">#REF!</definedName>
    <definedName name="ㅐ520" localSheetId="12">#REF!</definedName>
  </definedNames>
  <calcPr calcId="152511"/>
</workbook>
</file>

<file path=xl/calcChain.xml><?xml version="1.0" encoding="utf-8"?>
<calcChain xmlns="http://schemas.openxmlformats.org/spreadsheetml/2006/main">
  <c r="C175" i="59" l="1"/>
  <c r="C143" i="59"/>
  <c r="K80" i="61"/>
  <c r="I289" i="61"/>
  <c r="I284" i="61"/>
  <c r="C284" i="61"/>
  <c r="E291" i="61" s="1"/>
  <c r="G277" i="61"/>
  <c r="T276" i="61"/>
  <c r="C275" i="61"/>
  <c r="C287" i="61" s="1"/>
  <c r="D289" i="61" s="1"/>
  <c r="L289" i="61" s="1"/>
  <c r="B291" i="61" s="1"/>
  <c r="I291" i="61" s="1"/>
  <c r="G272" i="61"/>
  <c r="C272" i="61"/>
  <c r="I272" i="61" s="1"/>
  <c r="B270" i="61"/>
  <c r="C265" i="61"/>
  <c r="M265" i="61" s="1"/>
  <c r="J263" i="61"/>
  <c r="G263" i="61"/>
  <c r="D263" i="61"/>
  <c r="I258" i="61"/>
  <c r="G258" i="61"/>
  <c r="C258" i="61"/>
  <c r="F265" i="61" s="1"/>
  <c r="B256" i="61"/>
  <c r="B250" i="61"/>
  <c r="O249" i="61"/>
  <c r="O246" i="61"/>
  <c r="O243" i="61" s="1"/>
  <c r="O239" i="61"/>
  <c r="M223" i="61"/>
  <c r="F226" i="61" s="1"/>
  <c r="K223" i="61"/>
  <c r="J223" i="61"/>
  <c r="E223" i="61"/>
  <c r="M222" i="61"/>
  <c r="B225" i="61" s="1"/>
  <c r="K222" i="61"/>
  <c r="J222" i="61"/>
  <c r="E222" i="61"/>
  <c r="H216" i="61"/>
  <c r="J215" i="61"/>
  <c r="H215" i="61"/>
  <c r="Z194" i="61"/>
  <c r="Z193" i="61"/>
  <c r="C187" i="61"/>
  <c r="F186" i="61"/>
  <c r="C186" i="61"/>
  <c r="C185" i="61"/>
  <c r="F184" i="61"/>
  <c r="C184" i="61"/>
  <c r="F183" i="61"/>
  <c r="F187" i="61" s="1"/>
  <c r="C183" i="61"/>
  <c r="I183" i="61" s="1"/>
  <c r="E182" i="61"/>
  <c r="L181" i="61"/>
  <c r="E204" i="61" s="1"/>
  <c r="H204" i="61" s="1"/>
  <c r="D181" i="61"/>
  <c r="C175" i="61"/>
  <c r="I174" i="61"/>
  <c r="F173" i="61"/>
  <c r="L167" i="61"/>
  <c r="H167" i="61"/>
  <c r="E167" i="61"/>
  <c r="K160" i="61"/>
  <c r="G160" i="61"/>
  <c r="E161" i="61" s="1"/>
  <c r="J167" i="61" s="1"/>
  <c r="E150" i="61"/>
  <c r="J148" i="61"/>
  <c r="I148" i="61"/>
  <c r="D148" i="61"/>
  <c r="L148" i="61" s="1"/>
  <c r="V145" i="61"/>
  <c r="C143" i="61"/>
  <c r="K140" i="61"/>
  <c r="F140" i="61"/>
  <c r="H117" i="61"/>
  <c r="I128" i="61" s="1"/>
  <c r="H116" i="61"/>
  <c r="H115" i="61" s="1"/>
  <c r="H114" i="61"/>
  <c r="H113" i="61" s="1"/>
  <c r="F112" i="61"/>
  <c r="H111" i="61"/>
  <c r="L111" i="61" s="1"/>
  <c r="C102" i="61"/>
  <c r="F105" i="61" s="1"/>
  <c r="J101" i="61"/>
  <c r="E101" i="61"/>
  <c r="I102" i="61" s="1"/>
  <c r="O94" i="61"/>
  <c r="H174" i="61" s="1"/>
  <c r="S174" i="61" s="1"/>
  <c r="M94" i="61"/>
  <c r="I94" i="61"/>
  <c r="G94" i="61"/>
  <c r="K86" i="61"/>
  <c r="M83" i="61"/>
  <c r="K83" i="61"/>
  <c r="I83" i="61"/>
  <c r="D83" i="61"/>
  <c r="N80" i="61"/>
  <c r="K84" i="61" s="1"/>
  <c r="F136" i="61"/>
  <c r="E74" i="61"/>
  <c r="J72" i="61"/>
  <c r="I72" i="61"/>
  <c r="D72" i="61"/>
  <c r="L72" i="61" s="1"/>
  <c r="J66" i="61"/>
  <c r="E196" i="61" s="1"/>
  <c r="C66" i="61"/>
  <c r="L57" i="61"/>
  <c r="H57" i="61"/>
  <c r="F57" i="61"/>
  <c r="E55" i="61"/>
  <c r="J53" i="61"/>
  <c r="I53" i="61"/>
  <c r="D53" i="61"/>
  <c r="L53" i="61" s="1"/>
  <c r="B55" i="61" s="1"/>
  <c r="L55" i="61" s="1"/>
  <c r="I48" i="61"/>
  <c r="C48" i="61"/>
  <c r="J39" i="61"/>
  <c r="I39" i="61"/>
  <c r="D39" i="61"/>
  <c r="L39" i="61" s="1"/>
  <c r="B41" i="61" s="1"/>
  <c r="C37" i="61"/>
  <c r="C34" i="61"/>
  <c r="I34" i="61" s="1"/>
  <c r="M25" i="61"/>
  <c r="C27" i="61" s="1"/>
  <c r="J27" i="61" s="1"/>
  <c r="J25" i="61"/>
  <c r="E25" i="61"/>
  <c r="U22" i="61"/>
  <c r="Z20" i="61"/>
  <c r="J20" i="61"/>
  <c r="D20" i="61"/>
  <c r="F27" i="61" s="1"/>
  <c r="F14" i="61"/>
  <c r="J12" i="61"/>
  <c r="E12" i="61"/>
  <c r="M12" i="61" s="1"/>
  <c r="C14" i="61" s="1"/>
  <c r="J14" i="61" s="1"/>
  <c r="J7" i="61"/>
  <c r="D7" i="61"/>
  <c r="D243" i="60"/>
  <c r="C242" i="60"/>
  <c r="K15" i="60"/>
  <c r="K13" i="60"/>
  <c r="S11" i="60"/>
  <c r="M4" i="60"/>
  <c r="H4" i="60"/>
  <c r="H167" i="52"/>
  <c r="E167" i="52"/>
  <c r="H167" i="59"/>
  <c r="E167" i="59"/>
  <c r="H116" i="59"/>
  <c r="H115" i="59" s="1"/>
  <c r="H113" i="59" s="1"/>
  <c r="H114" i="59"/>
  <c r="E150" i="59"/>
  <c r="E150" i="52"/>
  <c r="K80" i="59"/>
  <c r="E291" i="59"/>
  <c r="I289" i="59"/>
  <c r="I284" i="59"/>
  <c r="C284" i="59"/>
  <c r="G277" i="59"/>
  <c r="T276" i="59"/>
  <c r="C275" i="59"/>
  <c r="C287" i="59" s="1"/>
  <c r="D289" i="59" s="1"/>
  <c r="L289" i="59" s="1"/>
  <c r="B291" i="59" s="1"/>
  <c r="I291" i="59" s="1"/>
  <c r="G272" i="59"/>
  <c r="C272" i="59"/>
  <c r="I272" i="59" s="1"/>
  <c r="B270" i="59"/>
  <c r="G263" i="59"/>
  <c r="J263" i="59" s="1"/>
  <c r="C265" i="59" s="1"/>
  <c r="D263" i="59"/>
  <c r="I258" i="59"/>
  <c r="G258" i="59"/>
  <c r="C258" i="59"/>
  <c r="F265" i="59" s="1"/>
  <c r="B256" i="59"/>
  <c r="B250" i="59"/>
  <c r="O249" i="59"/>
  <c r="O246" i="59"/>
  <c r="O243" i="59" s="1"/>
  <c r="O239" i="59"/>
  <c r="M223" i="59"/>
  <c r="F226" i="59" s="1"/>
  <c r="K223" i="59"/>
  <c r="J223" i="59"/>
  <c r="E223" i="59"/>
  <c r="M222" i="59"/>
  <c r="B225" i="59" s="1"/>
  <c r="K222" i="59"/>
  <c r="J222" i="59"/>
  <c r="E222" i="59"/>
  <c r="H216" i="59"/>
  <c r="J215" i="59"/>
  <c r="H215" i="59"/>
  <c r="E196" i="59"/>
  <c r="Z193" i="59"/>
  <c r="Z194" i="59" s="1"/>
  <c r="C186" i="59"/>
  <c r="C185" i="59"/>
  <c r="F184" i="59"/>
  <c r="C184" i="59"/>
  <c r="F183" i="59"/>
  <c r="F187" i="59" s="1"/>
  <c r="E182" i="59"/>
  <c r="C183" i="59" s="1"/>
  <c r="L181" i="59"/>
  <c r="D181" i="59"/>
  <c r="I174" i="59"/>
  <c r="F173" i="59"/>
  <c r="L167" i="59"/>
  <c r="E161" i="59"/>
  <c r="J167" i="59" s="1"/>
  <c r="K160" i="59"/>
  <c r="G160" i="59"/>
  <c r="J148" i="59"/>
  <c r="I148" i="59"/>
  <c r="L148" i="59" s="1"/>
  <c r="D148" i="59"/>
  <c r="V145" i="59"/>
  <c r="K140" i="59"/>
  <c r="F140" i="59"/>
  <c r="H117" i="59"/>
  <c r="I128" i="59" s="1"/>
  <c r="F112" i="59"/>
  <c r="H111" i="59"/>
  <c r="L111" i="59" s="1"/>
  <c r="I102" i="59"/>
  <c r="F104" i="59" s="1"/>
  <c r="J101" i="59"/>
  <c r="F186" i="59" s="1"/>
  <c r="E101" i="59"/>
  <c r="M94" i="59"/>
  <c r="I94" i="59"/>
  <c r="G94" i="59"/>
  <c r="O94" i="59" s="1"/>
  <c r="K86" i="59"/>
  <c r="K84" i="59"/>
  <c r="M83" i="59"/>
  <c r="K83" i="59"/>
  <c r="I83" i="59"/>
  <c r="D83" i="59"/>
  <c r="N80" i="59"/>
  <c r="F136" i="59"/>
  <c r="E74" i="59"/>
  <c r="J72" i="59"/>
  <c r="I72" i="59"/>
  <c r="L72" i="59" s="1"/>
  <c r="D72" i="59"/>
  <c r="J66" i="59"/>
  <c r="C66" i="59"/>
  <c r="L57" i="59"/>
  <c r="H57" i="59"/>
  <c r="F57" i="59"/>
  <c r="E55" i="59"/>
  <c r="J53" i="59"/>
  <c r="I53" i="59"/>
  <c r="L53" i="59" s="1"/>
  <c r="B55" i="59" s="1"/>
  <c r="L55" i="59" s="1"/>
  <c r="D53" i="59"/>
  <c r="I48" i="59"/>
  <c r="C48" i="59"/>
  <c r="J39" i="59"/>
  <c r="I39" i="59"/>
  <c r="D39" i="59"/>
  <c r="L39" i="59" s="1"/>
  <c r="B41" i="59" s="1"/>
  <c r="L41" i="59" s="1"/>
  <c r="C37" i="59"/>
  <c r="I34" i="59"/>
  <c r="C34" i="59"/>
  <c r="E41" i="59" s="1"/>
  <c r="J25" i="59"/>
  <c r="E25" i="59"/>
  <c r="M25" i="59" s="1"/>
  <c r="C27" i="59" s="1"/>
  <c r="J27" i="59" s="1"/>
  <c r="U22" i="59"/>
  <c r="Z20" i="59"/>
  <c r="J20" i="59"/>
  <c r="D20" i="59"/>
  <c r="F27" i="59" s="1"/>
  <c r="J12" i="59"/>
  <c r="M12" i="59" s="1"/>
  <c r="C14" i="59" s="1"/>
  <c r="E12" i="59"/>
  <c r="J7" i="59"/>
  <c r="D7" i="59"/>
  <c r="F14" i="59" s="1"/>
  <c r="D243" i="58"/>
  <c r="C242" i="58"/>
  <c r="K15" i="58"/>
  <c r="K13" i="58"/>
  <c r="S11" i="58"/>
  <c r="H4" i="58"/>
  <c r="M4" i="58" s="1"/>
  <c r="C187" i="59" l="1"/>
  <c r="R187" i="59" s="1"/>
  <c r="L187" i="59" s="1"/>
  <c r="R185" i="61"/>
  <c r="H196" i="61"/>
  <c r="I105" i="61"/>
  <c r="F104" i="61"/>
  <c r="L104" i="61" s="1"/>
  <c r="E203" i="61"/>
  <c r="H203" i="61" s="1"/>
  <c r="B150" i="61"/>
  <c r="L150" i="61" s="1"/>
  <c r="E202" i="61"/>
  <c r="E205" i="61" s="1"/>
  <c r="B74" i="61"/>
  <c r="L74" i="61" s="1"/>
  <c r="H202" i="61" s="1"/>
  <c r="F128" i="61"/>
  <c r="D174" i="61"/>
  <c r="K121" i="61"/>
  <c r="E168" i="61"/>
  <c r="H168" i="61" s="1"/>
  <c r="E41" i="61"/>
  <c r="L41" i="61" s="1"/>
  <c r="E214" i="61"/>
  <c r="B182" i="61"/>
  <c r="L182" i="61" s="1"/>
  <c r="C188" i="61"/>
  <c r="I187" i="61" s="1"/>
  <c r="D277" i="61"/>
  <c r="J277" i="61" s="1"/>
  <c r="C279" i="61" s="1"/>
  <c r="F279" i="61"/>
  <c r="R187" i="61"/>
  <c r="L187" i="61" s="1"/>
  <c r="N84" i="61"/>
  <c r="K99" i="61"/>
  <c r="G100" i="61" s="1"/>
  <c r="K100" i="61"/>
  <c r="F185" i="61"/>
  <c r="I185" i="61" s="1"/>
  <c r="E100" i="61"/>
  <c r="I183" i="59"/>
  <c r="N84" i="59"/>
  <c r="I86" i="59" s="1"/>
  <c r="M86" i="59" s="1"/>
  <c r="G88" i="59" s="1"/>
  <c r="I88" i="59" s="1"/>
  <c r="G90" i="59" s="1"/>
  <c r="B74" i="59"/>
  <c r="L74" i="59" s="1"/>
  <c r="H202" i="59" s="1"/>
  <c r="E202" i="59"/>
  <c r="J98" i="59"/>
  <c r="I100" i="59" s="1"/>
  <c r="K121" i="59"/>
  <c r="F128" i="59"/>
  <c r="D174" i="59"/>
  <c r="E203" i="59"/>
  <c r="H203" i="59" s="1"/>
  <c r="B150" i="59"/>
  <c r="L150" i="59" s="1"/>
  <c r="M265" i="59"/>
  <c r="I185" i="59"/>
  <c r="J14" i="59"/>
  <c r="H174" i="59"/>
  <c r="S174" i="59" s="1"/>
  <c r="E100" i="59"/>
  <c r="K100" i="59"/>
  <c r="E168" i="59"/>
  <c r="H168" i="59" s="1"/>
  <c r="K99" i="59"/>
  <c r="G100" i="59" s="1"/>
  <c r="C102" i="59"/>
  <c r="F105" i="59" s="1"/>
  <c r="L104" i="59" s="1"/>
  <c r="B182" i="59"/>
  <c r="L182" i="59" s="1"/>
  <c r="C188" i="59"/>
  <c r="H196" i="59"/>
  <c r="D277" i="59"/>
  <c r="J277" i="59" s="1"/>
  <c r="C279" i="59" s="1"/>
  <c r="M279" i="59" s="1"/>
  <c r="F279" i="59"/>
  <c r="F185" i="59"/>
  <c r="E204" i="59"/>
  <c r="H204" i="59" s="1"/>
  <c r="I105" i="59"/>
  <c r="I187" i="59" l="1"/>
  <c r="E214" i="59"/>
  <c r="H214" i="59" s="1"/>
  <c r="O242" i="61"/>
  <c r="O237" i="61" s="1"/>
  <c r="O236" i="61" s="1"/>
  <c r="C251" i="61" s="1"/>
  <c r="D252" i="61" s="1"/>
  <c r="L185" i="61"/>
  <c r="M279" i="61"/>
  <c r="H205" i="61"/>
  <c r="K204" i="61" s="1"/>
  <c r="E225" i="61"/>
  <c r="K225" i="61" s="1"/>
  <c r="D216" i="61"/>
  <c r="H214" i="61"/>
  <c r="B226" i="61"/>
  <c r="I226" i="61" s="1"/>
  <c r="I86" i="61"/>
  <c r="M86" i="61" s="1"/>
  <c r="G88" i="61" s="1"/>
  <c r="I88" i="61" s="1"/>
  <c r="G90" i="61" s="1"/>
  <c r="J98" i="61"/>
  <c r="I100" i="61" s="1"/>
  <c r="M100" i="61" s="1"/>
  <c r="F174" i="61" s="1"/>
  <c r="O174" i="61" s="1"/>
  <c r="G175" i="61" s="1"/>
  <c r="J175" i="61" s="1"/>
  <c r="H124" i="61"/>
  <c r="N124" i="61" s="1"/>
  <c r="F127" i="61" s="1"/>
  <c r="L128" i="61" s="1"/>
  <c r="F129" i="61" s="1"/>
  <c r="D140" i="61" s="1"/>
  <c r="D141" i="61" s="1"/>
  <c r="F143" i="61" s="1"/>
  <c r="I143" i="61" s="1"/>
  <c r="H118" i="61"/>
  <c r="K124" i="61" s="1"/>
  <c r="E225" i="59"/>
  <c r="K225" i="59" s="1"/>
  <c r="D216" i="59"/>
  <c r="M100" i="59"/>
  <c r="F174" i="59" s="1"/>
  <c r="O174" i="59" s="1"/>
  <c r="G175" i="59" s="1"/>
  <c r="H118" i="59"/>
  <c r="K124" i="59" s="1"/>
  <c r="H124" i="59"/>
  <c r="E205" i="59"/>
  <c r="R185" i="59" s="1"/>
  <c r="H205" i="59"/>
  <c r="K204" i="59" s="1"/>
  <c r="K80" i="52"/>
  <c r="E182" i="52"/>
  <c r="H117" i="52"/>
  <c r="H116" i="52"/>
  <c r="H114" i="52"/>
  <c r="H111" i="52"/>
  <c r="B226" i="59" l="1"/>
  <c r="I226" i="59" s="1"/>
  <c r="K202" i="59"/>
  <c r="E197" i="61"/>
  <c r="R143" i="61"/>
  <c r="Z143" i="61"/>
  <c r="E198" i="61"/>
  <c r="H198" i="61" s="1"/>
  <c r="R181" i="61"/>
  <c r="K214" i="61"/>
  <c r="N214" i="61" s="1"/>
  <c r="D215" i="61"/>
  <c r="K203" i="61"/>
  <c r="D217" i="61"/>
  <c r="G217" i="61"/>
  <c r="K202" i="61"/>
  <c r="N124" i="59"/>
  <c r="F127" i="59" s="1"/>
  <c r="L128" i="59" s="1"/>
  <c r="F129" i="59" s="1"/>
  <c r="D140" i="59" s="1"/>
  <c r="D141" i="59" s="1"/>
  <c r="F143" i="59" s="1"/>
  <c r="D217" i="59"/>
  <c r="G217" i="59"/>
  <c r="L185" i="59"/>
  <c r="O242" i="59"/>
  <c r="O237" i="59" s="1"/>
  <c r="O236" i="59" s="1"/>
  <c r="C251" i="59" s="1"/>
  <c r="D252" i="59" s="1"/>
  <c r="K203" i="59"/>
  <c r="K205" i="59" s="1"/>
  <c r="D215" i="59"/>
  <c r="K214" i="59"/>
  <c r="N214" i="59" s="1"/>
  <c r="M13" i="56"/>
  <c r="O13" i="56" s="1"/>
  <c r="Q13" i="56" s="1"/>
  <c r="T13" i="56" s="1"/>
  <c r="H13" i="56"/>
  <c r="M12" i="56"/>
  <c r="H12" i="56"/>
  <c r="M11" i="56"/>
  <c r="H11" i="56"/>
  <c r="M10" i="56"/>
  <c r="H10" i="56"/>
  <c r="O9" i="56"/>
  <c r="Q9" i="56" s="1"/>
  <c r="T9" i="56" s="1"/>
  <c r="M9" i="56"/>
  <c r="H9" i="56"/>
  <c r="M8" i="56"/>
  <c r="H8" i="56"/>
  <c r="O8" i="56" s="1"/>
  <c r="Q8" i="56" s="1"/>
  <c r="T8" i="56" s="1"/>
  <c r="M7" i="56"/>
  <c r="H7" i="56"/>
  <c r="M6" i="56"/>
  <c r="H6" i="56"/>
  <c r="O6" i="56" s="1"/>
  <c r="Q6" i="56" s="1"/>
  <c r="T6" i="56" s="1"/>
  <c r="O5" i="56"/>
  <c r="Q5" i="56" s="1"/>
  <c r="T5" i="56" s="1"/>
  <c r="M5" i="56"/>
  <c r="H5" i="56"/>
  <c r="M4" i="56"/>
  <c r="O4" i="56" s="1"/>
  <c r="Q4" i="56" s="1"/>
  <c r="T4" i="56" s="1"/>
  <c r="H4" i="56"/>
  <c r="H197" i="61" l="1"/>
  <c r="E199" i="61"/>
  <c r="K205" i="61"/>
  <c r="L215" i="61"/>
  <c r="O215" i="61"/>
  <c r="S143" i="61"/>
  <c r="S145" i="61" s="1"/>
  <c r="X145" i="61" s="1"/>
  <c r="L215" i="59"/>
  <c r="O215" i="59"/>
  <c r="O12" i="56"/>
  <c r="Q12" i="56" s="1"/>
  <c r="T12" i="56" s="1"/>
  <c r="O11" i="56"/>
  <c r="Q11" i="56" s="1"/>
  <c r="T11" i="56" s="1"/>
  <c r="O7" i="56"/>
  <c r="Q7" i="56" s="1"/>
  <c r="T7" i="56" s="1"/>
  <c r="O10" i="56"/>
  <c r="Q10" i="56" s="1"/>
  <c r="T10" i="56" s="1"/>
  <c r="E39" i="54"/>
  <c r="H199" i="61" l="1"/>
  <c r="M13" i="54"/>
  <c r="H13" i="54"/>
  <c r="O13" i="54" s="1"/>
  <c r="Q13" i="54" s="1"/>
  <c r="T13" i="54" s="1"/>
  <c r="M12" i="54"/>
  <c r="H12" i="54"/>
  <c r="O12" i="54" s="1"/>
  <c r="Q12" i="54" s="1"/>
  <c r="T12" i="54" s="1"/>
  <c r="M11" i="54"/>
  <c r="H11" i="54"/>
  <c r="O11" i="54" s="1"/>
  <c r="Q11" i="54" s="1"/>
  <c r="T11" i="54" s="1"/>
  <c r="M9" i="54"/>
  <c r="H9" i="54"/>
  <c r="O9" i="54" s="1"/>
  <c r="Q9" i="54" s="1"/>
  <c r="T9" i="54" s="1"/>
  <c r="M7" i="54"/>
  <c r="H7" i="54"/>
  <c r="O7" i="54" s="1"/>
  <c r="Q7" i="54" s="1"/>
  <c r="T7" i="54" s="1"/>
  <c r="M5" i="54"/>
  <c r="H5" i="54"/>
  <c r="O5" i="54" s="1"/>
  <c r="Q5" i="54" s="1"/>
  <c r="T5" i="54" s="1"/>
  <c r="M4" i="54"/>
  <c r="K196" i="61" l="1"/>
  <c r="K198" i="61"/>
  <c r="K197" i="61"/>
  <c r="M10" i="54"/>
  <c r="M8" i="54"/>
  <c r="H6" i="54"/>
  <c r="M6" i="54"/>
  <c r="H4" i="54"/>
  <c r="O4" i="54" s="1"/>
  <c r="Q4" i="54" s="1"/>
  <c r="T4" i="54" s="1"/>
  <c r="K199" i="61" l="1"/>
  <c r="O6" i="54"/>
  <c r="Q6" i="54" s="1"/>
  <c r="T6" i="54" s="1"/>
  <c r="H10" i="54"/>
  <c r="O10" i="54" s="1"/>
  <c r="Q10" i="54" s="1"/>
  <c r="T10" i="54" s="1"/>
  <c r="H8" i="54"/>
  <c r="O8" i="54" s="1"/>
  <c r="Q8" i="54" s="1"/>
  <c r="T8" i="54" s="1"/>
  <c r="L10" i="53" l="1"/>
  <c r="I10" i="53"/>
  <c r="G10" i="53"/>
  <c r="D10" i="53"/>
  <c r="L9" i="53" l="1"/>
  <c r="G9" i="53"/>
  <c r="J9" i="53" l="1"/>
  <c r="I9" i="53" l="1"/>
  <c r="D9" i="53" l="1"/>
  <c r="I8" i="53" l="1"/>
  <c r="D8" i="53"/>
  <c r="L11" i="53" l="1"/>
  <c r="L7" i="53"/>
  <c r="L5" i="53"/>
  <c r="C18" i="53" l="1"/>
  <c r="K11" i="53"/>
  <c r="J11" i="53"/>
  <c r="I11" i="53"/>
  <c r="G11" i="53"/>
  <c r="F11" i="53"/>
  <c r="E11" i="53"/>
  <c r="D11" i="53"/>
  <c r="J10" i="53"/>
  <c r="E9" i="53"/>
  <c r="J8" i="53"/>
  <c r="H11" i="53" l="1"/>
  <c r="M11" i="53"/>
  <c r="O11" i="53" l="1"/>
  <c r="Q11" i="53" s="1"/>
  <c r="T11" i="53" s="1"/>
  <c r="G8" i="53" l="1"/>
  <c r="L8" i="53" l="1"/>
  <c r="E10" i="53" l="1"/>
  <c r="E8" i="53"/>
  <c r="K9" i="53" l="1"/>
  <c r="M9" i="53" s="1"/>
  <c r="F9" i="53"/>
  <c r="H9" i="53" s="1"/>
  <c r="D7" i="53"/>
  <c r="E7" i="53"/>
  <c r="G7" i="53"/>
  <c r="F7" i="53"/>
  <c r="K7" i="53"/>
  <c r="J7" i="53"/>
  <c r="I7" i="53"/>
  <c r="K5" i="53"/>
  <c r="J5" i="53"/>
  <c r="I5" i="53"/>
  <c r="G5" i="53"/>
  <c r="F5" i="53"/>
  <c r="D5" i="53"/>
  <c r="E5" i="53"/>
  <c r="F112" i="52"/>
  <c r="E291" i="52"/>
  <c r="I289" i="52"/>
  <c r="I284" i="52"/>
  <c r="C284" i="52"/>
  <c r="G277" i="52"/>
  <c r="T276" i="52"/>
  <c r="C275" i="52"/>
  <c r="C287" i="52" s="1"/>
  <c r="D289" i="52" s="1"/>
  <c r="L289" i="52" s="1"/>
  <c r="B291" i="52" s="1"/>
  <c r="I291" i="52" s="1"/>
  <c r="I272" i="52"/>
  <c r="G272" i="52"/>
  <c r="C272" i="52"/>
  <c r="F279" i="52" s="1"/>
  <c r="B270" i="52"/>
  <c r="G263" i="52"/>
  <c r="J263" i="52" s="1"/>
  <c r="C265" i="52" s="1"/>
  <c r="M265" i="52" s="1"/>
  <c r="D263" i="52"/>
  <c r="G258" i="52"/>
  <c r="C258" i="52"/>
  <c r="F265" i="52" s="1"/>
  <c r="B256" i="52"/>
  <c r="B250" i="52"/>
  <c r="O249" i="52"/>
  <c r="O246" i="52"/>
  <c r="O243" i="52" s="1"/>
  <c r="O239" i="52"/>
  <c r="K223" i="52"/>
  <c r="J223" i="52"/>
  <c r="M223" i="52" s="1"/>
  <c r="F226" i="52" s="1"/>
  <c r="E223" i="52"/>
  <c r="K222" i="52"/>
  <c r="J222" i="52"/>
  <c r="M222" i="52" s="1"/>
  <c r="B225" i="52" s="1"/>
  <c r="E222" i="52"/>
  <c r="H216" i="52"/>
  <c r="J215" i="52"/>
  <c r="H215" i="52"/>
  <c r="Z193" i="52"/>
  <c r="Z194" i="52" s="1"/>
  <c r="C186" i="52"/>
  <c r="C185" i="52"/>
  <c r="C184" i="52"/>
  <c r="F183" i="52"/>
  <c r="F187" i="52" s="1"/>
  <c r="D181" i="52"/>
  <c r="L181" i="52" s="1"/>
  <c r="I174" i="52"/>
  <c r="H174" i="52"/>
  <c r="S174" i="52" s="1"/>
  <c r="F173" i="52"/>
  <c r="L167" i="52"/>
  <c r="K160" i="52"/>
  <c r="G160" i="52"/>
  <c r="E161" i="52" s="1"/>
  <c r="J167" i="52" s="1"/>
  <c r="J148" i="52"/>
  <c r="I148" i="52"/>
  <c r="D148" i="52"/>
  <c r="L148" i="52" s="1"/>
  <c r="V145" i="52"/>
  <c r="K140" i="52"/>
  <c r="F140" i="52"/>
  <c r="F136" i="52"/>
  <c r="I128" i="52"/>
  <c r="H115" i="52"/>
  <c r="I102" i="52"/>
  <c r="F104" i="52" s="1"/>
  <c r="J101" i="52"/>
  <c r="F186" i="52" s="1"/>
  <c r="E101" i="52"/>
  <c r="K99" i="52"/>
  <c r="G100" i="52" s="1"/>
  <c r="M94" i="52"/>
  <c r="I94" i="52"/>
  <c r="G94" i="52"/>
  <c r="O94" i="52" s="1"/>
  <c r="E100" i="52" s="1"/>
  <c r="K86" i="52"/>
  <c r="K84" i="52"/>
  <c r="M83" i="52"/>
  <c r="K83" i="52"/>
  <c r="I83" i="52"/>
  <c r="D83" i="52"/>
  <c r="N84" i="52" s="1"/>
  <c r="N80" i="52"/>
  <c r="E74" i="52"/>
  <c r="J72" i="52"/>
  <c r="I72" i="52"/>
  <c r="L72" i="52" s="1"/>
  <c r="D72" i="52"/>
  <c r="L57" i="52"/>
  <c r="H57" i="52"/>
  <c r="F57" i="52"/>
  <c r="E55" i="52"/>
  <c r="L55" i="52" s="1"/>
  <c r="J53" i="52"/>
  <c r="I53" i="52"/>
  <c r="L53" i="52" s="1"/>
  <c r="B55" i="52" s="1"/>
  <c r="D53" i="52"/>
  <c r="C48" i="52"/>
  <c r="I48" i="52" s="1"/>
  <c r="L39" i="52"/>
  <c r="B41" i="52" s="1"/>
  <c r="J39" i="52"/>
  <c r="I39" i="52"/>
  <c r="C37" i="52"/>
  <c r="D39" i="52" s="1"/>
  <c r="C34" i="52"/>
  <c r="E41" i="52" s="1"/>
  <c r="J25" i="52"/>
  <c r="E25" i="52"/>
  <c r="M25" i="52" s="1"/>
  <c r="C27" i="52" s="1"/>
  <c r="U22" i="52"/>
  <c r="Z20" i="52"/>
  <c r="J12" i="52"/>
  <c r="M12" i="52" s="1"/>
  <c r="C14" i="52" s="1"/>
  <c r="E12" i="52"/>
  <c r="C242" i="51"/>
  <c r="D243" i="51" s="1"/>
  <c r="K15" i="51"/>
  <c r="S11" i="51"/>
  <c r="H4" i="51"/>
  <c r="C143" i="52" l="1"/>
  <c r="J175" i="59"/>
  <c r="I143" i="59"/>
  <c r="M4" i="51"/>
  <c r="C175" i="52"/>
  <c r="L111" i="52"/>
  <c r="H113" i="52"/>
  <c r="F128" i="52" s="1"/>
  <c r="I34" i="52"/>
  <c r="L41" i="52"/>
  <c r="H5" i="53"/>
  <c r="H7" i="53"/>
  <c r="M7" i="53"/>
  <c r="O9" i="53"/>
  <c r="Q9" i="53" s="1"/>
  <c r="T9" i="53" s="1"/>
  <c r="M5" i="53"/>
  <c r="I86" i="52"/>
  <c r="M86" i="52" s="1"/>
  <c r="G88" i="52" s="1"/>
  <c r="I88" i="52" s="1"/>
  <c r="G90" i="52" s="1"/>
  <c r="J98" i="52"/>
  <c r="I100" i="52" s="1"/>
  <c r="E204" i="52"/>
  <c r="H204" i="52" s="1"/>
  <c r="F185" i="52"/>
  <c r="I185" i="52" s="1"/>
  <c r="C188" i="52"/>
  <c r="B182" i="52"/>
  <c r="L182" i="52" s="1"/>
  <c r="F184" i="52"/>
  <c r="B74" i="52"/>
  <c r="L74" i="52" s="1"/>
  <c r="H202" i="52" s="1"/>
  <c r="E202" i="52"/>
  <c r="C102" i="52"/>
  <c r="F105" i="52" s="1"/>
  <c r="L104" i="52" s="1"/>
  <c r="C187" i="52"/>
  <c r="C183" i="52"/>
  <c r="K100" i="52"/>
  <c r="M100" i="52" s="1"/>
  <c r="F174" i="52" s="1"/>
  <c r="E203" i="52"/>
  <c r="H203" i="52" s="1"/>
  <c r="B150" i="52"/>
  <c r="L150" i="52" s="1"/>
  <c r="E168" i="52"/>
  <c r="H168" i="52" s="1"/>
  <c r="I105" i="52"/>
  <c r="I258" i="52"/>
  <c r="D277" i="52"/>
  <c r="J277" i="52" s="1"/>
  <c r="C279" i="52" s="1"/>
  <c r="M279" i="52" s="1"/>
  <c r="V145" i="5"/>
  <c r="R143" i="59" l="1"/>
  <c r="E197" i="59"/>
  <c r="R141" i="59"/>
  <c r="R181" i="59"/>
  <c r="E198" i="59"/>
  <c r="H198" i="59" s="1"/>
  <c r="V181" i="59"/>
  <c r="I183" i="52"/>
  <c r="E205" i="52"/>
  <c r="R185" i="52" s="1"/>
  <c r="L185" i="52" s="1"/>
  <c r="D174" i="52"/>
  <c r="O174" i="52" s="1"/>
  <c r="G175" i="52" s="1"/>
  <c r="J6" i="53" s="1"/>
  <c r="K121" i="52"/>
  <c r="O5" i="53"/>
  <c r="Q5" i="53" s="1"/>
  <c r="T5" i="53" s="1"/>
  <c r="O7" i="53"/>
  <c r="Q7" i="53" s="1"/>
  <c r="T7" i="53" s="1"/>
  <c r="H205" i="52"/>
  <c r="K204" i="52" s="1"/>
  <c r="I187" i="52"/>
  <c r="E214" i="52"/>
  <c r="R187" i="52"/>
  <c r="L187" i="52" s="1"/>
  <c r="H197" i="59" l="1"/>
  <c r="E199" i="59"/>
  <c r="S143" i="59"/>
  <c r="S145" i="59" s="1"/>
  <c r="X145" i="59" s="1"/>
  <c r="K202" i="52"/>
  <c r="O242" i="52"/>
  <c r="O237" i="52" s="1"/>
  <c r="O236" i="52" s="1"/>
  <c r="C251" i="52" s="1"/>
  <c r="D252" i="52" s="1"/>
  <c r="H118" i="52"/>
  <c r="K124" i="52" s="1"/>
  <c r="H124" i="52"/>
  <c r="E225" i="52"/>
  <c r="K225" i="52" s="1"/>
  <c r="D216" i="52"/>
  <c r="H214" i="52"/>
  <c r="B226" i="52"/>
  <c r="I226" i="52" s="1"/>
  <c r="K203" i="52"/>
  <c r="K205" i="52" s="1"/>
  <c r="Z193" i="5"/>
  <c r="O239" i="5"/>
  <c r="H199" i="59" l="1"/>
  <c r="K197" i="59" s="1"/>
  <c r="N124" i="52"/>
  <c r="F127" i="52" s="1"/>
  <c r="L128" i="52" s="1"/>
  <c r="F129" i="52" s="1"/>
  <c r="D140" i="52" s="1"/>
  <c r="D141" i="52" s="1"/>
  <c r="F143" i="52" s="1"/>
  <c r="E6" i="53" s="1"/>
  <c r="K214" i="52"/>
  <c r="N214" i="52" s="1"/>
  <c r="D215" i="52"/>
  <c r="D217" i="52"/>
  <c r="G217" i="52"/>
  <c r="D49" i="14"/>
  <c r="K196" i="59" l="1"/>
  <c r="K198" i="59"/>
  <c r="L215" i="52"/>
  <c r="O215" i="52"/>
  <c r="I72" i="5"/>
  <c r="I53" i="5"/>
  <c r="C37" i="5"/>
  <c r="W21" i="14"/>
  <c r="W22" i="14"/>
  <c r="W23" i="14"/>
  <c r="W20" i="14"/>
  <c r="AD35" i="14"/>
  <c r="AF34" i="14"/>
  <c r="AD36" i="14" s="1"/>
  <c r="Y29" i="14" s="1"/>
  <c r="AE34" i="14"/>
  <c r="AD34" i="14"/>
  <c r="Z13" i="14"/>
  <c r="K199" i="59" l="1"/>
  <c r="AD6" i="14"/>
  <c r="T276" i="5"/>
  <c r="I289" i="5"/>
  <c r="Z20" i="5"/>
  <c r="J25" i="5"/>
  <c r="U22" i="5"/>
  <c r="I148" i="5"/>
  <c r="F6" i="50" l="1"/>
  <c r="V48" i="50" l="1"/>
  <c r="V50" i="50"/>
  <c r="V51" i="50" s="1"/>
  <c r="B51" i="50"/>
  <c r="J325" i="50"/>
  <c r="J309" i="50"/>
  <c r="K293" i="50"/>
  <c r="H285" i="50"/>
  <c r="E285" i="50"/>
  <c r="G273" i="50"/>
  <c r="J240" i="50"/>
  <c r="F239" i="50"/>
  <c r="F240" i="50" s="1"/>
  <c r="D231" i="50"/>
  <c r="J217" i="50"/>
  <c r="J192" i="50"/>
  <c r="B184" i="50"/>
  <c r="E168" i="50"/>
  <c r="K152" i="50"/>
  <c r="I152" i="50"/>
  <c r="G152" i="50"/>
  <c r="J147" i="50"/>
  <c r="M146" i="50"/>
  <c r="J146" i="50"/>
  <c r="M140" i="50"/>
  <c r="I133" i="50" s="1"/>
  <c r="K138" i="50"/>
  <c r="G133" i="50" s="1"/>
  <c r="I138" i="50"/>
  <c r="O133" i="50"/>
  <c r="N133" i="50"/>
  <c r="M133" i="50"/>
  <c r="K133" i="50"/>
  <c r="J133" i="50"/>
  <c r="E133" i="50"/>
  <c r="D107" i="50"/>
  <c r="L107" i="50" s="1"/>
  <c r="M101" i="50" s="1"/>
  <c r="G79" i="50"/>
  <c r="K71" i="50"/>
  <c r="H71" i="50"/>
  <c r="E71" i="50"/>
  <c r="K57" i="50"/>
  <c r="H57" i="50"/>
  <c r="E57" i="50"/>
  <c r="V46" i="50"/>
  <c r="W46" i="50" s="1"/>
  <c r="M44" i="50"/>
  <c r="I39" i="50"/>
  <c r="E39" i="50"/>
  <c r="J24" i="50"/>
  <c r="J7" i="50"/>
  <c r="F7" i="50"/>
  <c r="J12" i="5"/>
  <c r="E12" i="5"/>
  <c r="C275" i="5"/>
  <c r="C287" i="5" s="1"/>
  <c r="G258" i="5"/>
  <c r="Z194" i="5"/>
  <c r="E25" i="5"/>
  <c r="D181" i="5"/>
  <c r="N39" i="50" l="1"/>
  <c r="T39" i="50" s="1"/>
  <c r="M71" i="50"/>
  <c r="G77" i="50" s="1"/>
  <c r="M7" i="50"/>
  <c r="F8" i="50" s="1"/>
  <c r="G11" i="50" s="1"/>
  <c r="M240" i="50"/>
  <c r="F241" i="50" s="1"/>
  <c r="G244" i="50" s="1"/>
  <c r="M57" i="50"/>
  <c r="G63" i="50" s="1"/>
  <c r="J285" i="50"/>
  <c r="M12" i="5"/>
  <c r="C14" i="5" s="1"/>
  <c r="M25" i="5"/>
  <c r="C27" i="5" l="1"/>
  <c r="F40" i="50"/>
  <c r="M40" i="50" s="1"/>
  <c r="X36" i="50"/>
  <c r="X37" i="50" s="1"/>
  <c r="H58" i="14" l="1"/>
  <c r="O50" i="14"/>
  <c r="O49" i="14"/>
  <c r="D61" i="14"/>
  <c r="D60" i="14"/>
  <c r="D59" i="14"/>
  <c r="L66" i="14"/>
  <c r="K15" i="1" l="1"/>
  <c r="K140" i="5" s="1"/>
  <c r="I58" i="14"/>
  <c r="I59" i="14" s="1"/>
  <c r="G263" i="5"/>
  <c r="D263" i="5"/>
  <c r="B256" i="5"/>
  <c r="D39" i="5"/>
  <c r="I39" i="5"/>
  <c r="J39" i="5"/>
  <c r="D53" i="5"/>
  <c r="J53" i="5"/>
  <c r="F57" i="5"/>
  <c r="H57" i="5"/>
  <c r="L57" i="5"/>
  <c r="D72" i="5"/>
  <c r="L72" i="5" s="1"/>
  <c r="J72" i="5"/>
  <c r="K80" i="5"/>
  <c r="F136" i="5" s="1"/>
  <c r="N80" i="5"/>
  <c r="K84" i="5" s="1"/>
  <c r="D83" i="5"/>
  <c r="I83" i="5"/>
  <c r="K83" i="5"/>
  <c r="M83" i="5"/>
  <c r="K86" i="5"/>
  <c r="I94" i="5"/>
  <c r="M94" i="5"/>
  <c r="E101" i="5"/>
  <c r="I102" i="5" s="1"/>
  <c r="F140" i="5"/>
  <c r="D148" i="5"/>
  <c r="J148" i="5"/>
  <c r="G160" i="5"/>
  <c r="L181" i="5"/>
  <c r="K4" i="53" s="1"/>
  <c r="K6" i="53" s="1"/>
  <c r="K8" i="53" s="1"/>
  <c r="C184" i="5"/>
  <c r="C185" i="5"/>
  <c r="H215" i="5"/>
  <c r="J215" i="5"/>
  <c r="H216" i="5"/>
  <c r="E222" i="5"/>
  <c r="J222" i="5"/>
  <c r="K222" i="5"/>
  <c r="E223" i="5"/>
  <c r="J223" i="5"/>
  <c r="K223" i="5"/>
  <c r="O246" i="5"/>
  <c r="O249" i="5"/>
  <c r="B250" i="5"/>
  <c r="B270" i="5"/>
  <c r="G272" i="5"/>
  <c r="D277" i="5"/>
  <c r="G277" i="5"/>
  <c r="D289" i="5"/>
  <c r="L289" i="5" s="1"/>
  <c r="C242" i="1"/>
  <c r="D243" i="1" s="1"/>
  <c r="C8" i="14"/>
  <c r="C9" i="14"/>
  <c r="C10" i="14"/>
  <c r="C11" i="14"/>
  <c r="C12" i="14"/>
  <c r="G13" i="14"/>
  <c r="O25" i="14" s="1"/>
  <c r="L21" i="14"/>
  <c r="J33" i="14" s="1"/>
  <c r="M33" i="14"/>
  <c r="T38" i="14"/>
  <c r="H56" i="14" s="1"/>
  <c r="U40" i="14"/>
  <c r="T37" i="14" s="1"/>
  <c r="H61" i="14" s="1"/>
  <c r="V44" i="14"/>
  <c r="I50" i="14"/>
  <c r="B239" i="14"/>
  <c r="C240" i="14" s="1"/>
  <c r="M8" i="53" l="1"/>
  <c r="K10" i="53"/>
  <c r="M10" i="53" s="1"/>
  <c r="T41" i="14"/>
  <c r="H59" i="14" s="1"/>
  <c r="I174" i="5"/>
  <c r="F173" i="5"/>
  <c r="L167" i="5"/>
  <c r="G101" i="50"/>
  <c r="O101" i="50" s="1"/>
  <c r="G122" i="50" s="1"/>
  <c r="I56" i="14"/>
  <c r="J56" i="14" s="1"/>
  <c r="K56" i="14" s="1"/>
  <c r="C38" i="14" s="1"/>
  <c r="I60" i="14"/>
  <c r="I57" i="14"/>
  <c r="J58" i="14"/>
  <c r="C49" i="14" s="1"/>
  <c r="C48" i="14" s="1"/>
  <c r="M222" i="5"/>
  <c r="B225" i="5" s="1"/>
  <c r="J101" i="5"/>
  <c r="C102" i="5" s="1"/>
  <c r="F105" i="5" s="1"/>
  <c r="L39" i="5"/>
  <c r="B41" i="5" s="1"/>
  <c r="L148" i="5"/>
  <c r="O48" i="14"/>
  <c r="J263" i="5"/>
  <c r="M223" i="5"/>
  <c r="F226" i="5" s="1"/>
  <c r="I49" i="14"/>
  <c r="J277" i="5"/>
  <c r="L53" i="5"/>
  <c r="F104" i="5"/>
  <c r="I105" i="5"/>
  <c r="F112" i="5"/>
  <c r="H167" i="5"/>
  <c r="H117" i="5"/>
  <c r="I128" i="5" s="1"/>
  <c r="K99" i="5"/>
  <c r="G100" i="5" s="1"/>
  <c r="N84" i="5"/>
  <c r="J98" i="5" s="1"/>
  <c r="I100" i="5" s="1"/>
  <c r="B291" i="5"/>
  <c r="C188" i="5"/>
  <c r="B182" i="5"/>
  <c r="L24" i="14" s="1"/>
  <c r="L22" i="14" s="1"/>
  <c r="F185" i="5"/>
  <c r="F184" i="5"/>
  <c r="E204" i="5"/>
  <c r="T39" i="14"/>
  <c r="H57" i="14" s="1"/>
  <c r="C186" i="5"/>
  <c r="U38" i="14"/>
  <c r="E202" i="5"/>
  <c r="B74" i="5"/>
  <c r="P49" i="14"/>
  <c r="J49" i="14" s="1"/>
  <c r="N32" i="14"/>
  <c r="C11" i="33"/>
  <c r="B150" i="5" l="1"/>
  <c r="F4" i="53"/>
  <c r="F6" i="53" s="1"/>
  <c r="F8" i="53" s="1"/>
  <c r="U41" i="14"/>
  <c r="B55" i="5"/>
  <c r="B168" i="50"/>
  <c r="K168" i="50" s="1"/>
  <c r="B50" i="50" s="1"/>
  <c r="H50" i="50" s="1"/>
  <c r="H49" i="50" s="1"/>
  <c r="I49" i="50" s="1"/>
  <c r="J50" i="50" s="1"/>
  <c r="E203" i="5"/>
  <c r="K58" i="14"/>
  <c r="C40" i="14" s="1"/>
  <c r="F186" i="5"/>
  <c r="I185" i="5" s="1"/>
  <c r="C265" i="5"/>
  <c r="L104" i="5"/>
  <c r="J61" i="14"/>
  <c r="K61" i="14" s="1"/>
  <c r="C37" i="14" s="1"/>
  <c r="C26" i="14" s="1"/>
  <c r="C284" i="5"/>
  <c r="AM29" i="14"/>
  <c r="J57" i="14"/>
  <c r="K57" i="14" s="1"/>
  <c r="C39" i="14" s="1"/>
  <c r="C279" i="5"/>
  <c r="I86" i="5"/>
  <c r="M86" i="5" s="1"/>
  <c r="G88" i="5" s="1"/>
  <c r="I88" i="5" s="1"/>
  <c r="G90" i="5" s="1"/>
  <c r="J59" i="14"/>
  <c r="K59" i="14" s="1"/>
  <c r="C41" i="14" s="1"/>
  <c r="H8" i="53" l="1"/>
  <c r="O8" i="53" s="1"/>
  <c r="Q8" i="53" s="1"/>
  <c r="T8" i="53" s="1"/>
  <c r="F10" i="53"/>
  <c r="H10" i="53" s="1"/>
  <c r="O10" i="53" s="1"/>
  <c r="Q10" i="53" s="1"/>
  <c r="T10" i="53" s="1"/>
  <c r="G94" i="5"/>
  <c r="O94" i="5" s="1"/>
  <c r="E205" i="5"/>
  <c r="R185" i="5" s="1"/>
  <c r="L185" i="5" s="1"/>
  <c r="G7" i="14"/>
  <c r="AE19" i="14"/>
  <c r="O31" i="14" s="1"/>
  <c r="I48" i="14"/>
  <c r="AQ29" i="14"/>
  <c r="AP29" i="14" s="1"/>
  <c r="AM30" i="14"/>
  <c r="AQ30" i="14" s="1"/>
  <c r="AP30" i="14" s="1"/>
  <c r="I284" i="5"/>
  <c r="E291" i="5"/>
  <c r="I291" i="5" s="1"/>
  <c r="E100" i="5" l="1"/>
  <c r="H174" i="5"/>
  <c r="S174" i="5" s="1"/>
  <c r="K100" i="5"/>
  <c r="K160" i="5"/>
  <c r="E161" i="5" s="1"/>
  <c r="J167" i="5" s="1"/>
  <c r="G341" i="50"/>
  <c r="F23" i="50"/>
  <c r="F24" i="50" s="1"/>
  <c r="M24" i="50" s="1"/>
  <c r="F25" i="50" s="1"/>
  <c r="G28" i="50" s="1"/>
  <c r="E254" i="50"/>
  <c r="O242" i="5"/>
  <c r="D39" i="14"/>
  <c r="D41" i="14"/>
  <c r="D40" i="14"/>
  <c r="D38" i="14"/>
  <c r="M100" i="5" l="1"/>
  <c r="F174" i="5" s="1"/>
  <c r="T7" i="14" l="1"/>
  <c r="M31" i="14"/>
  <c r="M32" i="14" s="1"/>
  <c r="Z7" i="14" l="1"/>
  <c r="F308" i="50"/>
  <c r="F309" i="50" s="1"/>
  <c r="M309" i="50" s="1"/>
  <c r="F310" i="50" s="1"/>
  <c r="G313" i="50" s="1"/>
  <c r="F191" i="50"/>
  <c r="M191" i="50" s="1"/>
  <c r="F192" i="50" s="1"/>
  <c r="M192" i="50" s="1"/>
  <c r="G196" i="50" s="1"/>
  <c r="E256" i="50"/>
  <c r="E257" i="50" s="1"/>
  <c r="L257" i="50" s="1"/>
  <c r="E258" i="50" s="1"/>
  <c r="N258" i="50" s="1"/>
  <c r="G263" i="50" s="1"/>
  <c r="T263" i="50" s="1"/>
  <c r="E93" i="50"/>
  <c r="I32" i="14"/>
  <c r="I33" i="14" s="1"/>
  <c r="E150" i="5"/>
  <c r="L150" i="5" s="1"/>
  <c r="G4" i="53" s="1"/>
  <c r="G6" i="53" s="1"/>
  <c r="E182" i="5"/>
  <c r="C3" i="33"/>
  <c r="C48" i="5"/>
  <c r="I48" i="5" s="1"/>
  <c r="C34" i="5"/>
  <c r="E55" i="5"/>
  <c r="L55" i="5" s="1"/>
  <c r="H4" i="1"/>
  <c r="E74" i="5"/>
  <c r="L74" i="5" s="1"/>
  <c r="H202" i="5" s="1"/>
  <c r="T10" i="14"/>
  <c r="T9" i="14"/>
  <c r="T11" i="14"/>
  <c r="C258" i="5"/>
  <c r="T8" i="14"/>
  <c r="T12" i="14"/>
  <c r="I143" i="52" l="1"/>
  <c r="R141" i="52" s="1"/>
  <c r="D7" i="52"/>
  <c r="J175" i="52"/>
  <c r="V181" i="52" s="1"/>
  <c r="C66" i="52"/>
  <c r="J66" i="52" s="1"/>
  <c r="E196" i="52" s="1"/>
  <c r="D20" i="52"/>
  <c r="Z11" i="14"/>
  <c r="Z9" i="14"/>
  <c r="Z10" i="14"/>
  <c r="Z8" i="14"/>
  <c r="Z12" i="14"/>
  <c r="F325" i="50"/>
  <c r="M325" i="50" s="1"/>
  <c r="F326" i="50" s="1"/>
  <c r="D20" i="5"/>
  <c r="J20" i="5" s="1"/>
  <c r="D7" i="5"/>
  <c r="E41" i="5"/>
  <c r="L41" i="5" s="1"/>
  <c r="I34" i="5"/>
  <c r="C272" i="5"/>
  <c r="H204" i="5"/>
  <c r="C187" i="5"/>
  <c r="C183" i="5"/>
  <c r="L182" i="5"/>
  <c r="L4" i="53" s="1"/>
  <c r="L6" i="53" s="1"/>
  <c r="H203" i="5"/>
  <c r="I258" i="5"/>
  <c r="F265" i="5"/>
  <c r="M265" i="5" s="1"/>
  <c r="C143" i="5"/>
  <c r="C66" i="5"/>
  <c r="J66" i="5" s="1"/>
  <c r="E196" i="5" s="1"/>
  <c r="H196" i="5" s="1"/>
  <c r="M4" i="1"/>
  <c r="C175" i="5"/>
  <c r="H196" i="52" l="1"/>
  <c r="R181" i="52"/>
  <c r="I6" i="53"/>
  <c r="M6" i="53" s="1"/>
  <c r="E198" i="52"/>
  <c r="H198" i="52" s="1"/>
  <c r="F14" i="52"/>
  <c r="J14" i="52" s="1"/>
  <c r="J7" i="52"/>
  <c r="J20" i="52"/>
  <c r="F27" i="52"/>
  <c r="J27" i="52" s="1"/>
  <c r="D6" i="53"/>
  <c r="H6" i="53" s="1"/>
  <c r="R143" i="52"/>
  <c r="E197" i="52"/>
  <c r="H197" i="52" s="1"/>
  <c r="G330" i="50"/>
  <c r="B327" i="50"/>
  <c r="F27" i="5"/>
  <c r="J27" i="5" s="1"/>
  <c r="F14" i="5"/>
  <c r="J14" i="5" s="1"/>
  <c r="J7" i="5"/>
  <c r="H205" i="5"/>
  <c r="K203" i="5" s="1"/>
  <c r="E214" i="5"/>
  <c r="I272" i="5"/>
  <c r="F279" i="5"/>
  <c r="M279" i="5" s="1"/>
  <c r="S143" i="52" l="1"/>
  <c r="S145" i="52" s="1"/>
  <c r="X145" i="52" s="1"/>
  <c r="O6" i="53"/>
  <c r="Q6" i="53" s="1"/>
  <c r="T6" i="53" s="1"/>
  <c r="E199" i="52"/>
  <c r="H199" i="52"/>
  <c r="K198" i="52" s="1"/>
  <c r="K204" i="5"/>
  <c r="E225" i="5"/>
  <c r="K225" i="5" s="1"/>
  <c r="B226" i="5"/>
  <c r="I226" i="5" s="1"/>
  <c r="H214" i="5"/>
  <c r="D216" i="5"/>
  <c r="K202" i="5"/>
  <c r="K196" i="52" l="1"/>
  <c r="K197" i="52"/>
  <c r="K205" i="5"/>
  <c r="D215" i="5"/>
  <c r="K214" i="5"/>
  <c r="N214" i="5" s="1"/>
  <c r="G217" i="5"/>
  <c r="D217" i="5"/>
  <c r="K199" i="52" l="1"/>
  <c r="L215" i="5"/>
  <c r="O215" i="5"/>
  <c r="Y30" i="14"/>
  <c r="C27" i="14" s="1"/>
  <c r="J65" i="14"/>
  <c r="K65" i="14" s="1"/>
  <c r="P65" i="14" s="1"/>
  <c r="D27" i="14" l="1"/>
  <c r="G8" i="14"/>
  <c r="H8" i="14" s="1"/>
  <c r="Z30" i="14"/>
  <c r="L23" i="14" l="1"/>
  <c r="O20" i="14"/>
  <c r="L20" i="14"/>
  <c r="K13" i="51" s="1"/>
  <c r="K13" i="1" l="1"/>
  <c r="E167" i="5"/>
  <c r="E168" i="5" s="1"/>
  <c r="H168" i="5" s="1"/>
  <c r="G87" i="50"/>
  <c r="C4" i="33"/>
  <c r="D5" i="33" s="1"/>
  <c r="D6" i="33" s="1"/>
  <c r="D7" i="33" s="1"/>
  <c r="F183" i="5"/>
  <c r="H116" i="5"/>
  <c r="I183" i="5" l="1"/>
  <c r="F187" i="5"/>
  <c r="H115" i="5"/>
  <c r="R187" i="5" l="1"/>
  <c r="L187" i="5" s="1"/>
  <c r="I187" i="5"/>
  <c r="Y31" i="14"/>
  <c r="Z31" i="14" s="1"/>
  <c r="J66" i="14"/>
  <c r="K66" i="14" s="1"/>
  <c r="P66" i="14" s="1"/>
  <c r="C28" i="14" l="1"/>
  <c r="G9" i="14" s="1"/>
  <c r="H9" i="14" s="1"/>
  <c r="Y32" i="14"/>
  <c r="C29" i="14" s="1"/>
  <c r="J67" i="14"/>
  <c r="K67" i="14" s="1"/>
  <c r="P67" i="14" s="1"/>
  <c r="D28" i="14" l="1"/>
  <c r="Z32" i="14"/>
  <c r="O21" i="14"/>
  <c r="G10" i="14"/>
  <c r="H10" i="14" s="1"/>
  <c r="D29" i="14"/>
  <c r="O22" i="14" l="1"/>
  <c r="O237" i="5" l="1"/>
  <c r="O243" i="5"/>
  <c r="O236" i="5" l="1"/>
  <c r="C251" i="5" s="1"/>
  <c r="D252" i="5" l="1"/>
  <c r="AD29" i="14"/>
  <c r="F292" i="50" l="1"/>
  <c r="F293" i="50" s="1"/>
  <c r="O293" i="50" s="1"/>
  <c r="G297" i="50" s="1"/>
  <c r="B273" i="50"/>
  <c r="J273" i="50" s="1"/>
  <c r="G276" i="50" s="1"/>
  <c r="Y33" i="14"/>
  <c r="C30" i="14" s="1"/>
  <c r="D30" i="14" s="1"/>
  <c r="J68" i="14"/>
  <c r="K68" i="14" s="1"/>
  <c r="P68" i="14" s="1"/>
  <c r="Z33" i="14" l="1"/>
  <c r="G11" i="14"/>
  <c r="H11" i="14" s="1"/>
  <c r="O23" i="14" l="1"/>
  <c r="H114" i="5" l="1"/>
  <c r="H113" i="5" s="1"/>
  <c r="D174" i="5" s="1"/>
  <c r="H111" i="5"/>
  <c r="L111" i="5" s="1"/>
  <c r="O174" i="5" l="1"/>
  <c r="G175" i="5" s="1"/>
  <c r="K121" i="5"/>
  <c r="F128" i="5"/>
  <c r="AG19" i="14"/>
  <c r="P9" i="14" s="1"/>
  <c r="J175" i="5" l="1"/>
  <c r="I4" i="53" s="1"/>
  <c r="M4" i="53" s="1"/>
  <c r="J4" i="53"/>
  <c r="E189" i="50"/>
  <c r="N10" i="14"/>
  <c r="H118" i="5"/>
  <c r="H124" i="5"/>
  <c r="E198" i="5" l="1"/>
  <c r="H198" i="5" s="1"/>
  <c r="R181" i="5"/>
  <c r="K124" i="5"/>
  <c r="N124" i="5" s="1"/>
  <c r="F127" i="5" l="1"/>
  <c r="L128" i="5" s="1"/>
  <c r="F129" i="5" s="1"/>
  <c r="G112" i="50"/>
  <c r="I112" i="50" s="1"/>
  <c r="K112" i="50" s="1"/>
  <c r="J122" i="50" s="1"/>
  <c r="D140" i="5" l="1"/>
  <c r="D141" i="5" s="1"/>
  <c r="F143" i="5" s="1"/>
  <c r="H93" i="50"/>
  <c r="K93" i="50" s="1"/>
  <c r="I87" i="50" s="1"/>
  <c r="N87" i="50" s="1"/>
  <c r="D122" i="50" s="1"/>
  <c r="M122" i="50" s="1"/>
  <c r="C133" i="50" s="1"/>
  <c r="P133" i="50" s="1"/>
  <c r="D152" i="50" s="1"/>
  <c r="M152" i="50" s="1"/>
  <c r="D162" i="50" s="1"/>
  <c r="H162" i="50" s="1"/>
  <c r="K162" i="50" s="1"/>
  <c r="I143" i="5" l="1"/>
  <c r="Z143" i="5" s="1"/>
  <c r="E4" i="53"/>
  <c r="B169" i="50"/>
  <c r="G173" i="50" s="1"/>
  <c r="B183" i="50"/>
  <c r="H183" i="50" s="1"/>
  <c r="I182" i="50" s="1"/>
  <c r="J182" i="50" s="1"/>
  <c r="J183" i="50" s="1"/>
  <c r="E197" i="5" l="1"/>
  <c r="H197" i="5" s="1"/>
  <c r="R143" i="5"/>
  <c r="S143" i="5" s="1"/>
  <c r="S145" i="5" s="1"/>
  <c r="X145" i="5" s="1"/>
  <c r="D4" i="53"/>
  <c r="H4" i="53" s="1"/>
  <c r="O4" i="53" s="1"/>
  <c r="Q4" i="53" s="1"/>
  <c r="T4" i="53" s="1"/>
  <c r="E199" i="5"/>
  <c r="H199" i="5"/>
  <c r="K196" i="5" l="1"/>
  <c r="K198" i="5"/>
  <c r="K197" i="5"/>
  <c r="Y34" i="14"/>
  <c r="Z34" i="14" s="1"/>
  <c r="J69" i="14"/>
  <c r="K69" i="14" s="1"/>
  <c r="P69" i="14" s="1"/>
  <c r="K199" i="5" l="1"/>
  <c r="D31" i="14" l="1"/>
  <c r="G12" i="14"/>
  <c r="T42" i="14" s="1"/>
  <c r="H12" i="14" l="1"/>
  <c r="O24" i="14" s="1"/>
  <c r="U42" i="14"/>
  <c r="H60" i="14"/>
  <c r="J60" i="14" l="1"/>
  <c r="K60" i="14" s="1"/>
  <c r="C42" i="14" s="1"/>
  <c r="D206" i="50"/>
  <c r="S11" i="1"/>
  <c r="C8" i="33"/>
  <c r="C32" i="14" l="1"/>
  <c r="D42" i="14"/>
  <c r="D9" i="33"/>
  <c r="D12" i="33"/>
  <c r="D13" i="33" s="1"/>
  <c r="F216" i="50"/>
  <c r="F217" i="50" s="1"/>
  <c r="M217" i="50" s="1"/>
  <c r="F218" i="50" s="1"/>
  <c r="G221" i="50" s="1"/>
  <c r="D208" i="50"/>
  <c r="H208" i="50" s="1"/>
  <c r="D10" i="33" l="1"/>
  <c r="D14" i="33"/>
  <c r="D15" i="33" l="1"/>
  <c r="D16" i="33"/>
</calcChain>
</file>

<file path=xl/sharedStrings.xml><?xml version="1.0" encoding="utf-8"?>
<sst xmlns="http://schemas.openxmlformats.org/spreadsheetml/2006/main" count="4874" uniqueCount="934">
  <si>
    <t>◆ 설계조건</t>
    <phoneticPr fontId="2" type="noConversion"/>
  </si>
  <si>
    <t>:</t>
    <phoneticPr fontId="2" type="noConversion"/>
  </si>
  <si>
    <t>◆ 제    원</t>
    <phoneticPr fontId="2" type="noConversion"/>
  </si>
  <si>
    <t>항목</t>
    <phoneticPr fontId="2" type="noConversion"/>
  </si>
  <si>
    <t>서식</t>
    <phoneticPr fontId="2" type="noConversion"/>
  </si>
  <si>
    <t>설계기준</t>
    <phoneticPr fontId="2" type="noConversion"/>
  </si>
  <si>
    <t>산출값</t>
    <phoneticPr fontId="2" type="noConversion"/>
  </si>
  <si>
    <t>단위</t>
    <phoneticPr fontId="2" type="noConversion"/>
  </si>
  <si>
    <t xml:space="preserve"> 1. 유량</t>
    <phoneticPr fontId="2" type="noConversion"/>
  </si>
  <si>
    <t xml:space="preserve"> 2. 유입 BOD</t>
    <phoneticPr fontId="2" type="noConversion"/>
  </si>
  <si>
    <t>mg/l</t>
    <phoneticPr fontId="2" type="noConversion"/>
  </si>
  <si>
    <t>kg/day</t>
    <phoneticPr fontId="2" type="noConversion"/>
  </si>
  <si>
    <t xml:space="preserve"> 3. bCOD(생물분해가능 COD)</t>
    <phoneticPr fontId="2" type="noConversion"/>
  </si>
  <si>
    <t xml:space="preserve"> 5. 유입 T-P</t>
    <phoneticPr fontId="2" type="noConversion"/>
  </si>
  <si>
    <t xml:space="preserve"> 6. C/P비 </t>
    <phoneticPr fontId="2" type="noConversion"/>
  </si>
  <si>
    <t>C/P비(VFA/제거해야할T-P)는 최소10을 적용</t>
    <phoneticPr fontId="2" type="noConversion"/>
  </si>
  <si>
    <t xml:space="preserve"> 7. 유출 T-P</t>
    <phoneticPr fontId="2" type="noConversion"/>
  </si>
  <si>
    <t xml:space="preserve"> 8. 제거해야할 T-P</t>
    <phoneticPr fontId="2" type="noConversion"/>
  </si>
  <si>
    <t xml:space="preserve"> 9. 인제거 위한 VFA 량  </t>
    <phoneticPr fontId="2" type="noConversion"/>
  </si>
  <si>
    <t xml:space="preserve">인1kg제거시 필요한 VFA는 10kg필요 </t>
    <phoneticPr fontId="2" type="noConversion"/>
  </si>
  <si>
    <t xml:space="preserve"> 10. 인제거 하고 남은 VFA 량</t>
    <phoneticPr fontId="2" type="noConversion"/>
  </si>
  <si>
    <t>유입VFA - 인제거위한VFA</t>
    <phoneticPr fontId="2" type="noConversion"/>
  </si>
  <si>
    <t xml:space="preserve"> 11. Alum 투입 여부</t>
    <phoneticPr fontId="2" type="noConversion"/>
  </si>
  <si>
    <r>
      <t>m</t>
    </r>
    <r>
      <rPr>
        <vertAlign val="superscript"/>
        <sz val="10"/>
        <rFont val="굴림체"/>
        <family val="3"/>
        <charset val="129"/>
      </rPr>
      <t>3</t>
    </r>
    <r>
      <rPr>
        <sz val="10"/>
        <rFont val="굴림체"/>
        <family val="3"/>
        <charset val="129"/>
      </rPr>
      <t>/day</t>
    </r>
    <phoneticPr fontId="2" type="noConversion"/>
  </si>
  <si>
    <t>항   목</t>
    <phoneticPr fontId="2" type="noConversion"/>
  </si>
  <si>
    <t xml:space="preserve"> </t>
    <phoneticPr fontId="2" type="noConversion"/>
  </si>
  <si>
    <t xml:space="preserve"> 4. VFA(Volatile Fatty Acid) 함유량</t>
    <phoneticPr fontId="2" type="noConversion"/>
  </si>
  <si>
    <t>ratio</t>
    <phoneticPr fontId="2" type="noConversion"/>
  </si>
  <si>
    <t>(</t>
    <phoneticPr fontId="2" type="noConversion"/>
  </si>
  <si>
    <t>COD</t>
    <phoneticPr fontId="2" type="noConversion"/>
  </si>
  <si>
    <t>=</t>
    <phoneticPr fontId="2" type="noConversion"/>
  </si>
  <si>
    <t>㎥/min</t>
    <phoneticPr fontId="2" type="noConversion"/>
  </si>
  <si>
    <t>동   력</t>
    <phoneticPr fontId="2" type="noConversion"/>
  </si>
  <si>
    <t>Kw</t>
    <phoneticPr fontId="2" type="noConversion"/>
  </si>
  <si>
    <t>수   량</t>
    <phoneticPr fontId="2" type="noConversion"/>
  </si>
  <si>
    <t>대</t>
    <phoneticPr fontId="2" type="noConversion"/>
  </si>
  <si>
    <t>m</t>
    <phoneticPr fontId="2" type="noConversion"/>
  </si>
  <si>
    <t>구   분</t>
    <phoneticPr fontId="2" type="noConversion"/>
  </si>
  <si>
    <t>유입유량의</t>
    <phoneticPr fontId="2" type="noConversion"/>
  </si>
  <si>
    <t xml:space="preserve">Bio-maker 용량의 </t>
    <phoneticPr fontId="2" type="noConversion"/>
  </si>
  <si>
    <t xml:space="preserve"> (</t>
    <phoneticPr fontId="2" type="noConversion"/>
  </si>
  <si>
    <t>×</t>
    <phoneticPr fontId="2" type="noConversion"/>
  </si>
  <si>
    <t>/100×1,000</t>
    <phoneticPr fontId="2" type="noConversion"/>
  </si>
  <si>
    <t>/100×0.8</t>
    <phoneticPr fontId="2" type="noConversion"/>
  </si>
  <si>
    <t>㎥/day</t>
    <phoneticPr fontId="2" type="noConversion"/>
  </si>
  <si>
    <t>BOD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</si>
  <si>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</si>
  <si>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</si>
  <si>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</si>
  <si>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비  고</t>
    <phoneticPr fontId="2" type="noConversion"/>
  </si>
  <si>
    <t xml:space="preserve">◆ 용      량 </t>
    <phoneticPr fontId="2" type="noConversion"/>
  </si>
  <si>
    <t>×</t>
  </si>
  <si>
    <t>÷</t>
  </si>
  <si>
    <t>-</t>
    <phoneticPr fontId="2" type="noConversion"/>
  </si>
  <si>
    <t>℃</t>
  </si>
  <si>
    <t>Q</t>
    <phoneticPr fontId="2" type="noConversion"/>
  </si>
  <si>
    <t>·</t>
  </si>
  <si>
    <t>≒</t>
  </si>
  <si>
    <t>mm</t>
    <phoneticPr fontId="2" type="noConversion"/>
  </si>
  <si>
    <t>◆ 형      식</t>
    <phoneticPr fontId="2" type="noConversion"/>
  </si>
  <si>
    <t>펌프의 대수 :</t>
    <phoneticPr fontId="2" type="noConversion"/>
  </si>
  <si>
    <t>Mh</t>
    <phoneticPr fontId="2" type="noConversion"/>
  </si>
  <si>
    <t>㎥/d</t>
    <phoneticPr fontId="2" type="noConversion"/>
  </si>
  <si>
    <t>비   고</t>
    <phoneticPr fontId="2" type="noConversion"/>
  </si>
  <si>
    <t>단 위</t>
    <phoneticPr fontId="2" type="noConversion"/>
  </si>
  <si>
    <t>사       양</t>
    <phoneticPr fontId="2" type="noConversion"/>
  </si>
  <si>
    <t>형   식</t>
    <phoneticPr fontId="2" type="noConversion"/>
  </si>
  <si>
    <t>용   량</t>
    <phoneticPr fontId="2" type="noConversion"/>
  </si>
  <si>
    <t>구   경</t>
    <phoneticPr fontId="2" type="noConversion"/>
  </si>
  <si>
    <t>펌프의 가동시간 :</t>
    <phoneticPr fontId="2" type="noConversion"/>
  </si>
  <si>
    <t>수   두</t>
    <phoneticPr fontId="2" type="noConversion"/>
  </si>
  <si>
    <t>㎎/ℓ</t>
  </si>
  <si>
    <t>슬러지반송률</t>
    <phoneticPr fontId="2" type="noConversion"/>
  </si>
  <si>
    <t>내부반송율</t>
    <phoneticPr fontId="2" type="noConversion"/>
  </si>
  <si>
    <t>㎥</t>
    <phoneticPr fontId="2" type="noConversion"/>
  </si>
  <si>
    <t>SOR =</t>
  </si>
  <si>
    <t>)</t>
  </si>
  <si>
    <t>Q : 유입하수량</t>
  </si>
  <si>
    <t>K : 탈질에 의해 소비되는 BOD량(2.86kgBOD/kgN)</t>
  </si>
  <si>
    <t>B : 단위MLVSS당 내생호흡에 의한 산소소비량</t>
  </si>
  <si>
    <t>m)에 대한 CS의 보정계수</t>
  </si>
  <si>
    <t>γ =</t>
  </si>
  <si>
    <t>Ga : 설계공기량</t>
  </si>
  <si>
    <t xml:space="preserve"> 나. 산기관</t>
    <phoneticPr fontId="2" type="noConversion"/>
  </si>
  <si>
    <t>◆ 수      량</t>
    <phoneticPr fontId="2" type="noConversion"/>
  </si>
  <si>
    <t>시간당 이송량 :</t>
    <phoneticPr fontId="2" type="noConversion"/>
  </si>
  <si>
    <t>TSS = FSS + VSS</t>
  </si>
  <si>
    <t>VSS = 생물학적 분해가능한 VSS + 생물학적 분해 불가능한 VSS</t>
  </si>
  <si>
    <t>내 부 반 송</t>
    <phoneticPr fontId="2" type="noConversion"/>
  </si>
  <si>
    <t>2) 설계계산</t>
    <phoneticPr fontId="2" type="noConversion"/>
  </si>
  <si>
    <t>1) 설계조건</t>
    <phoneticPr fontId="2" type="noConversion"/>
  </si>
  <si>
    <t>3) 제    원</t>
    <phoneticPr fontId="2" type="noConversion"/>
  </si>
  <si>
    <t xml:space="preserve"> - Bio-maker :</t>
    <phoneticPr fontId="2" type="noConversion"/>
  </si>
  <si>
    <t xml:space="preserve"> - Bio-clod :</t>
    <phoneticPr fontId="2" type="noConversion"/>
  </si>
  <si>
    <t xml:space="preserve"> - Bio-clod 투입량 :</t>
    <phoneticPr fontId="2" type="noConversion"/>
  </si>
  <si>
    <t>수직원통형</t>
    <phoneticPr fontId="2" type="noConversion"/>
  </si>
  <si>
    <t>규   격</t>
    <phoneticPr fontId="2" type="noConversion"/>
  </si>
  <si>
    <t>재   질</t>
    <phoneticPr fontId="2" type="noConversion"/>
  </si>
  <si>
    <t>BODY - STS 304</t>
    <phoneticPr fontId="2" type="noConversion"/>
  </si>
  <si>
    <t>식</t>
    <phoneticPr fontId="2" type="noConversion"/>
  </si>
  <si>
    <t xml:space="preserve">dsc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</si>
  <si>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Membrane Disk</t>
    <phoneticPr fontId="2" type="noConversion"/>
  </si>
  <si>
    <t>θ</t>
  </si>
  <si>
    <t xml:space="preserve"> 가. 수중믹서</t>
    <phoneticPr fontId="2" type="noConversion"/>
  </si>
  <si>
    <t>◆ 기    능</t>
    <phoneticPr fontId="2" type="noConversion"/>
  </si>
  <si>
    <t>조 용 량 :</t>
    <phoneticPr fontId="2" type="noConversion"/>
  </si>
  <si>
    <t>W</t>
    <phoneticPr fontId="2" type="noConversion"/>
  </si>
  <si>
    <t>m ×</t>
    <phoneticPr fontId="2" type="noConversion"/>
  </si>
  <si>
    <t>L</t>
    <phoneticPr fontId="2" type="noConversion"/>
  </si>
  <si>
    <t>He</t>
    <phoneticPr fontId="2" type="noConversion"/>
  </si>
  <si>
    <t>m =</t>
    <phoneticPr fontId="2" type="noConversion"/>
  </si>
  <si>
    <t>형    식 :</t>
    <phoneticPr fontId="2" type="noConversion"/>
  </si>
  <si>
    <t>수    량 :</t>
    <phoneticPr fontId="2" type="noConversion"/>
  </si>
  <si>
    <t>계열</t>
    <phoneticPr fontId="2" type="noConversion"/>
  </si>
  <si>
    <t xml:space="preserve"> 1) 기  능</t>
    <phoneticPr fontId="2" type="noConversion"/>
  </si>
  <si>
    <t xml:space="preserve"> 2) 기  준</t>
    <phoneticPr fontId="2" type="noConversion"/>
  </si>
  <si>
    <t xml:space="preserve"> 3) 설계계산</t>
    <phoneticPr fontId="2" type="noConversion"/>
  </si>
  <si>
    <t>◆ 필요용량</t>
    <phoneticPr fontId="2" type="noConversion"/>
  </si>
  <si>
    <t>이상</t>
    <phoneticPr fontId="2" type="noConversion"/>
  </si>
  <si>
    <t xml:space="preserve"> 4) 시설물의 제원</t>
    <phoneticPr fontId="2" type="noConversion"/>
  </si>
  <si>
    <t>① 형   식</t>
    <phoneticPr fontId="2" type="noConversion"/>
  </si>
  <si>
    <t>장 방 형</t>
    <phoneticPr fontId="2" type="noConversion"/>
  </si>
  <si>
    <t>② 규   격</t>
    <phoneticPr fontId="2" type="noConversion"/>
  </si>
  <si>
    <t>유효수심</t>
    <phoneticPr fontId="2" type="noConversion"/>
  </si>
  <si>
    <t>H</t>
    <phoneticPr fontId="2" type="noConversion"/>
  </si>
  <si>
    <t>③ 지   수</t>
    <phoneticPr fontId="2" type="noConversion"/>
  </si>
  <si>
    <t>④ 용   량</t>
    <phoneticPr fontId="2" type="noConversion"/>
  </si>
  <si>
    <t>V</t>
    <phoneticPr fontId="2" type="noConversion"/>
  </si>
  <si>
    <t>㎥/지당</t>
    <phoneticPr fontId="2" type="noConversion"/>
  </si>
  <si>
    <t xml:space="preserve"> 5) 설계검토</t>
    <phoneticPr fontId="2" type="noConversion"/>
  </si>
  <si>
    <t>① 체류시간</t>
    <phoneticPr fontId="2" type="noConversion"/>
  </si>
  <si>
    <t>③ 계   열</t>
    <phoneticPr fontId="2" type="noConversion"/>
  </si>
  <si>
    <t xml:space="preserve"> 6) 부대설비</t>
    <phoneticPr fontId="2" type="noConversion"/>
  </si>
  <si>
    <t>가. 무산소조1</t>
    <phoneticPr fontId="2" type="noConversion"/>
  </si>
  <si>
    <t>혐기성조건에서 인을 방출시켜 호기조에서 미생물이 과잉 섭취할 수 있도록 한다.</t>
    <phoneticPr fontId="2" type="noConversion"/>
  </si>
  <si>
    <t>용   량   계   산</t>
    <phoneticPr fontId="2" type="noConversion"/>
  </si>
  <si>
    <t>처리조체적</t>
    <phoneticPr fontId="2" type="noConversion"/>
  </si>
  <si>
    <t>1대/조당</t>
    <phoneticPr fontId="2" type="noConversion"/>
  </si>
  <si>
    <t>보증수질</t>
    <phoneticPr fontId="2" type="noConversion"/>
  </si>
  <si>
    <t>보증수질</t>
    <phoneticPr fontId="2" type="noConversion"/>
  </si>
  <si>
    <t>kg/day</t>
  </si>
  <si>
    <t>× (</t>
    <phoneticPr fontId="2" type="noConversion"/>
  </si>
  <si>
    <t>/</t>
    <phoneticPr fontId="2" type="noConversion"/>
  </si>
  <si>
    <t>)</t>
    <phoneticPr fontId="2" type="noConversion"/>
  </si>
  <si>
    <t>대장균</t>
    <phoneticPr fontId="2" type="noConversion"/>
  </si>
  <si>
    <t>U(day-1)</t>
  </si>
  <si>
    <t>혐기조의 HRT는 아래와 같이 적용한다.(단, 최저1hr 이상은 되어야 한다.)</t>
    <phoneticPr fontId="2" type="noConversion"/>
  </si>
  <si>
    <t xml:space="preserve">종속영양 미생물의 증식계수 </t>
  </si>
  <si>
    <t>△S</t>
  </si>
  <si>
    <t>SRT</t>
  </si>
  <si>
    <t>고형물체류시간 (day)</t>
  </si>
  <si>
    <t>1) 잉여슬러지발생량(kg/d)</t>
  </si>
  <si>
    <t>=</t>
  </si>
  <si>
    <t>PxBOD(kg/d) =</t>
  </si>
  <si>
    <t>(1 + Kd x SRT)</t>
  </si>
  <si>
    <t>YH</t>
  </si>
  <si>
    <t>:</t>
  </si>
  <si>
    <t>Kd</t>
  </si>
  <si>
    <t>종속영양 미생물의 내생호흡 속도 (d-1)</t>
  </si>
  <si>
    <t>생물학적 분해가능한 VSS = VSS x (70 ~ 90)%</t>
  </si>
  <si>
    <t>생물학적 분해 불가능한 VSS = VSS x (10 ~ 30)%</t>
  </si>
  <si>
    <t>☞</t>
  </si>
  <si>
    <t>/(</t>
  </si>
  <si>
    <t>-</t>
  </si>
  <si>
    <t>)/</t>
  </si>
  <si>
    <t>㎥/day</t>
  </si>
  <si>
    <t xml:space="preserve"> ■ Alum 사용량 분석표</t>
    <phoneticPr fontId="2" type="noConversion"/>
  </si>
  <si>
    <t>횡형수중교반기</t>
    <phoneticPr fontId="2" type="noConversion"/>
  </si>
  <si>
    <t>횡형수중교반기</t>
  </si>
  <si>
    <t>조당 이송량 :</t>
    <phoneticPr fontId="2" type="noConversion"/>
  </si>
  <si>
    <t>1대당 이송량 :</t>
    <phoneticPr fontId="2" type="noConversion"/>
  </si>
  <si>
    <t>대장균</t>
  </si>
  <si>
    <t xml:space="preserve"> 1) 기    능 </t>
  </si>
  <si>
    <t>◆ 필요용량</t>
  </si>
  <si>
    <t>이상</t>
  </si>
  <si>
    <t>① 형   식</t>
  </si>
  <si>
    <t>② 규   격</t>
  </si>
  <si>
    <t>W</t>
  </si>
  <si>
    <t>m</t>
  </si>
  <si>
    <t>L</t>
  </si>
  <si>
    <t>유효수심</t>
  </si>
  <si>
    <t>H</t>
  </si>
  <si>
    <t>③ 지   수</t>
  </si>
  <si>
    <t>④ 용   량</t>
  </si>
  <si>
    <t>V</t>
  </si>
  <si>
    <t>㎥/지당</t>
  </si>
  <si>
    <t>계열</t>
  </si>
  <si>
    <t>① 체류시간</t>
  </si>
  <si>
    <t>hr</t>
    <phoneticPr fontId="2" type="noConversion"/>
  </si>
  <si>
    <t>,</t>
    <phoneticPr fontId="2" type="noConversion"/>
  </si>
  <si>
    <t>1) 필요산소량(AOR)</t>
    <phoneticPr fontId="2" type="noConversion"/>
  </si>
  <si>
    <t>(1)</t>
    <phoneticPr fontId="2" type="noConversion"/>
  </si>
  <si>
    <t>BOD 산화에 필요한 산소량</t>
    <phoneticPr fontId="2" type="noConversion"/>
  </si>
  <si>
    <t>구 분</t>
    <phoneticPr fontId="2" type="noConversion"/>
  </si>
  <si>
    <t>제거BOD
(kg/일)</t>
    <phoneticPr fontId="2" type="noConversion"/>
  </si>
  <si>
    <t>탈질량
(kg/일)</t>
    <phoneticPr fontId="2" type="noConversion"/>
  </si>
  <si>
    <t>K
(kgBOD/kgN)</t>
    <phoneticPr fontId="2" type="noConversion"/>
  </si>
  <si>
    <t>탈질대상농도
(mg/l)</t>
    <phoneticPr fontId="2" type="noConversion"/>
  </si>
  <si>
    <t>(2)</t>
    <phoneticPr fontId="2" type="noConversion"/>
  </si>
  <si>
    <t xml:space="preserve"> 내생호흡에 필요한 산소량</t>
    <phoneticPr fontId="2" type="noConversion"/>
  </si>
  <si>
    <t>구  분</t>
    <phoneticPr fontId="2" type="noConversion"/>
  </si>
  <si>
    <t>(3)</t>
    <phoneticPr fontId="2" type="noConversion"/>
  </si>
  <si>
    <t xml:space="preserve"> 질산화반응에 필요한 산소량</t>
    <phoneticPr fontId="2" type="noConversion"/>
  </si>
  <si>
    <t>질산화된
질소
(mg/l)</t>
    <phoneticPr fontId="2" type="noConversion"/>
  </si>
  <si>
    <t>질산화된 질소
(kgN/일)</t>
    <phoneticPr fontId="2" type="noConversion"/>
  </si>
  <si>
    <t>(4)</t>
    <phoneticPr fontId="2" type="noConversion"/>
  </si>
  <si>
    <t>(5)</t>
    <phoneticPr fontId="2" type="noConversion"/>
  </si>
  <si>
    <t xml:space="preserve"> 필요산소량(AOR)</t>
    <phoneticPr fontId="2" type="noConversion"/>
  </si>
  <si>
    <t>2) 공급산소량(SOR)</t>
    <phoneticPr fontId="2" type="noConversion"/>
  </si>
  <si>
    <t>P</t>
    <phoneticPr fontId="2" type="noConversion"/>
  </si>
  <si>
    <t>γ
(m)</t>
    <phoneticPr fontId="2" type="noConversion"/>
  </si>
  <si>
    <t>α
(mg/ℓ)</t>
    <phoneticPr fontId="2" type="noConversion"/>
  </si>
  <si>
    <t>(mg/ℓ)</t>
    <phoneticPr fontId="2" type="noConversion"/>
  </si>
  <si>
    <t>γ : 산기수심</t>
    <phoneticPr fontId="2" type="noConversion"/>
  </si>
  <si>
    <t>(H=</t>
    <phoneticPr fontId="2" type="noConversion"/>
  </si>
  <si>
    <t xml:space="preserve"> 가.송풍기</t>
    <phoneticPr fontId="2" type="noConversion"/>
  </si>
  <si>
    <t>폴리철</t>
    <phoneticPr fontId="2" type="noConversion"/>
  </si>
  <si>
    <t>유동식탈수기</t>
    <phoneticPr fontId="2" type="noConversion"/>
  </si>
  <si>
    <t>첨가율(%)</t>
    <phoneticPr fontId="2" type="noConversion"/>
  </si>
  <si>
    <t>처리량</t>
    <phoneticPr fontId="2" type="noConversion"/>
  </si>
  <si>
    <t>비중</t>
    <phoneticPr fontId="2" type="noConversion"/>
  </si>
  <si>
    <t>주입량(KG)</t>
    <phoneticPr fontId="2" type="noConversion"/>
  </si>
  <si>
    <t>POLYMER</t>
    <phoneticPr fontId="2" type="noConversion"/>
  </si>
  <si>
    <t>1일 사용량(M3)</t>
    <phoneticPr fontId="2" type="noConversion"/>
  </si>
  <si>
    <t xml:space="preserve"> 가. Bio-Maker</t>
    <phoneticPr fontId="2" type="noConversion"/>
  </si>
  <si>
    <t>여과설비</t>
    <phoneticPr fontId="2" type="noConversion"/>
  </si>
  <si>
    <t>Φ</t>
    <phoneticPr fontId="2" type="noConversion"/>
  </si>
  <si>
    <t>대장균</t>
    <phoneticPr fontId="2" type="noConversion"/>
  </si>
  <si>
    <t>하수 유입</t>
    <phoneticPr fontId="2" type="noConversion"/>
  </si>
  <si>
    <t>운전조건</t>
    <phoneticPr fontId="2" type="noConversion"/>
  </si>
  <si>
    <t>처리효율</t>
    <phoneticPr fontId="2" type="noConversion"/>
  </si>
  <si>
    <t>F/M비</t>
    <phoneticPr fontId="2" type="noConversion"/>
  </si>
  <si>
    <t>kgBOD/kgMLVSS.d</t>
    <phoneticPr fontId="2" type="noConversion"/>
  </si>
  <si>
    <t>BOD</t>
    <phoneticPr fontId="2" type="noConversion"/>
  </si>
  <si>
    <t>MLSS</t>
    <phoneticPr fontId="2" type="noConversion"/>
  </si>
  <si>
    <t>㎎/ℓ(vss)</t>
    <phoneticPr fontId="2" type="noConversion"/>
  </si>
  <si>
    <t>COD</t>
    <phoneticPr fontId="2" type="noConversion"/>
  </si>
  <si>
    <t>ASRT</t>
    <phoneticPr fontId="2" type="noConversion"/>
  </si>
  <si>
    <t>일</t>
    <phoneticPr fontId="2" type="noConversion"/>
  </si>
  <si>
    <t>SS</t>
    <phoneticPr fontId="2" type="noConversion"/>
  </si>
  <si>
    <t>BOD용적부하</t>
    <phoneticPr fontId="2" type="noConversion"/>
  </si>
  <si>
    <t>kgBOD/㎥.d</t>
    <phoneticPr fontId="2" type="noConversion"/>
  </si>
  <si>
    <t>T-N</t>
    <phoneticPr fontId="2" type="noConversion"/>
  </si>
  <si>
    <t>포기조</t>
    <phoneticPr fontId="2" type="noConversion"/>
  </si>
  <si>
    <t>㎥</t>
    <phoneticPr fontId="2" type="noConversion"/>
  </si>
  <si>
    <t>T-P</t>
    <phoneticPr fontId="2" type="noConversion"/>
  </si>
  <si>
    <t>Q</t>
    <phoneticPr fontId="2" type="noConversion"/>
  </si>
  <si>
    <t>㎥/d</t>
    <phoneticPr fontId="2" type="noConversion"/>
  </si>
  <si>
    <t>슬러지반송</t>
    <phoneticPr fontId="2" type="noConversion"/>
  </si>
  <si>
    <t>MC</t>
    <phoneticPr fontId="2" type="noConversion"/>
  </si>
  <si>
    <t>%</t>
    <phoneticPr fontId="2" type="noConversion"/>
  </si>
  <si>
    <t>잉여슬러지</t>
    <phoneticPr fontId="2" type="noConversion"/>
  </si>
  <si>
    <t>*범례</t>
    <phoneticPr fontId="2" type="noConversion"/>
  </si>
  <si>
    <t>탈 수 케 익</t>
    <phoneticPr fontId="2" type="noConversion"/>
  </si>
  <si>
    <t>슬러지저류조</t>
    <phoneticPr fontId="2" type="noConversion"/>
  </si>
  <si>
    <t>kg/d</t>
    <phoneticPr fontId="2" type="noConversion"/>
  </si>
  <si>
    <t>㎎/ℓ</t>
    <phoneticPr fontId="2" type="noConversion"/>
  </si>
  <si>
    <t>Q</t>
    <phoneticPr fontId="2" type="noConversion"/>
  </si>
  <si>
    <t>㎥/d</t>
    <phoneticPr fontId="2" type="noConversion"/>
  </si>
  <si>
    <t>SS</t>
    <phoneticPr fontId="2" type="noConversion"/>
  </si>
  <si>
    <t>kg/d</t>
    <phoneticPr fontId="2" type="noConversion"/>
  </si>
  <si>
    <t>T-N</t>
    <phoneticPr fontId="2" type="noConversion"/>
  </si>
  <si>
    <t>MC</t>
    <phoneticPr fontId="2" type="noConversion"/>
  </si>
  <si>
    <t>%</t>
    <phoneticPr fontId="2" type="noConversion"/>
  </si>
  <si>
    <t>T-P</t>
    <phoneticPr fontId="2" type="noConversion"/>
  </si>
  <si>
    <t>회수율</t>
    <phoneticPr fontId="2" type="noConversion"/>
  </si>
  <si>
    <t>탈 수 기</t>
    <phoneticPr fontId="2" type="noConversion"/>
  </si>
  <si>
    <t>유입</t>
    <phoneticPr fontId="2" type="noConversion"/>
  </si>
  <si>
    <t>유출</t>
    <phoneticPr fontId="2" type="noConversion"/>
  </si>
  <si>
    <t>alum</t>
    <phoneticPr fontId="2" type="noConversion"/>
  </si>
  <si>
    <t>구   분</t>
    <phoneticPr fontId="2" type="noConversion"/>
  </si>
  <si>
    <t>내      용</t>
    <phoneticPr fontId="2" type="noConversion"/>
  </si>
  <si>
    <t>비  고</t>
    <phoneticPr fontId="2" type="noConversion"/>
  </si>
  <si>
    <t>1) 유    량</t>
    <phoneticPr fontId="2" type="noConversion"/>
  </si>
  <si>
    <t>㎥/day</t>
    <phoneticPr fontId="2" type="noConversion"/>
  </si>
  <si>
    <t>=</t>
    <phoneticPr fontId="2" type="noConversion"/>
  </si>
  <si>
    <t>㎥/hr</t>
    <phoneticPr fontId="2" type="noConversion"/>
  </si>
  <si>
    <t>㎥/min</t>
    <phoneticPr fontId="2" type="noConversion"/>
  </si>
  <si>
    <t>2) 설계수질</t>
    <phoneticPr fontId="2" type="noConversion"/>
  </si>
  <si>
    <t>(단위:㎎/ℓ)</t>
    <phoneticPr fontId="2" type="noConversion"/>
  </si>
  <si>
    <t>유 입 수</t>
    <phoneticPr fontId="2" type="noConversion"/>
  </si>
  <si>
    <t>처리수</t>
    <phoneticPr fontId="2" type="noConversion"/>
  </si>
  <si>
    <t>BOD</t>
    <phoneticPr fontId="2" type="noConversion"/>
  </si>
  <si>
    <t>침전조상등수기준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</si>
  <si>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</si>
  <si>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</si>
  <si>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</si>
  <si>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</si>
  <si>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3) 온도</t>
    <phoneticPr fontId="2" type="noConversion"/>
  </si>
  <si>
    <t>℃</t>
    <phoneticPr fontId="2" type="noConversion"/>
  </si>
  <si>
    <t>4) F/M 비</t>
    <phoneticPr fontId="2" type="noConversion"/>
  </si>
  <si>
    <t xml:space="preserve">기준 : </t>
    <phoneticPr fontId="2" type="noConversion"/>
  </si>
  <si>
    <t>~</t>
    <phoneticPr fontId="2" type="noConversion"/>
  </si>
  <si>
    <t>적용 :</t>
    <phoneticPr fontId="2" type="noConversion"/>
  </si>
  <si>
    <t>5) MLSS</t>
    <phoneticPr fontId="2" type="noConversion"/>
  </si>
  <si>
    <t>mg/L</t>
    <phoneticPr fontId="2" type="noConversion"/>
  </si>
  <si>
    <t>6) MLVSS</t>
    <phoneticPr fontId="2" type="noConversion"/>
  </si>
  <si>
    <t>7) pH</t>
    <phoneticPr fontId="2" type="noConversion"/>
  </si>
  <si>
    <t>=</t>
    <phoneticPr fontId="2" type="noConversion"/>
  </si>
  <si>
    <t xml:space="preserve"> 3) 설계계산</t>
    <phoneticPr fontId="2" type="noConversion"/>
  </si>
  <si>
    <t>◆ 필요용량</t>
    <phoneticPr fontId="2" type="noConversion"/>
  </si>
  <si>
    <t>hr</t>
    <phoneticPr fontId="2" type="noConversion"/>
  </si>
  <si>
    <t>이상</t>
    <phoneticPr fontId="2" type="noConversion"/>
  </si>
  <si>
    <t xml:space="preserve"> 4) 시설물의 제원</t>
    <phoneticPr fontId="2" type="noConversion"/>
  </si>
  <si>
    <t>① 형   식</t>
    <phoneticPr fontId="2" type="noConversion"/>
  </si>
  <si>
    <t>장 방 형</t>
    <phoneticPr fontId="2" type="noConversion"/>
  </si>
  <si>
    <t>② 규   격</t>
    <phoneticPr fontId="2" type="noConversion"/>
  </si>
  <si>
    <t>W</t>
    <phoneticPr fontId="2" type="noConversion"/>
  </si>
  <si>
    <t>m</t>
    <phoneticPr fontId="2" type="noConversion"/>
  </si>
  <si>
    <t>L</t>
    <phoneticPr fontId="2" type="noConversion"/>
  </si>
  <si>
    <t>유효수심</t>
    <phoneticPr fontId="2" type="noConversion"/>
  </si>
  <si>
    <t>H</t>
    <phoneticPr fontId="2" type="noConversion"/>
  </si>
  <si>
    <t>③ 계   열</t>
    <phoneticPr fontId="2" type="noConversion"/>
  </si>
  <si>
    <t>계열</t>
    <phoneticPr fontId="2" type="noConversion"/>
  </si>
  <si>
    <t>④ 용   량</t>
    <phoneticPr fontId="2" type="noConversion"/>
  </si>
  <si>
    <t>V</t>
    <phoneticPr fontId="2" type="noConversion"/>
  </si>
  <si>
    <t>㎥/지당</t>
    <phoneticPr fontId="2" type="noConversion"/>
  </si>
  <si>
    <t xml:space="preserve"> 5) 설계검토</t>
    <phoneticPr fontId="2" type="noConversion"/>
  </si>
  <si>
    <t>① 체류시간</t>
    <phoneticPr fontId="2" type="noConversion"/>
  </si>
  <si>
    <t xml:space="preserve"> 1) 기    능</t>
    <phoneticPr fontId="2" type="noConversion"/>
  </si>
  <si>
    <t>유입 유기물을 공여체로 이용, 추가 탄소원의 유입 없이 경제적인 탈질반응을 한다.</t>
    <phoneticPr fontId="2" type="noConversion"/>
  </si>
  <si>
    <t xml:space="preserve"> 2) 질소 BALANCE</t>
    <phoneticPr fontId="2" type="noConversion"/>
  </si>
  <si>
    <t>① 질산화미생물의</t>
    <phoneticPr fontId="2" type="noConversion"/>
  </si>
  <si>
    <t>μ`m</t>
    <phoneticPr fontId="2" type="noConversion"/>
  </si>
  <si>
    <t>μm</t>
    <phoneticPr fontId="2" type="noConversion"/>
  </si>
  <si>
    <t>×</t>
    <phoneticPr fontId="2" type="noConversion"/>
  </si>
  <si>
    <t>DO</t>
    <phoneticPr fontId="2" type="noConversion"/>
  </si>
  <si>
    <t>/ (</t>
    <phoneticPr fontId="2" type="noConversion"/>
  </si>
  <si>
    <t>+</t>
    <phoneticPr fontId="2" type="noConversion"/>
  </si>
  <si>
    <t xml:space="preserve">  최대성장률(μ`m)</t>
    <phoneticPr fontId="2" type="noConversion"/>
  </si>
  <si>
    <t>-</t>
    <phoneticPr fontId="2" type="noConversion"/>
  </si>
  <si>
    <t>× (</t>
    <phoneticPr fontId="2" type="noConversion"/>
  </si>
  <si>
    <t>최대 비 성장율</t>
    <phoneticPr fontId="2" type="noConversion"/>
  </si>
  <si>
    <t xml:space="preserve">T = </t>
    <phoneticPr fontId="2" type="noConversion"/>
  </si>
  <si>
    <t>℃,</t>
    <phoneticPr fontId="2" type="noConversion"/>
  </si>
  <si>
    <t>pH =</t>
    <phoneticPr fontId="2" type="noConversion"/>
  </si>
  <si>
    <t>DO(용존산소(㎎/ℓ))</t>
    <phoneticPr fontId="2" type="noConversion"/>
  </si>
  <si>
    <t>최소</t>
    <phoneticPr fontId="2" type="noConversion"/>
  </si>
  <si>
    <t>㎎/ℓ유지</t>
    <phoneticPr fontId="2" type="noConversion"/>
  </si>
  <si>
    <t>)</t>
    <phoneticPr fontId="2" type="noConversion"/>
  </si>
  <si>
    <t>최소 및 설계 미생물 평균 체류시간(θcm)</t>
    <phoneticPr fontId="2" type="noConversion"/>
  </si>
  <si>
    <t>Kd</t>
    <phoneticPr fontId="2" type="noConversion"/>
  </si>
  <si>
    <t>θcm</t>
    <phoneticPr fontId="2" type="noConversion"/>
  </si>
  <si>
    <t>/</t>
    <phoneticPr fontId="2" type="noConversion"/>
  </si>
  <si>
    <t>미생물 설계체류시간(Θc)</t>
    <phoneticPr fontId="2" type="noConversion"/>
  </si>
  <si>
    <t>θc</t>
    <phoneticPr fontId="2" type="noConversion"/>
  </si>
  <si>
    <t>(안전율)</t>
    <phoneticPr fontId="2" type="noConversion"/>
  </si>
  <si>
    <t>Un</t>
    <phoneticPr fontId="2" type="noConversion"/>
  </si>
  <si>
    <t>Yn</t>
    <phoneticPr fontId="2" type="noConversion"/>
  </si>
  <si>
    <t>(K`</t>
    <phoneticPr fontId="2" type="noConversion"/>
  </si>
  <si>
    <t>)/(</t>
    <phoneticPr fontId="2" type="noConversion"/>
  </si>
  <si>
    <t>Kn</t>
    <phoneticPr fontId="2" type="noConversion"/>
  </si>
  <si>
    <t>(Un</t>
    <phoneticPr fontId="2" type="noConversion"/>
  </si>
  <si>
    <t>Kn)</t>
    <phoneticPr fontId="2" type="noConversion"/>
  </si>
  <si>
    <t>Un)</t>
    <phoneticPr fontId="2" type="noConversion"/>
  </si>
  <si>
    <t>μ`m/Yn =</t>
    <phoneticPr fontId="2" type="noConversion"/>
  </si>
  <si>
    <t xml:space="preserve"> </t>
    <phoneticPr fontId="2" type="noConversion"/>
  </si>
  <si>
    <t>② 슬러지반송율</t>
    <phoneticPr fontId="2" type="noConversion"/>
  </si>
  <si>
    <t>MLSS농도:</t>
    <phoneticPr fontId="2" type="noConversion"/>
  </si>
  <si>
    <t>반송오니농도:</t>
    <phoneticPr fontId="2" type="noConversion"/>
  </si>
  <si>
    <t xml:space="preserve">   (RAS)</t>
    <phoneticPr fontId="2" type="noConversion"/>
  </si>
  <si>
    <t>RAS</t>
    <phoneticPr fontId="2" type="noConversion"/>
  </si>
  <si>
    <t>에서</t>
    <phoneticPr fontId="2" type="noConversion"/>
  </si>
  <si>
    <t>③ 내부반송율</t>
    <phoneticPr fontId="2" type="noConversion"/>
  </si>
  <si>
    <t>1/R</t>
    <phoneticPr fontId="2" type="noConversion"/>
  </si>
  <si>
    <t>α</t>
    <phoneticPr fontId="2" type="noConversion"/>
  </si>
  <si>
    <t xml:space="preserve">   (Ⅰ/R)</t>
    <phoneticPr fontId="2" type="noConversion"/>
  </si>
  <si>
    <t xml:space="preserve">여기서, </t>
    <phoneticPr fontId="2" type="noConversion"/>
  </si>
  <si>
    <t xml:space="preserve">④ 질산화농도 </t>
    <phoneticPr fontId="2" type="noConversion"/>
  </si>
  <si>
    <t>(1) 질산화 대상농도</t>
    <phoneticPr fontId="2" type="noConversion"/>
  </si>
  <si>
    <t>생물반응조 유입 T-N</t>
    <phoneticPr fontId="2" type="noConversion"/>
  </si>
  <si>
    <t>Cell 합성량(BOD의 5%)</t>
    <phoneticPr fontId="2" type="noConversion"/>
  </si>
  <si>
    <t>제거되는 BOD</t>
    <phoneticPr fontId="2" type="noConversion"/>
  </si>
  <si>
    <t>N</t>
    <phoneticPr fontId="2" type="noConversion"/>
  </si>
  <si>
    <t>NRCY)</t>
    <phoneticPr fontId="2" type="noConversion"/>
  </si>
  <si>
    <t>여기서,</t>
    <phoneticPr fontId="2" type="noConversion"/>
  </si>
  <si>
    <t>처리수의 질소농도</t>
    <phoneticPr fontId="2" type="noConversion"/>
  </si>
  <si>
    <t>No</t>
    <phoneticPr fontId="2" type="noConversion"/>
  </si>
  <si>
    <t>질산화대상의 NOx-N 농도</t>
    <phoneticPr fontId="2" type="noConversion"/>
  </si>
  <si>
    <t>슬러지 반송율</t>
    <phoneticPr fontId="2" type="noConversion"/>
  </si>
  <si>
    <t>Q</t>
    <phoneticPr fontId="2" type="noConversion"/>
  </si>
  <si>
    <t>NRCY</t>
    <phoneticPr fontId="2" type="noConversion"/>
  </si>
  <si>
    <t>내부 반송율</t>
    <phoneticPr fontId="2" type="noConversion"/>
  </si>
  <si>
    <t xml:space="preserve">  = </t>
    <phoneticPr fontId="2" type="noConversion"/>
  </si>
  <si>
    <t>⑤ 탈질대상농도</t>
    <phoneticPr fontId="2" type="noConversion"/>
  </si>
  <si>
    <t xml:space="preserve">포기조 탈질율: </t>
    <phoneticPr fontId="2" type="noConversion"/>
  </si>
  <si>
    <t>(질산성 질소중 포기조에서 탈질되는 비율 10~30%)</t>
    <phoneticPr fontId="2" type="noConversion"/>
  </si>
  <si>
    <t>① 총괄적인 탈질율,</t>
    <phoneticPr fontId="2" type="noConversion"/>
  </si>
  <si>
    <t>T</t>
    <phoneticPr fontId="2" type="noConversion"/>
  </si>
  <si>
    <t>온도,</t>
    <phoneticPr fontId="2" type="noConversion"/>
  </si>
  <si>
    <t>용존산소,</t>
    <phoneticPr fontId="2" type="noConversion"/>
  </si>
  <si>
    <t>㎎/ℓ</t>
    <phoneticPr fontId="2" type="noConversion"/>
  </si>
  <si>
    <t>(</t>
    <phoneticPr fontId="2" type="noConversion"/>
  </si>
  <si>
    <t>② 체류시간</t>
    <phoneticPr fontId="2" type="noConversion"/>
  </si>
  <si>
    <t>θ</t>
    <phoneticPr fontId="2" type="noConversion"/>
  </si>
  <si>
    <t>Nnt</t>
    <phoneticPr fontId="2" type="noConversion"/>
  </si>
  <si>
    <t>X</t>
    <phoneticPr fontId="2" type="noConversion"/>
  </si>
  <si>
    <t>질산화/탈질 시킬 질소량(탈질대상농도)</t>
    <phoneticPr fontId="2" type="noConversion"/>
  </si>
  <si>
    <t>MLVSS</t>
    <phoneticPr fontId="2" type="noConversion"/>
  </si>
  <si>
    <t>(㎎/ℓ)</t>
    <phoneticPr fontId="2" type="noConversion"/>
  </si>
  <si>
    <t xml:space="preserve"> ×</t>
    <phoneticPr fontId="2" type="noConversion"/>
  </si>
  <si>
    <t xml:space="preserve"> 4) 설계계산</t>
    <phoneticPr fontId="2" type="noConversion"/>
  </si>
  <si>
    <t xml:space="preserve"> 5) 시설물의 제원</t>
    <phoneticPr fontId="2" type="noConversion"/>
  </si>
  <si>
    <t xml:space="preserve"> 6) 설계검토</t>
    <phoneticPr fontId="2" type="noConversion"/>
  </si>
  <si>
    <t>◆ 체류시간</t>
    <phoneticPr fontId="2" type="noConversion"/>
  </si>
  <si>
    <t>÷</t>
    <phoneticPr fontId="2" type="noConversion"/>
  </si>
  <si>
    <t xml:space="preserve"> 1) 기   능</t>
    <phoneticPr fontId="2" type="noConversion"/>
  </si>
  <si>
    <t xml:space="preserve"> 2) 설계계산</t>
    <phoneticPr fontId="2" type="noConversion"/>
  </si>
  <si>
    <t>① BOD 산화시</t>
    <phoneticPr fontId="2" type="noConversion"/>
  </si>
  <si>
    <t>Y</t>
    <phoneticPr fontId="2" type="noConversion"/>
  </si>
  <si>
    <t>U</t>
    <phoneticPr fontId="2" type="noConversion"/>
  </si>
  <si>
    <t>기질 소모계수</t>
    <phoneticPr fontId="2" type="noConversion"/>
  </si>
  <si>
    <t>1/Y</t>
    <phoneticPr fontId="2" type="noConversion"/>
  </si>
  <si>
    <t>(0.4~0.6)</t>
    <phoneticPr fontId="2" type="noConversion"/>
  </si>
  <si>
    <t>② BOD 산화에</t>
    <phoneticPr fontId="2" type="noConversion"/>
  </si>
  <si>
    <t>필요한 수리학적</t>
    <phoneticPr fontId="2" type="noConversion"/>
  </si>
  <si>
    <t>체류시간</t>
    <phoneticPr fontId="2" type="noConversion"/>
  </si>
  <si>
    <t>S = 유출수 BOD 농도(㎎/ℓ)</t>
    <phoneticPr fontId="2" type="noConversion"/>
  </si>
  <si>
    <t>X = MLVSS(㎎/ℓ)</t>
    <phoneticPr fontId="2" type="noConversion"/>
  </si>
  <si>
    <t>③ 질산화에 요구</t>
    <phoneticPr fontId="2" type="noConversion"/>
  </si>
  <si>
    <t xml:space="preserve">) / </t>
    <phoneticPr fontId="2" type="noConversion"/>
  </si>
  <si>
    <t>Xn</t>
    <phoneticPr fontId="2" type="noConversion"/>
  </si>
  <si>
    <t>되는 수리학적</t>
    <phoneticPr fontId="2" type="noConversion"/>
  </si>
  <si>
    <t xml:space="preserve">No </t>
    <phoneticPr fontId="2" type="noConversion"/>
  </si>
  <si>
    <t xml:space="preserve"> 생물반응조 유입수 질산화대상농도(㎎/ℓ)</t>
    <phoneticPr fontId="2" type="noConversion"/>
  </si>
  <si>
    <t xml:space="preserve"> 생물반응조 유출수 암모니아 농도(㎎/ℓ)</t>
    <phoneticPr fontId="2" type="noConversion"/>
  </si>
  <si>
    <t>④ 필요용량</t>
    <phoneticPr fontId="2" type="noConversion"/>
  </si>
  <si>
    <t xml:space="preserve"> 3) 시설물의 제원</t>
    <phoneticPr fontId="2" type="noConversion"/>
  </si>
  <si>
    <t>유효수심H</t>
    <phoneticPr fontId="2" type="noConversion"/>
  </si>
  <si>
    <t>지</t>
    <phoneticPr fontId="2" type="noConversion"/>
  </si>
  <si>
    <t>⑤ 체류시간</t>
    <phoneticPr fontId="2" type="noConversion"/>
  </si>
  <si>
    <t>⑥ F/M 비</t>
    <phoneticPr fontId="2" type="noConversion"/>
  </si>
  <si>
    <t>⑦ 포기조 SRT</t>
    <phoneticPr fontId="2" type="noConversion"/>
  </si>
  <si>
    <t>⑧ BOD 용적부하</t>
    <phoneticPr fontId="2" type="noConversion"/>
  </si>
  <si>
    <t>라. 반응조별용량</t>
    <phoneticPr fontId="2" type="noConversion"/>
  </si>
  <si>
    <t>1) 계산값</t>
    <phoneticPr fontId="2" type="noConversion"/>
  </si>
  <si>
    <t>및 체류시간</t>
    <phoneticPr fontId="2" type="noConversion"/>
  </si>
  <si>
    <t>구   분</t>
    <phoneticPr fontId="2" type="noConversion"/>
  </si>
  <si>
    <t>용  량(㎥)</t>
    <phoneticPr fontId="2" type="noConversion"/>
  </si>
  <si>
    <t>HRT</t>
    <phoneticPr fontId="2" type="noConversion"/>
  </si>
  <si>
    <t>용적비(%)</t>
    <phoneticPr fontId="2" type="noConversion"/>
  </si>
  <si>
    <t>비고</t>
    <phoneticPr fontId="2" type="noConversion"/>
  </si>
  <si>
    <t>무산소조 1</t>
    <phoneticPr fontId="2" type="noConversion"/>
  </si>
  <si>
    <t>무산소조 2</t>
    <phoneticPr fontId="2" type="noConversion"/>
  </si>
  <si>
    <t>포 기 조</t>
    <phoneticPr fontId="2" type="noConversion"/>
  </si>
  <si>
    <t>계</t>
    <phoneticPr fontId="2" type="noConversion"/>
  </si>
  <si>
    <t>2) 설계적용값</t>
    <phoneticPr fontId="2" type="noConversion"/>
  </si>
  <si>
    <t>표면 부하율 :</t>
    <phoneticPr fontId="2" type="noConversion"/>
  </si>
  <si>
    <t>~</t>
    <phoneticPr fontId="2" type="noConversion"/>
  </si>
  <si>
    <t>㎥/㎡·day</t>
    <phoneticPr fontId="2" type="noConversion"/>
  </si>
  <si>
    <t xml:space="preserve"> 1) 기  준</t>
    <phoneticPr fontId="2" type="noConversion"/>
  </si>
  <si>
    <t>유 효 수 심 :</t>
    <phoneticPr fontId="2" type="noConversion"/>
  </si>
  <si>
    <t>침 전 시 간 :</t>
    <phoneticPr fontId="2" type="noConversion"/>
  </si>
  <si>
    <t>웨어부하율 :</t>
    <phoneticPr fontId="2" type="noConversion"/>
  </si>
  <si>
    <t>㎥/m·day 이하</t>
    <phoneticPr fontId="2" type="noConversion"/>
  </si>
  <si>
    <t>고형물부하 :</t>
    <phoneticPr fontId="2" type="noConversion"/>
  </si>
  <si>
    <t>kg/㎡·day</t>
    <phoneticPr fontId="2" type="noConversion"/>
  </si>
  <si>
    <t xml:space="preserve"> 2) 설계조건</t>
    <phoneticPr fontId="2" type="noConversion"/>
  </si>
  <si>
    <t>① 설계하수량</t>
    <phoneticPr fontId="2" type="noConversion"/>
  </si>
  <si>
    <t>㎥/day</t>
    <phoneticPr fontId="2" type="noConversion"/>
  </si>
  <si>
    <t>㎥/hr</t>
    <phoneticPr fontId="2" type="noConversion"/>
  </si>
  <si>
    <t>㎥/min</t>
    <phoneticPr fontId="2" type="noConversion"/>
  </si>
  <si>
    <t>㎥/sec</t>
    <phoneticPr fontId="2" type="noConversion"/>
  </si>
  <si>
    <t>일 최 대</t>
    <phoneticPr fontId="2" type="noConversion"/>
  </si>
  <si>
    <t>② 소요용량</t>
    <phoneticPr fontId="2" type="noConversion"/>
  </si>
  <si>
    <t>③ 소요수면적</t>
    <phoneticPr fontId="2" type="noConversion"/>
  </si>
  <si>
    <t>A</t>
    <phoneticPr fontId="2" type="noConversion"/>
  </si>
  <si>
    <t>㎡</t>
    <phoneticPr fontId="2" type="noConversion"/>
  </si>
  <si>
    <t>원 형</t>
    <phoneticPr fontId="2" type="noConversion"/>
  </si>
  <si>
    <t>￠</t>
    <phoneticPr fontId="2" type="noConversion"/>
  </si>
  <si>
    <t>⑤ 수 면 적</t>
    <phoneticPr fontId="2" type="noConversion"/>
  </si>
  <si>
    <t xml:space="preserve"> 4) 설 계 검 토</t>
    <phoneticPr fontId="2" type="noConversion"/>
  </si>
  <si>
    <t>① 침 전 시 간</t>
    <phoneticPr fontId="2" type="noConversion"/>
  </si>
  <si>
    <t>: O.K</t>
    <phoneticPr fontId="2" type="noConversion"/>
  </si>
  <si>
    <t>② 표면부하율</t>
    <phoneticPr fontId="2" type="noConversion"/>
  </si>
  <si>
    <t xml:space="preserve">③ 예상슬러지계면 </t>
    <phoneticPr fontId="2" type="noConversion"/>
  </si>
  <si>
    <t>1) 기  능</t>
    <phoneticPr fontId="2" type="noConversion"/>
  </si>
  <si>
    <t>3) 설계계산</t>
    <phoneticPr fontId="2" type="noConversion"/>
  </si>
  <si>
    <t>4) 시설물의 제원</t>
    <phoneticPr fontId="2" type="noConversion"/>
  </si>
  <si>
    <t>③ 지   수</t>
    <phoneticPr fontId="2" type="noConversion"/>
  </si>
  <si>
    <t>5) 설계검토</t>
    <phoneticPr fontId="2" type="noConversion"/>
  </si>
  <si>
    <t>2) 설계기준</t>
    <phoneticPr fontId="2" type="noConversion"/>
  </si>
  <si>
    <t xml:space="preserve"> 4) 설계검토</t>
    <phoneticPr fontId="2" type="noConversion"/>
  </si>
  <si>
    <r>
      <t>e</t>
    </r>
    <r>
      <rPr>
        <vertAlign val="superscript"/>
        <sz val="8"/>
        <rFont val="굴림"/>
        <family val="3"/>
        <charset val="129"/>
      </rPr>
      <t>0.098(T-15)</t>
    </r>
    <phoneticPr fontId="2" type="noConversion"/>
  </si>
  <si>
    <r>
      <t>K</t>
    </r>
    <r>
      <rPr>
        <vertAlign val="subscript"/>
        <sz val="8"/>
        <rFont val="굴림"/>
        <family val="3"/>
        <charset val="129"/>
      </rPr>
      <t>O2</t>
    </r>
    <phoneticPr fontId="2" type="noConversion"/>
  </si>
  <si>
    <r>
      <t>day</t>
    </r>
    <r>
      <rPr>
        <vertAlign val="superscript"/>
        <sz val="8"/>
        <rFont val="굴림"/>
        <family val="3"/>
        <charset val="129"/>
      </rPr>
      <t>-1</t>
    </r>
    <r>
      <rPr>
        <sz val="8"/>
        <rFont val="굴림"/>
        <family val="3"/>
        <charset val="129"/>
      </rPr>
      <t>,</t>
    </r>
    <phoneticPr fontId="2" type="noConversion"/>
  </si>
  <si>
    <r>
      <t>day</t>
    </r>
    <r>
      <rPr>
        <vertAlign val="superscript"/>
        <sz val="8"/>
        <rFont val="굴림"/>
        <family val="3"/>
        <charset val="129"/>
      </rPr>
      <t>-1</t>
    </r>
    <phoneticPr fontId="2" type="noConversion"/>
  </si>
  <si>
    <r>
      <t>θcm</t>
    </r>
    <r>
      <rPr>
        <vertAlign val="superscript"/>
        <sz val="8"/>
        <rFont val="굴림"/>
        <family val="3"/>
        <charset val="129"/>
      </rPr>
      <t>-1</t>
    </r>
    <phoneticPr fontId="2" type="noConversion"/>
  </si>
  <si>
    <r>
      <t>NH</t>
    </r>
    <r>
      <rPr>
        <vertAlign val="subscript"/>
        <sz val="8"/>
        <rFont val="굴림"/>
        <family val="3"/>
        <charset val="129"/>
      </rPr>
      <t>4</t>
    </r>
    <phoneticPr fontId="2" type="noConversion"/>
  </si>
  <si>
    <r>
      <t>NH</t>
    </r>
    <r>
      <rPr>
        <vertAlign val="subscript"/>
        <sz val="8"/>
        <rFont val="굴림"/>
        <family val="3"/>
        <charset val="129"/>
      </rPr>
      <t>4</t>
    </r>
    <r>
      <rPr>
        <sz val="8"/>
        <rFont val="굴림"/>
        <family val="3"/>
        <charset val="129"/>
      </rPr>
      <t>)</t>
    </r>
    <phoneticPr fontId="2" type="noConversion"/>
  </si>
  <si>
    <r>
      <t>C</t>
    </r>
    <r>
      <rPr>
        <vertAlign val="subscript"/>
        <sz val="8"/>
        <rFont val="굴림"/>
        <family val="3"/>
        <charset val="129"/>
      </rPr>
      <t>T-N.in</t>
    </r>
    <phoneticPr fontId="2" type="noConversion"/>
  </si>
  <si>
    <r>
      <t>C</t>
    </r>
    <r>
      <rPr>
        <vertAlign val="subscript"/>
        <sz val="8"/>
        <rFont val="굴림"/>
        <family val="3"/>
        <charset val="129"/>
      </rPr>
      <t>NOX.eff</t>
    </r>
    <phoneticPr fontId="2" type="noConversion"/>
  </si>
  <si>
    <r>
      <t>유출예상 NO</t>
    </r>
    <r>
      <rPr>
        <vertAlign val="sub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-N 농도</t>
    </r>
    <phoneticPr fontId="2" type="noConversion"/>
  </si>
  <si>
    <r>
      <t>N</t>
    </r>
    <r>
      <rPr>
        <vertAlign val="subscript"/>
        <sz val="8"/>
        <rFont val="굴림"/>
        <family val="3"/>
        <charset val="129"/>
      </rPr>
      <t>O</t>
    </r>
    <phoneticPr fontId="2" type="noConversion"/>
  </si>
  <si>
    <r>
      <t>U`</t>
    </r>
    <r>
      <rPr>
        <vertAlign val="subscript"/>
        <sz val="8"/>
        <rFont val="굴림"/>
        <family val="3"/>
        <charset val="129"/>
      </rPr>
      <t>DN</t>
    </r>
    <phoneticPr fontId="2" type="noConversion"/>
  </si>
  <si>
    <r>
      <t>U</t>
    </r>
    <r>
      <rPr>
        <vertAlign val="subscript"/>
        <sz val="8"/>
        <rFont val="굴림"/>
        <family val="3"/>
        <charset val="129"/>
      </rPr>
      <t>DN</t>
    </r>
    <phoneticPr fontId="2" type="noConversion"/>
  </si>
  <si>
    <r>
      <t xml:space="preserve">   U`</t>
    </r>
    <r>
      <rPr>
        <vertAlign val="subscript"/>
        <sz val="8"/>
        <rFont val="굴림"/>
        <family val="3"/>
        <charset val="129"/>
      </rPr>
      <t>DN</t>
    </r>
    <phoneticPr fontId="2" type="noConversion"/>
  </si>
  <si>
    <r>
      <t>비(Specific)탈질율(mg NO</t>
    </r>
    <r>
      <rPr>
        <vertAlign val="sub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-N/mg VSS day)</t>
    </r>
    <phoneticPr fontId="2" type="noConversion"/>
  </si>
  <si>
    <r>
      <t>(day</t>
    </r>
    <r>
      <rPr>
        <vertAlign val="superscript"/>
        <sz val="8"/>
        <rFont val="굴림"/>
        <family val="3"/>
        <charset val="129"/>
      </rPr>
      <t>-1</t>
    </r>
    <r>
      <rPr>
        <sz val="8"/>
        <rFont val="굴림"/>
        <family val="3"/>
        <charset val="129"/>
      </rPr>
      <t>)</t>
    </r>
    <phoneticPr fontId="2" type="noConversion"/>
  </si>
  <si>
    <r>
      <t>(mgNO</t>
    </r>
    <r>
      <rPr>
        <vertAlign val="sub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-N/mgVSSday)</t>
    </r>
    <phoneticPr fontId="2" type="noConversion"/>
  </si>
  <si>
    <r>
      <t>θ</t>
    </r>
    <r>
      <rPr>
        <vertAlign val="superscript"/>
        <sz val="8"/>
        <rFont val="굴림"/>
        <family val="3"/>
        <charset val="129"/>
      </rPr>
      <t>-1</t>
    </r>
    <phoneticPr fontId="2" type="noConversion"/>
  </si>
  <si>
    <r>
      <t>K</t>
    </r>
    <r>
      <rPr>
        <vertAlign val="subscript"/>
        <sz val="8"/>
        <rFont val="굴림"/>
        <family val="3"/>
        <charset val="129"/>
      </rPr>
      <t>d</t>
    </r>
    <phoneticPr fontId="2" type="noConversion"/>
  </si>
  <si>
    <r>
      <t>Y = 최대미생물 생산계수(mgVSS/mgBOD</t>
    </r>
    <r>
      <rPr>
        <vertAlign val="subscript"/>
        <sz val="8"/>
        <rFont val="굴림"/>
        <family val="3"/>
        <charset val="129"/>
      </rPr>
      <t>5</t>
    </r>
    <r>
      <rPr>
        <sz val="8"/>
        <rFont val="굴림"/>
        <family val="3"/>
        <charset val="129"/>
      </rPr>
      <t>)</t>
    </r>
    <phoneticPr fontId="2" type="noConversion"/>
  </si>
  <si>
    <r>
      <t>θ</t>
    </r>
    <r>
      <rPr>
        <vertAlign val="subscript"/>
        <sz val="8"/>
        <rFont val="굴림"/>
        <family val="3"/>
        <charset val="129"/>
      </rPr>
      <t>c</t>
    </r>
    <r>
      <rPr>
        <sz val="8"/>
        <rFont val="굴림"/>
        <family val="3"/>
        <charset val="129"/>
      </rPr>
      <t xml:space="preserve"> = 미생물 설계체류시간(day)</t>
    </r>
    <phoneticPr fontId="2" type="noConversion"/>
  </si>
  <si>
    <r>
      <t>K</t>
    </r>
    <r>
      <rPr>
        <vertAlign val="subscript"/>
        <sz val="8"/>
        <rFont val="굴림"/>
        <family val="3"/>
        <charset val="129"/>
      </rPr>
      <t>d</t>
    </r>
    <r>
      <rPr>
        <sz val="8"/>
        <rFont val="굴림"/>
        <family val="3"/>
        <charset val="129"/>
      </rPr>
      <t xml:space="preserve"> = 내생호흡계수(day</t>
    </r>
    <r>
      <rPr>
        <vertAlign val="superscript"/>
        <sz val="8"/>
        <rFont val="굴림"/>
        <family val="3"/>
        <charset val="129"/>
      </rPr>
      <t>-1</t>
    </r>
    <r>
      <rPr>
        <sz val="8"/>
        <rFont val="굴림"/>
        <family val="3"/>
        <charset val="129"/>
      </rPr>
      <t>)</t>
    </r>
    <phoneticPr fontId="2" type="noConversion"/>
  </si>
  <si>
    <r>
      <t>S</t>
    </r>
    <r>
      <rPr>
        <vertAlign val="subscript"/>
        <sz val="8"/>
        <rFont val="굴림"/>
        <family val="3"/>
        <charset val="129"/>
      </rPr>
      <t>0</t>
    </r>
    <r>
      <rPr>
        <sz val="8"/>
        <rFont val="굴림"/>
        <family val="3"/>
        <charset val="129"/>
      </rPr>
      <t xml:space="preserve"> = 유입수 BOD 농도(㎎/ℓ)</t>
    </r>
    <phoneticPr fontId="2" type="noConversion"/>
  </si>
  <si>
    <r>
      <t>U = 기질의 비소비율(day</t>
    </r>
    <r>
      <rPr>
        <vertAlign val="superscript"/>
        <sz val="8"/>
        <rFont val="굴림"/>
        <family val="3"/>
        <charset val="129"/>
      </rPr>
      <t>-1</t>
    </r>
    <r>
      <rPr>
        <sz val="8"/>
        <rFont val="굴림"/>
        <family val="3"/>
        <charset val="129"/>
      </rPr>
      <t>)</t>
    </r>
    <phoneticPr fontId="2" type="noConversion"/>
  </si>
  <si>
    <r>
      <t>θ</t>
    </r>
    <r>
      <rPr>
        <vertAlign val="subscript"/>
        <sz val="8"/>
        <rFont val="굴림"/>
        <family val="3"/>
        <charset val="129"/>
      </rPr>
      <t xml:space="preserve">2  </t>
    </r>
    <r>
      <rPr>
        <sz val="8"/>
        <rFont val="굴림"/>
        <family val="3"/>
        <charset val="129"/>
      </rPr>
      <t>=</t>
    </r>
    <phoneticPr fontId="2" type="noConversion"/>
  </si>
  <si>
    <r>
      <t xml:space="preserve"> 암모니아 산화에 대한 기질 소모계수(day</t>
    </r>
    <r>
      <rPr>
        <vertAlign val="superscript"/>
        <sz val="8"/>
        <rFont val="굴림"/>
        <family val="3"/>
        <charset val="129"/>
      </rPr>
      <t>-1</t>
    </r>
    <r>
      <rPr>
        <sz val="8"/>
        <rFont val="굴림"/>
        <family val="3"/>
        <charset val="129"/>
      </rPr>
      <t>)</t>
    </r>
    <phoneticPr fontId="2" type="noConversion"/>
  </si>
  <si>
    <t>유입하수의 유량 및 수질변동에 의해 발생할수 있는 처리효율 저하를 방지하기 위하여 유입유량뿐만 아니라</t>
    <phoneticPr fontId="2" type="noConversion"/>
  </si>
  <si>
    <t>유입부하를 균등화하여 시설의 용량감소 및 운전비용 절감을 위하여 설치한다</t>
    <phoneticPr fontId="2" type="noConversion"/>
  </si>
  <si>
    <t>토양성 미생물을 배양, 활성화시켜 생물반응조에 공급하고 유기물분해 효율 및 고액분리 효율을 높이도록</t>
    <phoneticPr fontId="2" type="noConversion"/>
  </si>
  <si>
    <t>하는 장치이다.</t>
    <phoneticPr fontId="2" type="noConversion"/>
  </si>
  <si>
    <t>생물학적 인 제거를 위한 혐기성 기능을 갖는 혐기성조인 무산소조1은 무산소조2나 호기반응조보다 앞에</t>
    <phoneticPr fontId="2" type="noConversion"/>
  </si>
  <si>
    <t>두어 제한된 유기물을 먼저 이용하게 하여야한다.</t>
    <phoneticPr fontId="2" type="noConversion"/>
  </si>
  <si>
    <t xml:space="preserve">                      단위
구분</t>
    <phoneticPr fontId="2" type="noConversion"/>
  </si>
  <si>
    <t>㎥/㎡·day )</t>
    <phoneticPr fontId="2" type="noConversion"/>
  </si>
  <si>
    <t>㎡/지당</t>
    <phoneticPr fontId="2" type="noConversion"/>
  </si>
  <si>
    <t>μm =</t>
    <phoneticPr fontId="2" type="noConversion"/>
  </si>
  <si>
    <t>)〕</t>
    <phoneticPr fontId="2" type="noConversion"/>
  </si>
  <si>
    <t>pH</t>
    <phoneticPr fontId="2" type="noConversion"/>
  </si>
  <si>
    <r>
      <t>K</t>
    </r>
    <r>
      <rPr>
        <vertAlign val="subscript"/>
        <sz val="8"/>
        <rFont val="굴림"/>
        <family val="3"/>
        <charset val="129"/>
      </rPr>
      <t>O2</t>
    </r>
    <r>
      <rPr>
        <sz val="8"/>
        <rFont val="굴림"/>
        <family val="3"/>
        <charset val="129"/>
      </rPr>
      <t xml:space="preserve">(용존산소의 반속도 상수) </t>
    </r>
    <phoneticPr fontId="2" type="noConversion"/>
  </si>
  <si>
    <t>/  (</t>
    <phoneticPr fontId="2" type="noConversion"/>
  </si>
  <si>
    <t xml:space="preserve">DO </t>
    <phoneticPr fontId="2" type="noConversion"/>
  </si>
  <si>
    <t>＋</t>
    <phoneticPr fontId="2" type="noConversion"/>
  </si>
  <si>
    <t>＋</t>
    <phoneticPr fontId="2" type="noConversion"/>
  </si>
  <si>
    <t xml:space="preserve">조  건 : </t>
    <phoneticPr fontId="2" type="noConversion"/>
  </si>
  <si>
    <t>× 〔</t>
    <phoneticPr fontId="2" type="noConversion"/>
  </si>
  <si>
    <t>)〕</t>
    <phoneticPr fontId="2" type="noConversion"/>
  </si>
  <si>
    <t>(</t>
    <phoneticPr fontId="2" type="noConversion"/>
  </si>
  <si>
    <r>
      <t>조건 : Kd = 내생호흡계수(day</t>
    </r>
    <r>
      <rPr>
        <vertAlign val="superscript"/>
        <sz val="8"/>
        <rFont val="굴림"/>
        <family val="3"/>
        <charset val="129"/>
      </rPr>
      <t>-1</t>
    </r>
    <r>
      <rPr>
        <sz val="8"/>
        <rFont val="굴림"/>
        <family val="3"/>
        <charset val="129"/>
      </rPr>
      <t>) =</t>
    </r>
    <phoneticPr fontId="2" type="noConversion"/>
  </si>
  <si>
    <t>, 0.03 ~ 0.06</t>
    <phoneticPr fontId="2" type="noConversion"/>
  </si>
  <si>
    <t>day</t>
    <phoneticPr fontId="2" type="noConversion"/>
  </si>
  <si>
    <t>암모니아 산화에 대한 설계 기질 소모계수 산출,Un</t>
    <phoneticPr fontId="2" type="noConversion"/>
  </si>
  <si>
    <t>( 1</t>
    <phoneticPr fontId="2" type="noConversion"/>
  </si>
  <si>
    <t>kd )</t>
    <phoneticPr fontId="2" type="noConversion"/>
  </si>
  <si>
    <t xml:space="preserve">조건 : Yn = 대수성장기의 주어진 기간에서 측정된 최대 생성 계수 = </t>
    <phoneticPr fontId="2" type="noConversion"/>
  </si>
  <si>
    <t>유출수 암모니아 농도</t>
    <phoneticPr fontId="2" type="noConversion"/>
  </si>
  <si>
    <t>( 조건: K` = 최대기질 소모율 =</t>
    <phoneticPr fontId="2" type="noConversion"/>
  </si>
  <si>
    <t>( 여기서,</t>
    <phoneticPr fontId="2" type="noConversion"/>
  </si>
  <si>
    <t>mg/ℓ</t>
  </si>
  <si>
    <r>
      <t>α : C</t>
    </r>
    <r>
      <rPr>
        <vertAlign val="subscript"/>
        <sz val="8"/>
        <rFont val="굴림"/>
        <family val="3"/>
        <charset val="129"/>
      </rPr>
      <t>TN,in</t>
    </r>
    <r>
      <rPr>
        <sz val="8"/>
        <rFont val="굴림"/>
        <family val="3"/>
        <charset val="129"/>
      </rPr>
      <t>에 대해서 질산화 된 질소의 비 (0.7 ~ 0.8)</t>
    </r>
    <phoneticPr fontId="2" type="noConversion"/>
  </si>
  <si>
    <r>
      <t>C</t>
    </r>
    <r>
      <rPr>
        <vertAlign val="subscript"/>
        <sz val="8"/>
        <rFont val="굴림"/>
        <family val="3"/>
        <charset val="129"/>
      </rPr>
      <t>T-N,in</t>
    </r>
    <r>
      <rPr>
        <sz val="8"/>
        <rFont val="굴림"/>
        <family val="3"/>
        <charset val="129"/>
      </rPr>
      <t xml:space="preserve"> : 생물반응조 유입 T-N농도 (㎎/ℓ)</t>
    </r>
    <phoneticPr fontId="2" type="noConversion"/>
  </si>
  <si>
    <r>
      <t>C</t>
    </r>
    <r>
      <rPr>
        <vertAlign val="subscript"/>
        <sz val="8"/>
        <rFont val="굴림"/>
        <family val="3"/>
        <charset val="129"/>
      </rPr>
      <t>NOX.eff</t>
    </r>
    <r>
      <rPr>
        <sz val="8"/>
        <rFont val="굴림"/>
        <family val="3"/>
        <charset val="129"/>
      </rPr>
      <t xml:space="preserve"> : 최종침전지 유출수 NO</t>
    </r>
    <r>
      <rPr>
        <vertAlign val="subscript"/>
        <sz val="8"/>
        <rFont val="굴림"/>
        <family val="3"/>
        <charset val="129"/>
      </rPr>
      <t>T</t>
    </r>
    <r>
      <rPr>
        <sz val="8"/>
        <rFont val="굴림"/>
        <family val="3"/>
        <charset val="129"/>
      </rPr>
      <t>-N농도 (㎎/ℓ)</t>
    </r>
    <phoneticPr fontId="2" type="noConversion"/>
  </si>
  <si>
    <t xml:space="preserve">(2) 유출수 T-N </t>
    <phoneticPr fontId="2" type="noConversion"/>
  </si>
  <si>
    <t>(3) 질산화 농도</t>
    <phoneticPr fontId="2" type="noConversion"/>
  </si>
  <si>
    <t>㎎/ℓ</t>
    <phoneticPr fontId="2" type="noConversion"/>
  </si>
  <si>
    <t>－</t>
    <phoneticPr fontId="2" type="noConversion"/>
  </si>
  <si>
    <t>=R113*S113/R114/S114</t>
    <phoneticPr fontId="2" type="noConversion"/>
  </si>
  <si>
    <t>(1) 탈질대상농도=질산화대상농도-유출수농도-포기조탈질농도</t>
    <phoneticPr fontId="2" type="noConversion"/>
  </si>
  <si>
    <r>
      <t xml:space="preserve">1.09 </t>
    </r>
    <r>
      <rPr>
        <vertAlign val="superscript"/>
        <sz val="8"/>
        <rFont val="굴림"/>
        <family val="3"/>
        <charset val="129"/>
      </rPr>
      <t>(T-20)</t>
    </r>
    <phoneticPr fontId="2" type="noConversion"/>
  </si>
  <si>
    <t>×  (</t>
    <phoneticPr fontId="2" type="noConversion"/>
  </si>
  <si>
    <t>DO</t>
    <phoneticPr fontId="2" type="noConversion"/>
  </si>
  <si>
    <r>
      <t>× 1.09</t>
    </r>
    <r>
      <rPr>
        <vertAlign val="superscript"/>
        <sz val="8"/>
        <rFont val="굴림"/>
        <family val="3"/>
        <charset val="129"/>
      </rPr>
      <t>(T-20)</t>
    </r>
    <phoneticPr fontId="2" type="noConversion"/>
  </si>
  <si>
    <t>) / (</t>
    <phoneticPr fontId="2" type="noConversion"/>
  </si>
  <si>
    <r>
      <t>1.09</t>
    </r>
    <r>
      <rPr>
        <vertAlign val="superscript"/>
        <sz val="8"/>
        <rFont val="굴림"/>
        <family val="3"/>
        <charset val="129"/>
      </rPr>
      <t xml:space="preserve">(T-20) </t>
    </r>
    <phoneticPr fontId="2" type="noConversion"/>
  </si>
  <si>
    <r>
      <t>( 1/θ</t>
    </r>
    <r>
      <rPr>
        <vertAlign val="subscript"/>
        <sz val="8"/>
        <rFont val="굴림"/>
        <family val="3"/>
        <charset val="129"/>
      </rPr>
      <t>c</t>
    </r>
    <phoneticPr fontId="2" type="noConversion"/>
  </si>
  <si>
    <r>
      <t>K</t>
    </r>
    <r>
      <rPr>
        <vertAlign val="subscript"/>
        <sz val="8"/>
        <rFont val="굴림"/>
        <family val="3"/>
        <charset val="129"/>
      </rPr>
      <t xml:space="preserve">d </t>
    </r>
    <r>
      <rPr>
        <sz val="8"/>
        <rFont val="굴림"/>
        <family val="3"/>
        <charset val="129"/>
      </rPr>
      <t>)</t>
    </r>
    <phoneticPr fontId="2" type="noConversion"/>
  </si>
  <si>
    <r>
      <t>( S</t>
    </r>
    <r>
      <rPr>
        <vertAlign val="subscript"/>
        <sz val="8"/>
        <rFont val="굴림"/>
        <family val="3"/>
        <charset val="129"/>
      </rPr>
      <t>0</t>
    </r>
    <phoneticPr fontId="2" type="noConversion"/>
  </si>
  <si>
    <t>( θ</t>
    <phoneticPr fontId="2" type="noConversion"/>
  </si>
  <si>
    <t>X )</t>
    <phoneticPr fontId="2" type="noConversion"/>
  </si>
  <si>
    <t>S )</t>
    <phoneticPr fontId="2" type="noConversion"/>
  </si>
  <si>
    <t>) ×</t>
    <phoneticPr fontId="2" type="noConversion"/>
  </si>
  <si>
    <t>T
(℃)</t>
    <phoneticPr fontId="2" type="noConversion"/>
  </si>
  <si>
    <t>β
(mg/ℓ)</t>
    <phoneticPr fontId="2" type="noConversion"/>
  </si>
  <si>
    <t>P
(mmHg)</t>
    <phoneticPr fontId="2" type="noConversion"/>
  </si>
  <si>
    <r>
      <t>10 (</t>
    </r>
    <r>
      <rPr>
        <vertAlign val="superscript"/>
        <sz val="8"/>
        <rFont val="굴림"/>
        <family val="3"/>
        <charset val="129"/>
      </rPr>
      <t>0.051×T-1.158)</t>
    </r>
    <phoneticPr fontId="2" type="noConversion"/>
  </si>
  <si>
    <t>② SS 기준:</t>
    <phoneticPr fontId="2" type="noConversion"/>
  </si>
  <si>
    <t>FSS = TSS x (10 ~ 30)%</t>
    <phoneticPr fontId="2" type="noConversion"/>
  </si>
  <si>
    <t>VSS = TSS x (70 ~ 90)%</t>
    <phoneticPr fontId="2" type="noConversion"/>
  </si>
  <si>
    <t>hr/day</t>
    <phoneticPr fontId="2" type="noConversion"/>
  </si>
  <si>
    <t xml:space="preserve"> = BOD에 의한 미생물발생량 +SS에 의한 발생량</t>
    <phoneticPr fontId="2" type="noConversion"/>
  </si>
  <si>
    <t>① BOD 기준:</t>
    <phoneticPr fontId="2" type="noConversion"/>
  </si>
  <si>
    <r>
      <t>YH x Q x △S x 10</t>
    </r>
    <r>
      <rPr>
        <vertAlign val="superscript"/>
        <sz val="8"/>
        <rFont val="굴림"/>
        <family val="3"/>
        <charset val="129"/>
      </rPr>
      <t>-3</t>
    </r>
    <phoneticPr fontId="2" type="noConversion"/>
  </si>
  <si>
    <t>0.4 ~ 0.6</t>
    <phoneticPr fontId="2" type="noConversion"/>
  </si>
  <si>
    <t>계내에서의 용존성 제거 BOD (mg/L)</t>
    <phoneticPr fontId="2" type="noConversion"/>
  </si>
  <si>
    <r>
      <t>SS 에 의한 발생량=(유입SS농도-유출SS농도)x(FSS+분해불가능한VSS)xQx10</t>
    </r>
    <r>
      <rPr>
        <vertAlign val="superscript"/>
        <sz val="8"/>
        <rFont val="굴림"/>
        <family val="3"/>
        <charset val="129"/>
      </rPr>
      <t xml:space="preserve">-3   </t>
    </r>
    <r>
      <rPr>
        <sz val="8"/>
        <rFont val="굴림"/>
        <family val="3"/>
        <charset val="129"/>
      </rPr>
      <t>=</t>
    </r>
    <phoneticPr fontId="2" type="noConversion"/>
  </si>
  <si>
    <t>다. 포기조</t>
    <phoneticPr fontId="2" type="noConversion"/>
  </si>
  <si>
    <t>호기성 미생물에 의해 유기물을 분해하고 암모니아성 질소를 질산성 질소형태로 산화시키기 위하여</t>
    <phoneticPr fontId="2" type="noConversion"/>
  </si>
  <si>
    <t>포기조를 분리한다.</t>
    <phoneticPr fontId="2" type="noConversion"/>
  </si>
  <si>
    <t>최종방류하기 위해 일시 저류하는 기능을 갖는다.</t>
    <phoneticPr fontId="2" type="noConversion"/>
  </si>
  <si>
    <t>이차침전지</t>
    <phoneticPr fontId="2" type="noConversion"/>
  </si>
  <si>
    <t>=</t>
    <phoneticPr fontId="2" type="noConversion"/>
  </si>
  <si>
    <t>W</t>
    <phoneticPr fontId="2" type="noConversion"/>
  </si>
  <si>
    <t>L</t>
    <phoneticPr fontId="2" type="noConversion"/>
  </si>
  <si>
    <t>소독 및 방류</t>
    <phoneticPr fontId="2" type="noConversion"/>
  </si>
  <si>
    <t>역세척수</t>
    <phoneticPr fontId="2" type="noConversion"/>
  </si>
  <si>
    <t>Q</t>
    <phoneticPr fontId="2" type="noConversion"/>
  </si>
  <si>
    <t>㎥/d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</si>
  <si>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</si>
  <si>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</si>
  <si>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</si>
  <si>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</si>
  <si>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</si>
  <si>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0.03 ~ 0.06</t>
    <phoneticPr fontId="2" type="noConversion"/>
  </si>
  <si>
    <t>1) 기  능</t>
    <phoneticPr fontId="2" type="noConversion"/>
  </si>
  <si>
    <t>생물학적처리를 마친 처리수를 다음 공정인 여과시설로 유입시키기 위해서 일시 저류하는 기능을 갖는다.</t>
    <phoneticPr fontId="2" type="noConversion"/>
  </si>
  <si>
    <t>2) 기  준</t>
    <phoneticPr fontId="2" type="noConversion"/>
  </si>
  <si>
    <t>3) 설계계산</t>
    <phoneticPr fontId="2" type="noConversion"/>
  </si>
  <si>
    <t>◆ 필요용량</t>
    <phoneticPr fontId="2" type="noConversion"/>
  </si>
  <si>
    <t>=</t>
    <phoneticPr fontId="2" type="noConversion"/>
  </si>
  <si>
    <t>4) 시설물의 제원</t>
    <phoneticPr fontId="2" type="noConversion"/>
  </si>
  <si>
    <t>① 형   식</t>
    <phoneticPr fontId="2" type="noConversion"/>
  </si>
  <si>
    <t>장 방 형</t>
    <phoneticPr fontId="2" type="noConversion"/>
  </si>
  <si>
    <t>② 규   격</t>
    <phoneticPr fontId="2" type="noConversion"/>
  </si>
  <si>
    <t>m</t>
    <phoneticPr fontId="2" type="noConversion"/>
  </si>
  <si>
    <t>유효수심</t>
    <phoneticPr fontId="2" type="noConversion"/>
  </si>
  <si>
    <t>H</t>
    <phoneticPr fontId="2" type="noConversion"/>
  </si>
  <si>
    <t>③ 지   수</t>
    <phoneticPr fontId="2" type="noConversion"/>
  </si>
  <si>
    <t>지</t>
    <phoneticPr fontId="2" type="noConversion"/>
  </si>
  <si>
    <t>④ 용   량</t>
    <phoneticPr fontId="2" type="noConversion"/>
  </si>
  <si>
    <t>V</t>
    <phoneticPr fontId="2" type="noConversion"/>
  </si>
  <si>
    <t>5) 설계검토</t>
    <phoneticPr fontId="2" type="noConversion"/>
  </si>
  <si>
    <t>① 체류시간</t>
    <phoneticPr fontId="2" type="noConversion"/>
  </si>
  <si>
    <t>SS의 질소함유율 :</t>
    <phoneticPr fontId="2" type="noConversion"/>
  </si>
  <si>
    <t>생물반응조</t>
    <phoneticPr fontId="2" type="noConversion"/>
  </si>
  <si>
    <t>1+</t>
    <phoneticPr fontId="2" type="noConversion"/>
  </si>
  <si>
    <t>(H/2)</t>
    <phoneticPr fontId="2" type="noConversion"/>
  </si>
  <si>
    <t>m</t>
    <phoneticPr fontId="2" type="noConversion"/>
  </si>
  <si>
    <t>T : 활성슬러지 혼합액의 수온</t>
    <phoneticPr fontId="2" type="noConversion"/>
  </si>
  <si>
    <t>℃</t>
    <phoneticPr fontId="2" type="noConversion"/>
  </si>
  <si>
    <t>,</t>
    <phoneticPr fontId="2" type="noConversion"/>
  </si>
  <si>
    <t xml:space="preserve">저부하 : </t>
    <phoneticPr fontId="2" type="noConversion"/>
  </si>
  <si>
    <t>β : 산소포화농도의 보정계수     (고부하 :</t>
    <phoneticPr fontId="2" type="noConversion"/>
  </si>
  <si>
    <t>(mg/ℓ)</t>
    <phoneticPr fontId="2" type="noConversion"/>
  </si>
  <si>
    <t>P : 대기압</t>
    <phoneticPr fontId="2" type="noConversion"/>
  </si>
  <si>
    <t>mmHg</t>
    <phoneticPr fontId="2" type="noConversion"/>
  </si>
  <si>
    <t>3) 소요공기량</t>
    <phoneticPr fontId="2" type="noConversion"/>
  </si>
  <si>
    <t>Gs =</t>
    <phoneticPr fontId="2" type="noConversion"/>
  </si>
  <si>
    <t>SOR</t>
    <phoneticPr fontId="2" type="noConversion"/>
  </si>
  <si>
    <t>x</t>
    <phoneticPr fontId="2" type="noConversion"/>
  </si>
  <si>
    <t>+</t>
    <phoneticPr fontId="2" type="noConversion"/>
  </si>
  <si>
    <t>구  분</t>
    <phoneticPr fontId="2" type="noConversion"/>
  </si>
  <si>
    <t>ρ
(kg/N㎥)</t>
    <phoneticPr fontId="2" type="noConversion"/>
  </si>
  <si>
    <t>Gs
(㎥/일)</t>
    <phoneticPr fontId="2" type="noConversion"/>
  </si>
  <si>
    <t>ρ : 공기밀도</t>
    <phoneticPr fontId="2" type="noConversion"/>
  </si>
  <si>
    <t>:</t>
    <phoneticPr fontId="2" type="noConversion"/>
  </si>
  <si>
    <t>온도보정 : 절대온도=</t>
    <phoneticPr fontId="2" type="noConversion"/>
  </si>
  <si>
    <t>상온=</t>
    <phoneticPr fontId="2" type="noConversion"/>
  </si>
  <si>
    <t>4) 설계공기량</t>
    <phoneticPr fontId="2" type="noConversion"/>
  </si>
  <si>
    <t>α</t>
    <phoneticPr fontId="2" type="noConversion"/>
  </si>
  <si>
    <t>설계공기량(Ga)</t>
    <phoneticPr fontId="2" type="noConversion"/>
  </si>
  <si>
    <t>α : 여유율</t>
    <phoneticPr fontId="2" type="noConversion"/>
  </si>
  <si>
    <t xml:space="preserve">   5) 미생물조정조 AIR 량</t>
    <phoneticPr fontId="2" type="noConversion"/>
  </si>
  <si>
    <t>◆ 송풍  강도</t>
    <phoneticPr fontId="2" type="noConversion"/>
  </si>
  <si>
    <t>◆ 소요공기량</t>
    <phoneticPr fontId="2" type="noConversion"/>
  </si>
  <si>
    <t>×</t>
    <phoneticPr fontId="2" type="noConversion"/>
  </si>
  <si>
    <t>1hr/60min =</t>
    <phoneticPr fontId="2" type="noConversion"/>
  </si>
  <si>
    <t>6) 총 공기량 :</t>
    <phoneticPr fontId="2" type="noConversion"/>
  </si>
  <si>
    <t>7) 제    원</t>
    <phoneticPr fontId="2" type="noConversion"/>
  </si>
  <si>
    <t>항   목</t>
    <phoneticPr fontId="2" type="noConversion"/>
  </si>
  <si>
    <t>단 위</t>
    <phoneticPr fontId="2" type="noConversion"/>
  </si>
  <si>
    <t>사       양</t>
    <phoneticPr fontId="2" type="noConversion"/>
  </si>
  <si>
    <t>비   고</t>
    <phoneticPr fontId="2" type="noConversion"/>
  </si>
  <si>
    <t>용   량</t>
    <phoneticPr fontId="2" type="noConversion"/>
  </si>
  <si>
    <t>㎥/min</t>
    <phoneticPr fontId="2" type="noConversion"/>
  </si>
  <si>
    <t>구   경</t>
    <phoneticPr fontId="2" type="noConversion"/>
  </si>
  <si>
    <t>mm</t>
    <phoneticPr fontId="2" type="noConversion"/>
  </si>
  <si>
    <t>압   력</t>
    <phoneticPr fontId="2" type="noConversion"/>
  </si>
  <si>
    <t>Kgf/㎠</t>
    <phoneticPr fontId="2" type="noConversion"/>
  </si>
  <si>
    <t>형   식</t>
    <phoneticPr fontId="2" type="noConversion"/>
  </si>
  <si>
    <t>동   력</t>
    <phoneticPr fontId="2" type="noConversion"/>
  </si>
  <si>
    <t>Kw</t>
    <phoneticPr fontId="2" type="noConversion"/>
  </si>
  <si>
    <t>수   량</t>
    <phoneticPr fontId="2" type="noConversion"/>
  </si>
  <si>
    <t>대</t>
    <phoneticPr fontId="2" type="noConversion"/>
  </si>
  <si>
    <t>~</t>
    <phoneticPr fontId="2" type="noConversion"/>
  </si>
  <si>
    <t>◆ 수      량</t>
    <phoneticPr fontId="2" type="noConversion"/>
  </si>
  <si>
    <t>◆ 설계조건</t>
    <phoneticPr fontId="2" type="noConversion"/>
  </si>
  <si>
    <t>펌프의 대수 :</t>
    <phoneticPr fontId="2" type="noConversion"/>
  </si>
  <si>
    <t>내부반송율 :</t>
    <phoneticPr fontId="2" type="noConversion"/>
  </si>
  <si>
    <t>⇒</t>
    <phoneticPr fontId="2" type="noConversion"/>
  </si>
  <si>
    <t xml:space="preserve">수질변동을 고려하여 </t>
    <phoneticPr fontId="2" type="noConversion"/>
  </si>
  <si>
    <t>로 적용한다.</t>
    <phoneticPr fontId="2" type="noConversion"/>
  </si>
  <si>
    <t>계열당 이송량 :</t>
    <phoneticPr fontId="2" type="noConversion"/>
  </si>
  <si>
    <t>계열</t>
    <phoneticPr fontId="2" type="noConversion"/>
  </si>
  <si>
    <t>분당 이송량 :</t>
    <phoneticPr fontId="2" type="noConversion"/>
  </si>
  <si>
    <t>◆ 제    원</t>
    <phoneticPr fontId="2" type="noConversion"/>
  </si>
  <si>
    <t>수   두</t>
    <phoneticPr fontId="2" type="noConversion"/>
  </si>
  <si>
    <t xml:space="preserve"> 가. 약품저장탱크(PAC)</t>
    <phoneticPr fontId="2" type="noConversion"/>
  </si>
  <si>
    <t>일일 총 투입량 :</t>
    <phoneticPr fontId="2" type="noConversion"/>
  </si>
  <si>
    <t>저장일수 :</t>
    <phoneticPr fontId="2" type="noConversion"/>
  </si>
  <si>
    <t>저장용량 :</t>
    <phoneticPr fontId="2" type="noConversion"/>
  </si>
  <si>
    <t xml:space="preserve">탱크용량 : </t>
    <phoneticPr fontId="2" type="noConversion"/>
  </si>
  <si>
    <t>탱크 대수 :</t>
    <phoneticPr fontId="2" type="noConversion"/>
  </si>
  <si>
    <t>전체 이송량 :</t>
    <phoneticPr fontId="2" type="noConversion"/>
  </si>
  <si>
    <t>(PAC)</t>
    <phoneticPr fontId="2" type="noConversion"/>
  </si>
  <si>
    <t>ℓ/min</t>
    <phoneticPr fontId="2" type="noConversion"/>
  </si>
  <si>
    <t>◆ 제 원</t>
    <phoneticPr fontId="2" type="noConversion"/>
  </si>
  <si>
    <t xml:space="preserve"> 가. 반송슬러지 펌프</t>
    <phoneticPr fontId="2" type="noConversion"/>
  </si>
  <si>
    <t xml:space="preserve">슬러지 반송율 : </t>
    <phoneticPr fontId="2" type="noConversion"/>
  </si>
  <si>
    <t>hr/day</t>
    <phoneticPr fontId="2" type="noConversion"/>
  </si>
  <si>
    <t>반송 슬러지량 :</t>
    <phoneticPr fontId="2" type="noConversion"/>
  </si>
  <si>
    <t>㎥/mn</t>
    <phoneticPr fontId="2" type="noConversion"/>
  </si>
  <si>
    <t xml:space="preserve"> 나. 잉여슬러지 펌프</t>
    <phoneticPr fontId="2" type="noConversion"/>
  </si>
  <si>
    <t>(1) 시간당이송량:</t>
    <phoneticPr fontId="2" type="noConversion"/>
  </si>
  <si>
    <t>hr/d</t>
    <phoneticPr fontId="2" type="noConversion"/>
  </si>
  <si>
    <t>(여유율 20% 고려)</t>
    <phoneticPr fontId="2" type="noConversion"/>
  </si>
  <si>
    <t>이송 슬러지량 :</t>
    <phoneticPr fontId="2" type="noConversion"/>
  </si>
  <si>
    <t>여유율1.5 고려</t>
    <phoneticPr fontId="2" type="noConversion"/>
  </si>
  <si>
    <t>조당 이송량 :</t>
    <phoneticPr fontId="2" type="noConversion"/>
  </si>
  <si>
    <t xml:space="preserve"> 가. 방류펌프</t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</si>
  <si>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D1</t>
    </r>
    <r>
      <rPr>
        <sz val="8"/>
        <color indexed="8"/>
        <rFont val="굴림"/>
        <family val="3"/>
        <charset val="129"/>
      </rPr>
      <t xml:space="preserve"> = A×(제거BOD-탈질량×K)</t>
    </r>
  </si>
  <si>
    <r>
      <t>A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/kgBOD)</t>
    </r>
    <phoneticPr fontId="2" type="noConversion"/>
  </si>
  <si>
    <r>
      <t>O</t>
    </r>
    <r>
      <rPr>
        <vertAlign val="subscript"/>
        <sz val="8"/>
        <rFont val="굴림"/>
        <family val="3"/>
        <charset val="129"/>
      </rPr>
      <t>D1</t>
    </r>
    <r>
      <rPr>
        <sz val="8"/>
        <rFont val="굴림"/>
        <family val="3"/>
        <charset val="129"/>
      </rPr>
      <t xml:space="preserve">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/일)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</si>
  <si>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D1</t>
    </r>
    <r>
      <rPr>
        <sz val="8"/>
        <color indexed="8"/>
        <rFont val="굴림"/>
        <family val="3"/>
        <charset val="129"/>
      </rPr>
      <t xml:space="preserve"> : BOD 산화에 필요한 산소량(kgO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/일)</t>
    </r>
  </si>
  <si>
    <r>
      <t>A : 제거BOD당 필요한 산소량(0.5~0.7kgO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/kgBOD, 0.6적용)</t>
    </r>
    <phoneticPr fontId="2" type="noConversion"/>
  </si>
  <si>
    <r>
      <t>탈질량 : (Q×T-N×</t>
    </r>
    <r>
      <rPr>
        <sz val="8"/>
        <color indexed="10"/>
        <rFont val="굴림"/>
        <family val="3"/>
        <charset val="129"/>
      </rPr>
      <t>65％</t>
    </r>
    <r>
      <rPr>
        <sz val="8"/>
        <color indexed="8"/>
        <rFont val="굴림"/>
        <family val="3"/>
        <charset val="129"/>
      </rPr>
      <t>×10</t>
    </r>
    <r>
      <rPr>
        <vertAlign val="superscript"/>
        <sz val="8"/>
        <color indexed="8"/>
        <rFont val="굴림"/>
        <family val="3"/>
        <charset val="129"/>
      </rPr>
      <t>-6</t>
    </r>
    <r>
      <rPr>
        <sz val="8"/>
        <color indexed="8"/>
        <rFont val="굴림"/>
        <family val="3"/>
        <charset val="129"/>
      </rPr>
      <t>)-(Q×T-N×</t>
    </r>
    <r>
      <rPr>
        <sz val="8"/>
        <color indexed="10"/>
        <rFont val="굴림"/>
        <family val="3"/>
        <charset val="129"/>
      </rPr>
      <t>20％</t>
    </r>
    <r>
      <rPr>
        <sz val="8"/>
        <color indexed="8"/>
        <rFont val="굴림"/>
        <family val="3"/>
        <charset val="129"/>
      </rPr>
      <t>×10</t>
    </r>
    <r>
      <rPr>
        <vertAlign val="superscript"/>
        <sz val="8"/>
        <color indexed="8"/>
        <rFont val="굴림"/>
        <family val="3"/>
        <charset val="129"/>
      </rPr>
      <t>-6</t>
    </r>
    <r>
      <rPr>
        <sz val="8"/>
        <color indexed="8"/>
        <rFont val="굴림"/>
        <family val="3"/>
        <charset val="129"/>
      </rPr>
      <t>)</t>
    </r>
    <phoneticPr fontId="2" type="noConversion"/>
  </si>
  <si>
    <r>
      <t>Q × 탈질대상농도 × 10</t>
    </r>
    <r>
      <rPr>
        <vertAlign val="superscript"/>
        <sz val="8"/>
        <color indexed="8"/>
        <rFont val="굴림"/>
        <family val="3"/>
        <charset val="129"/>
      </rPr>
      <t>-3</t>
    </r>
    <phoneticPr fontId="2" type="noConversion"/>
  </si>
  <si>
    <r>
      <t>유입하수량
(m</t>
    </r>
    <r>
      <rPr>
        <vertAlign val="super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/일)</t>
    </r>
    <phoneticPr fontId="2" type="noConversion"/>
  </si>
  <si>
    <r>
      <t>탈질대상농도 : 질산화대상농도 - 유출예상NO</t>
    </r>
    <r>
      <rPr>
        <vertAlign val="subscript"/>
        <sz val="8"/>
        <color indexed="8"/>
        <rFont val="굴림"/>
        <family val="3"/>
        <charset val="129"/>
      </rPr>
      <t>3</t>
    </r>
    <r>
      <rPr>
        <sz val="8"/>
        <color indexed="8"/>
        <rFont val="굴림"/>
        <family val="3"/>
        <charset val="129"/>
      </rPr>
      <t>-N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</si>
  <si>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D2</t>
    </r>
    <r>
      <rPr>
        <sz val="8"/>
        <color indexed="8"/>
        <rFont val="굴림"/>
        <family val="3"/>
        <charset val="129"/>
      </rPr>
      <t xml:space="preserve"> = B×V</t>
    </r>
    <r>
      <rPr>
        <vertAlign val="subscript"/>
        <sz val="8"/>
        <color indexed="8"/>
        <rFont val="굴림"/>
        <family val="3"/>
        <charset val="129"/>
      </rPr>
      <t>A</t>
    </r>
    <r>
      <rPr>
        <sz val="8"/>
        <color indexed="8"/>
        <rFont val="굴림"/>
        <family val="3"/>
        <charset val="129"/>
      </rPr>
      <t>×MLVSS</t>
    </r>
  </si>
  <si>
    <r>
      <t>B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/kgMLVSS․일)</t>
    </r>
    <phoneticPr fontId="2" type="noConversion"/>
  </si>
  <si>
    <r>
      <t>V</t>
    </r>
    <r>
      <rPr>
        <vertAlign val="subscript"/>
        <sz val="8"/>
        <rFont val="굴림"/>
        <family val="3"/>
        <charset val="129"/>
      </rPr>
      <t>A</t>
    </r>
    <r>
      <rPr>
        <sz val="8"/>
        <rFont val="굴림"/>
        <family val="3"/>
        <charset val="129"/>
      </rPr>
      <t>(m</t>
    </r>
    <r>
      <rPr>
        <vertAlign val="super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)</t>
    </r>
    <phoneticPr fontId="2" type="noConversion"/>
  </si>
  <si>
    <r>
      <t>MLVSS
(kgMLVSS/m</t>
    </r>
    <r>
      <rPr>
        <vertAlign val="super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)</t>
    </r>
    <phoneticPr fontId="2" type="noConversion"/>
  </si>
  <si>
    <r>
      <t>O</t>
    </r>
    <r>
      <rPr>
        <vertAlign val="subscript"/>
        <sz val="8"/>
        <rFont val="굴림"/>
        <family val="3"/>
        <charset val="129"/>
      </rPr>
      <t>D2</t>
    </r>
    <r>
      <rPr>
        <sz val="8"/>
        <rFont val="굴림"/>
        <family val="3"/>
        <charset val="129"/>
      </rPr>
      <t xml:space="preserve">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/일)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</si>
  <si>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D2</t>
    </r>
    <r>
      <rPr>
        <sz val="8"/>
        <color indexed="8"/>
        <rFont val="굴림"/>
        <family val="3"/>
        <charset val="129"/>
      </rPr>
      <t xml:space="preserve"> : 내생호흡에 필요한 산소량(kgO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/일)</t>
    </r>
  </si>
  <si>
    <r>
      <t>(0.05~0.15kgO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/kgMLVSS․일. 0.1적용)</t>
    </r>
    <phoneticPr fontId="2" type="noConversion"/>
  </si>
  <si>
    <r>
      <t>V</t>
    </r>
    <r>
      <rPr>
        <vertAlign val="subscript"/>
        <sz val="8"/>
        <color indexed="8"/>
        <rFont val="굴림"/>
        <family val="3"/>
        <charset val="129"/>
      </rPr>
      <t xml:space="preserve">A </t>
    </r>
    <r>
      <rPr>
        <sz val="8"/>
        <color indexed="8"/>
        <rFont val="굴림"/>
        <family val="3"/>
        <charset val="129"/>
      </rPr>
      <t>: 포기조용량(m</t>
    </r>
    <r>
      <rPr>
        <vertAlign val="superscript"/>
        <sz val="8"/>
        <color indexed="8"/>
        <rFont val="굴림"/>
        <family val="3"/>
        <charset val="129"/>
      </rPr>
      <t>3</t>
    </r>
    <r>
      <rPr>
        <sz val="8"/>
        <color indexed="8"/>
        <rFont val="굴림"/>
        <family val="3"/>
        <charset val="129"/>
      </rPr>
      <t>)</t>
    </r>
    <phoneticPr fontId="2" type="noConversion"/>
  </si>
  <si>
    <r>
      <t>MLVSS : 포기조내 혼합액의 휘발성 부유물질(kgMLVSS/m</t>
    </r>
    <r>
      <rPr>
        <vertAlign val="superscript"/>
        <sz val="8"/>
        <color indexed="8"/>
        <rFont val="굴림"/>
        <family val="3"/>
        <charset val="129"/>
      </rPr>
      <t>3</t>
    </r>
    <r>
      <rPr>
        <sz val="8"/>
        <color indexed="8"/>
        <rFont val="굴림"/>
        <family val="3"/>
        <charset val="129"/>
      </rPr>
      <t>)</t>
    </r>
    <phoneticPr fontId="2" type="noConversion"/>
  </si>
  <si>
    <r>
      <t>10</t>
    </r>
    <r>
      <rPr>
        <vertAlign val="superscript"/>
        <sz val="8"/>
        <rFont val="굴림"/>
        <family val="3"/>
        <charset val="129"/>
      </rPr>
      <t>-3</t>
    </r>
    <phoneticPr fontId="2" type="noConversion"/>
  </si>
  <si>
    <r>
      <t>kgMLVSS/m</t>
    </r>
    <r>
      <rPr>
        <vertAlign val="superscript"/>
        <sz val="8"/>
        <color indexed="8"/>
        <rFont val="굴림"/>
        <family val="3"/>
        <charset val="129"/>
      </rPr>
      <t>3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</si>
  <si>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D3</t>
    </r>
    <r>
      <rPr>
        <sz val="8"/>
        <color indexed="8"/>
        <rFont val="굴림"/>
        <family val="3"/>
        <charset val="129"/>
      </rPr>
      <t xml:space="preserve"> = C ×질산화된 질소 </t>
    </r>
    <phoneticPr fontId="2" type="noConversion"/>
  </si>
  <si>
    <r>
      <t>C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/kgN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)</t>
    </r>
    <phoneticPr fontId="2" type="noConversion"/>
  </si>
  <si>
    <r>
      <t>O</t>
    </r>
    <r>
      <rPr>
        <vertAlign val="subscript"/>
        <sz val="8"/>
        <rFont val="굴림"/>
        <family val="3"/>
        <charset val="129"/>
      </rPr>
      <t>D3</t>
    </r>
    <r>
      <rPr>
        <sz val="8"/>
        <rFont val="굴림"/>
        <family val="3"/>
        <charset val="129"/>
      </rPr>
      <t xml:space="preserve">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/일)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</si>
  <si>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D3</t>
    </r>
    <r>
      <rPr>
        <sz val="8"/>
        <color indexed="8"/>
        <rFont val="굴림"/>
        <family val="3"/>
        <charset val="129"/>
      </rPr>
      <t xml:space="preserve"> : 질산화반응에 필요한 산소량(kgO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/일)</t>
    </r>
  </si>
  <si>
    <r>
      <t>C : 질산화반응에 의해 소비되는 산소량(4.57kgO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/kgN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)</t>
    </r>
  </si>
  <si>
    <r>
      <t xml:space="preserve"> 반응조 유출수에 의해 공정외로 배출되는 산소량(O</t>
    </r>
    <r>
      <rPr>
        <vertAlign val="subscript"/>
        <sz val="8"/>
        <color indexed="8"/>
        <rFont val="굴림"/>
        <family val="3"/>
        <charset val="129"/>
      </rPr>
      <t>D4</t>
    </r>
    <r>
      <rPr>
        <sz val="8"/>
        <color indexed="8"/>
        <rFont val="굴림"/>
        <family val="3"/>
        <charset val="129"/>
      </rPr>
      <t>, 무시)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</si>
  <si>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</t>
    </r>
    <r>
      <rPr>
        <sz val="8"/>
        <color indexed="8"/>
        <rFont val="굴림"/>
        <family val="3"/>
        <charset val="129"/>
      </rPr>
      <t xml:space="preserve"> = O</t>
    </r>
    <r>
      <rPr>
        <vertAlign val="subscript"/>
        <sz val="8"/>
        <color indexed="8"/>
        <rFont val="굴림"/>
        <family val="3"/>
        <charset val="129"/>
      </rPr>
      <t>D1</t>
    </r>
    <r>
      <rPr>
        <sz val="8"/>
        <color indexed="8"/>
        <rFont val="굴림"/>
        <family val="3"/>
        <charset val="129"/>
      </rPr>
      <t>＋O</t>
    </r>
    <r>
      <rPr>
        <vertAlign val="subscript"/>
        <sz val="8"/>
        <color indexed="8"/>
        <rFont val="굴림"/>
        <family val="3"/>
        <charset val="129"/>
      </rPr>
      <t>D2</t>
    </r>
    <r>
      <rPr>
        <sz val="8"/>
        <color indexed="8"/>
        <rFont val="굴림"/>
        <family val="3"/>
        <charset val="129"/>
      </rPr>
      <t>＋O</t>
    </r>
    <r>
      <rPr>
        <vertAlign val="subscript"/>
        <sz val="8"/>
        <color indexed="8"/>
        <rFont val="굴림"/>
        <family val="3"/>
        <charset val="129"/>
      </rPr>
      <t>D3</t>
    </r>
    <r>
      <rPr>
        <sz val="8"/>
        <color indexed="8"/>
        <rFont val="굴림"/>
        <family val="3"/>
        <charset val="129"/>
      </rPr>
      <t>＋O</t>
    </r>
    <r>
      <rPr>
        <vertAlign val="subscript"/>
        <sz val="8"/>
        <color indexed="8"/>
        <rFont val="굴림"/>
        <family val="3"/>
        <charset val="129"/>
      </rPr>
      <t>D4</t>
    </r>
    <r>
      <rPr>
        <sz val="8"/>
        <color indexed="8"/>
        <rFont val="굴림"/>
        <family val="3"/>
        <charset val="129"/>
      </rPr>
      <t>(무시)</t>
    </r>
  </si>
  <si>
    <r>
      <t>OD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/일)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</si>
  <si>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D</t>
    </r>
    <r>
      <rPr>
        <sz val="8"/>
        <color indexed="8"/>
        <rFont val="굴림"/>
        <family val="3"/>
        <charset val="129"/>
      </rPr>
      <t xml:space="preserve"> : 필요산소량(AOR, 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/일)</t>
    </r>
  </si>
  <si>
    <r>
      <t>O</t>
    </r>
    <r>
      <rPr>
        <vertAlign val="subscript"/>
        <sz val="8"/>
        <color indexed="8"/>
        <rFont val="굴림"/>
        <family val="3"/>
        <charset val="129"/>
      </rPr>
      <t>D4</t>
    </r>
    <r>
      <rPr>
        <sz val="8"/>
        <color indexed="8"/>
        <rFont val="굴림"/>
        <family val="3"/>
        <charset val="129"/>
      </rPr>
      <t xml:space="preserve"> : 반응조 유출수에 의해 공정외로 배출되는 산소량(무시)</t>
    </r>
  </si>
  <si>
    <r>
      <t>AOR×C</t>
    </r>
    <r>
      <rPr>
        <vertAlign val="subscript"/>
        <sz val="8"/>
        <rFont val="굴림"/>
        <family val="3"/>
        <charset val="129"/>
      </rPr>
      <t>SW</t>
    </r>
    <r>
      <rPr>
        <sz val="8"/>
        <rFont val="굴림"/>
        <family val="3"/>
        <charset val="129"/>
      </rPr>
      <t xml:space="preserve"> ×γ</t>
    </r>
    <phoneticPr fontId="2" type="noConversion"/>
  </si>
  <si>
    <r>
      <t>1.024</t>
    </r>
    <r>
      <rPr>
        <vertAlign val="superscript"/>
        <sz val="8"/>
        <rFont val="굴림"/>
        <family val="3"/>
        <charset val="129"/>
      </rPr>
      <t>(T-20)</t>
    </r>
    <r>
      <rPr>
        <sz val="8"/>
        <rFont val="굴림"/>
        <family val="3"/>
        <charset val="129"/>
      </rPr>
      <t xml:space="preserve"> ×α×(β×C</t>
    </r>
    <r>
      <rPr>
        <vertAlign val="subscript"/>
        <sz val="8"/>
        <rFont val="굴림"/>
        <family val="3"/>
        <charset val="129"/>
      </rPr>
      <t>S</t>
    </r>
    <r>
      <rPr>
        <sz val="8"/>
        <rFont val="굴림"/>
        <family val="3"/>
        <charset val="129"/>
      </rPr>
      <t xml:space="preserve"> ×γ-C</t>
    </r>
    <r>
      <rPr>
        <vertAlign val="subscript"/>
        <sz val="8"/>
        <rFont val="굴림"/>
        <family val="3"/>
        <charset val="129"/>
      </rPr>
      <t>A</t>
    </r>
    <r>
      <rPr>
        <sz val="8"/>
        <rFont val="굴림"/>
        <family val="3"/>
        <charset val="129"/>
      </rPr>
      <t>)</t>
    </r>
    <phoneticPr fontId="2" type="noConversion"/>
  </si>
  <si>
    <r>
      <t>AOR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/일)</t>
    </r>
    <phoneticPr fontId="2" type="noConversion"/>
  </si>
  <si>
    <r>
      <t>C</t>
    </r>
    <r>
      <rPr>
        <vertAlign val="subscript"/>
        <sz val="8"/>
        <rFont val="굴림"/>
        <family val="3"/>
        <charset val="129"/>
      </rPr>
      <t>SW</t>
    </r>
    <r>
      <rPr>
        <sz val="8"/>
        <rFont val="굴림"/>
        <family val="3"/>
        <charset val="129"/>
      </rPr>
      <t xml:space="preserve">
(mg/ℓ)</t>
    </r>
    <phoneticPr fontId="2" type="noConversion"/>
  </si>
  <si>
    <r>
      <t>C</t>
    </r>
    <r>
      <rPr>
        <vertAlign val="subscript"/>
        <sz val="8"/>
        <rFont val="굴림"/>
        <family val="3"/>
        <charset val="129"/>
      </rPr>
      <t>S</t>
    </r>
    <r>
      <rPr>
        <sz val="8"/>
        <rFont val="굴림"/>
        <family val="3"/>
        <charset val="129"/>
      </rPr>
      <t xml:space="preserve">
(mg/ℓ)</t>
    </r>
    <phoneticPr fontId="2" type="noConversion"/>
  </si>
  <si>
    <r>
      <t>C</t>
    </r>
    <r>
      <rPr>
        <vertAlign val="subscript"/>
        <sz val="8"/>
        <rFont val="굴림"/>
        <family val="3"/>
        <charset val="129"/>
      </rPr>
      <t>A</t>
    </r>
    <r>
      <rPr>
        <sz val="8"/>
        <rFont val="굴림"/>
        <family val="3"/>
        <charset val="129"/>
      </rPr>
      <t xml:space="preserve">
(mg/ℓ)</t>
    </r>
    <phoneticPr fontId="2" type="noConversion"/>
  </si>
  <si>
    <r>
      <t>SOR
(kgO</t>
    </r>
    <r>
      <rPr>
        <vertAlign val="subscript"/>
        <sz val="8"/>
        <rFont val="굴림"/>
        <family val="3"/>
        <charset val="129"/>
      </rPr>
      <t>2</t>
    </r>
    <r>
      <rPr>
        <sz val="8"/>
        <rFont val="굴림"/>
        <family val="3"/>
        <charset val="129"/>
      </rPr>
      <t>/일)</t>
    </r>
    <phoneticPr fontId="2" type="noConversion"/>
  </si>
  <si>
    <r>
      <t>SOR : 공급산소량(kgO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/일)</t>
    </r>
    <phoneticPr fontId="2" type="noConversion"/>
  </si>
  <si>
    <r>
      <t>AOR : 필요산소량(kgO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/일)</t>
    </r>
  </si>
  <si>
    <r>
      <t>C</t>
    </r>
    <r>
      <rPr>
        <vertAlign val="subscript"/>
        <sz val="8"/>
        <color indexed="8"/>
        <rFont val="굴림"/>
        <family val="3"/>
        <charset val="129"/>
      </rPr>
      <t>SW</t>
    </r>
    <r>
      <rPr>
        <sz val="8"/>
        <color indexed="8"/>
        <rFont val="굴림"/>
        <family val="3"/>
        <charset val="129"/>
      </rPr>
      <t xml:space="preserve"> : 20℃에서의 산소포화농도</t>
    </r>
    <phoneticPr fontId="2" type="noConversion"/>
  </si>
  <si>
    <r>
      <t>α : K</t>
    </r>
    <r>
      <rPr>
        <vertAlign val="subscript"/>
        <sz val="8"/>
        <color indexed="8"/>
        <rFont val="굴림"/>
        <family val="3"/>
        <charset val="129"/>
      </rPr>
      <t>La</t>
    </r>
    <r>
      <rPr>
        <sz val="8"/>
        <color indexed="8"/>
        <rFont val="굴림"/>
        <family val="3"/>
        <charset val="129"/>
      </rPr>
      <t xml:space="preserve">(총괄용량계수)의 보정계수 (고부하 : </t>
    </r>
    <phoneticPr fontId="2" type="noConversion"/>
  </si>
  <si>
    <r>
      <t>C</t>
    </r>
    <r>
      <rPr>
        <vertAlign val="subscript"/>
        <sz val="8"/>
        <color indexed="8"/>
        <rFont val="굴림"/>
        <family val="3"/>
        <charset val="129"/>
      </rPr>
      <t>S</t>
    </r>
    <r>
      <rPr>
        <sz val="8"/>
        <color indexed="8"/>
        <rFont val="굴림"/>
        <family val="3"/>
        <charset val="129"/>
      </rPr>
      <t xml:space="preserve"> : T℃에서의 산소포화농도</t>
    </r>
    <phoneticPr fontId="2" type="noConversion"/>
  </si>
  <si>
    <r>
      <t>C</t>
    </r>
    <r>
      <rPr>
        <vertAlign val="subscript"/>
        <sz val="8"/>
        <color indexed="8"/>
        <rFont val="굴림"/>
        <family val="3"/>
        <charset val="129"/>
      </rPr>
      <t>A</t>
    </r>
    <r>
      <rPr>
        <sz val="8"/>
        <color indexed="8"/>
        <rFont val="굴림"/>
        <family val="3"/>
        <charset val="129"/>
      </rPr>
      <t xml:space="preserve"> : 혼합액의 평균DO농도</t>
    </r>
    <phoneticPr fontId="2" type="noConversion"/>
  </si>
  <si>
    <r>
      <t>E</t>
    </r>
    <r>
      <rPr>
        <vertAlign val="subscript"/>
        <sz val="8"/>
        <rFont val="굴림"/>
        <family val="3"/>
        <charset val="129"/>
      </rPr>
      <t>A</t>
    </r>
    <r>
      <rPr>
        <sz val="8"/>
        <rFont val="굴림"/>
        <family val="3"/>
        <charset val="129"/>
      </rPr>
      <t xml:space="preserve"> ×ρ×O</t>
    </r>
    <r>
      <rPr>
        <vertAlign val="subscript"/>
        <sz val="8"/>
        <rFont val="굴림"/>
        <family val="3"/>
        <charset val="129"/>
      </rPr>
      <t>W</t>
    </r>
    <phoneticPr fontId="2" type="noConversion"/>
  </si>
  <si>
    <r>
      <t>E</t>
    </r>
    <r>
      <rPr>
        <vertAlign val="subscript"/>
        <sz val="8"/>
        <rFont val="굴림"/>
        <family val="3"/>
        <charset val="129"/>
      </rPr>
      <t>A</t>
    </r>
    <r>
      <rPr>
        <sz val="8"/>
        <rFont val="굴림"/>
        <family val="3"/>
        <charset val="129"/>
      </rPr>
      <t xml:space="preserve">
(%)</t>
    </r>
    <phoneticPr fontId="2" type="noConversion"/>
  </si>
  <si>
    <r>
      <t>O</t>
    </r>
    <r>
      <rPr>
        <vertAlign val="subscript"/>
        <sz val="8"/>
        <rFont val="굴림"/>
        <family val="3"/>
        <charset val="129"/>
      </rPr>
      <t>W</t>
    </r>
    <phoneticPr fontId="2" type="noConversion"/>
  </si>
  <si>
    <r>
      <t>G</t>
    </r>
    <r>
      <rPr>
        <vertAlign val="subscript"/>
        <sz val="8"/>
        <color indexed="8"/>
        <rFont val="굴림"/>
        <family val="3"/>
        <charset val="129"/>
      </rPr>
      <t>S</t>
    </r>
    <r>
      <rPr>
        <sz val="8"/>
        <color indexed="8"/>
        <rFont val="굴림"/>
        <family val="3"/>
        <charset val="129"/>
      </rPr>
      <t xml:space="preserve"> : 소요공기량(m</t>
    </r>
    <r>
      <rPr>
        <vertAlign val="superscript"/>
        <sz val="8"/>
        <color indexed="8"/>
        <rFont val="굴림"/>
        <family val="3"/>
        <charset val="129"/>
      </rPr>
      <t>3</t>
    </r>
    <r>
      <rPr>
        <sz val="8"/>
        <color indexed="8"/>
        <rFont val="굴림"/>
        <family val="3"/>
        <charset val="129"/>
      </rPr>
      <t>/일)</t>
    </r>
    <phoneticPr fontId="2" type="noConversion"/>
  </si>
  <si>
    <r>
      <t>SOR : 공급산소량(kgO</t>
    </r>
    <r>
      <rPr>
        <vertAlign val="subscript"/>
        <sz val="8"/>
        <color indexed="8"/>
        <rFont val="굴림"/>
        <family val="3"/>
        <charset val="129"/>
      </rPr>
      <t>2</t>
    </r>
    <r>
      <rPr>
        <sz val="8"/>
        <color indexed="8"/>
        <rFont val="굴림"/>
        <family val="3"/>
        <charset val="129"/>
      </rPr>
      <t>/일)</t>
    </r>
  </si>
  <si>
    <r>
      <t>E</t>
    </r>
    <r>
      <rPr>
        <vertAlign val="subscript"/>
        <sz val="8"/>
        <color indexed="8"/>
        <rFont val="굴림"/>
        <family val="3"/>
        <charset val="129"/>
      </rPr>
      <t>A</t>
    </r>
    <r>
      <rPr>
        <sz val="8"/>
        <color indexed="8"/>
        <rFont val="굴림"/>
        <family val="3"/>
        <charset val="129"/>
      </rPr>
      <t xml:space="preserve"> :  산소이동효율(전면산기식 멤브레인) :</t>
    </r>
    <phoneticPr fontId="2" type="noConversion"/>
  </si>
  <si>
    <r>
      <t>kg/Nm</t>
    </r>
    <r>
      <rPr>
        <vertAlign val="superscript"/>
        <sz val="8"/>
        <rFont val="굴림"/>
        <family val="3"/>
        <charset val="129"/>
      </rPr>
      <t>3</t>
    </r>
    <phoneticPr fontId="2" type="noConversion"/>
  </si>
  <si>
    <r>
      <t>O</t>
    </r>
    <r>
      <rPr>
        <vertAlign val="subscript"/>
        <sz val="8"/>
        <color indexed="8"/>
        <rFont val="굴림"/>
        <family val="3"/>
        <charset val="129"/>
      </rPr>
      <t>W</t>
    </r>
    <r>
      <rPr>
        <sz val="8"/>
        <color indexed="8"/>
        <rFont val="굴림"/>
        <family val="3"/>
        <charset val="129"/>
      </rPr>
      <t xml:space="preserve"> : 공기중 산소의 비중량</t>
    </r>
    <phoneticPr fontId="2" type="noConversion"/>
  </si>
  <si>
    <r>
      <t>Ga = G</t>
    </r>
    <r>
      <rPr>
        <vertAlign val="subscript"/>
        <sz val="8"/>
        <color indexed="8"/>
        <rFont val="굴림"/>
        <family val="3"/>
        <charset val="129"/>
      </rPr>
      <t>S</t>
    </r>
    <r>
      <rPr>
        <sz val="8"/>
        <color indexed="8"/>
        <rFont val="굴림"/>
        <family val="3"/>
        <charset val="129"/>
      </rPr>
      <t>×(1＋α)</t>
    </r>
    <phoneticPr fontId="2" type="noConversion"/>
  </si>
  <si>
    <r>
      <t>Gs
(m</t>
    </r>
    <r>
      <rPr>
        <vertAlign val="super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/일)</t>
    </r>
    <phoneticPr fontId="2" type="noConversion"/>
  </si>
  <si>
    <r>
      <t>(m</t>
    </r>
    <r>
      <rPr>
        <vertAlign val="super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/일)</t>
    </r>
    <phoneticPr fontId="2" type="noConversion"/>
  </si>
  <si>
    <r>
      <t>(m</t>
    </r>
    <r>
      <rPr>
        <vertAlign val="superscript"/>
        <sz val="8"/>
        <rFont val="굴림"/>
        <family val="3"/>
        <charset val="129"/>
      </rPr>
      <t>3</t>
    </r>
    <r>
      <rPr>
        <sz val="8"/>
        <rFont val="굴림"/>
        <family val="3"/>
        <charset val="129"/>
      </rPr>
      <t>/min)</t>
    </r>
    <phoneticPr fontId="2" type="noConversion"/>
  </si>
  <si>
    <r>
      <t>G</t>
    </r>
    <r>
      <rPr>
        <vertAlign val="subscript"/>
        <sz val="8"/>
        <color indexed="8"/>
        <rFont val="굴림"/>
        <family val="3"/>
        <charset val="129"/>
      </rPr>
      <t>S</t>
    </r>
    <r>
      <rPr>
        <sz val="8"/>
        <color indexed="8"/>
        <rFont val="굴림"/>
        <family val="3"/>
        <charset val="129"/>
      </rPr>
      <t xml:space="preserve"> : 소요공기량(m</t>
    </r>
    <r>
      <rPr>
        <vertAlign val="superscript"/>
        <sz val="8"/>
        <color indexed="8"/>
        <rFont val="굴림"/>
        <family val="3"/>
        <charset val="129"/>
      </rPr>
      <t>3</t>
    </r>
    <r>
      <rPr>
        <sz val="8"/>
        <color indexed="8"/>
        <rFont val="굴림"/>
        <family val="3"/>
        <charset val="129"/>
      </rPr>
      <t>/일)</t>
    </r>
  </si>
  <si>
    <r>
      <t>(m</t>
    </r>
    <r>
      <rPr>
        <vertAlign val="superscript"/>
        <sz val="8"/>
        <color indexed="8"/>
        <rFont val="굴림"/>
        <family val="3"/>
        <charset val="129"/>
      </rPr>
      <t>3</t>
    </r>
    <r>
      <rPr>
        <sz val="8"/>
        <color indexed="8"/>
        <rFont val="굴림"/>
        <family val="3"/>
        <charset val="129"/>
      </rPr>
      <t>/min)</t>
    </r>
    <phoneticPr fontId="2" type="noConversion"/>
  </si>
  <si>
    <t xml:space="preserve"> 다. 슬러지 수집기</t>
    <phoneticPr fontId="2" type="noConversion"/>
  </si>
  <si>
    <t xml:space="preserve"> 라. 슬러지 이송펌프</t>
    <phoneticPr fontId="2" type="noConversion"/>
  </si>
  <si>
    <t>]</t>
    <phoneticPr fontId="2" type="noConversion"/>
  </si>
  <si>
    <t>탈수여액</t>
    <phoneticPr fontId="2" type="noConversion"/>
  </si>
  <si>
    <t>농축처리를 마친 농축슬러지를 일시 저정하는 기능을 갖는다.</t>
    <phoneticPr fontId="2" type="noConversion"/>
  </si>
  <si>
    <t>Q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</si>
  <si>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</si>
  <si>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</si>
  <si>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</si>
  <si>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</si>
  <si>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</si>
  <si>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탈 수 기</t>
    <phoneticPr fontId="2" type="noConversion"/>
  </si>
  <si>
    <t>=</t>
    <phoneticPr fontId="2" type="noConversion"/>
  </si>
  <si>
    <t>약품투입</t>
    <phoneticPr fontId="2" type="noConversion"/>
  </si>
  <si>
    <t>독성물질 저류조</t>
    <phoneticPr fontId="2" type="noConversion"/>
  </si>
  <si>
    <t>반려수</t>
    <phoneticPr fontId="2" type="noConversion"/>
  </si>
  <si>
    <t>탈수여액</t>
    <phoneticPr fontId="2" type="noConversion"/>
  </si>
  <si>
    <t xml:space="preserve">    독성물질 유입시</t>
    <phoneticPr fontId="2" type="noConversion"/>
  </si>
  <si>
    <t>유량조정조 및 협잡물처리기</t>
    <phoneticPr fontId="2" type="noConversion"/>
  </si>
  <si>
    <t>(1식/조당)</t>
    <phoneticPr fontId="2" type="noConversion"/>
  </si>
  <si>
    <t xml:space="preserve"> 1) 기  능</t>
    <phoneticPr fontId="2" type="noConversion"/>
  </si>
  <si>
    <t xml:space="preserve">유입폐수중 독성물질이 감지되었을때  후속 처리를 할 목적으로 설치한다. </t>
    <phoneticPr fontId="2" type="noConversion"/>
  </si>
  <si>
    <t xml:space="preserve"> 2) 기  준</t>
    <phoneticPr fontId="2" type="noConversion"/>
  </si>
  <si>
    <t>2. 독성물질저류조</t>
    <phoneticPr fontId="2" type="noConversion"/>
  </si>
  <si>
    <t>3. 유량조정조</t>
    <phoneticPr fontId="2" type="noConversion"/>
  </si>
  <si>
    <t>6. 이차침전지</t>
    <phoneticPr fontId="2" type="noConversion"/>
  </si>
  <si>
    <t xml:space="preserve"> 7. 슬러지 산정</t>
    <phoneticPr fontId="2" type="noConversion"/>
  </si>
  <si>
    <t>8. 처리수조</t>
    <phoneticPr fontId="2" type="noConversion"/>
  </si>
  <si>
    <t>9. 방류수조</t>
    <phoneticPr fontId="2" type="noConversion"/>
  </si>
  <si>
    <t>10. 슬러지 저류조</t>
    <phoneticPr fontId="2" type="noConversion"/>
  </si>
  <si>
    <t>일반적으로 30분 범위에서 용량선정</t>
    <phoneticPr fontId="2" type="noConversion"/>
  </si>
  <si>
    <t xml:space="preserve"> 다. 내부순환펌프(고농도 기준 적용)</t>
    <phoneticPr fontId="2" type="noConversion"/>
  </si>
  <si>
    <t>동    력 :</t>
    <phoneticPr fontId="2" type="noConversion"/>
  </si>
  <si>
    <t>Kw</t>
    <phoneticPr fontId="2" type="noConversion"/>
  </si>
  <si>
    <t>무산소조1의 폐수를 교반하기 위해 설치한다.</t>
    <phoneticPr fontId="2" type="noConversion"/>
  </si>
  <si>
    <t>무산소조2의 폐수를 교반하기 위해 설치한다.</t>
    <phoneticPr fontId="2" type="noConversion"/>
  </si>
  <si>
    <t>총 2대를 설치하여 1조당 1대로 가동하며 1대를 예비로 한다.</t>
    <phoneticPr fontId="2" type="noConversion"/>
  </si>
  <si>
    <t xml:space="preserve"> 다. 약품저장탱크(NaOH)</t>
    <phoneticPr fontId="2" type="noConversion"/>
  </si>
  <si>
    <t>총 2대를 설치하여 1대 가동 1대 예비로 한다.</t>
    <phoneticPr fontId="2" type="noConversion"/>
  </si>
  <si>
    <t>총 2대를 설치하여 1대 가동 1대 예비로 한다.</t>
    <phoneticPr fontId="2" type="noConversion"/>
  </si>
  <si>
    <t>(NaOH)</t>
    <phoneticPr fontId="2" type="noConversion"/>
  </si>
  <si>
    <t xml:space="preserve"> ▣ 기계 용량계산 (2계열)</t>
    <phoneticPr fontId="2" type="noConversion"/>
  </si>
  <si>
    <t xml:space="preserve"> 2. 유량조정조 설비</t>
    <phoneticPr fontId="2" type="noConversion"/>
  </si>
  <si>
    <t xml:space="preserve"> 가. 유량조정조펌프</t>
    <phoneticPr fontId="2" type="noConversion"/>
  </si>
  <si>
    <t>총 1대를 설치하여 가동한다.</t>
    <phoneticPr fontId="2" type="noConversion"/>
  </si>
  <si>
    <t xml:space="preserve"> 3. 미생물조정조 설비</t>
    <phoneticPr fontId="2" type="noConversion"/>
  </si>
  <si>
    <t xml:space="preserve"> 4. 무산소조1 설비</t>
    <phoneticPr fontId="2" type="noConversion"/>
  </si>
  <si>
    <t xml:space="preserve"> 5. 무산소조2 설비</t>
    <phoneticPr fontId="2" type="noConversion"/>
  </si>
  <si>
    <t xml:space="preserve"> 6. 포기조 설비</t>
    <phoneticPr fontId="2" type="noConversion"/>
  </si>
  <si>
    <t xml:space="preserve"> 7. 약품 설비</t>
    <phoneticPr fontId="2" type="noConversion"/>
  </si>
  <si>
    <t xml:space="preserve"> 가. 약품 정량펌프(PAC)</t>
    <phoneticPr fontId="2" type="noConversion"/>
  </si>
  <si>
    <t xml:space="preserve"> 나. 약품 정량펌프(NaOH)</t>
    <phoneticPr fontId="2" type="noConversion"/>
  </si>
  <si>
    <t xml:space="preserve"> 8. 침전조 설비</t>
    <phoneticPr fontId="2" type="noConversion"/>
  </si>
  <si>
    <t xml:space="preserve"> 가. 처리수 이송펌프</t>
    <phoneticPr fontId="2" type="noConversion"/>
  </si>
  <si>
    <t xml:space="preserve"> 9. 처리수조 설비</t>
    <phoneticPr fontId="2" type="noConversion"/>
  </si>
  <si>
    <t xml:space="preserve"> 가. 탈수기</t>
    <phoneticPr fontId="2" type="noConversion"/>
  </si>
  <si>
    <t>수중볼텍스펌프</t>
  </si>
  <si>
    <t>수중볼텍스펌프</t>
    <phoneticPr fontId="2" type="noConversion"/>
  </si>
  <si>
    <t>스프르트펌프</t>
  </si>
  <si>
    <t>모노펌프</t>
  </si>
  <si>
    <t>roots blower</t>
  </si>
  <si>
    <t>원심탈수기</t>
  </si>
  <si>
    <t>일반적으로 2시간 범위에서 용량선정</t>
    <phoneticPr fontId="2" type="noConversion"/>
  </si>
  <si>
    <t>일반적으로 8시간 이상 범위에서 용량선정</t>
    <phoneticPr fontId="2" type="noConversion"/>
  </si>
  <si>
    <t>유입폐수를 협잡물처리기로 적정량을 유입시키는 목적으로 설치한다.</t>
    <phoneticPr fontId="2" type="noConversion"/>
  </si>
  <si>
    <t xml:space="preserve"> 1. 저류조 설비</t>
    <phoneticPr fontId="2" type="noConversion"/>
  </si>
  <si>
    <t xml:space="preserve"> 가. 저류조펌프</t>
    <phoneticPr fontId="2" type="noConversion"/>
  </si>
  <si>
    <t>10. 방류수조 설비</t>
    <phoneticPr fontId="2" type="noConversion"/>
  </si>
  <si>
    <t>11. 기타 설비</t>
    <phoneticPr fontId="2" type="noConversion"/>
  </si>
  <si>
    <t>오송 제2과학단지 폐수종말처리시설 MASS BALANCE (12℃,계획수질)</t>
    <phoneticPr fontId="2" type="noConversion"/>
  </si>
  <si>
    <t>필요조 용량 : 유입유량의 3% 이상</t>
    <phoneticPr fontId="2" type="noConversion"/>
  </si>
  <si>
    <t>계열</t>
    <phoneticPr fontId="2" type="noConversion"/>
  </si>
  <si>
    <t>글</t>
    <phoneticPr fontId="2" type="noConversion"/>
  </si>
  <si>
    <t>역세척수</t>
    <phoneticPr fontId="2" type="noConversion"/>
  </si>
  <si>
    <t>1. 유입맨홀</t>
    <phoneticPr fontId="2" type="noConversion"/>
  </si>
  <si>
    <t>미생물반응조</t>
    <phoneticPr fontId="2" type="noConversion"/>
  </si>
  <si>
    <t>4. 미생물반응조</t>
    <phoneticPr fontId="2" type="noConversion"/>
  </si>
  <si>
    <t>① 공법기자재</t>
    <phoneticPr fontId="2" type="noConversion"/>
  </si>
  <si>
    <t xml:space="preserve">1. 생물반응조(무산소조+포기조) </t>
    <phoneticPr fontId="2" type="noConversion"/>
  </si>
  <si>
    <t>계열</t>
    <phoneticPr fontId="2" type="noConversion"/>
  </si>
  <si>
    <t>펌프용량 초과</t>
    <phoneticPr fontId="2" type="noConversion"/>
  </si>
  <si>
    <t>가. 무산소조</t>
    <phoneticPr fontId="2" type="noConversion"/>
  </si>
  <si>
    <t xml:space="preserve"> 3) 무산소조의 수리학적 체류시간</t>
    <phoneticPr fontId="2" type="noConversion"/>
  </si>
  <si>
    <t>○생물반응조 용량검토</t>
    <phoneticPr fontId="2" type="noConversion"/>
  </si>
  <si>
    <t>구분</t>
    <phoneticPr fontId="2" type="noConversion"/>
  </si>
  <si>
    <t>하수</t>
    <phoneticPr fontId="2" type="noConversion"/>
  </si>
  <si>
    <t>폐수</t>
    <phoneticPr fontId="2" type="noConversion"/>
  </si>
  <si>
    <t>유입량</t>
    <phoneticPr fontId="2" type="noConversion"/>
  </si>
  <si>
    <t>무산소조</t>
    <phoneticPr fontId="2" type="noConversion"/>
  </si>
  <si>
    <t>호기조</t>
    <phoneticPr fontId="2" type="noConversion"/>
  </si>
  <si>
    <t>필요용량(a)</t>
    <phoneticPr fontId="2" type="noConversion"/>
  </si>
  <si>
    <t>설치용량(b)</t>
    <phoneticPr fontId="2" type="noConversion"/>
  </si>
  <si>
    <t>여유율
(c=b/a)</t>
    <phoneticPr fontId="2" type="noConversion"/>
  </si>
  <si>
    <t>필요용량(d)</t>
    <phoneticPr fontId="2" type="noConversion"/>
  </si>
  <si>
    <t>여유율
(f=e/d)</t>
    <phoneticPr fontId="2" type="noConversion"/>
  </si>
  <si>
    <t>설치용량 ( e )</t>
    <phoneticPr fontId="2" type="noConversion"/>
  </si>
  <si>
    <t>질소제거율
(g)</t>
    <phoneticPr fontId="2" type="noConversion"/>
  </si>
  <si>
    <t>처리효율
(h=c*f*g)</t>
    <phoneticPr fontId="2" type="noConversion"/>
  </si>
  <si>
    <t>T-N
유입수질</t>
    <phoneticPr fontId="2" type="noConversion"/>
  </si>
  <si>
    <t>T-N
방류수질기준</t>
    <phoneticPr fontId="2" type="noConversion"/>
  </si>
  <si>
    <t>검토</t>
    <phoneticPr fontId="2" type="noConversion"/>
  </si>
  <si>
    <t>내부반송율</t>
    <phoneticPr fontId="2" type="noConversion"/>
  </si>
  <si>
    <t>비고</t>
    <phoneticPr fontId="2" type="noConversion"/>
  </si>
  <si>
    <t>설계시 방류수질
(T-N 33)</t>
    <phoneticPr fontId="2" type="noConversion"/>
  </si>
  <si>
    <t>방류수질 강화시
(T-N 20)</t>
    <phoneticPr fontId="2" type="noConversion"/>
  </si>
  <si>
    <t>유입수질 증가로 수처리 어려움</t>
    <phoneticPr fontId="2" type="noConversion"/>
  </si>
  <si>
    <t>T-N
방류수질</t>
    <phoneticPr fontId="2" type="noConversion"/>
  </si>
  <si>
    <t xml:space="preserve"> 7-15</t>
    <phoneticPr fontId="2" type="noConversion"/>
  </si>
  <si>
    <t>2017년 일평균 하수량
(T-N 20)</t>
    <phoneticPr fontId="2" type="noConversion"/>
  </si>
  <si>
    <t>일최대 하수량
(T-N 20)</t>
    <phoneticPr fontId="2" type="noConversion"/>
  </si>
  <si>
    <t>설계수질</t>
    <phoneticPr fontId="2" type="noConversion"/>
  </si>
  <si>
    <t>질소
제거율
(g)</t>
    <phoneticPr fontId="2" type="noConversion"/>
  </si>
  <si>
    <t>165일</t>
    <phoneticPr fontId="2" type="noConversion"/>
  </si>
  <si>
    <t>147일</t>
    <phoneticPr fontId="2" type="noConversion"/>
  </si>
  <si>
    <t>126일</t>
    <phoneticPr fontId="2" type="noConversion"/>
  </si>
  <si>
    <t>운영수질</t>
    <phoneticPr fontId="2" type="noConversion"/>
  </si>
  <si>
    <t>1. 설계시
(방류수질 T-N 33)</t>
    <phoneticPr fontId="2" type="noConversion"/>
  </si>
  <si>
    <t>2. 설계시
(방류수질 T-N 20)</t>
    <phoneticPr fontId="2" type="noConversion"/>
  </si>
  <si>
    <t>1. 설계시 생물반응조 용량검토</t>
    <phoneticPr fontId="2" type="noConversion"/>
  </si>
  <si>
    <t>질소제거율 60~70%</t>
    <phoneticPr fontId="2" type="noConversion"/>
  </si>
  <si>
    <t>질소제거율 70~90%</t>
    <phoneticPr fontId="2" type="noConversion"/>
  </si>
  <si>
    <t>질소제거율 50~60%</t>
    <phoneticPr fontId="2" type="noConversion"/>
  </si>
  <si>
    <t>처리효율은 63%로 설계시 방류수질 기준을 만족하는 것으로 검토됨</t>
    <phoneticPr fontId="2" type="noConversion"/>
  </si>
  <si>
    <t>폐수계 생물반응조 검토 결과 무산소조 및 호기조 설치용량이 필요요량보다 각각 657㎥/일, 3750㎥/일 부족한 것으로 검토됨</t>
    <phoneticPr fontId="2" type="noConversion"/>
  </si>
  <si>
    <t>처리효율은 46%로 설계시 방류수질 기준을 만족하는 것으로 검토됨</t>
    <phoneticPr fontId="2" type="noConversion"/>
  </si>
  <si>
    <t>하수계는 강화된 방류수질 기준을 만족함.</t>
    <phoneticPr fontId="2" type="noConversion"/>
  </si>
  <si>
    <t>2. 생물반응조 용량검토(방류수질 기준강화)</t>
    <phoneticPr fontId="2" type="noConversion"/>
  </si>
  <si>
    <t>폐수계는 무산소조 및 호기조 시설용량 부족으로 처리효율이 35%로 급격히 저하되어 방류수질 기준을 준수하지 못할 것으로 판단됨.</t>
    <phoneticPr fontId="2" type="noConversion"/>
  </si>
  <si>
    <t>3. 생물반응조 용량검토(2017년도 운영자료)</t>
    <phoneticPr fontId="2" type="noConversion"/>
  </si>
  <si>
    <t>일평균 유입량 및 유입수질로 하수계 및 폐수계 시설용량을 검토함.</t>
    <phoneticPr fontId="2" type="noConversion"/>
  </si>
  <si>
    <t>T-N방류수질기준이 33㎎/L이며 동절기시 유예기준(60㎎/L)까지 있어 T-N방류수질기준을 준수 할 수 있는 것으로 판단됨.</t>
    <phoneticPr fontId="2" type="noConversion"/>
  </si>
  <si>
    <t xml:space="preserve">방류수질 기준이 강화되어 탈질을 위한 하수계(29%→100%)와 폐수계(48%→136%) 내부반송이 증가되었으며 내부반송은 100%를 초과하여 운영할 수 없는 상태임. </t>
    <phoneticPr fontId="2" type="noConversion"/>
  </si>
  <si>
    <t>하수계 생물반응조 검토 결과 호기조 설치용량이 필요요량보다 1467㎥/일 부족한 것으로 검토됨</t>
    <phoneticPr fontId="2" type="noConversion"/>
  </si>
  <si>
    <t>하수계는 질소 수질(50㎎/L→57㎎/L)이 증가되어 무산소조 여유율이 142%에서 83% 저하됨에 따라 탈질효율이 감소될 것으로 판단됨</t>
    <phoneticPr fontId="2" type="noConversion"/>
  </si>
  <si>
    <t>하수계 2017년 평균유입량(15620㎥/일)이 시설용량(23,000㎥/일)보다 적게 유입되어 호기조 여유율은 78%에서 98%로 증가되어 질산화 효율이 향상 될 것으로 판단됨</t>
    <phoneticPr fontId="2" type="noConversion"/>
  </si>
  <si>
    <t>폐수계 2017년 평균유입량(24470㎥/일)이 시설용량(40,000㎥/일)보다 적게 유입되어 호기조 여유율은 73%에서 157%로 증가되어 질산화 효율이 향상 될 것으로 판단됨</t>
    <phoneticPr fontId="2" type="noConversion"/>
  </si>
  <si>
    <t>4. 연계처리 검토</t>
    <phoneticPr fontId="2" type="noConversion"/>
  </si>
  <si>
    <t>하수계 23,000㎥/일로 운영시 생물반응조 용량부족으로 질소제거율이 30%이하로 운영되어 방류수질기준을 초과 할 것으로 판단됨</t>
    <phoneticPr fontId="2" type="noConversion"/>
  </si>
  <si>
    <t>폐수계는 질소 수질(59㎎/L→46㎎/L)이 감소되어 무산소조 여유율이 60%에서 129% 증가됨에 따라 탈질효율이 향상될 것으로 판단됨</t>
    <phoneticPr fontId="2" type="noConversion"/>
  </si>
  <si>
    <t>폐수계 40,000㎥/일로 운영시 T-N유입수질 48㎎/L이상 유입시 생물반응조 용량부족으로 운영되어 방류수질기준을 초과 할 것으로 판단됨</t>
    <phoneticPr fontId="2" type="noConversion"/>
  </si>
  <si>
    <t>2017년 T-N유입수질 48㎎/L이상 유입일수는 126일로 연계처리시 방류수질기준을 초과할 것으로 판단됨</t>
    <phoneticPr fontId="2" type="noConversion"/>
  </si>
  <si>
    <t>하수계</t>
    <phoneticPr fontId="2" type="noConversion"/>
  </si>
  <si>
    <t>폐수계</t>
    <phoneticPr fontId="2" type="noConversion"/>
  </si>
  <si>
    <t>설계시</t>
    <phoneticPr fontId="2" type="noConversion"/>
  </si>
  <si>
    <t>방류수질
강화</t>
    <phoneticPr fontId="2" type="noConversion"/>
  </si>
  <si>
    <t>2017년
운영자료</t>
    <phoneticPr fontId="2" type="noConversion"/>
  </si>
  <si>
    <t>연계처리
검토</t>
    <phoneticPr fontId="2" type="noConversion"/>
  </si>
  <si>
    <t>무산소조</t>
    <phoneticPr fontId="2" type="noConversion"/>
  </si>
  <si>
    <t>&lt;</t>
    <phoneticPr fontId="2" type="noConversion"/>
  </si>
  <si>
    <t>&gt;</t>
    <phoneticPr fontId="2" type="noConversion"/>
  </si>
  <si>
    <t>&gt;</t>
    <phoneticPr fontId="2" type="noConversion"/>
  </si>
  <si>
    <t>GOOD</t>
    <phoneticPr fontId="2" type="noConversion"/>
  </si>
  <si>
    <t>NO GOOD</t>
    <phoneticPr fontId="2" type="noConversion"/>
  </si>
  <si>
    <t>법정방류수질</t>
    <phoneticPr fontId="2" type="noConversion"/>
  </si>
  <si>
    <t>설계 방류수질</t>
    <phoneticPr fontId="2" type="noConversion"/>
  </si>
  <si>
    <t>3. 2017년 유입량</t>
    <phoneticPr fontId="2" type="noConversion"/>
  </si>
  <si>
    <t>4. 연계처리시</t>
    <phoneticPr fontId="2" type="noConversion"/>
  </si>
  <si>
    <t>구분</t>
  </si>
  <si>
    <r>
      <t>2017</t>
    </r>
    <r>
      <rPr>
        <sz val="10.5"/>
        <color rgb="FF000000"/>
        <rFont val="돋움"/>
        <family val="3"/>
        <charset val="129"/>
      </rPr>
      <t>년 일최대</t>
    </r>
  </si>
  <si>
    <t>산업단지 예상배출량</t>
  </si>
  <si>
    <t>본계획폐수량</t>
  </si>
  <si>
    <r>
      <t>비고</t>
    </r>
    <r>
      <rPr>
        <sz val="10.5"/>
        <color rgb="FF000000"/>
        <rFont val="-윤고딕330"/>
        <family val="3"/>
        <charset val="129"/>
      </rPr>
      <t>(</t>
    </r>
    <r>
      <rPr>
        <sz val="10.5"/>
        <color rgb="FF000000"/>
        <rFont val="돋움"/>
        <family val="3"/>
        <charset val="129"/>
      </rPr>
      <t>㎥</t>
    </r>
    <r>
      <rPr>
        <sz val="10.5"/>
        <color rgb="FF000000"/>
        <rFont val="-윤고딕330"/>
        <family val="3"/>
        <charset val="129"/>
      </rPr>
      <t>/</t>
    </r>
    <r>
      <rPr>
        <sz val="10.5"/>
        <color rgb="FF000000"/>
        <rFont val="돋움"/>
        <family val="3"/>
        <charset val="129"/>
      </rPr>
      <t>일</t>
    </r>
    <r>
      <rPr>
        <sz val="10.5"/>
        <color rgb="FF000000"/>
        <rFont val="-윤고딕330"/>
        <family val="3"/>
        <charset val="129"/>
      </rPr>
      <t>)</t>
    </r>
  </si>
  <si>
    <t>유입량</t>
  </si>
  <si>
    <t>가동율
(c=b/a)</t>
    <phoneticPr fontId="2" type="noConversion"/>
  </si>
  <si>
    <t>가동율
(f=e/d)</t>
    <phoneticPr fontId="2" type="noConversion"/>
  </si>
  <si>
    <t>○생물반응조 용량검토 총괄표</t>
    <phoneticPr fontId="2" type="noConversion"/>
  </si>
  <si>
    <t>○ 설계조건</t>
    <phoneticPr fontId="2" type="noConversion"/>
  </si>
  <si>
    <t>붙임2</t>
    <phoneticPr fontId="2" type="noConversion"/>
  </si>
  <si>
    <t>3. 대소공공하수처리시설 운영자료 시설용량 검토(온도20℃)</t>
    <phoneticPr fontId="2" type="noConversion"/>
  </si>
  <si>
    <t>2. 대소공공하수처리시설 운영자료 시설용량 검토(온도12℃)</t>
    <phoneticPr fontId="2" type="noConversion"/>
  </si>
  <si>
    <t>○ 구조물 용량계산(온도12℃)</t>
    <phoneticPr fontId="2" type="noConversion"/>
  </si>
  <si>
    <t>○ 구조물 용량계산(온도20℃)</t>
    <phoneticPr fontId="2" type="noConversion"/>
  </si>
  <si>
    <t>1. 대소공공하수처리시설 시설용량 검토(4,000㎥/일, 온도12℃)</t>
    <phoneticPr fontId="2" type="noConversion"/>
  </si>
  <si>
    <t>○ 구조물 용량계산(4,000㎥/일, 온도12℃)</t>
    <phoneticPr fontId="2" type="noConversion"/>
  </si>
  <si>
    <t>1. 대소공공하수처리시설 시설용량 검토(4,000㎥/일, 온도20℃)</t>
    <phoneticPr fontId="2" type="noConversion"/>
  </si>
  <si>
    <t>○ 구조물 용량계산(4,000㎥/일, 온도20℃)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</si>
</sst>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.0_ "/>
    <numFmt numFmtId="177" formatCode="0.0"/>
    <numFmt numFmtId="178" formatCode="#,##0.0"/>
    <numFmt numFmtId="179" formatCode="#,##0.000"/>
    <numFmt numFmtId="180" formatCode="0.00_);[Red]\(0.00\)"/>
    <numFmt numFmtId="181" formatCode="0.0_);[Red]\(0.0\)"/>
    <numFmt numFmtId="182" formatCode="0_);[Red]\(0\)"/>
    <numFmt numFmtId="183" formatCode="0.0%"/>
    <numFmt numFmtId="184" formatCode="_-* #,##0.0_-;\-* #,##0.0_-;_-* &quot;-&quot;_-;_-@_-"/>
    <numFmt numFmtId="185" formatCode="_-* #,##0.00_-;\-* #,##0.00_-;_-* &quot;-&quot;_-;_-@_-"/>
    <numFmt numFmtId="186" formatCode="_ * #,##0_ ;_ * \-#,##0_ ;_ * &quot;-&quot;_ ;_ @_ "/>
    <numFmt numFmtId="187" formatCode="_ * #,##0.00_ ;_ * \-#,##0.00_ ;_ * &quot;-&quot;??_ ;_ @_ "/>
    <numFmt numFmtId="188" formatCode="&quot;$&quot;#,##0_);[Red]\(&quot;$&quot;#,##0\)"/>
    <numFmt numFmtId="189" formatCode="&quot;$&quot;#,##0.00_);[Red]\(&quot;$&quot;#,##0.00\)"/>
    <numFmt numFmtId="190" formatCode="&quot;W&quot;#,##0.00;\-&quot;W&quot;#,##0.00"/>
    <numFmt numFmtId="191" formatCode="#,##0.00_);[Red]\(#,##0.00\)"/>
    <numFmt numFmtId="192" formatCode="##,##0.00&quot;day&quot;"/>
    <numFmt numFmtId="193" formatCode="0.00&quot;㎥&quot;"/>
    <numFmt numFmtId="194" formatCode="0.0&quot;㎥/day&quot;"/>
    <numFmt numFmtId="195" formatCode="0&quot;%&quot;"/>
    <numFmt numFmtId="196" formatCode="0&quot;㎥&quot;"/>
    <numFmt numFmtId="197" formatCode="0&quot;hr/day&quot;"/>
    <numFmt numFmtId="198" formatCode="0.00&quot;hr&quot;"/>
    <numFmt numFmtId="199" formatCode="0.00&quot;day&quot;"/>
    <numFmt numFmtId="200" formatCode="#,##0.00&quot;day&quot;"/>
    <numFmt numFmtId="201" formatCode="0.00&quot;)&quot;"/>
    <numFmt numFmtId="202" formatCode="&quot;(&quot;0.00"/>
    <numFmt numFmtId="203" formatCode="0.0&quot;㎎/ℓ&quot;"/>
    <numFmt numFmtId="204" formatCode="0&quot;㎎/ℓ,&quot;"/>
    <numFmt numFmtId="205" formatCode="0&quot;㎎/ℓ에서&quot;"/>
    <numFmt numFmtId="206" formatCode="0.00&quot;㎥/hr&quot;"/>
    <numFmt numFmtId="207" formatCode="0&quot;hr&quot;"/>
    <numFmt numFmtId="208" formatCode="0.00&quot;kgBOD/kgMLSS·day&quot;"/>
    <numFmt numFmtId="209" formatCode="0.00&quot;kgBOD/㎥·day&quot;"/>
    <numFmt numFmtId="210" formatCode="&quot;(&quot;0"/>
    <numFmt numFmtId="211" formatCode="0&quot;)hr&quot;"/>
    <numFmt numFmtId="212" formatCode="0.00&quot;㎡&quot;"/>
    <numFmt numFmtId="213" formatCode="0.0&quot;㎥/㎡·day&quot;"/>
    <numFmt numFmtId="214" formatCode="#,##0&quot;㎥/day&quot;"/>
    <numFmt numFmtId="215" formatCode="#,##0.00&quot; ㎎/ℓ&quot;"/>
    <numFmt numFmtId="216" formatCode="0.0&quot; ㎎/ℓ&quot;"/>
    <numFmt numFmtId="217" formatCode="#,##0.0&quot;㎎/ℓ&quot;"/>
    <numFmt numFmtId="218" formatCode="0.00&quot; ㎎/ℓ&quot;"/>
    <numFmt numFmtId="219" formatCode="#,##0.00&quot;㎎/ℓ&quot;"/>
    <numFmt numFmtId="220" formatCode="0&quot;㎎/ℓ&quot;"/>
    <numFmt numFmtId="221" formatCode="0&quot;ℓ&quot;"/>
    <numFmt numFmtId="222" formatCode="0&quot;kg&quot;"/>
    <numFmt numFmtId="223" formatCode="&quot;(&quot;"/>
    <numFmt numFmtId="224" formatCode="0&quot;)&quot;"/>
    <numFmt numFmtId="225" formatCode="0.0\ &quot;㎥/day&quot;"/>
    <numFmt numFmtId="226" formatCode="0\ &quot;hr/day&quot;"/>
    <numFmt numFmtId="227" formatCode="0.0\ &quot;㎥/min&quot;"/>
    <numFmt numFmtId="228" formatCode="0.00\ &quot;㎥-air/㎥·min&quot;"/>
    <numFmt numFmtId="229" formatCode="0.00\ &quot;㎥-air/㎥·min·EA&quot;"/>
    <numFmt numFmtId="230" formatCode="0\ &quot;개&quot;"/>
    <numFmt numFmtId="231" formatCode="0\ &quot;ℓ/min·EA&quot;"/>
    <numFmt numFmtId="232" formatCode="0.0\ &quot;kg/ℓ)&quot;"/>
    <numFmt numFmtId="233" formatCode="0\ &quot;%&quot;"/>
    <numFmt numFmtId="234" formatCode="0\ &quot;ℓ&quot;"/>
    <numFmt numFmtId="235" formatCode="0\ &quot;㎥/day&quot;"/>
    <numFmt numFmtId="236" formatCode="0.000_);[Red]\(0.000\)"/>
    <numFmt numFmtId="237" formatCode="0&quot;㎥/day&quot;"/>
    <numFmt numFmtId="238" formatCode="0.00\ &quot;hr&quot;"/>
    <numFmt numFmtId="239" formatCode="0.0&quot;kg/day&quot;"/>
    <numFmt numFmtId="240" formatCode="&quot;-&quot;\ 0.00"/>
    <numFmt numFmtId="241" formatCode="&quot;x&quot;\ 0\ &quot;x&quot;"/>
    <numFmt numFmtId="242" formatCode="#,##0_ "/>
    <numFmt numFmtId="243" formatCode="0.0\ &quot;㎥&quot;"/>
    <numFmt numFmtId="244" formatCode="0.0\ &quot;㎥/day·조&quot;"/>
    <numFmt numFmtId="245" formatCode="#,##0.00&quot;㎥/hr&quot;"/>
    <numFmt numFmtId="246" formatCode="000\-000"/>
    <numFmt numFmtId="247" formatCode="&quot;x&quot;\ 0.0&quot;hr&quot;"/>
    <numFmt numFmtId="248" formatCode="#,##0.0_);[Red]\(#,##0.0\)"/>
    <numFmt numFmtId="249" formatCode="0_ "/>
    <numFmt numFmtId="250" formatCode="mm&quot;월&quot;\ dd&quot;일&quot;"/>
    <numFmt numFmtId="251" formatCode="#,##0_);[Red]\(#,##0\)"/>
    <numFmt numFmtId="252" formatCode="#,##0.0_ "/>
    <numFmt numFmtId="253" formatCode="0&quot;+&quot;"/>
    <numFmt numFmtId="254" formatCode="&quot;×&quot;\ 0%\ &quot;×&quot;"/>
    <numFmt numFmtId="255" formatCode="\(0.00\)"/>
    <numFmt numFmtId="256" formatCode="0.00_ "/>
    <numFmt numFmtId="257" formatCode="0&quot;℃&quot;"/>
    <numFmt numFmtId="258" formatCode="0&quot;H&quot;"/>
    <numFmt numFmtId="259" formatCode="&quot;φ&quot;\ 0\ &quot;×&quot;"/>
    <numFmt numFmtId="260" formatCode="&quot;유효용량 : &quot;0&quot;ℓ&quot;"/>
    <numFmt numFmtId="261" formatCode="0.0\ &quot;㎥-air/㎥·hr&quot;"/>
    <numFmt numFmtId="262" formatCode="#,##0.0&quot;day&quot;"/>
    <numFmt numFmtId="263" formatCode="#,##0.00_ "/>
    <numFmt numFmtId="264" formatCode="0.0&quot;-&quot;"/>
    <numFmt numFmtId="265" formatCode="#0.##&quot;day&quot;"/>
    <numFmt numFmtId="266" formatCode="#,##0.00&quot;hr&quot;"/>
    <numFmt numFmtId="267" formatCode="#,##0.0&quot;㎥/day&quot;"/>
    <numFmt numFmtId="268" formatCode="0.0&quot;day&quot;"/>
    <numFmt numFmtId="269" formatCode="0.0\ &quot;㎥/day·계열&quot;"/>
    <numFmt numFmtId="270" formatCode="0.00\ &quot;㎥&quot;"/>
    <numFmt numFmtId="271" formatCode="0\ &quot;일&quot;"/>
    <numFmt numFmtId="272" formatCode="0.00\ &quot;㎥/min&quot;"/>
    <numFmt numFmtId="273" formatCode="&quot;일반적인 크롬법은 망간법의&quot;\ 0.0\ &quot;배 (범위: 1.3~1.6)&quot;"/>
    <numFmt numFmtId="274" formatCode="&quot;bCOD =&quot;\ 0.00\ &quot;x BOD&quot;"/>
    <numFmt numFmtId="275" formatCode="0.00&quot;m&quot;"/>
    <numFmt numFmtId="276" formatCode="0.0&quot;㎥/m·day&quot;"/>
    <numFmt numFmtId="277" formatCode="&quot;VFA =&quot;\ 0.00\ &quot;x bCOD&quot;"/>
    <numFmt numFmtId="278" formatCode="0.0\ &quot;hr&quot;"/>
    <numFmt numFmtId="279" formatCode="0.000_ "/>
    <numFmt numFmtId="280" formatCode="0\ &quot;hr&quot;"/>
    <numFmt numFmtId="281" formatCode="0.000\ &quot;%&quot;"/>
    <numFmt numFmtId="282" formatCode="0.00&quot;mg/l&quot;\ "/>
    <numFmt numFmtId="283" formatCode="_-&quot;₩&quot;* #,##0.0_-;\-&quot;₩&quot;* #,##0.0_-;_-&quot;₩&quot;* &quot;-&quot;_-;_-@_-"/>
    <numFmt numFmtId="284" formatCode="0.0\ &quot;용해율&quot;"/>
    <numFmt numFmtId="285" formatCode="0.00\ &quot;농도&quot;"/>
    <numFmt numFmtId="286" formatCode="0&quot; hr/day&quot;"/>
    <numFmt numFmtId="287" formatCode="0.00\ &quot;㎥/hr&quot;"/>
    <numFmt numFmtId="288" formatCode="0,000\ &quot;㎥/day&quot;"/>
    <numFmt numFmtId="289" formatCode="0,000.0\ &quot;㎥/day&quot;"/>
    <numFmt numFmtId="290" formatCode="0.00\ &quot;kgBOD/kgMLSS·day&quot;"/>
    <numFmt numFmtId="291" formatCode="0,000\ &quot;)&quot;"/>
    <numFmt numFmtId="292" formatCode="&quot;(&quot;\ 0.00"/>
    <numFmt numFmtId="293" formatCode="0.00\ &quot;day&quot;"/>
    <numFmt numFmtId="294" formatCode="0.00\ &quot;kgBOD/㎥·day&quot;"/>
    <numFmt numFmtId="295" formatCode="&quot;(&quot;\ 0"/>
    <numFmt numFmtId="296" formatCode="0.00\ &quot;) ㎥&quot;"/>
    <numFmt numFmtId="297" formatCode="0\ &quot;) hr&quot;"/>
    <numFmt numFmtId="298" formatCode="0.00\ &quot;)&quot;"/>
    <numFmt numFmtId="299" formatCode="0.00\ &quot;㎡&quot;"/>
    <numFmt numFmtId="300" formatCode="0.00\ &quot;㎥/day&quot;"/>
    <numFmt numFmtId="301" formatCode="0,000\ &quot;㎎/ℓ,&quot;"/>
    <numFmt numFmtId="302" formatCode="#,##0.000_ "/>
    <numFmt numFmtId="303" formatCode="&quot;×&quot;\ 0,000\ &quot;×&quot;"/>
    <numFmt numFmtId="304" formatCode="0.0000_ "/>
    <numFmt numFmtId="305" formatCode="#&quot;㎥ 이상&quot;"/>
    <numFmt numFmtId="306" formatCode="#,##0.000_);[Red]\(#,##0.000\)"/>
    <numFmt numFmtId="307" formatCode="0.0&quot;일&quot;"/>
    <numFmt numFmtId="308" formatCode="&quot;₩&quot;#,##0;&quot;₩&quot;&quot;₩&quot;&quot;₩&quot;&quot;₩&quot;\-#,##0"/>
    <numFmt numFmtId="309" formatCode="#,##0.00\ &quot;F&quot;;\-#,##0.00\ &quot;F&quot;"/>
    <numFmt numFmtId="310" formatCode="&quot;₩&quot;#,##0;[Red]&quot;₩&quot;&quot;₩&quot;&quot;₩&quot;&quot;₩&quot;\-#,##0"/>
    <numFmt numFmtId="311" formatCode="_ * #,##0_ ;_ * &quot;₩&quot;&quot;₩&quot;&quot;₩&quot;&quot;₩&quot;&quot;₩&quot;&quot;₩&quot;&quot;₩&quot;\-#,##0_ ;_ * &quot;-&quot;_ ;_ @_ "/>
    <numFmt numFmtId="312" formatCode="_ &quot;₩&quot;* #,##0_ ;_ &quot;₩&quot;* &quot;₩&quot;&quot;₩&quot;&quot;₩&quot;&quot;₩&quot;&quot;₩&quot;&quot;₩&quot;&quot;₩&quot;\-#,##0_ ;_ &quot;₩&quot;* &quot;-&quot;_ ;_ @_ "/>
    <numFmt numFmtId="313" formatCode="00.0&quot;㎥ 이상&quot;"/>
    <numFmt numFmtId="314" formatCode="#\ &quot;일 이상&quot;"/>
    <numFmt numFmtId="315" formatCode="#\ &quot;㎥&quot;"/>
    <numFmt numFmtId="316" formatCode="#\ &quot;대&quot;"/>
    <numFmt numFmtId="317" formatCode="0.0&quot;ℓ/day&quot;"/>
    <numFmt numFmtId="318" formatCode="0.00&quot;ℓ/min&quot;"/>
    <numFmt numFmtId="319" formatCode="0.0&quot;㎥/min&quot;"/>
    <numFmt numFmtId="320" formatCode="0.00&quot;㎥/min&quot;"/>
    <numFmt numFmtId="321" formatCode="0.0&quot;%&quot;"/>
    <numFmt numFmtId="322" formatCode="#.#\ &quot;ℓ/day&quot;"/>
    <numFmt numFmtId="323" formatCode="#,###.0\ &quot;ℓ&quot;"/>
    <numFmt numFmtId="324" formatCode="#,###.0\ &quot;kg&quot;"/>
    <numFmt numFmtId="325" formatCode="0&quot;㎥/hr&quot;"/>
    <numFmt numFmtId="326" formatCode="0.0&quot;㎥&quot;"/>
    <numFmt numFmtId="327" formatCode="0.0&quot;hr/day&quot;"/>
    <numFmt numFmtId="328" formatCode="0.0&quot;hr&quot;"/>
    <numFmt numFmtId="329" formatCode="\(0.00&quot;hr)&quot;"/>
  </numFmts>
  <fonts count="10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vertAlign val="superscript"/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8"/>
      <name val="Arial"/>
      <family val="2"/>
    </font>
    <font>
      <b/>
      <sz val="8"/>
      <name val="돋움"/>
      <family val="3"/>
      <charset val="129"/>
    </font>
    <font>
      <sz val="8"/>
      <color indexed="10"/>
      <name val="돋움"/>
      <family val="3"/>
      <charset val="129"/>
    </font>
    <font>
      <sz val="8"/>
      <color indexed="60"/>
      <name val="돋움"/>
      <family val="3"/>
      <charset val="129"/>
    </font>
    <font>
      <sz val="8"/>
      <color indexed="12"/>
      <name val="돋움"/>
      <family val="3"/>
      <charset val="129"/>
    </font>
    <font>
      <b/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굴림"/>
      <family val="3"/>
      <charset val="129"/>
    </font>
    <font>
      <sz val="10"/>
      <color indexed="10"/>
      <name val="굴림"/>
      <family val="3"/>
      <charset val="129"/>
    </font>
    <font>
      <sz val="14"/>
      <name val="굴림체"/>
      <family val="3"/>
      <charset val="129"/>
    </font>
    <font>
      <sz val="8"/>
      <color indexed="14"/>
      <name val="돋움"/>
      <family val="3"/>
      <charset val="129"/>
    </font>
    <font>
      <b/>
      <sz val="14"/>
      <name val="돋움"/>
      <family val="3"/>
      <charset val="129"/>
    </font>
    <font>
      <sz val="8"/>
      <color indexed="62"/>
      <name val="돋움"/>
      <family val="3"/>
      <charset val="129"/>
    </font>
    <font>
      <b/>
      <sz val="12"/>
      <name val="돋움"/>
      <family val="3"/>
      <charset val="129"/>
    </font>
    <font>
      <sz val="11"/>
      <color indexed="10"/>
      <name val="돋움"/>
      <family val="3"/>
      <charset val="129"/>
    </font>
    <font>
      <sz val="8"/>
      <name val="굴림"/>
      <family val="3"/>
      <charset val="129"/>
    </font>
    <font>
      <sz val="10"/>
      <name val="바탕체"/>
      <family val="1"/>
      <charset val="129"/>
    </font>
    <font>
      <sz val="10"/>
      <color indexed="10"/>
      <name val="가는으뜸체"/>
      <family val="1"/>
      <charset val="129"/>
    </font>
    <font>
      <sz val="10"/>
      <name val="가는으뜸체"/>
      <family val="1"/>
      <charset val="129"/>
    </font>
    <font>
      <sz val="8"/>
      <color indexed="10"/>
      <name val="돋움"/>
      <family val="3"/>
      <charset val="129"/>
    </font>
    <font>
      <b/>
      <sz val="8"/>
      <name val="굴림"/>
      <family val="3"/>
      <charset val="129"/>
    </font>
    <font>
      <sz val="8"/>
      <color indexed="10"/>
      <name val="굴림"/>
      <family val="3"/>
      <charset val="129"/>
    </font>
    <font>
      <sz val="8"/>
      <color indexed="60"/>
      <name val="굴림"/>
      <family val="3"/>
      <charset val="129"/>
    </font>
    <font>
      <sz val="11"/>
      <name val="굴림"/>
      <family val="3"/>
      <charset val="129"/>
    </font>
    <font>
      <sz val="7"/>
      <name val="굴림"/>
      <family val="3"/>
      <charset val="129"/>
    </font>
    <font>
      <sz val="8"/>
      <color indexed="12"/>
      <name val="굴림"/>
      <family val="3"/>
      <charset val="129"/>
    </font>
    <font>
      <sz val="8"/>
      <color indexed="14"/>
      <name val="굴림"/>
      <family val="3"/>
      <charset val="129"/>
    </font>
    <font>
      <sz val="8"/>
      <color indexed="20"/>
      <name val="굴림"/>
      <family val="3"/>
      <charset val="129"/>
    </font>
    <font>
      <b/>
      <sz val="7"/>
      <name val="굴림"/>
      <family val="3"/>
      <charset val="129"/>
    </font>
    <font>
      <sz val="7"/>
      <color indexed="10"/>
      <name val="굴림"/>
      <family val="3"/>
      <charset val="129"/>
    </font>
    <font>
      <sz val="7"/>
      <color indexed="60"/>
      <name val="굴림"/>
      <family val="3"/>
      <charset val="129"/>
    </font>
    <font>
      <sz val="7"/>
      <color indexed="62"/>
      <name val="굴림"/>
      <family val="3"/>
      <charset val="129"/>
    </font>
    <font>
      <sz val="7"/>
      <color indexed="8"/>
      <name val="굴림"/>
      <family val="3"/>
      <charset val="129"/>
    </font>
    <font>
      <sz val="7"/>
      <color indexed="12"/>
      <name val="굴림"/>
      <family val="3"/>
      <charset val="129"/>
    </font>
    <font>
      <sz val="7"/>
      <color indexed="14"/>
      <name val="굴림"/>
      <family val="3"/>
      <charset val="129"/>
    </font>
    <font>
      <sz val="7"/>
      <color indexed="9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9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indexed="12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name val="굴림체"/>
      <family val="3"/>
      <charset val="129"/>
    </font>
    <font>
      <sz val="8"/>
      <color indexed="10"/>
      <name val="굴림체"/>
      <family val="3"/>
      <charset val="129"/>
    </font>
    <font>
      <vertAlign val="subscript"/>
      <sz val="8"/>
      <name val="굴림"/>
      <family val="3"/>
      <charset val="129"/>
    </font>
    <font>
      <vertAlign val="superscript"/>
      <sz val="8"/>
      <name val="굴림"/>
      <family val="3"/>
      <charset val="129"/>
    </font>
    <font>
      <b/>
      <sz val="8"/>
      <color indexed="12"/>
      <name val="굴림"/>
      <family val="3"/>
      <charset val="129"/>
    </font>
    <font>
      <b/>
      <sz val="8"/>
      <name val="굴림체"/>
      <family val="3"/>
      <charset val="129"/>
    </font>
    <font>
      <sz val="7"/>
      <color indexed="20"/>
      <name val="굴림"/>
      <family val="3"/>
      <charset val="129"/>
    </font>
    <font>
      <b/>
      <sz val="7"/>
      <color indexed="10"/>
      <name val="굴림"/>
      <family val="3"/>
      <charset val="129"/>
    </font>
    <font>
      <sz val="16"/>
      <name val="HY울릉도M"/>
      <family val="1"/>
      <charset val="129"/>
    </font>
    <font>
      <b/>
      <sz val="14"/>
      <name val="HY울릉도M"/>
      <family val="1"/>
      <charset val="129"/>
    </font>
    <font>
      <sz val="18"/>
      <name val="HY울릉도M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8"/>
      <color indexed="10"/>
      <name val="돋움"/>
      <family val="3"/>
      <charset val="129"/>
    </font>
    <font>
      <sz val="8"/>
      <color indexed="8"/>
      <name val="굴림"/>
      <family val="3"/>
      <charset val="129"/>
    </font>
    <font>
      <b/>
      <sz val="8"/>
      <color indexed="10"/>
      <name val="굴림"/>
      <family val="3"/>
      <charset val="129"/>
    </font>
    <font>
      <sz val="8"/>
      <color indexed="48"/>
      <name val="굴림"/>
      <family val="3"/>
      <charset val="129"/>
    </font>
    <font>
      <vertAlign val="subscript"/>
      <sz val="8"/>
      <color indexed="8"/>
      <name val="굴림"/>
      <family val="3"/>
      <charset val="129"/>
    </font>
    <font>
      <vertAlign val="superscript"/>
      <sz val="8"/>
      <color indexed="8"/>
      <name val="굴림"/>
      <family val="3"/>
      <charset val="129"/>
    </font>
    <font>
      <sz val="8"/>
      <color indexed="8"/>
      <name val="굴림체"/>
      <family val="3"/>
      <charset val="129"/>
    </font>
    <font>
      <sz val="8"/>
      <color indexed="8"/>
      <name val="돋움"/>
      <family val="3"/>
      <charset val="129"/>
    </font>
    <font>
      <sz val="8"/>
      <color indexed="12"/>
      <name val="굴림체"/>
      <family val="3"/>
      <charset val="129"/>
    </font>
    <font>
      <b/>
      <sz val="8"/>
      <color indexed="10"/>
      <name val="굴림체"/>
      <family val="3"/>
      <charset val="129"/>
    </font>
    <font>
      <sz val="8"/>
      <color indexed="17"/>
      <name val="굴림"/>
      <family val="3"/>
      <charset val="129"/>
    </font>
    <font>
      <sz val="12"/>
      <color theme="1"/>
      <name val="굴림"/>
      <family val="3"/>
      <charset val="129"/>
    </font>
    <font>
      <sz val="8"/>
      <color rgb="FFFF0000"/>
      <name val="굴림"/>
      <family val="3"/>
      <charset val="129"/>
    </font>
    <font>
      <sz val="8"/>
      <color rgb="FF0070C0"/>
      <name val="굴림"/>
      <family val="3"/>
      <charset val="129"/>
    </font>
    <font>
      <b/>
      <sz val="8"/>
      <color rgb="FF0070C0"/>
      <name val="굴림"/>
      <family val="3"/>
      <charset val="129"/>
    </font>
    <font>
      <sz val="7"/>
      <color rgb="FFFF0000"/>
      <name val="굴림"/>
      <family val="3"/>
      <charset val="129"/>
    </font>
    <font>
      <sz val="7"/>
      <color theme="0"/>
      <name val="굴림"/>
      <family val="3"/>
      <charset val="129"/>
    </font>
    <font>
      <b/>
      <sz val="7"/>
      <color theme="1"/>
      <name val="굴림"/>
      <family val="3"/>
      <charset val="129"/>
    </font>
    <font>
      <sz val="8"/>
      <color rgb="FF0000FF"/>
      <name val="굴림"/>
      <family val="3"/>
      <charset val="129"/>
    </font>
    <font>
      <sz val="8"/>
      <color theme="1"/>
      <name val="굴림체"/>
      <family val="3"/>
      <charset val="129"/>
    </font>
    <font>
      <sz val="8"/>
      <color rgb="FFFF0000"/>
      <name val="굴림체"/>
      <family val="3"/>
      <charset val="129"/>
    </font>
    <font>
      <sz val="8"/>
      <color theme="0"/>
      <name val="굴림"/>
      <family val="3"/>
      <charset val="129"/>
    </font>
    <font>
      <sz val="7"/>
      <color theme="1"/>
      <name val="굴림"/>
      <family val="3"/>
      <charset val="129"/>
    </font>
    <font>
      <b/>
      <sz val="7"/>
      <color rgb="FFFF0000"/>
      <name val="굴림"/>
      <family val="3"/>
      <charset val="129"/>
    </font>
    <font>
      <sz val="8"/>
      <color theme="0"/>
      <name val="돋움"/>
      <family val="3"/>
      <charset val="129"/>
    </font>
    <font>
      <b/>
      <sz val="11"/>
      <name val="돋움"/>
      <family val="3"/>
      <charset val="129"/>
    </font>
    <font>
      <sz val="10.5"/>
      <color rgb="FF000000"/>
      <name val="돋움"/>
      <family val="3"/>
      <charset val="129"/>
    </font>
    <font>
      <sz val="10.5"/>
      <color rgb="FF000000"/>
      <name val="-윤고딕330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8"/>
      <name val="돋움"/>
      <family val="3"/>
      <charset val="129"/>
    </font>
    <font>
      <sz val="12"/>
      <color rgb="FFFF0000"/>
      <name val="돋움"/>
      <family val="3"/>
      <charset val="129"/>
    </font>
    <font>
      <sz val="24"/>
      <name val="HY헤드라인M"/>
      <family val="1"/>
      <charset val="129"/>
    </font>
    <font>
      <sz val="8"/>
      <color rgb="FF0070C0"/>
      <name val="굴림체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5E5E5"/>
        <bgColor indexed="64"/>
      </patternFill>
    </fill>
  </fills>
  <borders count="15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ck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666666"/>
      </top>
      <bottom style="thin">
        <color rgb="FF666666"/>
      </bottom>
      <diagonal/>
    </border>
    <border>
      <left style="thin">
        <color rgb="FF000000"/>
      </left>
      <right/>
      <top style="thick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000000"/>
      </bottom>
      <diagonal/>
    </border>
    <border>
      <left style="thin">
        <color rgb="FF666666"/>
      </left>
      <right/>
      <top style="thin">
        <color rgb="FF666666"/>
      </top>
      <bottom style="thin">
        <color rgb="FF000000"/>
      </bottom>
      <diagonal/>
    </border>
  </borders>
  <cellStyleXfs count="55">
    <xf numFmtId="0" fontId="0" fillId="0" borderId="0"/>
    <xf numFmtId="186" fontId="7" fillId="0" borderId="0" applyFont="0" applyFill="0" applyBorder="0" applyAlignment="0" applyProtection="0"/>
    <xf numFmtId="308" fontId="10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309" fontId="1" fillId="0" borderId="0">
      <alignment vertical="center"/>
    </xf>
    <xf numFmtId="309" fontId="1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" fontId="68" fillId="0" borderId="0">
      <protection locked="0"/>
    </xf>
    <xf numFmtId="310" fontId="10" fillId="0" borderId="0">
      <protection locked="0"/>
    </xf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2" fontId="1" fillId="0" borderId="0" applyFont="0" applyFill="0" applyBorder="0" applyAlignment="0" applyProtection="0"/>
    <xf numFmtId="311" fontId="1" fillId="0" borderId="0">
      <protection locked="0"/>
    </xf>
    <xf numFmtId="311" fontId="1" fillId="0" borderId="0">
      <protection locked="0"/>
    </xf>
    <xf numFmtId="0" fontId="1" fillId="0" borderId="0"/>
    <xf numFmtId="0" fontId="80" fillId="0" borderId="0">
      <alignment vertical="center"/>
    </xf>
    <xf numFmtId="0" fontId="1" fillId="0" borderId="0"/>
    <xf numFmtId="0" fontId="21" fillId="0" borderId="0"/>
    <xf numFmtId="0" fontId="1" fillId="0" borderId="0"/>
    <xf numFmtId="0" fontId="68" fillId="0" borderId="1">
      <protection locked="0"/>
    </xf>
    <xf numFmtId="312" fontId="1" fillId="0" borderId="0">
      <protection locked="0"/>
    </xf>
    <xf numFmtId="312" fontId="1" fillId="0" borderId="0">
      <protection locked="0"/>
    </xf>
    <xf numFmtId="186" fontId="7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38" fontId="12" fillId="2" borderId="0" applyNumberFormat="0" applyBorder="0" applyAlignment="0" applyProtection="0"/>
    <xf numFmtId="10" fontId="12" fillId="3" borderId="2" applyNumberFormat="0" applyBorder="0" applyAlignment="0" applyProtection="0"/>
    <xf numFmtId="186" fontId="7" fillId="0" borderId="0" applyFont="0" applyFill="0" applyBorder="0" applyAlignment="0" applyProtection="0"/>
    <xf numFmtId="190" fontId="10" fillId="0" borderId="0"/>
    <xf numFmtId="0" fontId="11" fillId="0" borderId="0"/>
    <xf numFmtId="10" fontId="11" fillId="0" borderId="0" applyFont="0" applyFill="0" applyBorder="0" applyAlignment="0" applyProtection="0"/>
    <xf numFmtId="10" fontId="12" fillId="3" borderId="140" applyNumberFormat="0" applyBorder="0" applyAlignment="0" applyProtection="0"/>
    <xf numFmtId="10" fontId="12" fillId="3" borderId="140" applyNumberFormat="0" applyBorder="0" applyAlignment="0" applyProtection="0"/>
    <xf numFmtId="10" fontId="12" fillId="3" borderId="140" applyNumberFormat="0" applyBorder="0" applyAlignment="0" applyProtection="0"/>
    <xf numFmtId="10" fontId="12" fillId="3" borderId="133" applyNumberFormat="0" applyBorder="0" applyAlignment="0" applyProtection="0"/>
    <xf numFmtId="10" fontId="12" fillId="3" borderId="133" applyNumberFormat="0" applyBorder="0" applyAlignment="0" applyProtection="0"/>
    <xf numFmtId="10" fontId="12" fillId="3" borderId="140" applyNumberFormat="0" applyBorder="0" applyAlignment="0" applyProtection="0"/>
    <xf numFmtId="10" fontId="12" fillId="3" borderId="140" applyNumberFormat="0" applyBorder="0" applyAlignment="0" applyProtection="0"/>
    <xf numFmtId="10" fontId="12" fillId="3" borderId="140" applyNumberFormat="0" applyBorder="0" applyAlignment="0" applyProtection="0"/>
    <xf numFmtId="10" fontId="12" fillId="3" borderId="140" applyNumberFormat="0" applyBorder="0" applyAlignment="0" applyProtection="0"/>
  </cellStyleXfs>
  <cellXfs count="16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9" fontId="2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183" fontId="14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77" fontId="4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255" fontId="20" fillId="0" borderId="0" xfId="0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left" vertical="center"/>
    </xf>
    <xf numFmtId="2" fontId="22" fillId="0" borderId="0" xfId="0" applyNumberFormat="1" applyFont="1"/>
    <xf numFmtId="0" fontId="22" fillId="0" borderId="0" xfId="0" applyFont="1"/>
    <xf numFmtId="0" fontId="14" fillId="0" borderId="0" xfId="0" applyFont="1"/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4" fillId="4" borderId="0" xfId="29" applyFont="1" applyFill="1" applyBorder="1" applyAlignment="1">
      <alignment horizontal="center" vertical="center"/>
    </xf>
    <xf numFmtId="273" fontId="0" fillId="0" borderId="0" xfId="0" applyNumberFormat="1"/>
    <xf numFmtId="176" fontId="4" fillId="0" borderId="3" xfId="0" applyNumberFormat="1" applyFont="1" applyBorder="1" applyAlignment="1">
      <alignment horizontal="center" vertical="center"/>
    </xf>
    <xf numFmtId="0" fontId="17" fillId="5" borderId="5" xfId="29" applyFont="1" applyFill="1" applyBorder="1" applyAlignment="1">
      <alignment horizontal="center" vertical="center"/>
    </xf>
    <xf numFmtId="2" fontId="2" fillId="0" borderId="0" xfId="0" applyNumberFormat="1" applyFont="1" applyBorder="1" applyAlignment="1"/>
    <xf numFmtId="0" fontId="2" fillId="0" borderId="0" xfId="0" applyFont="1" applyAlignment="1">
      <alignment horizontal="center" vertical="center"/>
    </xf>
    <xf numFmtId="0" fontId="26" fillId="0" borderId="0" xfId="0" applyFont="1"/>
    <xf numFmtId="0" fontId="4" fillId="0" borderId="6" xfId="0" applyFont="1" applyFill="1" applyBorder="1" applyAlignment="1">
      <alignment vertical="center"/>
    </xf>
    <xf numFmtId="256" fontId="15" fillId="0" borderId="0" xfId="0" applyNumberFormat="1" applyFont="1" applyBorder="1" applyAlignment="1">
      <alignment horizontal="left"/>
    </xf>
    <xf numFmtId="183" fontId="14" fillId="0" borderId="0" xfId="0" applyNumberFormat="1" applyFont="1" applyAlignment="1">
      <alignment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74" fontId="4" fillId="0" borderId="7" xfId="3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77" fontId="4" fillId="0" borderId="7" xfId="0" applyNumberFormat="1" applyFont="1" applyBorder="1" applyAlignment="1">
      <alignment horizontal="center" vertical="center" wrapText="1"/>
    </xf>
    <xf numFmtId="176" fontId="17" fillId="5" borderId="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76" fontId="4" fillId="4" borderId="7" xfId="0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56" fontId="4" fillId="0" borderId="1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256" fontId="4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25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76" fontId="17" fillId="5" borderId="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256" fontId="4" fillId="4" borderId="3" xfId="0" applyNumberFormat="1" applyFont="1" applyFill="1" applyBorder="1" applyAlignment="1">
      <alignment horizontal="center" vertical="center"/>
    </xf>
    <xf numFmtId="0" fontId="27" fillId="0" borderId="0" xfId="0" applyNumberFormat="1" applyFont="1" applyBorder="1" applyAlignment="1">
      <alignment horizontal="left" vertical="center"/>
    </xf>
    <xf numFmtId="0" fontId="27" fillId="0" borderId="0" xfId="0" applyNumberFormat="1" applyFont="1" applyBorder="1" applyAlignment="1">
      <alignment vertical="center"/>
    </xf>
    <xf numFmtId="0" fontId="27" fillId="0" borderId="0" xfId="0" applyNumberFormat="1" applyFont="1" applyAlignment="1">
      <alignment vertical="center"/>
    </xf>
    <xf numFmtId="0" fontId="27" fillId="0" borderId="0" xfId="17" applyNumberFormat="1" applyFont="1" applyBorder="1" applyAlignment="1">
      <alignment horizontal="center" vertical="center"/>
    </xf>
    <xf numFmtId="3" fontId="27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177" fontId="27" fillId="0" borderId="0" xfId="0" applyNumberFormat="1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177" fontId="2" fillId="0" borderId="30" xfId="0" applyNumberFormat="1" applyFont="1" applyBorder="1"/>
    <xf numFmtId="0" fontId="2" fillId="0" borderId="0" xfId="0" applyFont="1" applyAlignment="1">
      <alignment horizontal="right"/>
    </xf>
    <xf numFmtId="177" fontId="2" fillId="0" borderId="31" xfId="0" applyNumberFormat="1" applyFont="1" applyBorder="1"/>
    <xf numFmtId="0" fontId="31" fillId="0" borderId="0" xfId="0" applyFont="1"/>
    <xf numFmtId="177" fontId="2" fillId="0" borderId="0" xfId="0" applyNumberFormat="1" applyFont="1" applyFill="1" applyBorder="1"/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195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96" fontId="4" fillId="0" borderId="0" xfId="0" applyNumberFormat="1" applyFont="1" applyFill="1" applyBorder="1" applyAlignment="1">
      <alignment horizontal="center" vertical="center"/>
    </xf>
    <xf numFmtId="214" fontId="4" fillId="0" borderId="0" xfId="0" applyNumberFormat="1" applyFont="1" applyFill="1" applyBorder="1" applyAlignment="1">
      <alignment horizontal="center" vertical="center"/>
    </xf>
    <xf numFmtId="197" fontId="4" fillId="0" borderId="0" xfId="0" applyNumberFormat="1" applyFont="1" applyFill="1" applyBorder="1" applyAlignment="1">
      <alignment vertical="center"/>
    </xf>
    <xf numFmtId="198" fontId="4" fillId="0" borderId="0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93" fontId="4" fillId="0" borderId="0" xfId="0" applyNumberFormat="1" applyFont="1" applyFill="1" applyBorder="1" applyAlignment="1">
      <alignment horizontal="center" vertical="center"/>
    </xf>
    <xf numFmtId="194" fontId="4" fillId="0" borderId="0" xfId="0" applyNumberFormat="1" applyFont="1" applyFill="1" applyBorder="1" applyAlignment="1">
      <alignment horizontal="center" vertical="center"/>
    </xf>
    <xf numFmtId="207" fontId="4" fillId="0" borderId="0" xfId="0" applyNumberFormat="1" applyFont="1" applyFill="1" applyBorder="1" applyAlignment="1">
      <alignment horizontal="center" vertical="center"/>
    </xf>
    <xf numFmtId="212" fontId="4" fillId="0" borderId="0" xfId="0" applyNumberFormat="1" applyFont="1" applyFill="1" applyBorder="1" applyAlignment="1">
      <alignment horizontal="center" vertical="center"/>
    </xf>
    <xf numFmtId="212" fontId="4" fillId="0" borderId="0" xfId="0" quotePrefix="1" applyNumberFormat="1" applyFont="1" applyFill="1" applyBorder="1" applyAlignment="1">
      <alignment horizontal="center" vertical="center"/>
    </xf>
    <xf numFmtId="213" fontId="4" fillId="0" borderId="0" xfId="0" applyNumberFormat="1" applyFont="1" applyFill="1" applyBorder="1" applyAlignment="1">
      <alignment horizontal="center" vertical="center"/>
    </xf>
    <xf numFmtId="267" fontId="4" fillId="0" borderId="0" xfId="0" applyNumberFormat="1" applyFont="1" applyFill="1" applyBorder="1" applyAlignment="1">
      <alignment horizontal="center" vertical="center"/>
    </xf>
    <xf numFmtId="267" fontId="3" fillId="0" borderId="0" xfId="0" applyNumberFormat="1" applyFont="1" applyFill="1" applyBorder="1" applyAlignment="1">
      <alignment horizontal="center" vertical="center"/>
    </xf>
    <xf numFmtId="268" fontId="4" fillId="0" borderId="0" xfId="0" applyNumberFormat="1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10" fillId="0" borderId="28" xfId="0" applyFont="1" applyBorder="1"/>
    <xf numFmtId="0" fontId="30" fillId="0" borderId="28" xfId="24" applyNumberFormat="1" applyFont="1" applyBorder="1" applyAlignment="1" applyProtection="1">
      <alignment horizontal="center"/>
      <protection locked="0"/>
    </xf>
    <xf numFmtId="0" fontId="30" fillId="0" borderId="28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24" applyNumberFormat="1" applyFont="1" applyBorder="1" applyAlignment="1" applyProtection="1">
      <alignment horizontal="center"/>
      <protection locked="0"/>
    </xf>
    <xf numFmtId="283" fontId="30" fillId="0" borderId="0" xfId="24" applyNumberFormat="1" applyFont="1" applyBorder="1" applyAlignment="1" applyProtection="1">
      <alignment horizontal="center"/>
      <protection locked="0"/>
    </xf>
    <xf numFmtId="284" fontId="30" fillId="0" borderId="0" xfId="0" applyNumberFormat="1" applyFont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85" fontId="30" fillId="0" borderId="0" xfId="0" applyNumberFormat="1" applyFont="1" applyBorder="1" applyAlignment="1">
      <alignment horizontal="center"/>
    </xf>
    <xf numFmtId="177" fontId="24" fillId="0" borderId="0" xfId="0" applyNumberFormat="1" applyFont="1" applyFill="1" applyBorder="1"/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181" fontId="36" fillId="0" borderId="34" xfId="3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249" fontId="36" fillId="0" borderId="0" xfId="17" applyNumberFormat="1" applyFont="1" applyFill="1" applyBorder="1" applyAlignment="1">
      <alignment vertical="center"/>
    </xf>
    <xf numFmtId="0" fontId="40" fillId="0" borderId="2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right" vertical="center"/>
    </xf>
    <xf numFmtId="176" fontId="36" fillId="0" borderId="36" xfId="17" applyNumberFormat="1" applyFont="1" applyFill="1" applyBorder="1" applyAlignment="1">
      <alignment vertical="center" shrinkToFit="1"/>
    </xf>
    <xf numFmtId="176" fontId="36" fillId="0" borderId="0" xfId="17" applyNumberFormat="1" applyFont="1" applyFill="1" applyBorder="1" applyAlignment="1">
      <alignment vertical="center"/>
    </xf>
    <xf numFmtId="181" fontId="36" fillId="0" borderId="36" xfId="0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181" fontId="36" fillId="0" borderId="37" xfId="0" applyNumberFormat="1" applyFont="1" applyFill="1" applyBorder="1" applyAlignment="1">
      <alignment vertical="center"/>
    </xf>
    <xf numFmtId="181" fontId="36" fillId="0" borderId="0" xfId="17" applyNumberFormat="1" applyFont="1" applyFill="1" applyBorder="1" applyAlignment="1">
      <alignment vertical="center"/>
    </xf>
    <xf numFmtId="181" fontId="36" fillId="0" borderId="0" xfId="0" applyNumberFormat="1" applyFont="1" applyFill="1" applyBorder="1" applyAlignment="1">
      <alignment vertical="center"/>
    </xf>
    <xf numFmtId="9" fontId="42" fillId="0" borderId="0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81" fontId="36" fillId="0" borderId="34" xfId="0" applyNumberFormat="1" applyFont="1" applyFill="1" applyBorder="1" applyAlignment="1">
      <alignment vertical="center"/>
    </xf>
    <xf numFmtId="183" fontId="36" fillId="0" borderId="2" xfId="0" applyNumberFormat="1" applyFont="1" applyFill="1" applyBorder="1" applyAlignment="1">
      <alignment vertical="center" shrinkToFit="1"/>
    </xf>
    <xf numFmtId="0" fontId="36" fillId="0" borderId="38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left" vertical="center"/>
    </xf>
    <xf numFmtId="0" fontId="36" fillId="0" borderId="30" xfId="0" applyFont="1" applyFill="1" applyBorder="1" applyAlignment="1">
      <alignment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vertical="center"/>
    </xf>
    <xf numFmtId="0" fontId="36" fillId="0" borderId="24" xfId="0" applyFont="1" applyFill="1" applyBorder="1" applyAlignment="1">
      <alignment vertical="center"/>
    </xf>
    <xf numFmtId="0" fontId="36" fillId="0" borderId="42" xfId="0" applyFont="1" applyFill="1" applyBorder="1" applyAlignment="1">
      <alignment horizontal="center" vertical="center"/>
    </xf>
    <xf numFmtId="191" fontId="43" fillId="0" borderId="43" xfId="0" applyNumberFormat="1" applyFont="1" applyFill="1" applyBorder="1" applyAlignment="1">
      <alignment horizontal="right" vertical="center"/>
    </xf>
    <xf numFmtId="2" fontId="43" fillId="0" borderId="44" xfId="0" applyNumberFormat="1" applyFont="1" applyFill="1" applyBorder="1" applyAlignment="1">
      <alignment horizontal="center" vertical="center" shrinkToFit="1"/>
    </xf>
    <xf numFmtId="0" fontId="36" fillId="0" borderId="45" xfId="0" applyFont="1" applyFill="1" applyBorder="1" applyAlignment="1">
      <alignment horizontal="center" vertical="center"/>
    </xf>
    <xf numFmtId="183" fontId="41" fillId="0" borderId="0" xfId="11" applyNumberFormat="1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/>
    </xf>
    <xf numFmtId="181" fontId="41" fillId="0" borderId="0" xfId="0" applyNumberFormat="1" applyFont="1" applyFill="1" applyBorder="1" applyAlignment="1">
      <alignment vertical="center"/>
    </xf>
    <xf numFmtId="0" fontId="36" fillId="0" borderId="19" xfId="0" applyFont="1" applyFill="1" applyBorder="1" applyAlignment="1">
      <alignment horizontal="center" vertical="center"/>
    </xf>
    <xf numFmtId="251" fontId="43" fillId="0" borderId="47" xfId="0" applyNumberFormat="1" applyFont="1" applyFill="1" applyBorder="1" applyAlignment="1">
      <alignment horizontal="right" vertical="center"/>
    </xf>
    <xf numFmtId="0" fontId="43" fillId="0" borderId="34" xfId="0" applyFont="1" applyFill="1" applyBorder="1" applyAlignment="1">
      <alignment horizontal="center" vertical="center" shrinkToFit="1"/>
    </xf>
    <xf numFmtId="0" fontId="36" fillId="0" borderId="48" xfId="0" applyFont="1" applyFill="1" applyBorder="1" applyAlignment="1">
      <alignment horizontal="center" vertical="center"/>
    </xf>
    <xf numFmtId="181" fontId="36" fillId="0" borderId="0" xfId="0" applyNumberFormat="1" applyFont="1" applyFill="1" applyBorder="1" applyAlignment="1">
      <alignment horizontal="right" vertical="center"/>
    </xf>
    <xf numFmtId="182" fontId="42" fillId="0" borderId="0" xfId="0" applyNumberFormat="1" applyFont="1" applyFill="1" applyBorder="1" applyAlignment="1">
      <alignment horizontal="right" vertical="center"/>
    </xf>
    <xf numFmtId="0" fontId="36" fillId="0" borderId="15" xfId="0" applyFont="1" applyFill="1" applyBorder="1" applyAlignment="1">
      <alignment horizontal="center" vertical="center"/>
    </xf>
    <xf numFmtId="256" fontId="43" fillId="0" borderId="49" xfId="0" applyNumberFormat="1" applyFont="1" applyFill="1" applyBorder="1" applyAlignment="1">
      <alignment horizontal="right" vertical="center"/>
    </xf>
    <xf numFmtId="0" fontId="43" fillId="0" borderId="50" xfId="0" applyFont="1" applyFill="1" applyBorder="1" applyAlignment="1">
      <alignment horizontal="center" vertical="center" shrinkToFit="1"/>
    </xf>
    <xf numFmtId="0" fontId="36" fillId="0" borderId="9" xfId="0" applyFont="1" applyFill="1" applyBorder="1" applyAlignment="1">
      <alignment horizontal="center" vertical="center" shrinkToFit="1"/>
    </xf>
    <xf numFmtId="191" fontId="43" fillId="0" borderId="51" xfId="0" applyNumberFormat="1" applyFont="1" applyFill="1" applyBorder="1" applyAlignment="1">
      <alignment horizontal="right" vertical="center"/>
    </xf>
    <xf numFmtId="1" fontId="43" fillId="0" borderId="52" xfId="0" applyNumberFormat="1" applyFont="1" applyFill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181" fontId="36" fillId="0" borderId="0" xfId="0" applyNumberFormat="1" applyFont="1" applyBorder="1" applyAlignment="1">
      <alignment horizontal="right" vertical="center"/>
    </xf>
    <xf numFmtId="0" fontId="36" fillId="0" borderId="53" xfId="0" applyFont="1" applyFill="1" applyBorder="1" applyAlignment="1">
      <alignment horizontal="center" vertical="center"/>
    </xf>
    <xf numFmtId="251" fontId="43" fillId="0" borderId="54" xfId="0" applyNumberFormat="1" applyFont="1" applyFill="1" applyBorder="1" applyAlignment="1">
      <alignment horizontal="right" vertical="center"/>
    </xf>
    <xf numFmtId="1" fontId="43" fillId="0" borderId="55" xfId="0" applyNumberFormat="1" applyFont="1" applyFill="1" applyBorder="1" applyAlignment="1">
      <alignment horizontal="center" vertical="center" shrinkToFit="1"/>
    </xf>
    <xf numFmtId="0" fontId="36" fillId="0" borderId="0" xfId="0" applyFont="1" applyBorder="1" applyAlignment="1">
      <alignment vertical="center"/>
    </xf>
    <xf numFmtId="0" fontId="36" fillId="0" borderId="56" xfId="0" applyFont="1" applyFill="1" applyBorder="1" applyAlignment="1">
      <alignment horizontal="center" vertical="center"/>
    </xf>
    <xf numFmtId="9" fontId="40" fillId="0" borderId="0" xfId="0" applyNumberFormat="1" applyFont="1" applyFill="1" applyBorder="1" applyAlignment="1">
      <alignment vertical="center"/>
    </xf>
    <xf numFmtId="9" fontId="36" fillId="0" borderId="0" xfId="0" applyNumberFormat="1" applyFont="1" applyFill="1" applyBorder="1" applyAlignment="1">
      <alignment horizontal="left" vertical="center"/>
    </xf>
    <xf numFmtId="41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177" fontId="44" fillId="0" borderId="0" xfId="0" applyNumberFormat="1" applyFont="1" applyFill="1" applyBorder="1" applyAlignment="1">
      <alignment vertical="center"/>
    </xf>
    <xf numFmtId="41" fontId="36" fillId="0" borderId="0" xfId="0" applyNumberFormat="1" applyFont="1" applyBorder="1" applyAlignment="1">
      <alignment horizontal="center" vertical="center"/>
    </xf>
    <xf numFmtId="0" fontId="36" fillId="0" borderId="57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81" fontId="36" fillId="0" borderId="0" xfId="0" applyNumberFormat="1" applyFont="1" applyBorder="1" applyAlignment="1">
      <alignment vertical="center"/>
    </xf>
    <xf numFmtId="177" fontId="36" fillId="0" borderId="0" xfId="0" applyNumberFormat="1" applyFont="1" applyBorder="1" applyAlignment="1">
      <alignment vertical="center"/>
    </xf>
    <xf numFmtId="181" fontId="45" fillId="0" borderId="36" xfId="0" applyNumberFormat="1" applyFont="1" applyFill="1" applyBorder="1" applyAlignment="1">
      <alignment horizontal="right" vertical="center"/>
    </xf>
    <xf numFmtId="0" fontId="36" fillId="0" borderId="58" xfId="0" applyFont="1" applyFill="1" applyBorder="1" applyAlignment="1">
      <alignment horizontal="center" vertical="center"/>
    </xf>
    <xf numFmtId="183" fontId="36" fillId="0" borderId="2" xfId="11" applyNumberFormat="1" applyFont="1" applyFill="1" applyBorder="1" applyAlignment="1">
      <alignment vertical="center"/>
    </xf>
    <xf numFmtId="2" fontId="44" fillId="0" borderId="0" xfId="0" applyNumberFormat="1" applyFont="1" applyFill="1" applyBorder="1" applyAlignment="1">
      <alignment vertical="center"/>
    </xf>
    <xf numFmtId="177" fontId="36" fillId="0" borderId="0" xfId="0" applyNumberFormat="1" applyFont="1" applyFill="1" applyBorder="1" applyAlignment="1">
      <alignment vertical="center"/>
    </xf>
    <xf numFmtId="0" fontId="36" fillId="0" borderId="59" xfId="0" applyFont="1" applyFill="1" applyBorder="1" applyAlignment="1">
      <alignment horizontal="center" vertical="center"/>
    </xf>
    <xf numFmtId="0" fontId="36" fillId="0" borderId="60" xfId="0" applyFont="1" applyFill="1" applyBorder="1" applyAlignment="1">
      <alignment horizontal="right" vertical="center"/>
    </xf>
    <xf numFmtId="248" fontId="36" fillId="0" borderId="0" xfId="0" applyNumberFormat="1" applyFont="1" applyFill="1" applyBorder="1" applyAlignment="1">
      <alignment vertical="center"/>
    </xf>
    <xf numFmtId="251" fontId="36" fillId="0" borderId="49" xfId="17" applyNumberFormat="1" applyFont="1" applyFill="1" applyBorder="1" applyAlignment="1">
      <alignment horizontal="right" vertical="center"/>
    </xf>
    <xf numFmtId="182" fontId="36" fillId="0" borderId="37" xfId="0" applyNumberFormat="1" applyFont="1" applyFill="1" applyBorder="1" applyAlignment="1">
      <alignment horizontal="center" vertical="center"/>
    </xf>
    <xf numFmtId="0" fontId="36" fillId="0" borderId="61" xfId="0" applyFont="1" applyFill="1" applyBorder="1" applyAlignment="1">
      <alignment horizontal="center" vertical="center"/>
    </xf>
    <xf numFmtId="251" fontId="36" fillId="0" borderId="62" xfId="0" applyNumberFormat="1" applyFont="1" applyFill="1" applyBorder="1" applyAlignment="1">
      <alignment vertical="center"/>
    </xf>
    <xf numFmtId="1" fontId="36" fillId="0" borderId="0" xfId="0" applyNumberFormat="1" applyFont="1" applyFill="1" applyBorder="1" applyAlignment="1">
      <alignment vertical="center"/>
    </xf>
    <xf numFmtId="248" fontId="36" fillId="0" borderId="63" xfId="0" applyNumberFormat="1" applyFont="1" applyFill="1" applyBorder="1" applyAlignment="1">
      <alignment horizontal="right" vertical="center"/>
    </xf>
    <xf numFmtId="0" fontId="36" fillId="0" borderId="6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36" fillId="0" borderId="35" xfId="0" applyFont="1" applyFill="1" applyBorder="1" applyAlignment="1">
      <alignment horizontal="center" vertical="center"/>
    </xf>
    <xf numFmtId="181" fontId="44" fillId="0" borderId="0" xfId="0" applyNumberFormat="1" applyFont="1" applyFill="1" applyBorder="1" applyAlignment="1">
      <alignment vertical="center"/>
    </xf>
    <xf numFmtId="43" fontId="36" fillId="0" borderId="0" xfId="0" applyNumberFormat="1" applyFont="1" applyFill="1" applyBorder="1" applyAlignment="1">
      <alignment vertical="center"/>
    </xf>
    <xf numFmtId="181" fontId="36" fillId="0" borderId="49" xfId="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vertical="center"/>
    </xf>
    <xf numFmtId="181" fontId="36" fillId="0" borderId="47" xfId="0" applyNumberFormat="1" applyFont="1" applyFill="1" applyBorder="1" applyAlignment="1">
      <alignment vertical="center"/>
    </xf>
    <xf numFmtId="181" fontId="43" fillId="0" borderId="34" xfId="0" applyNumberFormat="1" applyFont="1" applyFill="1" applyBorder="1" applyAlignment="1">
      <alignment horizontal="right" vertical="center"/>
    </xf>
    <xf numFmtId="182" fontId="42" fillId="0" borderId="30" xfId="0" applyNumberFormat="1" applyFont="1" applyFill="1" applyBorder="1" applyAlignment="1">
      <alignment horizontal="center" vertical="center"/>
    </xf>
    <xf numFmtId="181" fontId="36" fillId="0" borderId="48" xfId="0" applyNumberFormat="1" applyFont="1" applyFill="1" applyBorder="1" applyAlignment="1">
      <alignment vertical="center"/>
    </xf>
    <xf numFmtId="181" fontId="43" fillId="0" borderId="0" xfId="0" applyNumberFormat="1" applyFont="1" applyFill="1" applyBorder="1" applyAlignment="1">
      <alignment horizontal="center" vertical="center"/>
    </xf>
    <xf numFmtId="181" fontId="36" fillId="0" borderId="38" xfId="0" applyNumberFormat="1" applyFont="1" applyFill="1" applyBorder="1" applyAlignment="1">
      <alignment vertical="center"/>
    </xf>
    <xf numFmtId="181" fontId="43" fillId="0" borderId="39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right" vertical="center"/>
    </xf>
    <xf numFmtId="0" fontId="40" fillId="0" borderId="4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right" vertical="center"/>
    </xf>
    <xf numFmtId="0" fontId="40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right" vertical="center"/>
    </xf>
    <xf numFmtId="0" fontId="40" fillId="0" borderId="66" xfId="0" applyFont="1" applyFill="1" applyBorder="1" applyAlignment="1">
      <alignment horizontal="center" vertical="center"/>
    </xf>
    <xf numFmtId="0" fontId="36" fillId="0" borderId="67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36" fillId="0" borderId="68" xfId="0" applyFont="1" applyFill="1" applyBorder="1" applyAlignment="1">
      <alignment horizontal="center" vertical="center"/>
    </xf>
    <xf numFmtId="182" fontId="44" fillId="0" borderId="69" xfId="0" applyNumberFormat="1" applyFont="1" applyFill="1" applyBorder="1" applyAlignment="1">
      <alignment horizontal="center" vertical="center"/>
    </xf>
    <xf numFmtId="182" fontId="42" fillId="0" borderId="67" xfId="0" applyNumberFormat="1" applyFont="1" applyFill="1" applyBorder="1" applyAlignment="1">
      <alignment horizontal="right" vertical="center"/>
    </xf>
    <xf numFmtId="183" fontId="44" fillId="0" borderId="70" xfId="0" applyNumberFormat="1" applyFont="1" applyFill="1" applyBorder="1" applyAlignment="1">
      <alignment horizontal="center" vertical="center"/>
    </xf>
    <xf numFmtId="0" fontId="36" fillId="0" borderId="71" xfId="0" applyFont="1" applyFill="1" applyBorder="1" applyAlignment="1">
      <alignment horizontal="center" vertical="center"/>
    </xf>
    <xf numFmtId="183" fontId="42" fillId="0" borderId="25" xfId="0" applyNumberFormat="1" applyFont="1" applyFill="1" applyBorder="1" applyAlignment="1">
      <alignment horizontal="center" vertical="center"/>
    </xf>
    <xf numFmtId="183" fontId="42" fillId="0" borderId="0" xfId="0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181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183" fontId="34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250" fontId="27" fillId="0" borderId="0" xfId="0" quotePrefix="1" applyNumberFormat="1" applyFont="1" applyAlignment="1">
      <alignment horizontal="right" vertical="center"/>
    </xf>
    <xf numFmtId="177" fontId="27" fillId="0" borderId="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10" fontId="37" fillId="0" borderId="0" xfId="0" applyNumberFormat="1" applyFont="1" applyBorder="1" applyAlignment="1">
      <alignment horizontal="right" vertical="center"/>
    </xf>
    <xf numFmtId="176" fontId="38" fillId="0" borderId="0" xfId="0" applyNumberFormat="1" applyFont="1" applyBorder="1" applyAlignment="1">
      <alignment horizontal="right" vertical="center"/>
    </xf>
    <xf numFmtId="176" fontId="33" fillId="0" borderId="0" xfId="0" applyNumberFormat="1" applyFont="1" applyBorder="1" applyAlignment="1">
      <alignment vertical="center"/>
    </xf>
    <xf numFmtId="10" fontId="27" fillId="0" borderId="0" xfId="0" applyNumberFormat="1" applyFont="1" applyBorder="1" applyAlignment="1">
      <alignment vertical="center"/>
    </xf>
    <xf numFmtId="236" fontId="27" fillId="0" borderId="0" xfId="0" applyNumberFormat="1" applyFont="1" applyBorder="1" applyAlignment="1">
      <alignment vertical="center"/>
    </xf>
    <xf numFmtId="248" fontId="36" fillId="0" borderId="46" xfId="17" applyNumberFormat="1" applyFont="1" applyFill="1" applyBorder="1" applyAlignment="1">
      <alignment vertical="center"/>
    </xf>
    <xf numFmtId="181" fontId="36" fillId="0" borderId="36" xfId="17" applyNumberFormat="1" applyFont="1" applyFill="1" applyBorder="1" applyAlignment="1">
      <alignment vertical="center"/>
    </xf>
    <xf numFmtId="181" fontId="36" fillId="0" borderId="49" xfId="17" applyNumberFormat="1" applyFont="1" applyFill="1" applyBorder="1" applyAlignment="1">
      <alignment vertical="center"/>
    </xf>
    <xf numFmtId="181" fontId="36" fillId="0" borderId="47" xfId="17" applyNumberFormat="1" applyFont="1" applyFill="1" applyBorder="1" applyAlignment="1">
      <alignment vertical="center"/>
    </xf>
    <xf numFmtId="251" fontId="43" fillId="0" borderId="72" xfId="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177" fontId="52" fillId="0" borderId="0" xfId="0" applyNumberFormat="1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178" fontId="52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2" fontId="53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177" fontId="52" fillId="0" borderId="0" xfId="0" applyNumberFormat="1" applyFont="1" applyBorder="1" applyAlignment="1">
      <alignment horizontal="center" vertical="center"/>
    </xf>
    <xf numFmtId="41" fontId="49" fillId="0" borderId="0" xfId="17" applyFont="1" applyBorder="1" applyAlignment="1">
      <alignment horizontal="center" vertical="center"/>
    </xf>
    <xf numFmtId="178" fontId="49" fillId="0" borderId="0" xfId="0" applyNumberFormat="1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49" fillId="0" borderId="74" xfId="0" applyFont="1" applyBorder="1" applyAlignment="1">
      <alignment horizontal="left" vertical="center" indent="1"/>
    </xf>
    <xf numFmtId="0" fontId="49" fillId="0" borderId="75" xfId="0" applyFont="1" applyBorder="1" applyAlignment="1">
      <alignment vertical="center"/>
    </xf>
    <xf numFmtId="0" fontId="54" fillId="0" borderId="75" xfId="0" applyFont="1" applyBorder="1" applyAlignment="1">
      <alignment horizontal="left" vertical="center" wrapText="1"/>
    </xf>
    <xf numFmtId="0" fontId="49" fillId="0" borderId="71" xfId="0" applyFont="1" applyBorder="1" applyAlignment="1">
      <alignment horizontal="left" vertical="center" indent="1"/>
    </xf>
    <xf numFmtId="177" fontId="52" fillId="0" borderId="24" xfId="0" applyNumberFormat="1" applyFont="1" applyBorder="1" applyAlignment="1">
      <alignment vertical="center"/>
    </xf>
    <xf numFmtId="41" fontId="49" fillId="0" borderId="24" xfId="17" applyFont="1" applyBorder="1" applyAlignment="1">
      <alignment horizontal="center" vertical="center"/>
    </xf>
    <xf numFmtId="178" fontId="49" fillId="0" borderId="24" xfId="0" applyNumberFormat="1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2" fontId="53" fillId="0" borderId="24" xfId="0" applyNumberFormat="1" applyFont="1" applyBorder="1" applyAlignment="1">
      <alignment horizontal="center" vertical="center"/>
    </xf>
    <xf numFmtId="0" fontId="49" fillId="0" borderId="24" xfId="0" applyFont="1" applyBorder="1" applyAlignment="1">
      <alignment vertical="center"/>
    </xf>
    <xf numFmtId="0" fontId="54" fillId="0" borderId="76" xfId="0" applyFont="1" applyBorder="1" applyAlignment="1">
      <alignment horizontal="left" vertical="center" wrapText="1"/>
    </xf>
    <xf numFmtId="0" fontId="36" fillId="0" borderId="77" xfId="0" applyFont="1" applyFill="1" applyBorder="1" applyAlignment="1">
      <alignment horizontal="center" vertical="center" shrinkToFit="1"/>
    </xf>
    <xf numFmtId="0" fontId="27" fillId="0" borderId="2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7" fillId="0" borderId="3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80" fontId="27" fillId="0" borderId="0" xfId="0" applyNumberFormat="1" applyFont="1" applyFill="1" applyBorder="1" applyAlignment="1">
      <alignment horizontal="center" vertical="center"/>
    </xf>
    <xf numFmtId="237" fontId="18" fillId="0" borderId="0" xfId="0" applyNumberFormat="1" applyFont="1" applyFill="1" applyBorder="1" applyAlignment="1">
      <alignment vertical="center"/>
    </xf>
    <xf numFmtId="195" fontId="18" fillId="0" borderId="0" xfId="0" applyNumberFormat="1" applyFont="1" applyFill="1" applyBorder="1" applyAlignment="1">
      <alignment horizontal="center" vertical="center"/>
    </xf>
    <xf numFmtId="193" fontId="18" fillId="0" borderId="0" xfId="0" applyNumberFormat="1" applyFont="1" applyFill="1" applyBorder="1" applyAlignment="1">
      <alignment vertical="center"/>
    </xf>
    <xf numFmtId="249" fontId="57" fillId="0" borderId="0" xfId="0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center" vertical="center"/>
    </xf>
    <xf numFmtId="252" fontId="5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214" fontId="18" fillId="0" borderId="0" xfId="0" applyNumberFormat="1" applyFont="1" applyFill="1" applyBorder="1" applyAlignment="1">
      <alignment horizontal="center" vertical="center"/>
    </xf>
    <xf numFmtId="197" fontId="18" fillId="0" borderId="0" xfId="0" applyNumberFormat="1" applyFont="1" applyFill="1" applyBorder="1" applyAlignment="1">
      <alignment vertical="center"/>
    </xf>
    <xf numFmtId="198" fontId="18" fillId="0" borderId="0" xfId="0" applyNumberFormat="1" applyFont="1" applyFill="1" applyBorder="1" applyAlignment="1">
      <alignment horizontal="center" vertical="center"/>
    </xf>
    <xf numFmtId="237" fontId="18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7" fillId="0" borderId="30" xfId="0" applyFont="1" applyFill="1" applyBorder="1" applyAlignment="1">
      <alignment vertical="center"/>
    </xf>
    <xf numFmtId="246" fontId="27" fillId="0" borderId="0" xfId="0" quotePrefix="1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vertical="center"/>
    </xf>
    <xf numFmtId="0" fontId="18" fillId="0" borderId="33" xfId="0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vertical="center"/>
    </xf>
    <xf numFmtId="179" fontId="27" fillId="0" borderId="0" xfId="0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/>
    <xf numFmtId="177" fontId="18" fillId="0" borderId="0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/>
    <xf numFmtId="2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177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distributed" vertical="center"/>
    </xf>
    <xf numFmtId="2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center" vertical="center"/>
    </xf>
    <xf numFmtId="199" fontId="18" fillId="0" borderId="0" xfId="0" applyNumberFormat="1" applyFont="1" applyFill="1" applyBorder="1" applyAlignment="1">
      <alignment horizontal="center" vertical="center"/>
    </xf>
    <xf numFmtId="262" fontId="60" fillId="4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left" vertical="center"/>
    </xf>
    <xf numFmtId="200" fontId="18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vertical="center"/>
    </xf>
    <xf numFmtId="2" fontId="27" fillId="0" borderId="0" xfId="0" applyNumberFormat="1" applyFont="1" applyFill="1" applyBorder="1" applyAlignment="1">
      <alignment vertical="center"/>
    </xf>
    <xf numFmtId="180" fontId="27" fillId="0" borderId="0" xfId="0" applyNumberFormat="1" applyFont="1" applyFill="1" applyBorder="1" applyAlignment="1">
      <alignment vertical="center"/>
    </xf>
    <xf numFmtId="2" fontId="27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83" fontId="33" fillId="0" borderId="0" xfId="0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203" fontId="27" fillId="0" borderId="0" xfId="0" applyNumberFormat="1" applyFont="1" applyFill="1" applyBorder="1" applyAlignment="1">
      <alignment horizontal="center" vertical="center"/>
    </xf>
    <xf numFmtId="218" fontId="27" fillId="0" borderId="0" xfId="0" applyNumberFormat="1" applyFont="1" applyFill="1" applyBorder="1" applyAlignment="1">
      <alignment vertical="center"/>
    </xf>
    <xf numFmtId="282" fontId="27" fillId="0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 shrinkToFit="1"/>
    </xf>
    <xf numFmtId="193" fontId="27" fillId="0" borderId="0" xfId="0" applyNumberFormat="1" applyFont="1" applyFill="1" applyBorder="1" applyAlignment="1">
      <alignment horizontal="center" vertical="center"/>
    </xf>
    <xf numFmtId="194" fontId="27" fillId="0" borderId="0" xfId="0" applyNumberFormat="1" applyFont="1" applyFill="1" applyBorder="1" applyAlignment="1">
      <alignment horizontal="center" vertical="center"/>
    </xf>
    <xf numFmtId="0" fontId="27" fillId="0" borderId="0" xfId="0" quotePrefix="1" applyFont="1" applyFill="1" applyBorder="1" applyAlignment="1">
      <alignment horizontal="center" vertical="center"/>
    </xf>
    <xf numFmtId="194" fontId="18" fillId="0" borderId="0" xfId="0" applyNumberFormat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vertical="center"/>
    </xf>
    <xf numFmtId="223" fontId="18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207" fontId="18" fillId="0" borderId="0" xfId="0" applyNumberFormat="1" applyFont="1" applyFill="1" applyBorder="1" applyAlignment="1">
      <alignment horizontal="center" vertical="center"/>
    </xf>
    <xf numFmtId="201" fontId="18" fillId="0" borderId="0" xfId="0" applyNumberFormat="1" applyFont="1" applyFill="1" applyBorder="1" applyAlignment="1">
      <alignment horizontal="left" vertical="center"/>
    </xf>
    <xf numFmtId="209" fontId="18" fillId="0" borderId="0" xfId="0" applyNumberFormat="1" applyFont="1" applyFill="1" applyBorder="1" applyAlignment="1">
      <alignment horizontal="center" vertical="center"/>
    </xf>
    <xf numFmtId="191" fontId="27" fillId="0" borderId="0" xfId="17" applyNumberFormat="1" applyFont="1" applyFill="1" applyBorder="1" applyAlignment="1">
      <alignment horizontal="right" vertical="center"/>
    </xf>
    <xf numFmtId="191" fontId="27" fillId="0" borderId="0" xfId="0" applyNumberFormat="1" applyFont="1" applyFill="1" applyBorder="1" applyAlignment="1">
      <alignment horizontal="right" vertical="center"/>
    </xf>
    <xf numFmtId="10" fontId="27" fillId="0" borderId="0" xfId="0" applyNumberFormat="1" applyFont="1" applyFill="1" applyBorder="1" applyAlignment="1">
      <alignment horizontal="right" vertical="center"/>
    </xf>
    <xf numFmtId="191" fontId="18" fillId="0" borderId="0" xfId="17" applyNumberFormat="1" applyFont="1" applyFill="1" applyBorder="1" applyAlignment="1">
      <alignment horizontal="right" vertical="center"/>
    </xf>
    <xf numFmtId="191" fontId="18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210" fontId="18" fillId="0" borderId="0" xfId="0" applyNumberFormat="1" applyFont="1" applyFill="1" applyBorder="1" applyAlignment="1">
      <alignment horizontal="center" vertical="center"/>
    </xf>
    <xf numFmtId="211" fontId="18" fillId="0" borderId="0" xfId="0" applyNumberFormat="1" applyFont="1" applyFill="1" applyBorder="1" applyAlignment="1">
      <alignment horizontal="center" vertical="center"/>
    </xf>
    <xf numFmtId="207" fontId="27" fillId="0" borderId="0" xfId="0" applyNumberFormat="1" applyFont="1" applyFill="1" applyBorder="1" applyAlignment="1">
      <alignment horizontal="center" vertical="center"/>
    </xf>
    <xf numFmtId="194" fontId="27" fillId="0" borderId="30" xfId="0" applyNumberFormat="1" applyFont="1" applyFill="1" applyBorder="1" applyAlignment="1">
      <alignment horizontal="center" vertical="center"/>
    </xf>
    <xf numFmtId="212" fontId="27" fillId="0" borderId="0" xfId="0" quotePrefix="1" applyNumberFormat="1" applyFont="1" applyFill="1" applyBorder="1" applyAlignment="1">
      <alignment horizontal="center" vertical="center"/>
    </xf>
    <xf numFmtId="275" fontId="27" fillId="0" borderId="0" xfId="0" applyNumberFormat="1" applyFont="1" applyFill="1" applyBorder="1" applyAlignment="1">
      <alignment horizontal="center" vertical="center"/>
    </xf>
    <xf numFmtId="276" fontId="27" fillId="0" borderId="0" xfId="0" applyNumberFormat="1" applyFont="1" applyFill="1" applyBorder="1" applyAlignment="1">
      <alignment horizontal="center" vertical="center"/>
    </xf>
    <xf numFmtId="212" fontId="18" fillId="0" borderId="0" xfId="0" applyNumberFormat="1" applyFont="1" applyFill="1" applyBorder="1" applyAlignment="1">
      <alignment horizontal="center" vertical="center"/>
    </xf>
    <xf numFmtId="212" fontId="18" fillId="0" borderId="0" xfId="0" quotePrefix="1" applyNumberFormat="1" applyFont="1" applyFill="1" applyBorder="1" applyAlignment="1">
      <alignment horizontal="center" vertical="center"/>
    </xf>
    <xf numFmtId="213" fontId="18" fillId="0" borderId="0" xfId="0" applyNumberFormat="1" applyFont="1" applyFill="1" applyBorder="1" applyAlignment="1">
      <alignment horizontal="center" vertical="center"/>
    </xf>
    <xf numFmtId="278" fontId="27" fillId="0" borderId="0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271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196" fontId="27" fillId="0" borderId="0" xfId="0" applyNumberFormat="1" applyFont="1" applyFill="1" applyBorder="1" applyAlignment="1">
      <alignment horizontal="center" vertical="center"/>
    </xf>
    <xf numFmtId="267" fontId="27" fillId="0" borderId="0" xfId="0" applyNumberFormat="1" applyFont="1" applyFill="1" applyBorder="1" applyAlignment="1">
      <alignment horizontal="center" vertical="center"/>
    </xf>
    <xf numFmtId="268" fontId="37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181" fontId="27" fillId="0" borderId="0" xfId="0" applyNumberFormat="1" applyFont="1" applyFill="1" applyBorder="1" applyAlignment="1">
      <alignment vertical="center"/>
    </xf>
    <xf numFmtId="246" fontId="18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/>
    </xf>
    <xf numFmtId="198" fontId="27" fillId="0" borderId="0" xfId="0" applyNumberFormat="1" applyFont="1" applyFill="1" applyBorder="1" applyAlignment="1">
      <alignment vertical="center"/>
    </xf>
    <xf numFmtId="242" fontId="27" fillId="0" borderId="0" xfId="0" applyNumberFormat="1" applyFont="1" applyFill="1" applyBorder="1" applyAlignment="1">
      <alignment horizontal="center" vertical="center"/>
    </xf>
    <xf numFmtId="252" fontId="27" fillId="0" borderId="0" xfId="0" applyNumberFormat="1" applyFont="1" applyFill="1" applyBorder="1" applyAlignment="1">
      <alignment horizontal="center" vertical="center"/>
    </xf>
    <xf numFmtId="295" fontId="27" fillId="0" borderId="0" xfId="0" applyNumberFormat="1" applyFont="1" applyFill="1" applyBorder="1" applyAlignment="1">
      <alignment horizontal="center" vertical="center"/>
    </xf>
    <xf numFmtId="297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176" fontId="81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201" fontId="27" fillId="0" borderId="0" xfId="0" applyNumberFormat="1" applyFont="1" applyFill="1" applyBorder="1" applyAlignment="1">
      <alignment vertical="center"/>
    </xf>
    <xf numFmtId="298" fontId="81" fillId="0" borderId="0" xfId="0" applyNumberFormat="1" applyFont="1" applyFill="1" applyBorder="1" applyAlignment="1">
      <alignment vertical="center"/>
    </xf>
    <xf numFmtId="263" fontId="27" fillId="0" borderId="0" xfId="0" applyNumberFormat="1" applyFont="1" applyFill="1" applyBorder="1" applyAlignment="1">
      <alignment vertical="center"/>
    </xf>
    <xf numFmtId="302" fontId="27" fillId="0" borderId="0" xfId="0" applyNumberFormat="1" applyFont="1" applyFill="1" applyBorder="1" applyAlignment="1">
      <alignment vertical="center"/>
    </xf>
    <xf numFmtId="248" fontId="36" fillId="0" borderId="82" xfId="17" applyNumberFormat="1" applyFont="1" applyFill="1" applyBorder="1" applyAlignment="1">
      <alignment vertical="center" shrinkToFit="1"/>
    </xf>
    <xf numFmtId="248" fontId="36" fillId="0" borderId="48" xfId="17" applyNumberFormat="1" applyFont="1" applyFill="1" applyBorder="1" applyAlignment="1">
      <alignment vertical="center" shrinkToFit="1"/>
    </xf>
    <xf numFmtId="248" fontId="36" fillId="0" borderId="83" xfId="0" applyNumberFormat="1" applyFont="1" applyFill="1" applyBorder="1" applyAlignment="1">
      <alignment horizontal="right" vertical="center"/>
    </xf>
    <xf numFmtId="248" fontId="44" fillId="0" borderId="84" xfId="0" applyNumberFormat="1" applyFont="1" applyFill="1" applyBorder="1" applyAlignment="1">
      <alignment horizontal="right" vertical="center"/>
    </xf>
    <xf numFmtId="191" fontId="36" fillId="0" borderId="85" xfId="0" applyNumberFormat="1" applyFont="1" applyFill="1" applyBorder="1" applyAlignment="1">
      <alignment horizontal="right" vertical="center"/>
    </xf>
    <xf numFmtId="248" fontId="44" fillId="0" borderId="86" xfId="0" applyNumberFormat="1" applyFont="1" applyFill="1" applyBorder="1" applyAlignment="1">
      <alignment horizontal="right" vertical="center"/>
    </xf>
    <xf numFmtId="248" fontId="44" fillId="0" borderId="87" xfId="0" applyNumberFormat="1" applyFont="1" applyFill="1" applyBorder="1" applyAlignment="1">
      <alignment horizontal="right" vertical="center"/>
    </xf>
    <xf numFmtId="248" fontId="44" fillId="0" borderId="88" xfId="0" applyNumberFormat="1" applyFont="1" applyFill="1" applyBorder="1" applyAlignment="1">
      <alignment horizontal="right" vertical="center"/>
    </xf>
    <xf numFmtId="0" fontId="36" fillId="0" borderId="2" xfId="0" applyFont="1" applyBorder="1" applyAlignment="1">
      <alignment vertical="center"/>
    </xf>
    <xf numFmtId="0" fontId="36" fillId="0" borderId="89" xfId="0" applyFont="1" applyBorder="1" applyAlignment="1">
      <alignment horizontal="center" vertical="center"/>
    </xf>
    <xf numFmtId="2" fontId="36" fillId="0" borderId="0" xfId="0" applyNumberFormat="1" applyFont="1" applyBorder="1" applyAlignment="1">
      <alignment vertical="center"/>
    </xf>
    <xf numFmtId="0" fontId="36" fillId="0" borderId="30" xfId="0" applyFont="1" applyBorder="1" applyAlignment="1">
      <alignment vertical="center"/>
    </xf>
    <xf numFmtId="0" fontId="36" fillId="0" borderId="2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9" fontId="36" fillId="0" borderId="0" xfId="0" applyNumberFormat="1" applyFont="1" applyBorder="1" applyAlignment="1">
      <alignment vertical="center"/>
    </xf>
    <xf numFmtId="0" fontId="36" fillId="0" borderId="30" xfId="0" applyFont="1" applyBorder="1" applyAlignment="1">
      <alignment horizontal="center" vertical="center"/>
    </xf>
    <xf numFmtId="181" fontId="36" fillId="0" borderId="30" xfId="0" applyNumberFormat="1" applyFont="1" applyBorder="1" applyAlignment="1">
      <alignment horizontal="right" vertical="center"/>
    </xf>
    <xf numFmtId="177" fontId="44" fillId="0" borderId="0" xfId="0" applyNumberFormat="1" applyFont="1" applyBorder="1" applyAlignment="1">
      <alignment vertical="center"/>
    </xf>
    <xf numFmtId="177" fontId="42" fillId="0" borderId="32" xfId="0" applyNumberFormat="1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180" fontId="36" fillId="0" borderId="0" xfId="0" quotePrefix="1" applyNumberFormat="1" applyFont="1" applyBorder="1" applyAlignment="1">
      <alignment horizontal="right" vertical="center"/>
    </xf>
    <xf numFmtId="180" fontId="36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181" fontId="36" fillId="0" borderId="57" xfId="0" applyNumberFormat="1" applyFont="1" applyBorder="1" applyAlignment="1">
      <alignment horizontal="right" vertical="center"/>
    </xf>
    <xf numFmtId="177" fontId="44" fillId="0" borderId="33" xfId="0" applyNumberFormat="1" applyFont="1" applyBorder="1" applyAlignment="1">
      <alignment vertical="center"/>
    </xf>
    <xf numFmtId="177" fontId="42" fillId="0" borderId="81" xfId="0" applyNumberFormat="1" applyFont="1" applyBorder="1" applyAlignment="1">
      <alignment vertical="center"/>
    </xf>
    <xf numFmtId="182" fontId="43" fillId="0" borderId="0" xfId="0" applyNumberFormat="1" applyFont="1" applyBorder="1" applyAlignment="1">
      <alignment horizontal="right" vertical="center" shrinkToFit="1"/>
    </xf>
    <xf numFmtId="177" fontId="41" fillId="0" borderId="0" xfId="0" applyNumberFormat="1" applyFont="1" applyBorder="1" applyAlignment="1">
      <alignment vertical="center"/>
    </xf>
    <xf numFmtId="10" fontId="45" fillId="0" borderId="0" xfId="0" applyNumberFormat="1" applyFont="1" applyBorder="1" applyAlignment="1">
      <alignment vertical="center"/>
    </xf>
    <xf numFmtId="177" fontId="46" fillId="0" borderId="0" xfId="0" applyNumberFormat="1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80" xfId="0" applyFont="1" applyBorder="1" applyAlignment="1">
      <alignment horizontal="left" vertical="center"/>
    </xf>
    <xf numFmtId="183" fontId="42" fillId="0" borderId="0" xfId="0" applyNumberFormat="1" applyFont="1" applyBorder="1" applyAlignment="1">
      <alignment horizontal="center" vertical="center"/>
    </xf>
    <xf numFmtId="181" fontId="36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Border="1" applyAlignment="1">
      <alignment horizontal="left" vertical="center"/>
    </xf>
    <xf numFmtId="177" fontId="41" fillId="8" borderId="0" xfId="0" applyNumberFormat="1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center" vertical="center"/>
    </xf>
    <xf numFmtId="176" fontId="36" fillId="0" borderId="0" xfId="0" applyNumberFormat="1" applyFont="1" applyBorder="1" applyAlignment="1">
      <alignment horizontal="right" vertical="center"/>
    </xf>
    <xf numFmtId="9" fontId="44" fillId="0" borderId="0" xfId="0" applyNumberFormat="1" applyFont="1" applyBorder="1" applyAlignment="1">
      <alignment vertical="center"/>
    </xf>
    <xf numFmtId="177" fontId="45" fillId="5" borderId="0" xfId="0" applyNumberFormat="1" applyFont="1" applyFill="1" applyBorder="1" applyAlignment="1">
      <alignment vertical="center"/>
    </xf>
    <xf numFmtId="10" fontId="36" fillId="0" borderId="0" xfId="0" applyNumberFormat="1" applyFont="1" applyBorder="1" applyAlignment="1">
      <alignment vertical="center"/>
    </xf>
    <xf numFmtId="0" fontId="36" fillId="0" borderId="0" xfId="0" applyNumberFormat="1" applyFont="1" applyBorder="1" applyAlignment="1">
      <alignment vertical="center"/>
    </xf>
    <xf numFmtId="182" fontId="36" fillId="0" borderId="0" xfId="0" applyNumberFormat="1" applyFont="1" applyBorder="1" applyAlignment="1">
      <alignment vertical="center"/>
    </xf>
    <xf numFmtId="183" fontId="36" fillId="0" borderId="0" xfId="0" applyNumberFormat="1" applyFont="1" applyBorder="1" applyAlignment="1">
      <alignment vertical="center"/>
    </xf>
    <xf numFmtId="181" fontId="41" fillId="0" borderId="0" xfId="0" applyNumberFormat="1" applyFont="1" applyBorder="1" applyAlignment="1">
      <alignment vertical="center"/>
    </xf>
    <xf numFmtId="1" fontId="36" fillId="0" borderId="0" xfId="0" applyNumberFormat="1" applyFont="1" applyBorder="1" applyAlignment="1">
      <alignment vertical="center"/>
    </xf>
    <xf numFmtId="4" fontId="27" fillId="0" borderId="0" xfId="0" applyNumberFormat="1" applyFont="1" applyFill="1" applyBorder="1" applyAlignment="1">
      <alignment horizontal="center" vertical="center"/>
    </xf>
    <xf numFmtId="185" fontId="36" fillId="0" borderId="46" xfId="17" applyNumberFormat="1" applyFont="1" applyFill="1" applyBorder="1" applyAlignment="1">
      <alignment vertical="center" shrinkToFit="1"/>
    </xf>
    <xf numFmtId="0" fontId="27" fillId="9" borderId="0" xfId="0" applyFont="1" applyFill="1" applyAlignment="1">
      <alignment horizontal="center" vertical="center"/>
    </xf>
    <xf numFmtId="0" fontId="27" fillId="9" borderId="0" xfId="0" applyFont="1" applyFill="1" applyAlignment="1">
      <alignment vertical="center"/>
    </xf>
    <xf numFmtId="0" fontId="27" fillId="9" borderId="0" xfId="0" applyFont="1" applyFill="1" applyBorder="1" applyAlignment="1">
      <alignment horizontal="left" vertical="center"/>
    </xf>
    <xf numFmtId="194" fontId="27" fillId="9" borderId="0" xfId="0" applyNumberFormat="1" applyFont="1" applyFill="1" applyBorder="1" applyAlignment="1">
      <alignment horizontal="center" vertical="center"/>
    </xf>
    <xf numFmtId="0" fontId="49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9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194" fontId="49" fillId="9" borderId="0" xfId="0" applyNumberFormat="1" applyFont="1" applyFill="1" applyBorder="1" applyAlignment="1">
      <alignment horizontal="center" vertical="center"/>
    </xf>
    <xf numFmtId="212" fontId="49" fillId="9" borderId="0" xfId="0" applyNumberFormat="1" applyFont="1" applyFill="1" applyBorder="1" applyAlignment="1">
      <alignment horizontal="center" vertical="center"/>
    </xf>
    <xf numFmtId="212" fontId="49" fillId="9" borderId="0" xfId="0" quotePrefix="1" applyNumberFormat="1" applyFont="1" applyFill="1" applyBorder="1" applyAlignment="1">
      <alignment horizontal="center" vertical="center"/>
    </xf>
    <xf numFmtId="213" fontId="49" fillId="9" borderId="0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2" fontId="4" fillId="9" borderId="0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left" vertical="center"/>
    </xf>
    <xf numFmtId="1" fontId="27" fillId="9" borderId="0" xfId="0" applyNumberFormat="1" applyFont="1" applyFill="1" applyBorder="1" applyAlignment="1">
      <alignment horizontal="left" vertical="center"/>
    </xf>
    <xf numFmtId="2" fontId="27" fillId="9" borderId="0" xfId="0" applyNumberFormat="1" applyFont="1" applyFill="1" applyBorder="1" applyAlignment="1">
      <alignment horizontal="left" vertical="center"/>
    </xf>
    <xf numFmtId="176" fontId="27" fillId="0" borderId="0" xfId="0" applyNumberFormat="1" applyFont="1" applyFill="1" applyBorder="1" applyAlignment="1">
      <alignment vertical="center"/>
    </xf>
    <xf numFmtId="209" fontId="27" fillId="0" borderId="0" xfId="0" applyNumberFormat="1" applyFont="1" applyFill="1" applyBorder="1" applyAlignment="1">
      <alignment horizontal="left" vertical="center"/>
    </xf>
    <xf numFmtId="0" fontId="36" fillId="0" borderId="3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181" fontId="36" fillId="0" borderId="46" xfId="0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horizontal="right" vertical="center"/>
    </xf>
    <xf numFmtId="181" fontId="36" fillId="0" borderId="64" xfId="0" applyNumberFormat="1" applyFont="1" applyFill="1" applyBorder="1" applyAlignment="1">
      <alignment vertical="center"/>
    </xf>
    <xf numFmtId="191" fontId="41" fillId="0" borderId="34" xfId="0" applyNumberFormat="1" applyFont="1" applyFill="1" applyBorder="1" applyAlignment="1">
      <alignment vertical="center"/>
    </xf>
    <xf numFmtId="306" fontId="41" fillId="0" borderId="34" xfId="0" applyNumberFormat="1" applyFont="1" applyFill="1" applyBorder="1" applyAlignment="1">
      <alignment vertical="center"/>
    </xf>
    <xf numFmtId="191" fontId="41" fillId="0" borderId="37" xfId="0" applyNumberFormat="1" applyFont="1" applyFill="1" applyBorder="1" applyAlignment="1">
      <alignment vertical="center"/>
    </xf>
    <xf numFmtId="0" fontId="36" fillId="0" borderId="6" xfId="0" applyFont="1" applyFill="1" applyBorder="1" applyAlignment="1">
      <alignment horizontal="center" vertical="center"/>
    </xf>
    <xf numFmtId="184" fontId="43" fillId="0" borderId="0" xfId="17" applyNumberFormat="1" applyFont="1" applyFill="1" applyBorder="1" applyAlignment="1">
      <alignment horizontal="center" vertical="center" shrinkToFit="1"/>
    </xf>
    <xf numFmtId="252" fontId="43" fillId="0" borderId="91" xfId="0" applyNumberFormat="1" applyFont="1" applyFill="1" applyBorder="1" applyAlignment="1">
      <alignment vertical="center"/>
    </xf>
    <xf numFmtId="252" fontId="43" fillId="0" borderId="48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27" fillId="0" borderId="0" xfId="0" quotePrefix="1" applyFont="1" applyFill="1" applyBorder="1" applyAlignment="1">
      <alignment vertical="center"/>
    </xf>
    <xf numFmtId="263" fontId="27" fillId="0" borderId="0" xfId="0" quotePrefix="1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vertical="center"/>
    </xf>
    <xf numFmtId="223" fontId="27" fillId="0" borderId="0" xfId="0" applyNumberFormat="1" applyFont="1" applyFill="1" applyBorder="1" applyAlignment="1">
      <alignment vertical="center"/>
    </xf>
    <xf numFmtId="0" fontId="36" fillId="0" borderId="92" xfId="0" applyFont="1" applyFill="1" applyBorder="1" applyAlignment="1">
      <alignment horizontal="center" vertical="center"/>
    </xf>
    <xf numFmtId="191" fontId="36" fillId="0" borderId="37" xfId="0" applyNumberFormat="1" applyFont="1" applyFill="1" applyBorder="1" applyAlignment="1">
      <alignment vertical="center"/>
    </xf>
    <xf numFmtId="191" fontId="36" fillId="0" borderId="34" xfId="0" applyNumberFormat="1" applyFont="1" applyFill="1" applyBorder="1" applyAlignment="1">
      <alignment vertical="center"/>
    </xf>
    <xf numFmtId="306" fontId="36" fillId="0" borderId="34" xfId="0" applyNumberFormat="1" applyFont="1" applyFill="1" applyBorder="1" applyAlignment="1">
      <alignment vertical="center"/>
    </xf>
    <xf numFmtId="306" fontId="36" fillId="0" borderId="93" xfId="0" applyNumberFormat="1" applyFont="1" applyFill="1" applyBorder="1" applyAlignment="1">
      <alignment vertical="center"/>
    </xf>
    <xf numFmtId="0" fontId="27" fillId="0" borderId="30" xfId="0" applyFont="1" applyBorder="1" applyAlignment="1">
      <alignment horizontal="right" vertical="center"/>
    </xf>
    <xf numFmtId="9" fontId="27" fillId="0" borderId="0" xfId="0" applyNumberFormat="1" applyFont="1" applyBorder="1" applyAlignment="1">
      <alignment horizontal="center" vertical="center"/>
    </xf>
    <xf numFmtId="262" fontId="60" fillId="0" borderId="0" xfId="0" applyNumberFormat="1" applyFont="1" applyFill="1" applyBorder="1" applyAlignment="1">
      <alignment horizontal="center" vertical="center"/>
    </xf>
    <xf numFmtId="262" fontId="60" fillId="0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263" fontId="82" fillId="0" borderId="0" xfId="0" applyNumberFormat="1" applyFont="1" applyFill="1" applyBorder="1" applyAlignment="1">
      <alignment vertical="center"/>
    </xf>
    <xf numFmtId="180" fontId="27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263" fontId="8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252" fontId="27" fillId="10" borderId="0" xfId="0" applyNumberFormat="1" applyFont="1" applyFill="1" applyBorder="1" applyAlignment="1">
      <alignment horizontal="center" vertical="center"/>
    </xf>
    <xf numFmtId="252" fontId="81" fillId="10" borderId="0" xfId="0" applyNumberFormat="1" applyFont="1" applyFill="1" applyBorder="1" applyAlignment="1">
      <alignment horizontal="center" vertical="center"/>
    </xf>
    <xf numFmtId="252" fontId="84" fillId="0" borderId="31" xfId="0" applyNumberFormat="1" applyFont="1" applyFill="1" applyBorder="1" applyAlignment="1">
      <alignment vertical="center"/>
    </xf>
    <xf numFmtId="263" fontId="84" fillId="0" borderId="32" xfId="0" applyNumberFormat="1" applyFont="1" applyFill="1" applyBorder="1" applyAlignment="1">
      <alignment vertical="center"/>
    </xf>
    <xf numFmtId="183" fontId="43" fillId="0" borderId="95" xfId="11" applyNumberFormat="1" applyFont="1" applyFill="1" applyBorder="1" applyAlignment="1">
      <alignment horizontal="center" vertical="center" shrinkToFit="1"/>
    </xf>
    <xf numFmtId="183" fontId="43" fillId="0" borderId="96" xfId="11" applyNumberFormat="1" applyFont="1" applyFill="1" applyBorder="1" applyAlignment="1">
      <alignment horizontal="center" vertical="center" shrinkToFit="1"/>
    </xf>
    <xf numFmtId="183" fontId="43" fillId="0" borderId="69" xfId="11" applyNumberFormat="1" applyFont="1" applyFill="1" applyBorder="1" applyAlignment="1">
      <alignment horizontal="center" vertical="center" shrinkToFit="1"/>
    </xf>
    <xf numFmtId="0" fontId="27" fillId="0" borderId="0" xfId="0" quotePrefix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indent="2"/>
    </xf>
    <xf numFmtId="0" fontId="27" fillId="0" borderId="0" xfId="17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177" fontId="33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307" fontId="27" fillId="0" borderId="0" xfId="0" applyNumberFormat="1" applyFont="1" applyFill="1" applyBorder="1" applyAlignment="1">
      <alignment horizontal="center" vertical="center"/>
    </xf>
    <xf numFmtId="183" fontId="44" fillId="0" borderId="0" xfId="0" applyNumberFormat="1" applyFont="1" applyBorder="1" applyAlignment="1">
      <alignment vertical="center"/>
    </xf>
    <xf numFmtId="183" fontId="44" fillId="0" borderId="33" xfId="0" applyNumberFormat="1" applyFont="1" applyBorder="1" applyAlignment="1">
      <alignment vertical="center"/>
    </xf>
    <xf numFmtId="181" fontId="43" fillId="0" borderId="48" xfId="0" applyNumberFormat="1" applyFont="1" applyFill="1" applyBorder="1" applyAlignment="1">
      <alignment vertical="center"/>
    </xf>
    <xf numFmtId="278" fontId="27" fillId="0" borderId="0" xfId="0" applyNumberFormat="1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center" vertical="center"/>
    </xf>
    <xf numFmtId="0" fontId="40" fillId="0" borderId="97" xfId="0" applyFont="1" applyFill="1" applyBorder="1" applyAlignment="1">
      <alignment vertical="center"/>
    </xf>
    <xf numFmtId="0" fontId="36" fillId="0" borderId="98" xfId="0" applyFont="1" applyFill="1" applyBorder="1" applyAlignment="1">
      <alignment vertical="center"/>
    </xf>
    <xf numFmtId="0" fontId="36" fillId="0" borderId="92" xfId="0" applyFont="1" applyFill="1" applyBorder="1" applyAlignment="1">
      <alignment vertical="center"/>
    </xf>
    <xf numFmtId="0" fontId="36" fillId="0" borderId="65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shrinkToFit="1"/>
    </xf>
    <xf numFmtId="0" fontId="36" fillId="0" borderId="66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0" xfId="0" applyFont="1" applyBorder="1" applyAlignment="1">
      <alignment horizontal="right"/>
    </xf>
    <xf numFmtId="0" fontId="13" fillId="0" borderId="30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/>
    </xf>
    <xf numFmtId="0" fontId="2" fillId="0" borderId="33" xfId="0" applyFont="1" applyBorder="1" applyAlignment="1">
      <alignment horizontal="right"/>
    </xf>
    <xf numFmtId="2" fontId="44" fillId="0" borderId="29" xfId="0" applyNumberFormat="1" applyFont="1" applyFill="1" applyBorder="1" applyAlignment="1">
      <alignment vertical="center"/>
    </xf>
    <xf numFmtId="0" fontId="40" fillId="0" borderId="27" xfId="0" applyFont="1" applyBorder="1" applyAlignment="1">
      <alignment horizontal="center" vertical="center"/>
    </xf>
    <xf numFmtId="248" fontId="41" fillId="0" borderId="46" xfId="0" applyNumberFormat="1" applyFont="1" applyBorder="1" applyAlignment="1">
      <alignment vertical="center"/>
    </xf>
    <xf numFmtId="0" fontId="36" fillId="0" borderId="35" xfId="0" applyFont="1" applyBorder="1" applyAlignment="1">
      <alignment horizontal="right" vertical="center"/>
    </xf>
    <xf numFmtId="0" fontId="36" fillId="0" borderId="98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183" fontId="41" fillId="0" borderId="101" xfId="11" applyNumberFormat="1" applyFont="1" applyBorder="1" applyAlignment="1">
      <alignment horizontal="right" vertical="center"/>
    </xf>
    <xf numFmtId="183" fontId="41" fillId="0" borderId="70" xfId="11" applyNumberFormat="1" applyFont="1" applyBorder="1" applyAlignment="1">
      <alignment horizontal="right" vertical="center"/>
    </xf>
    <xf numFmtId="248" fontId="36" fillId="0" borderId="102" xfId="17" applyNumberFormat="1" applyFont="1" applyFill="1" applyBorder="1" applyAlignment="1">
      <alignment vertical="center" shrinkToFit="1"/>
    </xf>
    <xf numFmtId="212" fontId="27" fillId="0" borderId="0" xfId="0" applyNumberFormat="1" applyFont="1" applyFill="1" applyBorder="1" applyAlignment="1">
      <alignment horizontal="center" vertical="center"/>
    </xf>
    <xf numFmtId="213" fontId="27" fillId="0" borderId="0" xfId="0" applyNumberFormat="1" applyFont="1" applyFill="1" applyBorder="1" applyAlignment="1">
      <alignment horizontal="center" vertical="center"/>
    </xf>
    <xf numFmtId="248" fontId="36" fillId="0" borderId="49" xfId="0" applyNumberFormat="1" applyFont="1" applyFill="1" applyBorder="1" applyAlignment="1">
      <alignment vertical="center"/>
    </xf>
    <xf numFmtId="248" fontId="84" fillId="0" borderId="48" xfId="0" applyNumberFormat="1" applyFont="1" applyFill="1" applyBorder="1" applyAlignment="1">
      <alignment vertical="center"/>
    </xf>
    <xf numFmtId="248" fontId="84" fillId="0" borderId="100" xfId="0" applyNumberFormat="1" applyFont="1" applyFill="1" applyBorder="1" applyAlignment="1">
      <alignment vertical="center"/>
    </xf>
    <xf numFmtId="0" fontId="84" fillId="0" borderId="0" xfId="30" applyFont="1" applyFill="1" applyBorder="1" applyAlignment="1">
      <alignment horizontal="left" vertical="center"/>
    </xf>
    <xf numFmtId="0" fontId="84" fillId="0" borderId="0" xfId="0" applyFont="1" applyFill="1" applyBorder="1" applyAlignment="1">
      <alignment vertical="center"/>
    </xf>
    <xf numFmtId="183" fontId="84" fillId="0" borderId="0" xfId="11" applyNumberFormat="1" applyFont="1" applyFill="1" applyBorder="1" applyAlignment="1">
      <alignment vertical="center"/>
    </xf>
    <xf numFmtId="0" fontId="85" fillId="0" borderId="28" xfId="30" applyFont="1" applyFill="1" applyBorder="1" applyAlignment="1">
      <alignment horizontal="left" vertical="center"/>
    </xf>
    <xf numFmtId="0" fontId="85" fillId="0" borderId="0" xfId="30" applyFont="1" applyFill="1" applyBorder="1" applyAlignment="1">
      <alignment horizontal="left" vertical="center"/>
    </xf>
    <xf numFmtId="0" fontId="85" fillId="0" borderId="0" xfId="0" applyFont="1" applyFill="1" applyBorder="1" applyAlignment="1">
      <alignment vertical="center"/>
    </xf>
    <xf numFmtId="183" fontId="85" fillId="0" borderId="0" xfId="11" applyNumberFormat="1" applyFont="1" applyFill="1" applyBorder="1" applyAlignment="1">
      <alignment vertical="center"/>
    </xf>
    <xf numFmtId="183" fontId="84" fillId="0" borderId="0" xfId="0" applyNumberFormat="1" applyFont="1" applyFill="1" applyBorder="1" applyAlignment="1">
      <alignment horizontal="center" vertical="center"/>
    </xf>
    <xf numFmtId="248" fontId="84" fillId="0" borderId="84" xfId="0" applyNumberFormat="1" applyFont="1" applyFill="1" applyBorder="1" applyAlignment="1">
      <alignment horizontal="right" vertical="center"/>
    </xf>
    <xf numFmtId="0" fontId="42" fillId="0" borderId="29" xfId="0" applyFont="1" applyBorder="1" applyAlignment="1">
      <alignment horizontal="center" vertical="center"/>
    </xf>
    <xf numFmtId="183" fontId="86" fillId="0" borderId="0" xfId="0" applyNumberFormat="1" applyFont="1" applyBorder="1" applyAlignment="1">
      <alignment vertical="center"/>
    </xf>
    <xf numFmtId="0" fontId="36" fillId="0" borderId="27" xfId="0" applyFont="1" applyFill="1" applyBorder="1" applyAlignment="1">
      <alignment horizontal="center" vertical="center"/>
    </xf>
    <xf numFmtId="183" fontId="84" fillId="0" borderId="35" xfId="11" applyNumberFormat="1" applyFont="1" applyFill="1" applyBorder="1" applyAlignment="1">
      <alignment horizontal="center" vertical="center"/>
    </xf>
    <xf numFmtId="0" fontId="64" fillId="0" borderId="103" xfId="0" applyFont="1" applyBorder="1"/>
    <xf numFmtId="0" fontId="2" fillId="0" borderId="90" xfId="0" applyFont="1" applyBorder="1"/>
    <xf numFmtId="0" fontId="2" fillId="0" borderId="104" xfId="0" applyFont="1" applyBorder="1"/>
    <xf numFmtId="0" fontId="2" fillId="0" borderId="78" xfId="0" applyFont="1" applyBorder="1"/>
    <xf numFmtId="0" fontId="65" fillId="0" borderId="79" xfId="0" applyFont="1" applyFill="1" applyBorder="1" applyAlignment="1">
      <alignment horizontal="center" vertical="center"/>
    </xf>
    <xf numFmtId="0" fontId="65" fillId="0" borderId="78" xfId="0" applyFont="1" applyFill="1" applyBorder="1" applyAlignment="1">
      <alignment vertical="center"/>
    </xf>
    <xf numFmtId="0" fontId="36" fillId="0" borderId="78" xfId="0" applyFont="1" applyFill="1" applyBorder="1" applyAlignment="1">
      <alignment horizontal="center" vertical="center"/>
    </xf>
    <xf numFmtId="0" fontId="36" fillId="0" borderId="79" xfId="0" applyFont="1" applyFill="1" applyBorder="1" applyAlignment="1">
      <alignment vertical="center"/>
    </xf>
    <xf numFmtId="0" fontId="36" fillId="0" borderId="78" xfId="0" applyFont="1" applyFill="1" applyBorder="1" applyAlignment="1">
      <alignment vertical="center"/>
    </xf>
    <xf numFmtId="0" fontId="36" fillId="0" borderId="79" xfId="0" applyFont="1" applyFill="1" applyBorder="1" applyAlignment="1">
      <alignment horizontal="right" vertical="center"/>
    </xf>
    <xf numFmtId="176" fontId="36" fillId="0" borderId="79" xfId="0" applyNumberFormat="1" applyFont="1" applyBorder="1" applyAlignment="1">
      <alignment vertical="center"/>
    </xf>
    <xf numFmtId="41" fontId="43" fillId="0" borderId="79" xfId="17" applyFont="1" applyFill="1" applyBorder="1" applyAlignment="1">
      <alignment horizontal="center" vertical="center" shrinkToFit="1"/>
    </xf>
    <xf numFmtId="0" fontId="40" fillId="0" borderId="79" xfId="0" applyFont="1" applyFill="1" applyBorder="1" applyAlignment="1">
      <alignment horizontal="center" vertical="center"/>
    </xf>
    <xf numFmtId="0" fontId="36" fillId="0" borderId="79" xfId="0" applyFont="1" applyFill="1" applyBorder="1" applyAlignment="1">
      <alignment horizontal="center" vertical="center"/>
    </xf>
    <xf numFmtId="183" fontId="43" fillId="0" borderId="79" xfId="11" applyNumberFormat="1" applyFont="1" applyFill="1" applyBorder="1" applyAlignment="1">
      <alignment horizontal="center" vertical="center"/>
    </xf>
    <xf numFmtId="249" fontId="36" fillId="0" borderId="78" xfId="17" applyNumberFormat="1" applyFont="1" applyFill="1" applyBorder="1" applyAlignment="1">
      <alignment vertical="center"/>
    </xf>
    <xf numFmtId="0" fontId="36" fillId="0" borderId="23" xfId="0" applyFont="1" applyFill="1" applyBorder="1" applyAlignment="1">
      <alignment vertical="center"/>
    </xf>
    <xf numFmtId="181" fontId="36" fillId="0" borderId="24" xfId="0" applyNumberFormat="1" applyFont="1" applyFill="1" applyBorder="1" applyAlignment="1">
      <alignment horizontal="right" vertical="center"/>
    </xf>
    <xf numFmtId="183" fontId="42" fillId="0" borderId="24" xfId="0" applyNumberFormat="1" applyFont="1" applyFill="1" applyBorder="1" applyAlignment="1">
      <alignment horizontal="center" vertical="center"/>
    </xf>
    <xf numFmtId="252" fontId="36" fillId="0" borderId="105" xfId="17" applyNumberFormat="1" applyFont="1" applyFill="1" applyBorder="1" applyAlignment="1">
      <alignment vertical="center" shrinkToFit="1"/>
    </xf>
    <xf numFmtId="0" fontId="18" fillId="9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177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distributed" vertical="center"/>
    </xf>
    <xf numFmtId="9" fontId="27" fillId="9" borderId="0" xfId="0" applyNumberFormat="1" applyFont="1" applyFill="1" applyAlignment="1">
      <alignment vertical="center"/>
    </xf>
    <xf numFmtId="177" fontId="33" fillId="9" borderId="0" xfId="0" applyNumberFormat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27" fillId="9" borderId="0" xfId="0" applyNumberFormat="1" applyFont="1" applyFill="1" applyAlignment="1">
      <alignment vertical="center"/>
    </xf>
    <xf numFmtId="227" fontId="37" fillId="0" borderId="0" xfId="0" applyNumberFormat="1" applyFont="1" applyFill="1" applyAlignment="1">
      <alignment horizontal="center" vertical="center"/>
    </xf>
    <xf numFmtId="227" fontId="37" fillId="0" borderId="0" xfId="0" applyNumberFormat="1" applyFont="1" applyFill="1" applyAlignment="1">
      <alignment horizontal="left" vertical="center"/>
    </xf>
    <xf numFmtId="233" fontId="27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229" fontId="27" fillId="0" borderId="0" xfId="0" applyNumberFormat="1" applyFont="1" applyFill="1" applyBorder="1" applyAlignment="1">
      <alignment horizontal="center" vertical="center"/>
    </xf>
    <xf numFmtId="230" fontId="33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27" fillId="9" borderId="0" xfId="0" applyFont="1" applyFill="1" applyBorder="1" applyAlignment="1">
      <alignment horizontal="center" vertical="center"/>
    </xf>
    <xf numFmtId="191" fontId="27" fillId="9" borderId="0" xfId="17" applyNumberFormat="1" applyFont="1" applyFill="1" applyBorder="1" applyAlignment="1">
      <alignment horizontal="right" vertical="center"/>
    </xf>
    <xf numFmtId="191" fontId="27" fillId="9" borderId="0" xfId="0" applyNumberFormat="1" applyFont="1" applyFill="1" applyBorder="1" applyAlignment="1">
      <alignment horizontal="right" vertical="center"/>
    </xf>
    <xf numFmtId="10" fontId="18" fillId="9" borderId="0" xfId="0" applyNumberFormat="1" applyFont="1" applyFill="1" applyBorder="1" applyAlignment="1">
      <alignment horizontal="righ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27" fillId="0" borderId="0" xfId="0" quotePrefix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vertical="center"/>
    </xf>
    <xf numFmtId="0" fontId="70" fillId="0" borderId="33" xfId="0" applyFont="1" applyFill="1" applyBorder="1" applyAlignment="1">
      <alignment vertical="center"/>
    </xf>
    <xf numFmtId="0" fontId="27" fillId="0" borderId="33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 wrapText="1"/>
    </xf>
    <xf numFmtId="0" fontId="70" fillId="0" borderId="28" xfId="0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left" vertical="center"/>
    </xf>
    <xf numFmtId="176" fontId="33" fillId="0" borderId="0" xfId="0" applyNumberFormat="1" applyFont="1" applyFill="1" applyBorder="1" applyAlignment="1">
      <alignment horizontal="center" vertical="center"/>
    </xf>
    <xf numFmtId="253" fontId="27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70" fillId="0" borderId="0" xfId="0" applyFont="1" applyFill="1" applyBorder="1" applyAlignment="1">
      <alignment horizontal="justify"/>
    </xf>
    <xf numFmtId="0" fontId="71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9" fontId="33" fillId="0" borderId="0" xfId="0" applyNumberFormat="1" applyFont="1" applyFill="1" applyBorder="1" applyAlignment="1">
      <alignment horizontal="center" vertical="center"/>
    </xf>
    <xf numFmtId="257" fontId="33" fillId="0" borderId="0" xfId="0" applyNumberFormat="1" applyFont="1" applyFill="1" applyBorder="1" applyAlignment="1">
      <alignment horizontal="center" vertical="center"/>
    </xf>
    <xf numFmtId="0" fontId="32" fillId="9" borderId="30" xfId="0" applyFont="1" applyFill="1" applyBorder="1" applyAlignment="1">
      <alignment horizontal="left" vertical="center"/>
    </xf>
    <xf numFmtId="0" fontId="27" fillId="9" borderId="0" xfId="0" applyFont="1" applyFill="1" applyBorder="1" applyAlignment="1">
      <alignment vertical="center"/>
    </xf>
    <xf numFmtId="0" fontId="33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87" fillId="0" borderId="0" xfId="0" applyFont="1" applyFill="1" applyAlignment="1">
      <alignment vertical="center"/>
    </xf>
    <xf numFmtId="9" fontId="18" fillId="0" borderId="0" xfId="1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27" applyFont="1" applyAlignment="1">
      <alignment horizontal="right" vertical="center"/>
    </xf>
    <xf numFmtId="0" fontId="18" fillId="0" borderId="0" xfId="27" applyFont="1" applyAlignment="1">
      <alignment vertical="center"/>
    </xf>
    <xf numFmtId="269" fontId="77" fillId="0" borderId="0" xfId="27" applyNumberFormat="1" applyFont="1" applyAlignment="1">
      <alignment vertical="center"/>
    </xf>
    <xf numFmtId="269" fontId="2" fillId="0" borderId="0" xfId="27" applyNumberFormat="1" applyFont="1" applyAlignment="1">
      <alignment vertical="center"/>
    </xf>
    <xf numFmtId="227" fontId="77" fillId="0" borderId="0" xfId="27" applyNumberFormat="1" applyFont="1" applyAlignment="1">
      <alignment horizontal="left" vertical="center"/>
    </xf>
    <xf numFmtId="0" fontId="32" fillId="0" borderId="0" xfId="0" applyFont="1" applyFill="1" applyAlignment="1">
      <alignment horizontal="left" vertical="center" indent="1"/>
    </xf>
    <xf numFmtId="9" fontId="27" fillId="0" borderId="0" xfId="11" applyFont="1" applyFill="1" applyAlignment="1">
      <alignment horizontal="center" vertical="center"/>
    </xf>
    <xf numFmtId="0" fontId="32" fillId="9" borderId="0" xfId="0" applyFont="1" applyFill="1" applyAlignment="1">
      <alignment horizontal="left" vertical="center" indent="1"/>
    </xf>
    <xf numFmtId="0" fontId="61" fillId="9" borderId="0" xfId="0" applyFont="1" applyFill="1" applyAlignment="1">
      <alignment horizontal="left" vertical="center" indent="1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left" vertical="center"/>
    </xf>
    <xf numFmtId="9" fontId="89" fillId="0" borderId="0" xfId="11" applyFont="1" applyAlignment="1">
      <alignment horizontal="center" vertical="center"/>
    </xf>
    <xf numFmtId="0" fontId="88" fillId="0" borderId="0" xfId="0" applyFont="1" applyAlignment="1">
      <alignment vertical="center"/>
    </xf>
    <xf numFmtId="0" fontId="70" fillId="0" borderId="0" xfId="0" applyFont="1" applyFill="1" applyAlignment="1">
      <alignment horizontal="center" vertical="center"/>
    </xf>
    <xf numFmtId="269" fontId="37" fillId="0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227" fontId="77" fillId="0" borderId="0" xfId="0" applyNumberFormat="1" applyFont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182" fontId="44" fillId="0" borderId="69" xfId="0" applyNumberFormat="1" applyFont="1" applyFill="1" applyBorder="1" applyAlignment="1">
      <alignment horizontal="center" vertical="center" shrinkToFit="1"/>
    </xf>
    <xf numFmtId="176" fontId="27" fillId="0" borderId="0" xfId="0" applyNumberFormat="1" applyFont="1" applyFill="1" applyAlignment="1">
      <alignment vertical="center"/>
    </xf>
    <xf numFmtId="0" fontId="90" fillId="0" borderId="0" xfId="0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36" fillId="0" borderId="106" xfId="0" applyFont="1" applyFill="1" applyBorder="1" applyAlignment="1">
      <alignment vertical="center"/>
    </xf>
    <xf numFmtId="212" fontId="18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286" fontId="27" fillId="0" borderId="0" xfId="0" applyNumberFormat="1" applyFont="1" applyFill="1" applyBorder="1" applyAlignment="1">
      <alignment horizontal="center" vertical="center"/>
    </xf>
    <xf numFmtId="238" fontId="27" fillId="0" borderId="0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43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9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horizontal="center" vertical="center"/>
    </xf>
    <xf numFmtId="213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321" fontId="27" fillId="0" borderId="0" xfId="0" applyNumberFormat="1" applyFont="1" applyFill="1" applyBorder="1" applyAlignment="1">
      <alignment horizontal="center" vertical="center"/>
    </xf>
    <xf numFmtId="0" fontId="36" fillId="0" borderId="133" xfId="0" applyFont="1" applyBorder="1" applyAlignment="1">
      <alignment vertical="center"/>
    </xf>
    <xf numFmtId="0" fontId="91" fillId="0" borderId="134" xfId="0" applyFont="1" applyBorder="1" applyAlignment="1">
      <alignment horizontal="center" vertical="center"/>
    </xf>
    <xf numFmtId="0" fontId="91" fillId="0" borderId="135" xfId="0" applyFont="1" applyBorder="1" applyAlignment="1">
      <alignment horizontal="center" vertical="center"/>
    </xf>
    <xf numFmtId="181" fontId="91" fillId="0" borderId="136" xfId="0" applyNumberFormat="1" applyFont="1" applyBorder="1" applyAlignment="1">
      <alignment horizontal="center" vertical="center"/>
    </xf>
    <xf numFmtId="181" fontId="91" fillId="0" borderId="30" xfId="0" applyNumberFormat="1" applyFont="1" applyBorder="1" applyAlignment="1">
      <alignment horizontal="right" vertical="center"/>
    </xf>
    <xf numFmtId="183" fontId="91" fillId="0" borderId="0" xfId="0" applyNumberFormat="1" applyFont="1" applyBorder="1" applyAlignment="1">
      <alignment horizontal="right" vertical="center"/>
    </xf>
    <xf numFmtId="176" fontId="91" fillId="0" borderId="0" xfId="0" applyNumberFormat="1" applyFont="1" applyBorder="1" applyAlignment="1">
      <alignment horizontal="right" vertical="center"/>
    </xf>
    <xf numFmtId="183" fontId="91" fillId="2" borderId="0" xfId="0" applyNumberFormat="1" applyFont="1" applyFill="1" applyBorder="1" applyAlignment="1">
      <alignment horizontal="right" vertical="center"/>
    </xf>
    <xf numFmtId="183" fontId="91" fillId="0" borderId="0" xfId="0" applyNumberFormat="1" applyFont="1" applyBorder="1" applyAlignment="1">
      <alignment horizontal="right" vertical="center" shrinkToFit="1"/>
    </xf>
    <xf numFmtId="0" fontId="36" fillId="0" borderId="137" xfId="0" applyFont="1" applyBorder="1" applyAlignment="1">
      <alignment horizontal="center" vertical="center"/>
    </xf>
    <xf numFmtId="181" fontId="36" fillId="0" borderId="138" xfId="0" applyNumberFormat="1" applyFont="1" applyBorder="1" applyAlignment="1">
      <alignment horizontal="right" vertical="center"/>
    </xf>
    <xf numFmtId="183" fontId="42" fillId="0" borderId="138" xfId="0" applyNumberFormat="1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181" fontId="91" fillId="0" borderId="32" xfId="0" applyNumberFormat="1" applyFont="1" applyBorder="1" applyAlignment="1">
      <alignment horizontal="right" vertical="center"/>
    </xf>
    <xf numFmtId="181" fontId="36" fillId="0" borderId="139" xfId="0" applyNumberFormat="1" applyFont="1" applyBorder="1" applyAlignment="1">
      <alignment vertical="center"/>
    </xf>
    <xf numFmtId="183" fontId="36" fillId="0" borderId="0" xfId="0" applyNumberFormat="1" applyFont="1" applyFill="1" applyBorder="1" applyAlignment="1">
      <alignment horizontal="right" vertical="center"/>
    </xf>
    <xf numFmtId="248" fontId="91" fillId="0" borderId="10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center" vertical="center"/>
    </xf>
    <xf numFmtId="191" fontId="36" fillId="0" borderId="0" xfId="0" applyNumberFormat="1" applyFont="1" applyFill="1" applyBorder="1" applyAlignment="1">
      <alignment horizontal="right" vertical="center"/>
    </xf>
    <xf numFmtId="248" fontId="44" fillId="0" borderId="0" xfId="0" applyNumberFormat="1" applyFont="1" applyFill="1" applyBorder="1" applyAlignment="1">
      <alignment horizontal="right" vertical="center"/>
    </xf>
    <xf numFmtId="191" fontId="63" fillId="0" borderId="89" xfId="0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0" fontId="91" fillId="2" borderId="0" xfId="0" applyFont="1" applyFill="1" applyBorder="1" applyAlignment="1">
      <alignment horizontal="center" vertical="center"/>
    </xf>
    <xf numFmtId="9" fontId="36" fillId="0" borderId="0" xfId="0" applyNumberFormat="1" applyFont="1" applyBorder="1" applyAlignment="1">
      <alignment horizontal="center" vertical="center"/>
    </xf>
    <xf numFmtId="9" fontId="36" fillId="0" borderId="0" xfId="0" applyNumberFormat="1" applyFont="1" applyBorder="1" applyAlignment="1">
      <alignment horizontal="center" vertical="center" shrinkToFit="1"/>
    </xf>
    <xf numFmtId="9" fontId="91" fillId="0" borderId="0" xfId="0" applyNumberFormat="1" applyFont="1" applyBorder="1" applyAlignment="1">
      <alignment horizontal="center" vertical="center"/>
    </xf>
    <xf numFmtId="248" fontId="36" fillId="0" borderId="0" xfId="17" applyNumberFormat="1" applyFont="1" applyFill="1" applyBorder="1" applyAlignment="1">
      <alignment vertical="center"/>
    </xf>
    <xf numFmtId="248" fontId="91" fillId="0" borderId="0" xfId="0" applyNumberFormat="1" applyFont="1" applyFill="1" applyBorder="1" applyAlignment="1">
      <alignment vertical="center"/>
    </xf>
    <xf numFmtId="185" fontId="36" fillId="0" borderId="89" xfId="0" applyNumberFormat="1" applyFont="1" applyBorder="1" applyAlignment="1">
      <alignment vertical="center"/>
    </xf>
    <xf numFmtId="176" fontId="33" fillId="0" borderId="0" xfId="0" applyNumberFormat="1" applyFont="1" applyFill="1" applyBorder="1" applyAlignment="1">
      <alignment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242" fontId="27" fillId="9" borderId="0" xfId="0" applyNumberFormat="1" applyFont="1" applyFill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248" fontId="36" fillId="0" borderId="0" xfId="0" applyNumberFormat="1" applyFont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242" fontId="27" fillId="9" borderId="0" xfId="0" applyNumberFormat="1" applyFont="1" applyFill="1" applyAlignment="1">
      <alignment vertical="center"/>
    </xf>
    <xf numFmtId="176" fontId="82" fillId="0" borderId="0" xfId="0" applyNumberFormat="1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distributed" vertical="center" indent="1"/>
    </xf>
    <xf numFmtId="0" fontId="51" fillId="0" borderId="0" xfId="0" applyFont="1" applyFill="1" applyBorder="1" applyAlignment="1">
      <alignment horizontal="distributed" vertical="center" indent="1"/>
    </xf>
    <xf numFmtId="0" fontId="19" fillId="0" borderId="0" xfId="0" applyFont="1" applyBorder="1" applyAlignment="1">
      <alignment horizontal="center" vertical="center"/>
    </xf>
    <xf numFmtId="219" fontId="27" fillId="0" borderId="0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32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left" vertical="center" indent="1"/>
    </xf>
    <xf numFmtId="0" fontId="27" fillId="4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indent="1"/>
    </xf>
    <xf numFmtId="0" fontId="27" fillId="0" borderId="32" xfId="0" applyFont="1" applyFill="1" applyBorder="1" applyAlignment="1">
      <alignment vertical="center"/>
    </xf>
    <xf numFmtId="0" fontId="27" fillId="0" borderId="32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226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 indent="1"/>
    </xf>
    <xf numFmtId="230" fontId="79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226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316" fontId="27" fillId="0" borderId="0" xfId="0" applyNumberFormat="1" applyFont="1" applyFill="1" applyBorder="1" applyAlignment="1">
      <alignment horizontal="center" vertical="center"/>
    </xf>
    <xf numFmtId="0" fontId="18" fillId="0" borderId="0" xfId="27" applyFont="1" applyAlignment="1">
      <alignment horizontal="left" vertical="center"/>
    </xf>
    <xf numFmtId="0" fontId="27" fillId="0" borderId="33" xfId="0" applyFont="1" applyFill="1" applyBorder="1" applyAlignment="1">
      <alignment horizontal="center" vertical="center"/>
    </xf>
    <xf numFmtId="230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43" fontId="37" fillId="0" borderId="0" xfId="0" applyNumberFormat="1" applyFont="1" applyFill="1" applyAlignment="1">
      <alignment horizontal="center" vertical="center"/>
    </xf>
    <xf numFmtId="0" fontId="18" fillId="0" borderId="0" xfId="27" applyFont="1" applyAlignment="1">
      <alignment horizontal="center" vertical="center"/>
    </xf>
    <xf numFmtId="184" fontId="33" fillId="0" borderId="0" xfId="17" applyNumberFormat="1" applyFont="1" applyFill="1" applyAlignment="1">
      <alignment horizontal="center" vertical="center"/>
    </xf>
    <xf numFmtId="185" fontId="33" fillId="0" borderId="0" xfId="17" applyNumberFormat="1" applyFont="1" applyFill="1" applyAlignment="1">
      <alignment horizontal="center" vertical="center"/>
    </xf>
    <xf numFmtId="236" fontId="37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1" fontId="27" fillId="0" borderId="2" xfId="0" applyNumberFormat="1" applyFont="1" applyFill="1" applyBorder="1" applyAlignment="1">
      <alignment horizontal="center" vertical="center"/>
    </xf>
    <xf numFmtId="226" fontId="18" fillId="0" borderId="0" xfId="27" applyNumberFormat="1" applyFont="1" applyAlignment="1">
      <alignment vertical="center"/>
    </xf>
    <xf numFmtId="0" fontId="2" fillId="0" borderId="0" xfId="27" applyFont="1" applyAlignment="1">
      <alignment vertical="center"/>
    </xf>
    <xf numFmtId="0" fontId="18" fillId="9" borderId="0" xfId="0" applyFont="1" applyFill="1" applyAlignment="1">
      <alignment vertical="center"/>
    </xf>
    <xf numFmtId="227" fontId="77" fillId="0" borderId="0" xfId="0" applyNumberFormat="1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248" fontId="93" fillId="0" borderId="0" xfId="0" applyNumberFormat="1" applyFont="1" applyBorder="1"/>
    <xf numFmtId="0" fontId="92" fillId="0" borderId="0" xfId="0" applyFont="1" applyFill="1" applyBorder="1" applyAlignment="1">
      <alignment vertical="center" wrapText="1"/>
    </xf>
    <xf numFmtId="0" fontId="36" fillId="0" borderId="134" xfId="0" applyFont="1" applyFill="1" applyBorder="1" applyAlignment="1">
      <alignment horizontal="center" vertical="center"/>
    </xf>
    <xf numFmtId="191" fontId="36" fillId="0" borderId="99" xfId="0" applyNumberFormat="1" applyFont="1" applyFill="1" applyBorder="1" applyAlignment="1">
      <alignment vertical="center"/>
    </xf>
    <xf numFmtId="252" fontId="43" fillId="0" borderId="87" xfId="0" applyNumberFormat="1" applyFont="1" applyFill="1" applyBorder="1" applyAlignment="1">
      <alignment vertical="center"/>
    </xf>
    <xf numFmtId="0" fontId="36" fillId="0" borderId="119" xfId="0" applyFont="1" applyFill="1" applyBorder="1" applyAlignment="1">
      <alignment vertical="center"/>
    </xf>
    <xf numFmtId="0" fontId="36" fillId="0" borderId="32" xfId="0" applyFont="1" applyFill="1" applyBorder="1" applyAlignment="1">
      <alignment vertical="center"/>
    </xf>
    <xf numFmtId="0" fontId="36" fillId="0" borderId="135" xfId="0" applyFont="1" applyFill="1" applyBorder="1" applyAlignment="1">
      <alignment vertical="center"/>
    </xf>
    <xf numFmtId="176" fontId="43" fillId="0" borderId="135" xfId="17" applyNumberFormat="1" applyFont="1" applyFill="1" applyBorder="1" applyAlignment="1">
      <alignment vertical="center" shrinkToFit="1"/>
    </xf>
    <xf numFmtId="176" fontId="43" fillId="0" borderId="134" xfId="17" applyNumberFormat="1" applyFont="1" applyFill="1" applyBorder="1" applyAlignment="1">
      <alignment vertical="center" shrinkToFit="1"/>
    </xf>
    <xf numFmtId="248" fontId="84" fillId="0" borderId="87" xfId="0" applyNumberFormat="1" applyFont="1" applyFill="1" applyBorder="1" applyAlignment="1">
      <alignment vertical="center"/>
    </xf>
    <xf numFmtId="191" fontId="36" fillId="0" borderId="64" xfId="0" applyNumberFormat="1" applyFont="1" applyFill="1" applyBorder="1" applyAlignment="1">
      <alignment vertical="center"/>
    </xf>
    <xf numFmtId="0" fontId="69" fillId="0" borderId="30" xfId="0" applyNumberFormat="1" applyFont="1" applyBorder="1"/>
    <xf numFmtId="183" fontId="41" fillId="0" borderId="69" xfId="11" applyNumberFormat="1" applyFont="1" applyBorder="1" applyAlignment="1">
      <alignment horizontal="right" vertical="center"/>
    </xf>
    <xf numFmtId="212" fontId="18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270" fontId="27" fillId="0" borderId="0" xfId="0" applyNumberFormat="1" applyFont="1" applyFill="1" applyBorder="1" applyAlignment="1">
      <alignment horizontal="center" vertical="center"/>
    </xf>
    <xf numFmtId="286" fontId="27" fillId="0" borderId="0" xfId="0" applyNumberFormat="1" applyFont="1" applyFill="1" applyBorder="1" applyAlignment="1">
      <alignment horizontal="center" vertical="center"/>
    </xf>
    <xf numFmtId="238" fontId="27" fillId="0" borderId="0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19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horizontal="center" vertical="center"/>
    </xf>
    <xf numFmtId="213" fontId="18" fillId="0" borderId="0" xfId="0" applyNumberFormat="1" applyFont="1" applyFill="1" applyBorder="1" applyAlignment="1">
      <alignment horizontal="center" vertical="center"/>
    </xf>
    <xf numFmtId="245" fontId="18" fillId="0" borderId="0" xfId="0" applyNumberFormat="1" applyFont="1" applyFill="1" applyBorder="1" applyAlignment="1">
      <alignment horizontal="center" vertical="center"/>
    </xf>
    <xf numFmtId="193" fontId="18" fillId="0" borderId="0" xfId="0" applyNumberFormat="1" applyFont="1" applyFill="1" applyBorder="1" applyAlignment="1">
      <alignment vertical="center"/>
    </xf>
    <xf numFmtId="247" fontId="18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194" fontId="27" fillId="0" borderId="0" xfId="0" applyNumberFormat="1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287" fontId="27" fillId="0" borderId="33" xfId="0" applyNumberFormat="1" applyFont="1" applyFill="1" applyBorder="1" applyAlignment="1">
      <alignment horizontal="center" vertical="center"/>
    </xf>
    <xf numFmtId="181" fontId="27" fillId="0" borderId="33" xfId="0" applyNumberFormat="1" applyFont="1" applyFill="1" applyBorder="1" applyAlignment="1">
      <alignment vertical="center"/>
    </xf>
    <xf numFmtId="193" fontId="27" fillId="0" borderId="33" xfId="0" applyNumberFormat="1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vertical="center"/>
    </xf>
    <xf numFmtId="2" fontId="27" fillId="0" borderId="33" xfId="0" applyNumberFormat="1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center" vertical="center"/>
    </xf>
    <xf numFmtId="9" fontId="27" fillId="0" borderId="0" xfId="0" applyNumberFormat="1" applyFont="1" applyBorder="1" applyAlignment="1">
      <alignment vertical="center"/>
    </xf>
    <xf numFmtId="2" fontId="27" fillId="0" borderId="0" xfId="0" quotePrefix="1" applyNumberFormat="1" applyFont="1" applyFill="1" applyBorder="1" applyAlignment="1">
      <alignment horizontal="center" vertical="center"/>
    </xf>
    <xf numFmtId="194" fontId="27" fillId="0" borderId="33" xfId="0" applyNumberFormat="1" applyFont="1" applyFill="1" applyBorder="1" applyAlignment="1">
      <alignment horizontal="center" vertical="center"/>
    </xf>
    <xf numFmtId="176" fontId="27" fillId="0" borderId="33" xfId="0" applyNumberFormat="1" applyFont="1" applyFill="1" applyBorder="1" applyAlignment="1">
      <alignment horizontal="center" vertical="center"/>
    </xf>
    <xf numFmtId="275" fontId="27" fillId="0" borderId="33" xfId="0" applyNumberFormat="1" applyFont="1" applyFill="1" applyBorder="1" applyAlignment="1">
      <alignment horizontal="center" vertical="center"/>
    </xf>
    <xf numFmtId="212" fontId="27" fillId="0" borderId="33" xfId="0" quotePrefix="1" applyNumberFormat="1" applyFont="1" applyFill="1" applyBorder="1" applyAlignment="1">
      <alignment horizontal="center" vertical="center"/>
    </xf>
    <xf numFmtId="276" fontId="27" fillId="0" borderId="33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57" xfId="0" applyFont="1" applyBorder="1" applyAlignment="1">
      <alignment vertical="center"/>
    </xf>
    <xf numFmtId="270" fontId="27" fillId="0" borderId="33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289" fontId="27" fillId="0" borderId="33" xfId="0" applyNumberFormat="1" applyFont="1" applyFill="1" applyBorder="1" applyAlignment="1">
      <alignment horizontal="center" vertical="center"/>
    </xf>
    <xf numFmtId="286" fontId="27" fillId="0" borderId="33" xfId="0" applyNumberFormat="1" applyFont="1" applyFill="1" applyBorder="1" applyAlignment="1">
      <alignment horizontal="center" vertical="center"/>
    </xf>
    <xf numFmtId="238" fontId="27" fillId="0" borderId="33" xfId="0" applyNumberFormat="1" applyFont="1" applyFill="1" applyBorder="1" applyAlignment="1">
      <alignment horizontal="center" vertical="center"/>
    </xf>
    <xf numFmtId="0" fontId="27" fillId="0" borderId="145" xfId="0" applyFont="1" applyBorder="1" applyAlignment="1">
      <alignment vertical="center"/>
    </xf>
    <xf numFmtId="0" fontId="27" fillId="0" borderId="143" xfId="0" applyFont="1" applyBorder="1" applyAlignment="1">
      <alignment vertical="center"/>
    </xf>
    <xf numFmtId="0" fontId="27" fillId="0" borderId="143" xfId="0" applyFont="1" applyBorder="1" applyAlignment="1">
      <alignment horizontal="center" vertical="center"/>
    </xf>
    <xf numFmtId="267" fontId="27" fillId="0" borderId="143" xfId="0" applyNumberFormat="1" applyFont="1" applyBorder="1" applyAlignment="1">
      <alignment horizontal="center" vertical="center"/>
    </xf>
    <xf numFmtId="197" fontId="27" fillId="0" borderId="143" xfId="0" applyNumberFormat="1" applyFont="1" applyBorder="1" applyAlignment="1">
      <alignment vertical="center"/>
    </xf>
    <xf numFmtId="198" fontId="37" fillId="0" borderId="143" xfId="0" applyNumberFormat="1" applyFont="1" applyBorder="1" applyAlignment="1">
      <alignment horizontal="center" vertical="center"/>
    </xf>
    <xf numFmtId="0" fontId="27" fillId="0" borderId="143" xfId="0" applyFont="1" applyFill="1" applyBorder="1" applyAlignment="1">
      <alignment horizontal="left" vertical="center"/>
    </xf>
    <xf numFmtId="0" fontId="32" fillId="0" borderId="30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144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left" vertical="center" indent="1" shrinkToFit="1"/>
    </xf>
    <xf numFmtId="0" fontId="27" fillId="0" borderId="144" xfId="0" applyFont="1" applyFill="1" applyBorder="1" applyAlignment="1">
      <alignment horizontal="left" vertical="center" indent="1"/>
    </xf>
    <xf numFmtId="0" fontId="27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144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left" vertical="center" indent="1" shrinkToFit="1"/>
    </xf>
    <xf numFmtId="0" fontId="27" fillId="4" borderId="6" xfId="0" applyFont="1" applyFill="1" applyBorder="1" applyAlignment="1">
      <alignment horizontal="left" vertical="center" indent="1"/>
    </xf>
    <xf numFmtId="0" fontId="32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27" fillId="0" borderId="40" xfId="0" applyFont="1" applyFill="1" applyBorder="1" applyAlignment="1">
      <alignment horizontal="left" vertical="center" indent="1"/>
    </xf>
    <xf numFmtId="0" fontId="27" fillId="0" borderId="6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indent="2"/>
    </xf>
    <xf numFmtId="0" fontId="32" fillId="0" borderId="144" xfId="0" applyFont="1" applyFill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49" fillId="0" borderId="30" xfId="0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56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18" fillId="0" borderId="144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14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98" fontId="18" fillId="0" borderId="6" xfId="0" applyNumberFormat="1" applyFont="1" applyFill="1" applyBorder="1" applyAlignment="1">
      <alignment horizontal="center" vertical="center"/>
    </xf>
    <xf numFmtId="177" fontId="27" fillId="0" borderId="6" xfId="0" applyNumberFormat="1" applyFont="1" applyFill="1" applyBorder="1" applyAlignment="1">
      <alignment vertical="center"/>
    </xf>
    <xf numFmtId="177" fontId="33" fillId="0" borderId="6" xfId="0" applyNumberFormat="1" applyFont="1" applyFill="1" applyBorder="1" applyAlignment="1">
      <alignment vertical="center"/>
    </xf>
    <xf numFmtId="2" fontId="33" fillId="0" borderId="6" xfId="0" applyNumberFormat="1" applyFont="1" applyFill="1" applyBorder="1" applyAlignment="1">
      <alignment vertical="center"/>
    </xf>
    <xf numFmtId="2" fontId="27" fillId="0" borderId="6" xfId="0" applyNumberFormat="1" applyFont="1" applyFill="1" applyBorder="1" applyAlignment="1">
      <alignment vertical="center"/>
    </xf>
    <xf numFmtId="239" fontId="27" fillId="0" borderId="6" xfId="0" applyNumberFormat="1" applyFont="1" applyFill="1" applyBorder="1" applyAlignment="1">
      <alignment vertical="center"/>
    </xf>
    <xf numFmtId="1" fontId="27" fillId="0" borderId="6" xfId="0" applyNumberFormat="1" applyFont="1" applyFill="1" applyBorder="1" applyAlignment="1">
      <alignment horizontal="left" vertical="center"/>
    </xf>
    <xf numFmtId="2" fontId="27" fillId="0" borderId="6" xfId="0" applyNumberFormat="1" applyFont="1" applyFill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vertical="center"/>
    </xf>
    <xf numFmtId="278" fontId="36" fillId="0" borderId="33" xfId="0" applyNumberFormat="1" applyFont="1" applyFill="1" applyBorder="1" applyAlignment="1">
      <alignment horizontal="center" vertical="center"/>
    </xf>
    <xf numFmtId="0" fontId="50" fillId="0" borderId="33" xfId="0" applyFont="1" applyFill="1" applyBorder="1" applyAlignment="1">
      <alignment vertical="center"/>
    </xf>
    <xf numFmtId="0" fontId="51" fillId="0" borderId="33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18" fillId="0" borderId="32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63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270" fontId="27" fillId="0" borderId="0" xfId="0" applyNumberFormat="1" applyFont="1" applyFill="1" applyBorder="1" applyAlignment="1">
      <alignment horizontal="center" vertical="center"/>
    </xf>
    <xf numFmtId="298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/>
    </xf>
    <xf numFmtId="218" fontId="27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center" vertical="center"/>
    </xf>
    <xf numFmtId="286" fontId="27" fillId="0" borderId="0" xfId="0" applyNumberFormat="1" applyFont="1" applyFill="1" applyBorder="1" applyAlignment="1">
      <alignment horizontal="center" vertical="center"/>
    </xf>
    <xf numFmtId="193" fontId="27" fillId="0" borderId="0" xfId="0" applyNumberFormat="1" applyFont="1" applyFill="1" applyBorder="1" applyAlignment="1">
      <alignment horizontal="center" vertical="center"/>
    </xf>
    <xf numFmtId="238" fontId="27" fillId="0" borderId="0" xfId="0" applyNumberFormat="1" applyFont="1" applyFill="1" applyBorder="1" applyAlignment="1">
      <alignment horizontal="center" vertical="center"/>
    </xf>
    <xf numFmtId="270" fontId="27" fillId="0" borderId="30" xfId="0" applyNumberFormat="1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 indent="1"/>
    </xf>
    <xf numFmtId="0" fontId="27" fillId="0" borderId="4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 indent="1"/>
    </xf>
    <xf numFmtId="203" fontId="27" fillId="0" borderId="0" xfId="0" applyNumberFormat="1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41" xfId="0" applyFont="1" applyFill="1" applyBorder="1" applyAlignment="1">
      <alignment horizontal="center" vertical="center"/>
    </xf>
    <xf numFmtId="256" fontId="27" fillId="0" borderId="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0" fontId="32" fillId="0" borderId="3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93" fontId="18" fillId="0" borderId="0" xfId="0" applyNumberFormat="1" applyFont="1" applyFill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 vertical="center"/>
    </xf>
    <xf numFmtId="2" fontId="81" fillId="0" borderId="0" xfId="0" applyNumberFormat="1" applyFont="1" applyFill="1" applyBorder="1" applyAlignment="1">
      <alignment horizontal="center" vertical="center"/>
    </xf>
    <xf numFmtId="263" fontId="81" fillId="0" borderId="0" xfId="0" applyNumberFormat="1" applyFont="1" applyFill="1" applyBorder="1" applyAlignment="1">
      <alignment horizontal="center" vertical="center"/>
    </xf>
    <xf numFmtId="0" fontId="51" fillId="7" borderId="140" xfId="0" applyFont="1" applyFill="1" applyBorder="1" applyAlignment="1">
      <alignment horizontal="distributed" vertical="center" indent="1"/>
    </xf>
    <xf numFmtId="0" fontId="56" fillId="7" borderId="140" xfId="0" applyFont="1" applyFill="1" applyBorder="1" applyAlignment="1">
      <alignment horizontal="center" vertical="center"/>
    </xf>
    <xf numFmtId="264" fontId="27" fillId="0" borderId="0" xfId="0" applyNumberFormat="1" applyFont="1" applyFill="1" applyBorder="1" applyAlignment="1">
      <alignment horizontal="center" vertical="center"/>
    </xf>
    <xf numFmtId="256" fontId="27" fillId="0" borderId="0" xfId="0" quotePrefix="1" applyNumberFormat="1" applyFont="1" applyFill="1" applyBorder="1" applyAlignment="1">
      <alignment vertical="center"/>
    </xf>
    <xf numFmtId="291" fontId="27" fillId="0" borderId="0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center"/>
    </xf>
    <xf numFmtId="209" fontId="27" fillId="0" borderId="33" xfId="0" applyNumberFormat="1" applyFont="1" applyFill="1" applyBorder="1" applyAlignment="1">
      <alignment horizontal="left" vertical="center"/>
    </xf>
    <xf numFmtId="0" fontId="27" fillId="0" borderId="144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left" vertical="center" indent="1" shrinkToFit="1"/>
    </xf>
    <xf numFmtId="0" fontId="49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96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263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 indent="2"/>
    </xf>
    <xf numFmtId="0" fontId="27" fillId="0" borderId="30" xfId="0" applyFont="1" applyFill="1" applyBorder="1" applyAlignment="1">
      <alignment horizontal="center" vertical="center"/>
    </xf>
    <xf numFmtId="194" fontId="27" fillId="0" borderId="30" xfId="0" applyNumberFormat="1" applyFont="1" applyFill="1" applyBorder="1" applyAlignment="1">
      <alignment horizontal="center" vertical="center"/>
    </xf>
    <xf numFmtId="194" fontId="27" fillId="0" borderId="0" xfId="0" applyNumberFormat="1" applyFont="1" applyFill="1" applyBorder="1" applyAlignment="1">
      <alignment horizontal="center" vertical="center"/>
    </xf>
    <xf numFmtId="270" fontId="27" fillId="0" borderId="0" xfId="0" applyNumberFormat="1" applyFont="1" applyFill="1" applyBorder="1" applyAlignment="1">
      <alignment horizontal="center" vertical="center"/>
    </xf>
    <xf numFmtId="298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/>
    </xf>
    <xf numFmtId="193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/>
    </xf>
    <xf numFmtId="214" fontId="18" fillId="0" borderId="0" xfId="0" applyNumberFormat="1" applyFont="1" applyFill="1" applyBorder="1" applyAlignment="1">
      <alignment horizontal="center" vertical="center"/>
    </xf>
    <xf numFmtId="197" fontId="18" fillId="0" borderId="0" xfId="0" applyNumberFormat="1" applyFont="1" applyFill="1" applyBorder="1" applyAlignment="1">
      <alignment vertical="center"/>
    </xf>
    <xf numFmtId="198" fontId="18" fillId="0" borderId="0" xfId="0" applyNumberFormat="1" applyFont="1" applyFill="1" applyBorder="1" applyAlignment="1">
      <alignment horizontal="center" vertical="center"/>
    </xf>
    <xf numFmtId="247" fontId="18" fillId="0" borderId="0" xfId="0" applyNumberFormat="1" applyFont="1" applyFill="1" applyBorder="1" applyAlignment="1">
      <alignment horizontal="center" vertical="center"/>
    </xf>
    <xf numFmtId="245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237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218" fontId="27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left" vertical="center"/>
    </xf>
    <xf numFmtId="289" fontId="27" fillId="0" borderId="0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center" vertical="center"/>
    </xf>
    <xf numFmtId="286" fontId="27" fillId="0" borderId="0" xfId="0" applyNumberFormat="1" applyFont="1" applyFill="1" applyBorder="1" applyAlignment="1">
      <alignment horizontal="center" vertical="center"/>
    </xf>
    <xf numFmtId="193" fontId="27" fillId="0" borderId="0" xfId="0" applyNumberFormat="1" applyFont="1" applyFill="1" applyBorder="1" applyAlignment="1">
      <alignment horizontal="center" vertical="center"/>
    </xf>
    <xf numFmtId="238" fontId="27" fillId="0" borderId="0" xfId="0" applyNumberFormat="1" applyFont="1" applyFill="1" applyBorder="1" applyAlignment="1">
      <alignment horizontal="center" vertical="center"/>
    </xf>
    <xf numFmtId="291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194" fontId="18" fillId="0" borderId="0" xfId="0" applyNumberFormat="1" applyFont="1" applyFill="1" applyBorder="1" applyAlignment="1">
      <alignment horizontal="center" vertical="center"/>
    </xf>
    <xf numFmtId="191" fontId="18" fillId="0" borderId="0" xfId="0" applyNumberFormat="1" applyFont="1" applyFill="1" applyBorder="1" applyAlignment="1">
      <alignment horizontal="right" vertical="center"/>
    </xf>
    <xf numFmtId="191" fontId="18" fillId="0" borderId="0" xfId="17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212" fontId="18" fillId="0" borderId="0" xfId="0" applyNumberFormat="1" applyFont="1" applyFill="1" applyBorder="1" applyAlignment="1">
      <alignment horizontal="center" vertical="center"/>
    </xf>
    <xf numFmtId="213" fontId="18" fillId="0" borderId="0" xfId="0" applyNumberFormat="1" applyFont="1" applyFill="1" applyBorder="1" applyAlignment="1">
      <alignment horizontal="center" vertical="center"/>
    </xf>
    <xf numFmtId="209" fontId="18" fillId="0" borderId="0" xfId="0" applyNumberFormat="1" applyFont="1" applyFill="1" applyBorder="1" applyAlignment="1">
      <alignment horizontal="center" vertical="center"/>
    </xf>
    <xf numFmtId="270" fontId="27" fillId="0" borderId="3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vertical="center"/>
    </xf>
    <xf numFmtId="0" fontId="27" fillId="0" borderId="30" xfId="0" applyFont="1" applyFill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 indent="1"/>
    </xf>
    <xf numFmtId="0" fontId="27" fillId="0" borderId="141" xfId="0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 indent="1"/>
    </xf>
    <xf numFmtId="19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97" fontId="4" fillId="0" borderId="0" xfId="0" applyNumberFormat="1" applyFont="1" applyFill="1" applyBorder="1" applyAlignment="1">
      <alignment vertical="center"/>
    </xf>
    <xf numFmtId="214" fontId="4" fillId="0" borderId="0" xfId="0" applyNumberFormat="1" applyFont="1" applyFill="1" applyBorder="1" applyAlignment="1">
      <alignment horizontal="center" vertical="center"/>
    </xf>
    <xf numFmtId="203" fontId="27" fillId="0" borderId="0" xfId="0" applyNumberFormat="1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270" fontId="27" fillId="0" borderId="33" xfId="0" applyNumberFormat="1" applyFont="1" applyFill="1" applyBorder="1" applyAlignment="1">
      <alignment horizontal="center" vertical="center"/>
    </xf>
    <xf numFmtId="0" fontId="27" fillId="0" borderId="3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243" fontId="27" fillId="0" borderId="0" xfId="0" applyNumberFormat="1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9" borderId="0" xfId="0" applyFont="1" applyFill="1" applyAlignment="1">
      <alignment horizontal="center" vertical="center"/>
    </xf>
    <xf numFmtId="256" fontId="27" fillId="0" borderId="0" xfId="0" applyNumberFormat="1" applyFont="1" applyFill="1" applyBorder="1" applyAlignment="1">
      <alignment horizontal="center" vertical="center"/>
    </xf>
    <xf numFmtId="198" fontId="18" fillId="0" borderId="0" xfId="0" applyNumberFormat="1" applyFont="1" applyFill="1" applyAlignment="1">
      <alignment vertical="center"/>
    </xf>
    <xf numFmtId="193" fontId="18" fillId="0" borderId="0" xfId="0" applyNumberFormat="1" applyFont="1" applyFill="1" applyAlignment="1">
      <alignment vertical="center"/>
    </xf>
    <xf numFmtId="9" fontId="18" fillId="0" borderId="0" xfId="11" applyFont="1" applyFill="1" applyBorder="1" applyAlignment="1">
      <alignment vertical="center"/>
    </xf>
    <xf numFmtId="9" fontId="18" fillId="0" borderId="0" xfId="11" applyFont="1" applyFill="1" applyBorder="1" applyAlignment="1">
      <alignment horizontal="center" vertical="center"/>
    </xf>
    <xf numFmtId="9" fontId="0" fillId="0" borderId="0" xfId="11" applyFont="1" applyAlignment="1">
      <alignment horizontal="center" vertical="center"/>
    </xf>
    <xf numFmtId="9" fontId="0" fillId="0" borderId="140" xfId="11" applyFont="1" applyBorder="1" applyAlignment="1">
      <alignment horizontal="center" vertical="center"/>
    </xf>
    <xf numFmtId="0" fontId="0" fillId="0" borderId="140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/>
    </xf>
    <xf numFmtId="41" fontId="0" fillId="0" borderId="140" xfId="17" applyFont="1" applyBorder="1" applyAlignment="1">
      <alignment horizontal="center" vertical="center"/>
    </xf>
    <xf numFmtId="329" fontId="0" fillId="0" borderId="140" xfId="0" applyNumberFormat="1" applyBorder="1" applyAlignment="1">
      <alignment horizontal="center" vertical="center"/>
    </xf>
    <xf numFmtId="1" fontId="0" fillId="0" borderId="140" xfId="0" applyNumberFormat="1" applyBorder="1" applyAlignment="1">
      <alignment horizontal="center" vertical="center"/>
    </xf>
    <xf numFmtId="9" fontId="94" fillId="0" borderId="140" xfId="11" applyFont="1" applyBorder="1" applyAlignment="1">
      <alignment horizontal="center" vertical="center"/>
    </xf>
    <xf numFmtId="9" fontId="0" fillId="0" borderId="0" xfId="11" applyFont="1" applyAlignment="1">
      <alignment horizontal="left" vertical="center"/>
    </xf>
    <xf numFmtId="0" fontId="0" fillId="0" borderId="140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/>
    </xf>
    <xf numFmtId="0" fontId="0" fillId="0" borderId="140" xfId="0" applyBorder="1" applyAlignment="1">
      <alignment vertical="center" wrapTex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5" fillId="11" borderId="146" xfId="0" applyFont="1" applyFill="1" applyBorder="1" applyAlignment="1">
      <alignment horizontal="center" vertical="center" wrapText="1"/>
    </xf>
    <xf numFmtId="0" fontId="96" fillId="11" borderId="147" xfId="0" applyFont="1" applyFill="1" applyBorder="1" applyAlignment="1">
      <alignment horizontal="center" vertical="center" wrapText="1"/>
    </xf>
    <xf numFmtId="0" fontId="95" fillId="11" borderId="147" xfId="0" applyFont="1" applyFill="1" applyBorder="1" applyAlignment="1">
      <alignment horizontal="center" vertical="center" wrapText="1"/>
    </xf>
    <xf numFmtId="0" fontId="95" fillId="11" borderId="148" xfId="0" applyFont="1" applyFill="1" applyBorder="1" applyAlignment="1">
      <alignment horizontal="center" vertical="center" wrapText="1"/>
    </xf>
    <xf numFmtId="0" fontId="95" fillId="12" borderId="149" xfId="0" applyFont="1" applyFill="1" applyBorder="1" applyAlignment="1">
      <alignment horizontal="center" vertical="center" wrapText="1"/>
    </xf>
    <xf numFmtId="3" fontId="96" fillId="0" borderId="150" xfId="0" applyNumberFormat="1" applyFont="1" applyBorder="1" applyAlignment="1">
      <alignment horizontal="center" vertical="center" wrapText="1"/>
    </xf>
    <xf numFmtId="3" fontId="96" fillId="0" borderId="151" xfId="0" applyNumberFormat="1" applyFont="1" applyBorder="1" applyAlignment="1">
      <alignment horizontal="center" vertical="center" wrapText="1"/>
    </xf>
    <xf numFmtId="0" fontId="99" fillId="0" borderId="0" xfId="0" applyFont="1" applyAlignment="1">
      <alignment horizontal="left" vertical="center"/>
    </xf>
    <xf numFmtId="0" fontId="97" fillId="0" borderId="140" xfId="0" applyFont="1" applyBorder="1" applyAlignment="1">
      <alignment horizontal="center" vertical="center" shrinkToFit="1"/>
    </xf>
    <xf numFmtId="41" fontId="97" fillId="0" borderId="140" xfId="17" applyFont="1" applyBorder="1" applyAlignment="1">
      <alignment horizontal="center" vertical="center" shrinkToFit="1"/>
    </xf>
    <xf numFmtId="329" fontId="97" fillId="0" borderId="140" xfId="0" applyNumberFormat="1" applyFont="1" applyBorder="1" applyAlignment="1">
      <alignment horizontal="center" vertical="center" shrinkToFit="1"/>
    </xf>
    <xf numFmtId="9" fontId="97" fillId="0" borderId="140" xfId="11" applyFont="1" applyBorder="1" applyAlignment="1">
      <alignment horizontal="center" vertical="center" shrinkToFit="1"/>
    </xf>
    <xf numFmtId="1" fontId="97" fillId="0" borderId="140" xfId="0" applyNumberFormat="1" applyFont="1" applyBorder="1" applyAlignment="1">
      <alignment horizontal="center" vertical="center" shrinkToFit="1"/>
    </xf>
    <xf numFmtId="0" fontId="0" fillId="0" borderId="140" xfId="0" applyBorder="1" applyAlignment="1">
      <alignment horizontal="center" vertical="center" shrinkToFit="1"/>
    </xf>
    <xf numFmtId="9" fontId="0" fillId="0" borderId="140" xfId="11" applyFont="1" applyBorder="1" applyAlignment="1">
      <alignment horizontal="center" vertical="center" shrinkToFit="1"/>
    </xf>
    <xf numFmtId="9" fontId="94" fillId="0" borderId="140" xfId="11" applyFont="1" applyBorder="1" applyAlignment="1">
      <alignment horizontal="center" vertical="center" shrinkToFit="1"/>
    </xf>
    <xf numFmtId="0" fontId="50" fillId="0" borderId="0" xfId="0" applyFont="1" applyAlignment="1">
      <alignment vertical="center"/>
    </xf>
    <xf numFmtId="263" fontId="60" fillId="0" borderId="0" xfId="0" applyNumberFormat="1" applyFont="1" applyFill="1" applyBorder="1" applyAlignment="1">
      <alignment horizontal="center" vertical="center" shrinkToFit="1"/>
    </xf>
    <xf numFmtId="41" fontId="100" fillId="0" borderId="140" xfId="17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/>
    </xf>
    <xf numFmtId="212" fontId="18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270" fontId="27" fillId="0" borderId="0" xfId="0" applyNumberFormat="1" applyFont="1" applyFill="1" applyBorder="1" applyAlignment="1">
      <alignment horizontal="center" vertical="center"/>
    </xf>
    <xf numFmtId="286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238" fontId="27" fillId="0" borderId="0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Border="1" applyAlignment="1">
      <alignment horizontal="left" vertical="center"/>
    </xf>
    <xf numFmtId="2" fontId="27" fillId="0" borderId="0" xfId="0" applyNumberFormat="1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77" fontId="27" fillId="0" borderId="0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70" fontId="27" fillId="0" borderId="33" xfId="0" applyNumberFormat="1" applyFont="1" applyFill="1" applyBorder="1" applyAlignment="1">
      <alignment horizontal="center" vertical="center"/>
    </xf>
    <xf numFmtId="243" fontId="2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/>
    </xf>
    <xf numFmtId="193" fontId="27" fillId="0" borderId="0" xfId="0" applyNumberFormat="1" applyFont="1" applyFill="1" applyBorder="1" applyAlignment="1">
      <alignment horizontal="center" vertical="center"/>
    </xf>
    <xf numFmtId="19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218" fontId="27" fillId="0" borderId="0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vertical="center"/>
    </xf>
    <xf numFmtId="0" fontId="27" fillId="0" borderId="14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indent="1"/>
    </xf>
    <xf numFmtId="203" fontId="27" fillId="0" borderId="0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horizontal="left" vertical="center" indent="1"/>
    </xf>
    <xf numFmtId="291" fontId="27" fillId="0" borderId="0" xfId="0" applyNumberFormat="1" applyFont="1" applyFill="1" applyBorder="1" applyAlignment="1">
      <alignment horizontal="center" vertical="center"/>
    </xf>
    <xf numFmtId="19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97" fontId="4" fillId="0" borderId="0" xfId="0" applyNumberFormat="1" applyFont="1" applyFill="1" applyBorder="1" applyAlignment="1">
      <alignment vertical="center"/>
    </xf>
    <xf numFmtId="214" fontId="4" fillId="0" borderId="0" xfId="0" applyNumberFormat="1" applyFont="1" applyFill="1" applyBorder="1" applyAlignment="1">
      <alignment horizontal="center" vertical="center"/>
    </xf>
    <xf numFmtId="191" fontId="18" fillId="0" borderId="0" xfId="17" applyNumberFormat="1" applyFont="1" applyFill="1" applyBorder="1" applyAlignment="1">
      <alignment horizontal="right" vertical="center"/>
    </xf>
    <xf numFmtId="191" fontId="18" fillId="0" borderId="0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indent="1"/>
    </xf>
    <xf numFmtId="178" fontId="27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right" vertical="center"/>
    </xf>
    <xf numFmtId="0" fontId="27" fillId="0" borderId="40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14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vertical="center"/>
    </xf>
    <xf numFmtId="263" fontId="27" fillId="0" borderId="0" xfId="0" applyNumberFormat="1" applyFont="1" applyFill="1" applyBorder="1" applyAlignment="1">
      <alignment horizontal="center" vertical="center"/>
    </xf>
    <xf numFmtId="270" fontId="27" fillId="0" borderId="3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214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9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horizontal="center" vertical="center"/>
    </xf>
    <xf numFmtId="209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13" fontId="18" fillId="0" borderId="0" xfId="0" applyNumberFormat="1" applyFont="1" applyFill="1" applyBorder="1" applyAlignment="1">
      <alignment horizontal="center" vertical="center"/>
    </xf>
    <xf numFmtId="9" fontId="18" fillId="0" borderId="0" xfId="1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7" fillId="0" borderId="143" xfId="0" applyFont="1" applyFill="1" applyBorder="1" applyAlignment="1">
      <alignment vertical="center"/>
    </xf>
    <xf numFmtId="0" fontId="27" fillId="0" borderId="143" xfId="0" applyFont="1" applyFill="1" applyBorder="1" applyAlignment="1">
      <alignment horizontal="left" vertical="center"/>
    </xf>
    <xf numFmtId="245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193" fontId="18" fillId="0" borderId="0" xfId="0" applyNumberFormat="1" applyFont="1" applyFill="1" applyBorder="1" applyAlignment="1">
      <alignment vertical="center"/>
    </xf>
    <xf numFmtId="237" fontId="18" fillId="0" borderId="0" xfId="0" applyNumberFormat="1" applyFont="1" applyFill="1" applyBorder="1" applyAlignment="1">
      <alignment horizontal="center" vertical="center"/>
    </xf>
    <xf numFmtId="197" fontId="18" fillId="0" borderId="0" xfId="0" applyNumberFormat="1" applyFont="1" applyFill="1" applyBorder="1" applyAlignment="1">
      <alignment vertical="center"/>
    </xf>
    <xf numFmtId="247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indent="2"/>
    </xf>
    <xf numFmtId="0" fontId="27" fillId="0" borderId="30" xfId="0" applyFont="1" applyFill="1" applyBorder="1" applyAlignment="1">
      <alignment horizontal="center" vertical="center"/>
    </xf>
    <xf numFmtId="194" fontId="27" fillId="0" borderId="30" xfId="0" applyNumberFormat="1" applyFont="1" applyFill="1" applyBorder="1" applyAlignment="1">
      <alignment horizontal="center" vertical="center"/>
    </xf>
    <xf numFmtId="194" fontId="27" fillId="0" borderId="0" xfId="0" applyNumberFormat="1" applyFont="1" applyFill="1" applyBorder="1" applyAlignment="1">
      <alignment horizontal="center" vertical="center"/>
    </xf>
    <xf numFmtId="298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96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256" fontId="27" fillId="0" borderId="0" xfId="0" applyNumberFormat="1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0" fillId="0" borderId="103" xfId="0" applyFont="1" applyFill="1" applyBorder="1" applyAlignment="1">
      <alignment horizontal="center" vertical="center" wrapText="1"/>
    </xf>
    <xf numFmtId="0" fontId="40" fillId="0" borderId="104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left" vertical="center" wrapText="1"/>
    </xf>
    <xf numFmtId="0" fontId="40" fillId="0" borderId="103" xfId="0" applyFont="1" applyFill="1" applyBorder="1" applyAlignment="1">
      <alignment horizontal="center" vertical="center"/>
    </xf>
    <xf numFmtId="0" fontId="36" fillId="0" borderId="90" xfId="0" applyFont="1" applyFill="1" applyBorder="1" applyAlignment="1">
      <alignment horizontal="center" vertical="center"/>
    </xf>
    <xf numFmtId="0" fontId="36" fillId="0" borderId="104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118" xfId="0" applyFont="1" applyFill="1" applyBorder="1" applyAlignment="1">
      <alignment horizontal="center" vertical="center"/>
    </xf>
    <xf numFmtId="9" fontId="36" fillId="0" borderId="0" xfId="0" applyNumberFormat="1" applyFont="1" applyFill="1" applyBorder="1" applyAlignment="1">
      <alignment horizontal="left" vertical="center" wrapText="1"/>
    </xf>
    <xf numFmtId="0" fontId="40" fillId="0" borderId="104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36" fillId="0" borderId="115" xfId="0" applyFont="1" applyBorder="1" applyAlignment="1">
      <alignment horizontal="center" vertical="center"/>
    </xf>
    <xf numFmtId="0" fontId="36" fillId="0" borderId="116" xfId="0" applyFont="1" applyBorder="1" applyAlignment="1">
      <alignment horizontal="center" vertical="center"/>
    </xf>
    <xf numFmtId="10" fontId="45" fillId="0" borderId="0" xfId="0" applyNumberFormat="1" applyFont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40" fillId="0" borderId="90" xfId="0" applyFont="1" applyFill="1" applyBorder="1" applyAlignment="1">
      <alignment horizontal="center" vertical="center"/>
    </xf>
    <xf numFmtId="0" fontId="40" fillId="0" borderId="117" xfId="0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0" borderId="118" xfId="0" applyFont="1" applyFill="1" applyBorder="1" applyAlignment="1">
      <alignment horizontal="center" vertical="center"/>
    </xf>
    <xf numFmtId="0" fontId="36" fillId="0" borderId="133" xfId="0" applyFont="1" applyBorder="1" applyAlignment="1">
      <alignment horizontal="center" vertical="center"/>
    </xf>
    <xf numFmtId="0" fontId="36" fillId="0" borderId="121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40" fillId="0" borderId="97" xfId="0" applyFont="1" applyFill="1" applyBorder="1" applyAlignment="1">
      <alignment horizontal="center" vertical="center"/>
    </xf>
    <xf numFmtId="0" fontId="40" fillId="0" borderId="89" xfId="0" applyFont="1" applyFill="1" applyBorder="1" applyAlignment="1">
      <alignment horizontal="center" vertical="center"/>
    </xf>
    <xf numFmtId="0" fontId="40" fillId="0" borderId="80" xfId="0" applyFont="1" applyFill="1" applyBorder="1" applyAlignment="1">
      <alignment horizontal="center" vertical="center"/>
    </xf>
    <xf numFmtId="0" fontId="36" fillId="0" borderId="117" xfId="0" applyFont="1" applyFill="1" applyBorder="1" applyAlignment="1">
      <alignment horizontal="center" vertical="center"/>
    </xf>
    <xf numFmtId="0" fontId="36" fillId="0" borderId="81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40" fillId="0" borderId="103" xfId="0" applyFont="1" applyFill="1" applyBorder="1" applyAlignment="1">
      <alignment horizontal="center" vertical="center" wrapText="1" shrinkToFit="1"/>
    </xf>
    <xf numFmtId="0" fontId="40" fillId="0" borderId="90" xfId="0" applyFont="1" applyFill="1" applyBorder="1" applyAlignment="1">
      <alignment horizontal="center" vertical="center" wrapText="1" shrinkToFit="1"/>
    </xf>
    <xf numFmtId="0" fontId="40" fillId="0" borderId="104" xfId="0" applyFont="1" applyFill="1" applyBorder="1" applyAlignment="1">
      <alignment horizontal="center" vertical="center" wrapText="1" shrinkToFit="1"/>
    </xf>
    <xf numFmtId="0" fontId="40" fillId="0" borderId="117" xfId="0" applyFont="1" applyFill="1" applyBorder="1" applyAlignment="1">
      <alignment horizontal="center" vertical="center" wrapText="1" shrinkToFit="1"/>
    </xf>
    <xf numFmtId="0" fontId="40" fillId="0" borderId="33" xfId="0" applyFont="1" applyFill="1" applyBorder="1" applyAlignment="1">
      <alignment horizontal="center" vertical="center" wrapText="1" shrinkToFit="1"/>
    </xf>
    <xf numFmtId="0" fontId="40" fillId="0" borderId="118" xfId="0" applyFont="1" applyFill="1" applyBorder="1" applyAlignment="1">
      <alignment horizontal="center" vertical="center" wrapText="1" shrinkToFit="1"/>
    </xf>
    <xf numFmtId="2" fontId="20" fillId="0" borderId="0" xfId="0" applyNumberFormat="1" applyFont="1" applyBorder="1" applyAlignment="1">
      <alignment horizontal="left" vertical="center"/>
    </xf>
    <xf numFmtId="2" fontId="19" fillId="0" borderId="0" xfId="0" applyNumberFormat="1" applyFont="1" applyBorder="1" applyAlignment="1">
      <alignment horizontal="left" vertical="center"/>
    </xf>
    <xf numFmtId="2" fontId="16" fillId="0" borderId="0" xfId="0" applyNumberFormat="1" applyFont="1" applyAlignment="1">
      <alignment horizontal="center"/>
    </xf>
    <xf numFmtId="0" fontId="66" fillId="0" borderId="122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66" fillId="0" borderId="123" xfId="0" applyFont="1" applyFill="1" applyBorder="1" applyAlignment="1">
      <alignment horizontal="center" vertical="center"/>
    </xf>
    <xf numFmtId="0" fontId="66" fillId="0" borderId="124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125" xfId="0" applyFont="1" applyFill="1" applyBorder="1" applyAlignment="1">
      <alignment horizontal="center" vertical="center"/>
    </xf>
    <xf numFmtId="0" fontId="66" fillId="0" borderId="126" xfId="0" applyFont="1" applyFill="1" applyBorder="1" applyAlignment="1">
      <alignment horizontal="center" vertical="center"/>
    </xf>
    <xf numFmtId="0" fontId="66" fillId="0" borderId="127" xfId="0" applyFont="1" applyFill="1" applyBorder="1" applyAlignment="1">
      <alignment horizontal="center" vertical="center"/>
    </xf>
    <xf numFmtId="0" fontId="66" fillId="0" borderId="128" xfId="0" applyFont="1" applyFill="1" applyBorder="1" applyAlignment="1">
      <alignment horizontal="center" vertical="center"/>
    </xf>
    <xf numFmtId="184" fontId="43" fillId="0" borderId="28" xfId="17" applyNumberFormat="1" applyFont="1" applyFill="1" applyBorder="1" applyAlignment="1">
      <alignment horizontal="center" vertical="center" shrinkToFit="1"/>
    </xf>
    <xf numFmtId="176" fontId="84" fillId="0" borderId="135" xfId="17" applyNumberFormat="1" applyFont="1" applyFill="1" applyBorder="1" applyAlignment="1">
      <alignment horizontal="right" vertical="center" shrinkToFit="1"/>
    </xf>
    <xf numFmtId="0" fontId="36" fillId="0" borderId="97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180" fontId="36" fillId="0" borderId="0" xfId="0" applyNumberFormat="1" applyFont="1" applyBorder="1" applyAlignment="1">
      <alignment horizontal="right" vertical="center"/>
    </xf>
    <xf numFmtId="242" fontId="84" fillId="0" borderId="119" xfId="17" applyNumberFormat="1" applyFont="1" applyFill="1" applyBorder="1" applyAlignment="1">
      <alignment horizontal="right" vertical="center" shrinkToFit="1"/>
    </xf>
    <xf numFmtId="242" fontId="84" fillId="0" borderId="120" xfId="17" applyNumberFormat="1" applyFont="1" applyFill="1" applyBorder="1" applyAlignment="1">
      <alignment horizontal="right" vertical="center" shrinkToFit="1"/>
    </xf>
    <xf numFmtId="41" fontId="84" fillId="0" borderId="30" xfId="17" applyFont="1" applyFill="1" applyBorder="1" applyAlignment="1">
      <alignment horizontal="center" vertical="center" shrinkToFit="1"/>
    </xf>
    <xf numFmtId="41" fontId="84" fillId="0" borderId="32" xfId="17" applyFont="1" applyFill="1" applyBorder="1" applyAlignment="1">
      <alignment horizontal="center" vertical="center" shrinkToFit="1"/>
    </xf>
    <xf numFmtId="41" fontId="43" fillId="0" borderId="119" xfId="17" applyFont="1" applyFill="1" applyBorder="1" applyAlignment="1">
      <alignment horizontal="center" vertical="center" shrinkToFit="1"/>
    </xf>
    <xf numFmtId="41" fontId="43" fillId="0" borderId="120" xfId="17" applyFont="1" applyFill="1" applyBorder="1" applyAlignment="1">
      <alignment horizontal="center" vertical="center" shrinkToFit="1"/>
    </xf>
    <xf numFmtId="41" fontId="43" fillId="0" borderId="100" xfId="17" applyFont="1" applyFill="1" applyBorder="1" applyAlignment="1">
      <alignment horizontal="center" vertical="center" shrinkToFit="1"/>
    </xf>
    <xf numFmtId="41" fontId="43" fillId="0" borderId="64" xfId="17" applyFont="1" applyFill="1" applyBorder="1" applyAlignment="1">
      <alignment horizontal="center" vertical="center" shrinkToFit="1"/>
    </xf>
    <xf numFmtId="263" fontId="36" fillId="0" borderId="0" xfId="0" applyNumberFormat="1" applyFont="1" applyBorder="1" applyAlignment="1">
      <alignment horizontal="center" vertical="center"/>
    </xf>
    <xf numFmtId="0" fontId="101" fillId="0" borderId="0" xfId="0" applyFont="1" applyAlignment="1">
      <alignment horizontal="center"/>
    </xf>
    <xf numFmtId="0" fontId="0" fillId="0" borderId="140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/>
    </xf>
    <xf numFmtId="9" fontId="0" fillId="0" borderId="144" xfId="11" applyFont="1" applyBorder="1" applyAlignment="1">
      <alignment horizontal="center" vertical="center"/>
    </xf>
    <xf numFmtId="9" fontId="0" fillId="0" borderId="40" xfId="11" applyFont="1" applyBorder="1" applyAlignment="1">
      <alignment horizontal="center" vertical="center"/>
    </xf>
    <xf numFmtId="0" fontId="98" fillId="0" borderId="140" xfId="0" applyFont="1" applyBorder="1" applyAlignment="1">
      <alignment horizontal="center" vertical="center"/>
    </xf>
    <xf numFmtId="263" fontId="49" fillId="0" borderId="0" xfId="17" applyNumberFormat="1" applyFont="1" applyBorder="1" applyAlignment="1">
      <alignment horizontal="right" vertical="center"/>
    </xf>
    <xf numFmtId="242" fontId="49" fillId="0" borderId="0" xfId="17" applyNumberFormat="1" applyFont="1" applyBorder="1" applyAlignment="1">
      <alignment horizontal="right" vertical="center"/>
    </xf>
    <xf numFmtId="242" fontId="49" fillId="0" borderId="24" xfId="17" applyNumberFormat="1" applyFont="1" applyBorder="1" applyAlignment="1">
      <alignment horizontal="right" vertical="center"/>
    </xf>
    <xf numFmtId="251" fontId="52" fillId="0" borderId="0" xfId="17" applyNumberFormat="1" applyFont="1" applyBorder="1" applyAlignment="1">
      <alignment horizontal="right" vertical="center"/>
    </xf>
    <xf numFmtId="251" fontId="52" fillId="0" borderId="0" xfId="0" applyNumberFormat="1" applyFont="1" applyBorder="1" applyAlignment="1">
      <alignment horizontal="right" vertical="center"/>
    </xf>
    <xf numFmtId="177" fontId="52" fillId="0" borderId="24" xfId="0" applyNumberFormat="1" applyFont="1" applyBorder="1" applyAlignment="1">
      <alignment horizontal="right" vertical="center"/>
    </xf>
    <xf numFmtId="177" fontId="52" fillId="0" borderId="0" xfId="0" applyNumberFormat="1" applyFont="1" applyBorder="1" applyAlignment="1">
      <alignment horizontal="right" vertical="center"/>
    </xf>
    <xf numFmtId="251" fontId="52" fillId="0" borderId="24" xfId="0" applyNumberFormat="1" applyFont="1" applyBorder="1" applyAlignment="1">
      <alignment horizontal="right" vertical="center"/>
    </xf>
    <xf numFmtId="263" fontId="52" fillId="0" borderId="0" xfId="0" applyNumberFormat="1" applyFont="1" applyBorder="1" applyAlignment="1">
      <alignment horizontal="right" vertical="center"/>
    </xf>
    <xf numFmtId="180" fontId="52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29" xfId="0" applyFont="1" applyBorder="1" applyAlignment="1">
      <alignment horizontal="center" vertical="center"/>
    </xf>
    <xf numFmtId="178" fontId="54" fillId="0" borderId="2" xfId="0" applyNumberFormat="1" applyFont="1" applyBorder="1" applyAlignment="1">
      <alignment horizontal="center" vertical="center"/>
    </xf>
    <xf numFmtId="191" fontId="49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196" fontId="27" fillId="0" borderId="0" xfId="0" applyNumberFormat="1" applyFont="1" applyFill="1" applyBorder="1" applyAlignment="1">
      <alignment horizontal="center" vertical="center"/>
    </xf>
    <xf numFmtId="325" fontId="27" fillId="0" borderId="0" xfId="0" applyNumberFormat="1" applyFont="1" applyFill="1" applyBorder="1" applyAlignment="1">
      <alignment horizontal="center" vertical="center"/>
    </xf>
    <xf numFmtId="325" fontId="27" fillId="0" borderId="0" xfId="0" applyNumberFormat="1" applyFont="1" applyFill="1" applyBorder="1" applyAlignment="1">
      <alignment vertical="center"/>
    </xf>
    <xf numFmtId="327" fontId="27" fillId="0" borderId="0" xfId="0" applyNumberFormat="1" applyFont="1" applyFill="1" applyBorder="1" applyAlignment="1">
      <alignment vertical="center"/>
    </xf>
    <xf numFmtId="328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193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326" fontId="27" fillId="0" borderId="0" xfId="0" applyNumberFormat="1" applyFont="1" applyFill="1" applyBorder="1" applyAlignment="1">
      <alignment horizontal="left" vertical="center"/>
    </xf>
    <xf numFmtId="291" fontId="27" fillId="0" borderId="14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183" fontId="82" fillId="0" borderId="0" xfId="11" applyNumberFormat="1" applyFont="1" applyFill="1" applyBorder="1" applyAlignment="1">
      <alignment horizontal="center" vertical="center"/>
    </xf>
    <xf numFmtId="218" fontId="27" fillId="0" borderId="0" xfId="0" applyNumberFormat="1" applyFont="1" applyFill="1" applyBorder="1" applyAlignment="1">
      <alignment horizontal="right" vertical="center"/>
    </xf>
    <xf numFmtId="263" fontId="27" fillId="0" borderId="0" xfId="0" applyNumberFormat="1" applyFont="1" applyFill="1" applyBorder="1" applyAlignment="1">
      <alignment horizontal="center" vertical="center"/>
    </xf>
    <xf numFmtId="206" fontId="27" fillId="0" borderId="0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8" fontId="27" fillId="0" borderId="33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292" fontId="27" fillId="0" borderId="143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 indent="2"/>
    </xf>
    <xf numFmtId="0" fontId="27" fillId="0" borderId="30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191" fontId="27" fillId="0" borderId="2" xfId="0" applyNumberFormat="1" applyFont="1" applyFill="1" applyBorder="1" applyAlignment="1">
      <alignment horizontal="right" vertical="center"/>
    </xf>
    <xf numFmtId="191" fontId="27" fillId="0" borderId="2" xfId="0" applyNumberFormat="1" applyFont="1" applyFill="1" applyBorder="1" applyAlignment="1">
      <alignment horizontal="center" vertical="center"/>
    </xf>
    <xf numFmtId="194" fontId="27" fillId="0" borderId="30" xfId="0" applyNumberFormat="1" applyFont="1" applyFill="1" applyBorder="1" applyAlignment="1">
      <alignment horizontal="center" vertical="center"/>
    </xf>
    <xf numFmtId="194" fontId="27" fillId="0" borderId="0" xfId="0" applyNumberFormat="1" applyFont="1" applyFill="1" applyBorder="1" applyAlignment="1">
      <alignment horizontal="center" vertical="center"/>
    </xf>
    <xf numFmtId="299" fontId="27" fillId="0" borderId="0" xfId="0" applyNumberFormat="1" applyFont="1" applyFill="1" applyBorder="1" applyAlignment="1">
      <alignment horizontal="center" vertical="center"/>
    </xf>
    <xf numFmtId="263" fontId="27" fillId="0" borderId="0" xfId="0" applyNumberFormat="1" applyFont="1" applyFill="1" applyBorder="1" applyAlignment="1">
      <alignment horizontal="right" vertical="center"/>
    </xf>
    <xf numFmtId="191" fontId="27" fillId="0" borderId="2" xfId="17" applyNumberFormat="1" applyFont="1" applyFill="1" applyBorder="1" applyAlignment="1">
      <alignment horizontal="right" vertical="center"/>
    </xf>
    <xf numFmtId="10" fontId="27" fillId="0" borderId="2" xfId="0" applyNumberFormat="1" applyFont="1" applyFill="1" applyBorder="1" applyAlignment="1">
      <alignment horizontal="right" vertical="center"/>
    </xf>
    <xf numFmtId="270" fontId="27" fillId="0" borderId="0" xfId="0" applyNumberFormat="1" applyFont="1" applyFill="1" applyBorder="1" applyAlignment="1">
      <alignment horizontal="center" vertical="center"/>
    </xf>
    <xf numFmtId="298" fontId="27" fillId="0" borderId="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/>
    </xf>
    <xf numFmtId="20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/>
    </xf>
    <xf numFmtId="214" fontId="18" fillId="0" borderId="0" xfId="0" applyNumberFormat="1" applyFont="1" applyFill="1" applyBorder="1" applyAlignment="1">
      <alignment horizontal="center" vertical="center"/>
    </xf>
    <xf numFmtId="197" fontId="18" fillId="0" borderId="0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horizontal="center" vertical="center"/>
    </xf>
    <xf numFmtId="215" fontId="18" fillId="0" borderId="0" xfId="0" applyNumberFormat="1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286" fontId="27" fillId="0" borderId="0" xfId="0" applyNumberFormat="1" applyFont="1" applyFill="1" applyBorder="1" applyAlignment="1">
      <alignment horizontal="center" vertical="center"/>
    </xf>
    <xf numFmtId="9" fontId="18" fillId="0" borderId="0" xfId="11" applyFont="1" applyFill="1" applyAlignment="1">
      <alignment horizontal="center" vertical="center"/>
    </xf>
    <xf numFmtId="194" fontId="18" fillId="0" borderId="0" xfId="0" applyNumberFormat="1" applyFont="1" applyFill="1" applyBorder="1" applyAlignment="1">
      <alignment horizontal="center" vertical="center"/>
    </xf>
    <xf numFmtId="198" fontId="18" fillId="0" borderId="0" xfId="0" applyNumberFormat="1" applyFont="1" applyFill="1" applyBorder="1" applyAlignment="1">
      <alignment horizontal="center" vertical="center"/>
    </xf>
    <xf numFmtId="193" fontId="18" fillId="0" borderId="0" xfId="0" applyNumberFormat="1" applyFont="1" applyFill="1" applyBorder="1" applyAlignment="1">
      <alignment vertical="center"/>
    </xf>
    <xf numFmtId="183" fontId="18" fillId="0" borderId="0" xfId="11" applyNumberFormat="1" applyFont="1" applyFill="1" applyBorder="1" applyAlignment="1">
      <alignment horizontal="center" vertical="center"/>
    </xf>
    <xf numFmtId="247" fontId="18" fillId="0" borderId="0" xfId="0" applyNumberFormat="1" applyFont="1" applyFill="1" applyBorder="1" applyAlignment="1">
      <alignment horizontal="center" vertical="center"/>
    </xf>
    <xf numFmtId="205" fontId="18" fillId="0" borderId="0" xfId="0" applyNumberFormat="1" applyFont="1" applyFill="1" applyBorder="1" applyAlignment="1">
      <alignment horizontal="center" vertical="center"/>
    </xf>
    <xf numFmtId="183" fontId="82" fillId="0" borderId="33" xfId="11" applyNumberFormat="1" applyFont="1" applyFill="1" applyBorder="1" applyAlignment="1">
      <alignment horizontal="center" vertical="center"/>
    </xf>
    <xf numFmtId="245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237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79" fontId="27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center" vertical="center"/>
    </xf>
    <xf numFmtId="218" fontId="27" fillId="0" borderId="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266" fontId="2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98" fontId="27" fillId="0" borderId="0" xfId="0" applyNumberFormat="1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left" vertical="center"/>
    </xf>
    <xf numFmtId="198" fontId="27" fillId="0" borderId="32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horizontal="center" vertical="center"/>
    </xf>
    <xf numFmtId="289" fontId="27" fillId="0" borderId="0" xfId="0" applyNumberFormat="1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center" vertical="center"/>
    </xf>
    <xf numFmtId="193" fontId="27" fillId="0" borderId="0" xfId="0" applyNumberFormat="1" applyFont="1" applyFill="1" applyBorder="1" applyAlignment="1">
      <alignment horizontal="center" vertical="center"/>
    </xf>
    <xf numFmtId="303" fontId="27" fillId="0" borderId="0" xfId="0" applyNumberFormat="1" applyFont="1" applyFill="1" applyBorder="1" applyAlignment="1">
      <alignment horizontal="center" vertical="center"/>
    </xf>
    <xf numFmtId="238" fontId="27" fillId="0" borderId="0" xfId="0" applyNumberFormat="1" applyFont="1" applyFill="1" applyBorder="1" applyAlignment="1">
      <alignment horizontal="center" vertical="center"/>
    </xf>
    <xf numFmtId="287" fontId="2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219" fontId="18" fillId="0" borderId="0" xfId="0" applyNumberFormat="1" applyFont="1" applyFill="1" applyAlignment="1">
      <alignment horizontal="left" vertical="center"/>
    </xf>
    <xf numFmtId="219" fontId="18" fillId="0" borderId="0" xfId="0" applyNumberFormat="1" applyFont="1" applyFill="1" applyBorder="1" applyAlignment="1">
      <alignment horizontal="left" vertical="center"/>
    </xf>
    <xf numFmtId="216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203" fontId="18" fillId="0" borderId="0" xfId="0" applyNumberFormat="1" applyFont="1" applyFill="1" applyBorder="1" applyAlignment="1">
      <alignment horizontal="center" vertical="center"/>
    </xf>
    <xf numFmtId="203" fontId="18" fillId="0" borderId="0" xfId="0" applyNumberFormat="1" applyFont="1" applyFill="1" applyBorder="1" applyAlignment="1">
      <alignment horizontal="left" vertical="center"/>
    </xf>
    <xf numFmtId="217" fontId="18" fillId="0" borderId="0" xfId="0" applyNumberFormat="1" applyFont="1" applyFill="1" applyBorder="1" applyAlignment="1">
      <alignment horizontal="left" vertical="center"/>
    </xf>
    <xf numFmtId="218" fontId="18" fillId="0" borderId="0" xfId="0" applyNumberFormat="1" applyFont="1" applyFill="1" applyBorder="1" applyAlignment="1">
      <alignment horizontal="left" vertical="center"/>
    </xf>
    <xf numFmtId="206" fontId="18" fillId="0" borderId="33" xfId="0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9" fontId="18" fillId="0" borderId="0" xfId="11" applyFont="1" applyFill="1" applyBorder="1" applyAlignment="1">
      <alignment horizontal="center" vertical="center"/>
    </xf>
    <xf numFmtId="197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202" fontId="18" fillId="0" borderId="0" xfId="0" applyNumberFormat="1" applyFont="1" applyFill="1" applyBorder="1" applyAlignment="1">
      <alignment horizontal="center" vertical="center"/>
    </xf>
    <xf numFmtId="191" fontId="18" fillId="0" borderId="0" xfId="0" applyNumberFormat="1" applyFont="1" applyFill="1" applyBorder="1" applyAlignment="1">
      <alignment horizontal="right" vertical="center"/>
    </xf>
    <xf numFmtId="191" fontId="18" fillId="0" borderId="0" xfId="17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2" fontId="18" fillId="0" borderId="0" xfId="0" applyNumberFormat="1" applyFont="1" applyFill="1" applyBorder="1" applyAlignment="1">
      <alignment horizontal="right" vertical="center"/>
    </xf>
    <xf numFmtId="206" fontId="18" fillId="0" borderId="0" xfId="0" applyNumberFormat="1" applyFont="1" applyFill="1" applyBorder="1" applyAlignment="1">
      <alignment horizontal="center" vertical="center"/>
    </xf>
    <xf numFmtId="238" fontId="18" fillId="0" borderId="0" xfId="0" applyNumberFormat="1" applyFont="1" applyFill="1" applyBorder="1" applyAlignment="1">
      <alignment horizontal="left" vertical="center"/>
    </xf>
    <xf numFmtId="238" fontId="18" fillId="0" borderId="0" xfId="0" applyNumberFormat="1" applyFont="1" applyFill="1" applyAlignment="1">
      <alignment horizontal="left" vertical="center"/>
    </xf>
    <xf numFmtId="212" fontId="18" fillId="0" borderId="0" xfId="0" applyNumberFormat="1" applyFont="1" applyFill="1" applyBorder="1" applyAlignment="1">
      <alignment horizontal="center" vertical="center"/>
    </xf>
    <xf numFmtId="213" fontId="18" fillId="0" borderId="0" xfId="0" applyNumberFormat="1" applyFont="1" applyFill="1" applyBorder="1" applyAlignment="1">
      <alignment horizontal="center" vertical="center"/>
    </xf>
    <xf numFmtId="193" fontId="18" fillId="0" borderId="0" xfId="0" applyNumberFormat="1" applyFont="1" applyFill="1" applyBorder="1" applyAlignment="1">
      <alignment horizontal="center" vertical="center"/>
    </xf>
    <xf numFmtId="201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198" fontId="18" fillId="0" borderId="33" xfId="0" applyNumberFormat="1" applyFont="1" applyFill="1" applyBorder="1" applyAlignment="1">
      <alignment horizontal="center" vertical="center"/>
    </xf>
    <xf numFmtId="209" fontId="18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 applyBorder="1" applyAlignment="1">
      <alignment horizontal="center" vertical="center"/>
    </xf>
    <xf numFmtId="208" fontId="18" fillId="0" borderId="0" xfId="0" applyNumberFormat="1" applyFont="1" applyFill="1" applyBorder="1" applyAlignment="1">
      <alignment horizontal="left" vertical="center"/>
    </xf>
    <xf numFmtId="224" fontId="18" fillId="0" borderId="0" xfId="0" applyNumberFormat="1" applyFont="1" applyFill="1" applyBorder="1" applyAlignment="1">
      <alignment horizontal="center" vertical="center"/>
    </xf>
    <xf numFmtId="287" fontId="27" fillId="0" borderId="0" xfId="0" applyNumberFormat="1" applyFont="1" applyFill="1" applyBorder="1" applyAlignment="1">
      <alignment horizontal="center" vertical="center"/>
    </xf>
    <xf numFmtId="240" fontId="18" fillId="0" borderId="0" xfId="0" applyNumberFormat="1" applyFont="1" applyFill="1" applyBorder="1" applyAlignment="1">
      <alignment horizontal="left" vertical="center"/>
    </xf>
    <xf numFmtId="241" fontId="18" fillId="0" borderId="0" xfId="0" applyNumberFormat="1" applyFont="1" applyFill="1" applyBorder="1" applyAlignment="1">
      <alignment horizontal="center" vertical="center"/>
    </xf>
    <xf numFmtId="193" fontId="18" fillId="0" borderId="33" xfId="0" applyNumberFormat="1" applyFont="1" applyFill="1" applyBorder="1" applyAlignment="1">
      <alignment horizontal="center" vertical="center"/>
    </xf>
    <xf numFmtId="288" fontId="27" fillId="0" borderId="33" xfId="0" applyNumberFormat="1" applyFont="1" applyFill="1" applyBorder="1" applyAlignment="1">
      <alignment horizontal="center" vertical="center"/>
    </xf>
    <xf numFmtId="288" fontId="27" fillId="0" borderId="33" xfId="0" applyNumberFormat="1" applyFont="1" applyFill="1" applyBorder="1" applyAlignment="1">
      <alignment vertical="center"/>
    </xf>
    <xf numFmtId="288" fontId="27" fillId="0" borderId="0" xfId="0" applyNumberFormat="1" applyFont="1" applyFill="1" applyBorder="1" applyAlignment="1">
      <alignment horizontal="center" vertical="center"/>
    </xf>
    <xf numFmtId="288" fontId="27" fillId="0" borderId="0" xfId="0" applyNumberFormat="1" applyFont="1" applyFill="1" applyBorder="1" applyAlignment="1">
      <alignment vertical="center"/>
    </xf>
    <xf numFmtId="293" fontId="27" fillId="0" borderId="0" xfId="0" applyNumberFormat="1" applyFont="1" applyFill="1" applyBorder="1" applyAlignment="1">
      <alignment horizontal="center" vertical="center"/>
    </xf>
    <xf numFmtId="301" fontId="27" fillId="0" borderId="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vertical="center"/>
    </xf>
    <xf numFmtId="0" fontId="51" fillId="7" borderId="142" xfId="0" applyFont="1" applyFill="1" applyBorder="1" applyAlignment="1">
      <alignment horizontal="distributed" vertical="center" indent="1"/>
    </xf>
    <xf numFmtId="0" fontId="51" fillId="7" borderId="141" xfId="0" applyFont="1" applyFill="1" applyBorder="1" applyAlignment="1">
      <alignment horizontal="distributed" vertical="center" indent="1"/>
    </xf>
    <xf numFmtId="270" fontId="27" fillId="0" borderId="33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 wrapText="1"/>
    </xf>
    <xf numFmtId="0" fontId="27" fillId="0" borderId="32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32" xfId="0" applyFont="1" applyFill="1" applyBorder="1" applyAlignment="1">
      <alignment vertical="center" wrapText="1"/>
    </xf>
    <xf numFmtId="270" fontId="27" fillId="0" borderId="30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 indent="1"/>
    </xf>
    <xf numFmtId="3" fontId="27" fillId="0" borderId="141" xfId="0" applyNumberFormat="1" applyFont="1" applyFill="1" applyBorder="1" applyAlignment="1">
      <alignment horizontal="center" vertical="center"/>
    </xf>
    <xf numFmtId="0" fontId="27" fillId="0" borderId="141" xfId="0" applyFont="1" applyFill="1" applyBorder="1" applyAlignment="1">
      <alignment horizontal="center" vertical="center"/>
    </xf>
    <xf numFmtId="177" fontId="27" fillId="0" borderId="143" xfId="0" applyNumberFormat="1" applyFont="1" applyFill="1" applyBorder="1" applyAlignment="1">
      <alignment horizontal="center" vertical="center"/>
    </xf>
    <xf numFmtId="294" fontId="27" fillId="0" borderId="0" xfId="0" applyNumberFormat="1" applyFont="1" applyFill="1" applyBorder="1" applyAlignment="1">
      <alignment horizontal="center" vertical="center"/>
    </xf>
    <xf numFmtId="2" fontId="27" fillId="0" borderId="143" xfId="0" applyNumberFormat="1" applyFont="1" applyFill="1" applyBorder="1" applyAlignment="1">
      <alignment horizontal="center" vertical="center"/>
    </xf>
    <xf numFmtId="3" fontId="27" fillId="0" borderId="143" xfId="0" applyNumberFormat="1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vertical="center"/>
    </xf>
    <xf numFmtId="0" fontId="27" fillId="0" borderId="140" xfId="0" applyFont="1" applyFill="1" applyBorder="1" applyAlignment="1">
      <alignment horizontal="center" vertical="center"/>
    </xf>
    <xf numFmtId="10" fontId="27" fillId="0" borderId="40" xfId="0" applyNumberFormat="1" applyFont="1" applyFill="1" applyBorder="1" applyAlignment="1">
      <alignment horizontal="right" vertical="center"/>
    </xf>
    <xf numFmtId="0" fontId="27" fillId="0" borderId="140" xfId="0" applyFont="1" applyFill="1" applyBorder="1" applyAlignment="1">
      <alignment horizontal="distributed" vertical="center" indent="1"/>
    </xf>
    <xf numFmtId="0" fontId="27" fillId="0" borderId="40" xfId="0" applyFont="1" applyFill="1" applyBorder="1" applyAlignment="1">
      <alignment horizontal="center" vertical="center"/>
    </xf>
    <xf numFmtId="191" fontId="27" fillId="0" borderId="140" xfId="17" applyNumberFormat="1" applyFont="1" applyFill="1" applyBorder="1" applyAlignment="1">
      <alignment horizontal="right" vertical="center"/>
    </xf>
    <xf numFmtId="191" fontId="27" fillId="0" borderId="40" xfId="0" applyNumberFormat="1" applyFont="1" applyFill="1" applyBorder="1" applyAlignment="1">
      <alignment horizontal="right" vertical="center"/>
    </xf>
    <xf numFmtId="0" fontId="27" fillId="0" borderId="40" xfId="0" applyFont="1" applyFill="1" applyBorder="1" applyAlignment="1">
      <alignment horizontal="distributed" vertical="center" indent="1"/>
    </xf>
    <xf numFmtId="191" fontId="27" fillId="0" borderId="140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indent="1"/>
    </xf>
    <xf numFmtId="4" fontId="18" fillId="0" borderId="0" xfId="0" applyNumberFormat="1" applyFont="1" applyFill="1" applyBorder="1" applyAlignment="1">
      <alignment horizontal="center" vertical="center"/>
    </xf>
    <xf numFmtId="290" fontId="27" fillId="0" borderId="0" xfId="0" applyNumberFormat="1" applyFont="1" applyFill="1" applyBorder="1" applyAlignment="1">
      <alignment horizontal="center" vertical="center"/>
    </xf>
    <xf numFmtId="291" fontId="27" fillId="0" borderId="0" xfId="0" applyNumberFormat="1" applyFont="1" applyFill="1" applyBorder="1" applyAlignment="1">
      <alignment horizontal="center" vertical="center"/>
    </xf>
    <xf numFmtId="19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93" fontId="4" fillId="0" borderId="0" xfId="0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197" fontId="4" fillId="0" borderId="0" xfId="0" applyNumberFormat="1" applyFont="1" applyFill="1" applyBorder="1" applyAlignment="1">
      <alignment vertical="center"/>
    </xf>
    <xf numFmtId="237" fontId="4" fillId="0" borderId="0" xfId="0" applyNumberFormat="1" applyFont="1" applyFill="1" applyBorder="1" applyAlignment="1">
      <alignment horizontal="center" vertical="center"/>
    </xf>
    <xf numFmtId="214" fontId="4" fillId="0" borderId="0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215" fontId="27" fillId="0" borderId="0" xfId="0" applyNumberFormat="1" applyFont="1" applyFill="1" applyBorder="1" applyAlignment="1">
      <alignment horizontal="right" vertical="center"/>
    </xf>
    <xf numFmtId="265" fontId="27" fillId="0" borderId="0" xfId="0" quotePrefix="1" applyNumberFormat="1" applyFont="1" applyFill="1" applyBorder="1" applyAlignment="1">
      <alignment horizontal="center" vertical="center"/>
    </xf>
    <xf numFmtId="292" fontId="27" fillId="0" borderId="0" xfId="0" quotePrefix="1" applyNumberFormat="1" applyFont="1" applyFill="1" applyBorder="1" applyAlignment="1">
      <alignment horizontal="center" vertical="center"/>
    </xf>
    <xf numFmtId="219" fontId="27" fillId="0" borderId="0" xfId="0" applyNumberFormat="1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left" vertical="center" indent="1"/>
    </xf>
    <xf numFmtId="203" fontId="27" fillId="0" borderId="0" xfId="0" applyNumberFormat="1" applyFont="1" applyFill="1" applyBorder="1" applyAlignment="1">
      <alignment vertical="center"/>
    </xf>
    <xf numFmtId="292" fontId="27" fillId="0" borderId="0" xfId="0" applyNumberFormat="1" applyFont="1" applyFill="1" applyBorder="1" applyAlignment="1">
      <alignment horizontal="center" vertical="center"/>
    </xf>
    <xf numFmtId="296" fontId="27" fillId="0" borderId="0" xfId="0" applyNumberFormat="1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10" fontId="27" fillId="0" borderId="140" xfId="0" applyNumberFormat="1" applyFont="1" applyFill="1" applyBorder="1" applyAlignment="1">
      <alignment horizontal="right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243" fontId="27" fillId="0" borderId="0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300" fontId="27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/>
    </xf>
    <xf numFmtId="2" fontId="33" fillId="0" borderId="32" xfId="0" applyNumberFormat="1" applyFont="1" applyFill="1" applyBorder="1" applyAlignment="1">
      <alignment horizontal="center" vertical="center"/>
    </xf>
    <xf numFmtId="2" fontId="27" fillId="0" borderId="32" xfId="0" applyNumberFormat="1" applyFont="1" applyFill="1" applyBorder="1" applyAlignment="1">
      <alignment horizontal="center" vertical="center"/>
    </xf>
    <xf numFmtId="180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left" vertical="center"/>
    </xf>
    <xf numFmtId="300" fontId="27" fillId="0" borderId="33" xfId="0" applyNumberFormat="1" applyFont="1" applyFill="1" applyBorder="1" applyAlignment="1">
      <alignment horizontal="center" vertical="center"/>
    </xf>
    <xf numFmtId="270" fontId="27" fillId="0" borderId="33" xfId="0" applyNumberFormat="1" applyFont="1" applyFill="1" applyBorder="1" applyAlignment="1">
      <alignment horizontal="center" vertical="center"/>
    </xf>
    <xf numFmtId="293" fontId="27" fillId="0" borderId="33" xfId="0" applyNumberFormat="1" applyFont="1" applyFill="1" applyBorder="1" applyAlignment="1">
      <alignment horizontal="center" vertical="center"/>
    </xf>
    <xf numFmtId="0" fontId="27" fillId="0" borderId="3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243" fontId="2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7" fillId="0" borderId="130" xfId="0" applyFont="1" applyFill="1" applyBorder="1" applyAlignment="1">
      <alignment horizontal="left" vertical="center" wrapText="1"/>
    </xf>
    <xf numFmtId="0" fontId="27" fillId="0" borderId="130" xfId="0" applyFont="1" applyFill="1" applyBorder="1" applyAlignment="1">
      <alignment horizontal="left" vertical="center"/>
    </xf>
    <xf numFmtId="2" fontId="37" fillId="0" borderId="0" xfId="0" applyNumberFormat="1" applyFont="1" applyFill="1" applyBorder="1" applyAlignment="1">
      <alignment horizontal="center" vertical="center"/>
    </xf>
    <xf numFmtId="177" fontId="27" fillId="0" borderId="32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Border="1" applyAlignment="1">
      <alignment horizontal="center" vertical="center"/>
    </xf>
    <xf numFmtId="177" fontId="33" fillId="0" borderId="32" xfId="0" applyNumberFormat="1" applyFont="1" applyFill="1" applyBorder="1" applyAlignment="1">
      <alignment horizontal="center" vertical="center"/>
    </xf>
    <xf numFmtId="239" fontId="27" fillId="0" borderId="0" xfId="0" applyNumberFormat="1" applyFont="1" applyFill="1" applyBorder="1" applyAlignment="1">
      <alignment horizontal="center" vertical="center"/>
    </xf>
    <xf numFmtId="239" fontId="27" fillId="0" borderId="32" xfId="0" applyNumberFormat="1" applyFont="1" applyFill="1" applyBorder="1" applyAlignment="1">
      <alignment horizontal="center" vertical="center"/>
    </xf>
    <xf numFmtId="213" fontId="81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3" fillId="0" borderId="97" xfId="0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0" fontId="27" fillId="0" borderId="97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7" fillId="0" borderId="107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235" fontId="70" fillId="0" borderId="0" xfId="0" applyNumberFormat="1" applyFont="1" applyFill="1" applyAlignment="1">
      <alignment horizontal="center" vertical="center"/>
    </xf>
    <xf numFmtId="235" fontId="70" fillId="0" borderId="0" xfId="0" applyNumberFormat="1" applyFont="1" applyFill="1" applyAlignment="1">
      <alignment vertical="center"/>
    </xf>
    <xf numFmtId="226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272" fontId="37" fillId="0" borderId="0" xfId="0" applyNumberFormat="1" applyFont="1" applyFill="1" applyAlignment="1">
      <alignment horizontal="left" vertical="center"/>
    </xf>
    <xf numFmtId="272" fontId="27" fillId="0" borderId="0" xfId="0" applyNumberFormat="1" applyFont="1" applyFill="1" applyAlignment="1">
      <alignment horizontal="center" vertical="center"/>
    </xf>
    <xf numFmtId="235" fontId="70" fillId="0" borderId="0" xfId="17" applyNumberFormat="1" applyFont="1" applyFill="1" applyAlignment="1">
      <alignment horizontal="center" vertical="center"/>
    </xf>
    <xf numFmtId="269" fontId="37" fillId="0" borderId="0" xfId="0" applyNumberFormat="1" applyFont="1" applyFill="1" applyAlignment="1">
      <alignment horizontal="left" vertical="center"/>
    </xf>
    <xf numFmtId="269" fontId="27" fillId="0" borderId="0" xfId="0" applyNumberFormat="1" applyFont="1" applyFill="1" applyAlignment="1">
      <alignment horizontal="left" vertical="center"/>
    </xf>
    <xf numFmtId="0" fontId="27" fillId="0" borderId="108" xfId="0" applyFont="1" applyFill="1" applyBorder="1" applyAlignment="1">
      <alignment horizontal="center" vertical="center"/>
    </xf>
    <xf numFmtId="0" fontId="27" fillId="0" borderId="109" xfId="0" applyFont="1" applyFill="1" applyBorder="1" applyAlignment="1">
      <alignment horizontal="center" vertical="center"/>
    </xf>
    <xf numFmtId="0" fontId="27" fillId="0" borderId="110" xfId="0" applyFont="1" applyFill="1" applyBorder="1" applyAlignment="1">
      <alignment horizontal="center" vertical="center"/>
    </xf>
    <xf numFmtId="0" fontId="27" fillId="0" borderId="111" xfId="0" applyFont="1" applyFill="1" applyBorder="1" applyAlignment="1">
      <alignment horizontal="center" vertical="center"/>
    </xf>
    <xf numFmtId="2" fontId="33" fillId="0" borderId="112" xfId="0" applyNumberFormat="1" applyFont="1" applyFill="1" applyBorder="1" applyAlignment="1">
      <alignment horizontal="center" vertical="center" wrapText="1"/>
    </xf>
    <xf numFmtId="2" fontId="33" fillId="0" borderId="113" xfId="0" applyNumberFormat="1" applyFont="1" applyFill="1" applyBorder="1" applyAlignment="1">
      <alignment horizontal="center" vertical="center" wrapText="1"/>
    </xf>
    <xf numFmtId="0" fontId="33" fillId="0" borderId="112" xfId="0" applyFont="1" applyFill="1" applyBorder="1" applyAlignment="1">
      <alignment horizontal="center" vertical="center"/>
    </xf>
    <xf numFmtId="0" fontId="33" fillId="0" borderId="113" xfId="0" applyFont="1" applyFill="1" applyBorder="1" applyAlignment="1">
      <alignment horizontal="center" vertical="center"/>
    </xf>
    <xf numFmtId="0" fontId="33" fillId="0" borderId="114" xfId="0" applyFont="1" applyFill="1" applyBorder="1" applyAlignment="1">
      <alignment horizontal="center" vertical="center"/>
    </xf>
    <xf numFmtId="0" fontId="71" fillId="0" borderId="97" xfId="0" applyFont="1" applyFill="1" applyBorder="1" applyAlignment="1">
      <alignment horizontal="center" vertical="center" wrapText="1"/>
    </xf>
    <xf numFmtId="0" fontId="71" fillId="0" borderId="89" xfId="0" applyFont="1" applyFill="1" applyBorder="1" applyAlignment="1">
      <alignment horizontal="center" vertical="center" wrapText="1"/>
    </xf>
    <xf numFmtId="1" fontId="27" fillId="9" borderId="0" xfId="0" applyNumberFormat="1" applyFont="1" applyFill="1" applyAlignment="1">
      <alignment horizontal="center" vertical="center"/>
    </xf>
    <xf numFmtId="234" fontId="27" fillId="0" borderId="0" xfId="0" applyNumberFormat="1" applyFont="1" applyFill="1" applyAlignment="1">
      <alignment horizontal="center" vertical="center"/>
    </xf>
    <xf numFmtId="222" fontId="37" fillId="0" borderId="0" xfId="17" applyNumberFormat="1" applyFont="1" applyFill="1" applyAlignment="1">
      <alignment horizontal="left" vertical="center"/>
    </xf>
    <xf numFmtId="260" fontId="27" fillId="9" borderId="0" xfId="0" applyNumberFormat="1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281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232" fontId="27" fillId="0" borderId="0" xfId="0" applyNumberFormat="1" applyFont="1" applyFill="1" applyAlignment="1">
      <alignment horizontal="center" vertical="center"/>
    </xf>
    <xf numFmtId="0" fontId="27" fillId="0" borderId="112" xfId="0" applyFont="1" applyFill="1" applyBorder="1" applyAlignment="1">
      <alignment horizontal="center" vertical="center" wrapText="1"/>
    </xf>
    <xf numFmtId="0" fontId="27" fillId="0" borderId="113" xfId="0" applyFont="1" applyFill="1" applyBorder="1" applyAlignment="1">
      <alignment horizontal="center" vertical="center" wrapText="1"/>
    </xf>
    <xf numFmtId="0" fontId="27" fillId="0" borderId="114" xfId="0" applyFont="1" applyFill="1" applyBorder="1" applyAlignment="1">
      <alignment horizontal="center" vertical="center" wrapText="1"/>
    </xf>
    <xf numFmtId="235" fontId="27" fillId="0" borderId="0" xfId="17" applyNumberFormat="1" applyFont="1" applyFill="1" applyAlignment="1">
      <alignment horizontal="center" vertical="center"/>
    </xf>
    <xf numFmtId="279" fontId="27" fillId="0" borderId="0" xfId="0" applyNumberFormat="1" applyFont="1" applyFill="1" applyAlignment="1">
      <alignment horizontal="center" vertical="center"/>
    </xf>
    <xf numFmtId="221" fontId="27" fillId="0" borderId="0" xfId="17" applyNumberFormat="1" applyFont="1" applyFill="1" applyAlignment="1">
      <alignment horizontal="left" vertical="center"/>
    </xf>
    <xf numFmtId="259" fontId="33" fillId="0" borderId="97" xfId="0" applyNumberFormat="1" applyFont="1" applyFill="1" applyBorder="1" applyAlignment="1">
      <alignment horizontal="right" vertical="center"/>
    </xf>
    <xf numFmtId="259" fontId="33" fillId="0" borderId="89" xfId="0" applyNumberFormat="1" applyFont="1" applyFill="1" applyBorder="1" applyAlignment="1">
      <alignment horizontal="right" vertical="center"/>
    </xf>
    <xf numFmtId="258" fontId="33" fillId="0" borderId="89" xfId="0" applyNumberFormat="1" applyFont="1" applyFill="1" applyBorder="1" applyAlignment="1">
      <alignment horizontal="left" vertical="center"/>
    </xf>
    <xf numFmtId="258" fontId="33" fillId="0" borderId="80" xfId="0" applyNumberFormat="1" applyFont="1" applyFill="1" applyBorder="1" applyAlignment="1">
      <alignment horizontal="left" vertical="center"/>
    </xf>
    <xf numFmtId="260" fontId="72" fillId="0" borderId="97" xfId="0" applyNumberFormat="1" applyFont="1" applyFill="1" applyBorder="1" applyAlignment="1">
      <alignment horizontal="center" vertical="center"/>
    </xf>
    <xf numFmtId="260" fontId="72" fillId="0" borderId="89" xfId="0" applyNumberFormat="1" applyFont="1" applyFill="1" applyBorder="1" applyAlignment="1">
      <alignment horizontal="center" vertical="center"/>
    </xf>
    <xf numFmtId="260" fontId="72" fillId="0" borderId="8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indent="1"/>
    </xf>
    <xf numFmtId="228" fontId="27" fillId="0" borderId="33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230" fontId="37" fillId="0" borderId="0" xfId="0" applyNumberFormat="1" applyFont="1" applyFill="1" applyAlignment="1">
      <alignment horizontal="center" vertical="center"/>
    </xf>
    <xf numFmtId="229" fontId="27" fillId="0" borderId="28" xfId="0" applyNumberFormat="1" applyFont="1" applyFill="1" applyBorder="1" applyAlignment="1">
      <alignment horizontal="center" vertical="center"/>
    </xf>
    <xf numFmtId="0" fontId="33" fillId="0" borderId="80" xfId="0" applyFont="1" applyFill="1" applyBorder="1" applyAlignment="1">
      <alignment horizontal="center" vertical="center"/>
    </xf>
    <xf numFmtId="231" fontId="33" fillId="0" borderId="0" xfId="0" applyNumberFormat="1" applyFont="1" applyFill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7" fillId="0" borderId="11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243" fontId="27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313" fontId="33" fillId="0" borderId="97" xfId="0" applyNumberFormat="1" applyFont="1" applyFill="1" applyBorder="1" applyAlignment="1">
      <alignment horizontal="center" vertical="center"/>
    </xf>
    <xf numFmtId="313" fontId="33" fillId="0" borderId="89" xfId="0" applyNumberFormat="1" applyFont="1" applyFill="1" applyBorder="1" applyAlignment="1">
      <alignment horizontal="center" vertical="center"/>
    </xf>
    <xf numFmtId="313" fontId="33" fillId="0" borderId="80" xfId="0" applyNumberFormat="1" applyFont="1" applyFill="1" applyBorder="1" applyAlignment="1">
      <alignment horizontal="center" vertical="center"/>
    </xf>
    <xf numFmtId="305" fontId="33" fillId="0" borderId="97" xfId="0" applyNumberFormat="1" applyFont="1" applyFill="1" applyBorder="1" applyAlignment="1">
      <alignment horizontal="center" vertical="center"/>
    </xf>
    <xf numFmtId="305" fontId="33" fillId="0" borderId="89" xfId="0" applyNumberFormat="1" applyFont="1" applyFill="1" applyBorder="1" applyAlignment="1">
      <alignment horizontal="center" vertical="center"/>
    </xf>
    <xf numFmtId="305" fontId="33" fillId="0" borderId="80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97" xfId="0" applyFont="1" applyFill="1" applyBorder="1" applyAlignment="1">
      <alignment horizontal="center" vertical="center" wrapText="1"/>
    </xf>
    <xf numFmtId="0" fontId="27" fillId="0" borderId="80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177" fontId="27" fillId="0" borderId="97" xfId="0" applyNumberFormat="1" applyFont="1" applyFill="1" applyBorder="1" applyAlignment="1">
      <alignment horizontal="center" vertical="center"/>
    </xf>
    <xf numFmtId="177" fontId="27" fillId="0" borderId="89" xfId="0" applyNumberFormat="1" applyFont="1" applyFill="1" applyBorder="1" applyAlignment="1">
      <alignment horizontal="center" vertical="center"/>
    </xf>
    <xf numFmtId="177" fontId="27" fillId="0" borderId="80" xfId="0" applyNumberFormat="1" applyFont="1" applyFill="1" applyBorder="1" applyAlignment="1">
      <alignment horizontal="center" vertical="center"/>
    </xf>
    <xf numFmtId="1" fontId="27" fillId="0" borderId="97" xfId="0" applyNumberFormat="1" applyFont="1" applyFill="1" applyBorder="1" applyAlignment="1">
      <alignment horizontal="center" vertical="center"/>
    </xf>
    <xf numFmtId="1" fontId="27" fillId="0" borderId="89" xfId="0" applyNumberFormat="1" applyFont="1" applyFill="1" applyBorder="1" applyAlignment="1">
      <alignment horizontal="center" vertical="center"/>
    </xf>
    <xf numFmtId="1" fontId="27" fillId="0" borderId="80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81" xfId="0" applyFont="1" applyFill="1" applyBorder="1" applyAlignment="1">
      <alignment horizontal="center" vertical="center" wrapText="1"/>
    </xf>
    <xf numFmtId="176" fontId="27" fillId="0" borderId="97" xfId="0" applyNumberFormat="1" applyFont="1" applyFill="1" applyBorder="1" applyAlignment="1">
      <alignment horizontal="center" vertical="center"/>
    </xf>
    <xf numFmtId="176" fontId="27" fillId="0" borderId="80" xfId="0" applyNumberFormat="1" applyFont="1" applyFill="1" applyBorder="1" applyAlignment="1">
      <alignment horizontal="center" vertical="center"/>
    </xf>
    <xf numFmtId="220" fontId="70" fillId="0" borderId="0" xfId="0" applyNumberFormat="1" applyFont="1" applyFill="1" applyBorder="1" applyAlignment="1">
      <alignment horizontal="center" vertical="center"/>
    </xf>
    <xf numFmtId="254" fontId="27" fillId="0" borderId="0" xfId="0" applyNumberFormat="1" applyFont="1" applyFill="1" applyBorder="1" applyAlignment="1">
      <alignment horizontal="center" vertical="center"/>
    </xf>
    <xf numFmtId="182" fontId="27" fillId="0" borderId="0" xfId="0" quotePrefix="1" applyNumberFormat="1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center" vertical="center"/>
    </xf>
    <xf numFmtId="256" fontId="27" fillId="0" borderId="0" xfId="0" applyNumberFormat="1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256" fontId="27" fillId="0" borderId="97" xfId="0" applyNumberFormat="1" applyFont="1" applyFill="1" applyBorder="1" applyAlignment="1">
      <alignment horizontal="center" vertical="center"/>
    </xf>
    <xf numFmtId="256" fontId="27" fillId="0" borderId="8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3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304" fontId="70" fillId="0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/>
    <xf numFmtId="0" fontId="71" fillId="0" borderId="0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Border="1" applyAlignment="1">
      <alignment horizontal="center" vertical="center"/>
    </xf>
    <xf numFmtId="9" fontId="27" fillId="0" borderId="2" xfId="0" applyNumberFormat="1" applyFont="1" applyFill="1" applyBorder="1" applyAlignment="1">
      <alignment horizontal="center" vertical="center"/>
    </xf>
    <xf numFmtId="9" fontId="71" fillId="0" borderId="2" xfId="0" applyNumberFormat="1" applyFont="1" applyFill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center" vertical="center"/>
    </xf>
    <xf numFmtId="261" fontId="27" fillId="0" borderId="0" xfId="0" applyNumberFormat="1" applyFont="1" applyFill="1" applyBorder="1" applyAlignment="1">
      <alignment horizontal="center" vertical="center"/>
    </xf>
    <xf numFmtId="9" fontId="71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257" fontId="37" fillId="0" borderId="0" xfId="0" applyNumberFormat="1" applyFont="1" applyFill="1" applyBorder="1" applyAlignment="1">
      <alignment horizontal="center" vertical="center"/>
    </xf>
    <xf numFmtId="177" fontId="33" fillId="0" borderId="112" xfId="0" applyNumberFormat="1" applyFont="1" applyFill="1" applyBorder="1" applyAlignment="1">
      <alignment horizontal="center" vertical="center" wrapText="1"/>
    </xf>
    <xf numFmtId="177" fontId="33" fillId="0" borderId="113" xfId="0" applyNumberFormat="1" applyFont="1" applyFill="1" applyBorder="1" applyAlignment="1">
      <alignment horizontal="center" vertical="center" wrapText="1"/>
    </xf>
    <xf numFmtId="177" fontId="33" fillId="0" borderId="114" xfId="0" applyNumberFormat="1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81" xfId="0" applyFont="1" applyFill="1" applyBorder="1" applyAlignment="1">
      <alignment horizontal="center" vertical="center"/>
    </xf>
    <xf numFmtId="228" fontId="27" fillId="0" borderId="0" xfId="0" applyNumberFormat="1" applyFont="1" applyFill="1" applyBorder="1" applyAlignment="1">
      <alignment horizontal="left" vertical="center"/>
    </xf>
    <xf numFmtId="2" fontId="71" fillId="0" borderId="0" xfId="0" applyNumberFormat="1" applyFont="1" applyFill="1" applyBorder="1" applyAlignment="1">
      <alignment horizontal="center" vertical="center"/>
    </xf>
    <xf numFmtId="0" fontId="27" fillId="0" borderId="131" xfId="0" applyFont="1" applyFill="1" applyBorder="1" applyAlignment="1">
      <alignment horizontal="center" vertical="center"/>
    </xf>
    <xf numFmtId="0" fontId="27" fillId="0" borderId="127" xfId="0" applyFont="1" applyFill="1" applyBorder="1" applyAlignment="1">
      <alignment horizontal="center" vertical="center"/>
    </xf>
    <xf numFmtId="0" fontId="27" fillId="0" borderId="132" xfId="0" applyFont="1" applyFill="1" applyBorder="1" applyAlignment="1">
      <alignment horizontal="center" vertical="center"/>
    </xf>
    <xf numFmtId="0" fontId="33" fillId="0" borderId="97" xfId="0" applyNumberFormat="1" applyFont="1" applyFill="1" applyBorder="1" applyAlignment="1">
      <alignment horizontal="center" vertical="center"/>
    </xf>
    <xf numFmtId="0" fontId="33" fillId="0" borderId="89" xfId="0" applyNumberFormat="1" applyFont="1" applyFill="1" applyBorder="1" applyAlignment="1">
      <alignment horizontal="center" vertical="center"/>
    </xf>
    <xf numFmtId="0" fontId="27" fillId="0" borderId="89" xfId="0" applyNumberFormat="1" applyFont="1" applyFill="1" applyBorder="1" applyAlignment="1">
      <alignment horizontal="center" vertical="center"/>
    </xf>
    <xf numFmtId="0" fontId="27" fillId="0" borderId="80" xfId="0" applyNumberFormat="1" applyFont="1" applyFill="1" applyBorder="1" applyAlignment="1">
      <alignment horizontal="center" vertical="center"/>
    </xf>
    <xf numFmtId="230" fontId="37" fillId="0" borderId="0" xfId="0" applyNumberFormat="1" applyFont="1" applyFill="1" applyBorder="1" applyAlignment="1">
      <alignment horizontal="center" vertical="center"/>
    </xf>
    <xf numFmtId="183" fontId="18" fillId="0" borderId="0" xfId="0" applyNumberFormat="1" applyFont="1" applyAlignment="1">
      <alignment horizontal="center" vertical="center"/>
    </xf>
    <xf numFmtId="261" fontId="27" fillId="0" borderId="0" xfId="0" applyNumberFormat="1" applyFont="1" applyFill="1" applyAlignment="1">
      <alignment horizontal="center" vertical="center"/>
    </xf>
    <xf numFmtId="231" fontId="70" fillId="0" borderId="0" xfId="0" applyNumberFormat="1" applyFont="1" applyFill="1" applyBorder="1" applyAlignment="1">
      <alignment horizontal="center" vertical="center"/>
    </xf>
    <xf numFmtId="177" fontId="27" fillId="9" borderId="0" xfId="0" applyNumberFormat="1" applyFont="1" applyFill="1" applyAlignment="1">
      <alignment horizontal="center" vertical="center"/>
    </xf>
    <xf numFmtId="225" fontId="33" fillId="0" borderId="0" xfId="17" applyNumberFormat="1" applyFont="1" applyFill="1" applyAlignment="1">
      <alignment horizontal="center" vertical="center"/>
    </xf>
    <xf numFmtId="244" fontId="37" fillId="0" borderId="0" xfId="0" applyNumberFormat="1" applyFont="1" applyFill="1" applyAlignment="1">
      <alignment horizontal="left" vertical="center"/>
    </xf>
    <xf numFmtId="244" fontId="27" fillId="0" borderId="0" xfId="0" applyNumberFormat="1" applyFont="1" applyFill="1" applyAlignment="1">
      <alignment horizontal="left" vertical="center"/>
    </xf>
    <xf numFmtId="2" fontId="27" fillId="9" borderId="0" xfId="0" applyNumberFormat="1" applyFont="1" applyFill="1" applyAlignment="1">
      <alignment horizontal="center" vertical="center"/>
    </xf>
    <xf numFmtId="225" fontId="33" fillId="0" borderId="0" xfId="0" applyNumberFormat="1" applyFont="1" applyFill="1" applyAlignment="1">
      <alignment horizontal="center" vertical="center"/>
    </xf>
    <xf numFmtId="272" fontId="37" fillId="0" borderId="0" xfId="0" applyNumberFormat="1" applyFont="1" applyFill="1" applyAlignment="1">
      <alignment horizontal="center" vertical="center"/>
    </xf>
    <xf numFmtId="0" fontId="33" fillId="0" borderId="97" xfId="0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18" fillId="0" borderId="0" xfId="27" applyFont="1" applyAlignment="1">
      <alignment horizontal="left" vertical="center"/>
    </xf>
    <xf numFmtId="226" fontId="18" fillId="0" borderId="0" xfId="27" applyNumberFormat="1" applyFont="1" applyAlignment="1">
      <alignment horizontal="center" vertical="center"/>
    </xf>
    <xf numFmtId="317" fontId="75" fillId="0" borderId="0" xfId="18" applyNumberFormat="1" applyFont="1" applyAlignment="1">
      <alignment horizontal="center" vertical="center"/>
    </xf>
    <xf numFmtId="317" fontId="76" fillId="0" borderId="0" xfId="27" applyNumberFormat="1" applyFont="1" applyAlignment="1">
      <alignment vertical="center"/>
    </xf>
    <xf numFmtId="322" fontId="27" fillId="0" borderId="0" xfId="0" applyNumberFormat="1" applyFont="1" applyFill="1" applyBorder="1" applyAlignment="1">
      <alignment horizontal="center" vertical="center"/>
    </xf>
    <xf numFmtId="314" fontId="27" fillId="0" borderId="0" xfId="0" applyNumberFormat="1" applyFont="1" applyFill="1" applyBorder="1" applyAlignment="1">
      <alignment horizontal="center" vertical="center"/>
    </xf>
    <xf numFmtId="323" fontId="27" fillId="0" borderId="0" xfId="0" applyNumberFormat="1" applyFont="1" applyFill="1" applyBorder="1" applyAlignment="1">
      <alignment horizontal="center" vertical="center"/>
    </xf>
    <xf numFmtId="324" fontId="27" fillId="0" borderId="0" xfId="0" applyNumberFormat="1" applyFont="1" applyFill="1" applyBorder="1" applyAlignment="1">
      <alignment horizontal="center" vertical="center"/>
    </xf>
    <xf numFmtId="315" fontId="27" fillId="0" borderId="0" xfId="0" applyNumberFormat="1" applyFont="1" applyFill="1" applyBorder="1" applyAlignment="1">
      <alignment horizontal="center" vertical="center"/>
    </xf>
    <xf numFmtId="316" fontId="27" fillId="0" borderId="0" xfId="0" applyNumberFormat="1" applyFont="1" applyFill="1" applyBorder="1" applyAlignment="1">
      <alignment horizontal="center" vertical="center"/>
    </xf>
    <xf numFmtId="0" fontId="18" fillId="0" borderId="111" xfId="27" applyFont="1" applyBorder="1" applyAlignment="1">
      <alignment horizontal="center" vertical="center"/>
    </xf>
    <xf numFmtId="0" fontId="18" fillId="0" borderId="2" xfId="27" applyFont="1" applyBorder="1" applyAlignment="1">
      <alignment horizontal="center" vertical="center"/>
    </xf>
    <xf numFmtId="2" fontId="57" fillId="0" borderId="112" xfId="27" applyNumberFormat="1" applyFont="1" applyBorder="1" applyAlignment="1">
      <alignment horizontal="center" vertical="center" wrapText="1"/>
    </xf>
    <xf numFmtId="2" fontId="57" fillId="0" borderId="113" xfId="27" applyNumberFormat="1" applyFont="1" applyBorder="1" applyAlignment="1">
      <alignment horizontal="center" vertical="center" wrapText="1"/>
    </xf>
    <xf numFmtId="0" fontId="57" fillId="0" borderId="112" xfId="27" applyFont="1" applyBorder="1" applyAlignment="1">
      <alignment horizontal="center" vertical="center"/>
    </xf>
    <xf numFmtId="0" fontId="57" fillId="0" borderId="113" xfId="27" applyFont="1" applyBorder="1" applyAlignment="1">
      <alignment horizontal="center" vertical="center"/>
    </xf>
    <xf numFmtId="0" fontId="57" fillId="0" borderId="114" xfId="27" applyFont="1" applyBorder="1" applyAlignment="1">
      <alignment horizontal="center" vertical="center"/>
    </xf>
    <xf numFmtId="0" fontId="18" fillId="0" borderId="97" xfId="27" applyFont="1" applyBorder="1" applyAlignment="1">
      <alignment horizontal="center" vertical="center"/>
    </xf>
    <xf numFmtId="0" fontId="18" fillId="0" borderId="89" xfId="27" applyFont="1" applyBorder="1" applyAlignment="1">
      <alignment horizontal="center" vertical="center"/>
    </xf>
    <xf numFmtId="0" fontId="18" fillId="0" borderId="80" xfId="27" applyFont="1" applyBorder="1" applyAlignment="1">
      <alignment horizontal="center" vertical="center"/>
    </xf>
    <xf numFmtId="226" fontId="18" fillId="0" borderId="0" xfId="27" applyNumberFormat="1" applyFont="1" applyAlignment="1">
      <alignment vertical="center"/>
    </xf>
    <xf numFmtId="0" fontId="2" fillId="0" borderId="0" xfId="27" applyFont="1" applyAlignment="1">
      <alignment vertical="center"/>
    </xf>
    <xf numFmtId="318" fontId="77" fillId="0" borderId="0" xfId="27" applyNumberFormat="1" applyFont="1" applyAlignment="1">
      <alignment horizontal="center" vertical="center"/>
    </xf>
    <xf numFmtId="180" fontId="75" fillId="0" borderId="0" xfId="27" applyNumberFormat="1" applyFont="1" applyAlignment="1">
      <alignment horizontal="center" vertical="center"/>
    </xf>
    <xf numFmtId="180" fontId="76" fillId="0" borderId="0" xfId="27" applyNumberFormat="1" applyFont="1" applyAlignment="1">
      <alignment vertical="center"/>
    </xf>
    <xf numFmtId="0" fontId="18" fillId="0" borderId="0" xfId="27" applyFont="1" applyAlignment="1">
      <alignment horizontal="center" vertical="center"/>
    </xf>
    <xf numFmtId="0" fontId="18" fillId="0" borderId="107" xfId="27" applyFont="1" applyBorder="1" applyAlignment="1">
      <alignment horizontal="center" vertical="center"/>
    </xf>
    <xf numFmtId="0" fontId="18" fillId="0" borderId="108" xfId="27" applyFont="1" applyBorder="1" applyAlignment="1">
      <alignment horizontal="center" vertical="center"/>
    </xf>
    <xf numFmtId="0" fontId="18" fillId="0" borderId="109" xfId="27" applyFont="1" applyBorder="1" applyAlignment="1">
      <alignment horizontal="center" vertical="center"/>
    </xf>
    <xf numFmtId="0" fontId="18" fillId="0" borderId="110" xfId="27" applyFont="1" applyBorder="1" applyAlignment="1">
      <alignment horizontal="center" vertical="center"/>
    </xf>
    <xf numFmtId="0" fontId="57" fillId="0" borderId="97" xfId="27" applyFont="1" applyBorder="1" applyAlignment="1">
      <alignment horizontal="center" vertical="center"/>
    </xf>
    <xf numFmtId="0" fontId="57" fillId="0" borderId="89" xfId="27" applyFont="1" applyBorder="1" applyAlignment="1">
      <alignment horizontal="center" vertical="center"/>
    </xf>
    <xf numFmtId="0" fontId="18" fillId="0" borderId="40" xfId="27" applyFont="1" applyBorder="1" applyAlignment="1">
      <alignment horizontal="center" vertical="center"/>
    </xf>
    <xf numFmtId="0" fontId="78" fillId="0" borderId="97" xfId="27" applyFont="1" applyBorder="1" applyAlignment="1">
      <alignment horizontal="center" vertical="center" wrapText="1"/>
    </xf>
    <xf numFmtId="0" fontId="78" fillId="0" borderId="89" xfId="27" applyFont="1" applyBorder="1" applyAlignment="1">
      <alignment horizontal="center" vertical="center" wrapText="1"/>
    </xf>
    <xf numFmtId="183" fontId="27" fillId="0" borderId="0" xfId="0" applyNumberFormat="1" applyFont="1" applyFill="1" applyAlignment="1">
      <alignment horizontal="center" vertical="center"/>
    </xf>
    <xf numFmtId="41" fontId="33" fillId="0" borderId="0" xfId="17" applyNumberFormat="1" applyFont="1" applyFill="1" applyAlignment="1">
      <alignment horizontal="center" vertical="center"/>
    </xf>
    <xf numFmtId="244" fontId="37" fillId="0" borderId="0" xfId="0" applyNumberFormat="1" applyFont="1" applyFill="1" applyAlignment="1">
      <alignment horizontal="center" vertical="center"/>
    </xf>
    <xf numFmtId="180" fontId="33" fillId="0" borderId="112" xfId="0" applyNumberFormat="1" applyFont="1" applyFill="1" applyBorder="1" applyAlignment="1">
      <alignment horizontal="center" vertical="center"/>
    </xf>
    <xf numFmtId="180" fontId="33" fillId="0" borderId="113" xfId="0" applyNumberFormat="1" applyFont="1" applyFill="1" applyBorder="1" applyAlignment="1">
      <alignment horizontal="center" vertical="center"/>
    </xf>
    <xf numFmtId="180" fontId="33" fillId="0" borderId="114" xfId="0" applyNumberFormat="1" applyFont="1" applyFill="1" applyBorder="1" applyAlignment="1">
      <alignment horizontal="center" vertical="center"/>
    </xf>
    <xf numFmtId="184" fontId="33" fillId="0" borderId="0" xfId="17" applyNumberFormat="1" applyFont="1" applyFill="1" applyAlignment="1">
      <alignment horizontal="center" vertical="center"/>
    </xf>
    <xf numFmtId="43" fontId="37" fillId="0" borderId="0" xfId="0" applyNumberFormat="1" applyFont="1" applyFill="1" applyAlignment="1">
      <alignment horizontal="center" vertical="center"/>
    </xf>
    <xf numFmtId="0" fontId="79" fillId="0" borderId="97" xfId="0" applyFont="1" applyFill="1" applyBorder="1" applyAlignment="1">
      <alignment horizontal="center" vertical="center"/>
    </xf>
    <xf numFmtId="0" fontId="79" fillId="0" borderId="89" xfId="0" applyFont="1" applyFill="1" applyBorder="1" applyAlignment="1">
      <alignment horizontal="center" vertical="center"/>
    </xf>
    <xf numFmtId="0" fontId="33" fillId="0" borderId="80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36" fontId="37" fillId="0" borderId="0" xfId="0" applyNumberFormat="1" applyFont="1" applyFill="1" applyAlignment="1">
      <alignment horizontal="center" vertical="center"/>
    </xf>
    <xf numFmtId="2" fontId="33" fillId="0" borderId="57" xfId="0" applyNumberFormat="1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71" fillId="0" borderId="80" xfId="0" applyFont="1" applyFill="1" applyBorder="1" applyAlignment="1">
      <alignment horizontal="center" vertical="center" wrapText="1"/>
    </xf>
    <xf numFmtId="185" fontId="33" fillId="0" borderId="0" xfId="17" applyNumberFormat="1" applyFont="1" applyFill="1" applyAlignment="1">
      <alignment horizontal="center" vertical="center"/>
    </xf>
    <xf numFmtId="236" fontId="33" fillId="0" borderId="112" xfId="0" applyNumberFormat="1" applyFont="1" applyFill="1" applyBorder="1" applyAlignment="1">
      <alignment horizontal="center" vertical="center"/>
    </xf>
    <xf numFmtId="236" fontId="33" fillId="0" borderId="113" xfId="0" applyNumberFormat="1" applyFont="1" applyFill="1" applyBorder="1" applyAlignment="1">
      <alignment horizontal="center" vertical="center"/>
    </xf>
    <xf numFmtId="236" fontId="33" fillId="0" borderId="114" xfId="0" applyNumberFormat="1" applyFont="1" applyFill="1" applyBorder="1" applyAlignment="1">
      <alignment horizontal="center" vertical="center"/>
    </xf>
    <xf numFmtId="320" fontId="70" fillId="0" borderId="0" xfId="0" applyNumberFormat="1" applyFont="1" applyFill="1" applyAlignment="1">
      <alignment horizontal="center" vertical="center"/>
    </xf>
    <xf numFmtId="225" fontId="70" fillId="0" borderId="0" xfId="17" applyNumberFormat="1" applyFont="1" applyFill="1" applyAlignment="1">
      <alignment horizontal="center" vertical="center"/>
    </xf>
    <xf numFmtId="225" fontId="70" fillId="0" borderId="0" xfId="0" applyNumberFormat="1" applyFont="1" applyFill="1" applyAlignment="1">
      <alignment horizontal="center" vertical="center"/>
    </xf>
    <xf numFmtId="0" fontId="27" fillId="0" borderId="112" xfId="0" applyFont="1" applyFill="1" applyBorder="1" applyAlignment="1">
      <alignment horizontal="center" vertical="center"/>
    </xf>
    <xf numFmtId="2" fontId="33" fillId="0" borderId="1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25" fontId="5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26" fontId="18" fillId="0" borderId="0" xfId="0" applyNumberFormat="1" applyFont="1" applyAlignment="1">
      <alignment vertical="center"/>
    </xf>
    <xf numFmtId="227" fontId="77" fillId="0" borderId="0" xfId="0" applyNumberFormat="1" applyFont="1" applyAlignment="1">
      <alignment horizontal="left" vertical="center"/>
    </xf>
    <xf numFmtId="319" fontId="57" fillId="0" borderId="0" xfId="0" applyNumberFormat="1" applyFont="1" applyAlignment="1">
      <alignment horizontal="center" vertical="center"/>
    </xf>
    <xf numFmtId="319" fontId="2" fillId="0" borderId="0" xfId="0" applyNumberFormat="1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177" fontId="57" fillId="0" borderId="112" xfId="0" applyNumberFormat="1" applyFont="1" applyBorder="1" applyAlignment="1">
      <alignment horizontal="center" vertical="center" wrapText="1"/>
    </xf>
    <xf numFmtId="177" fontId="57" fillId="0" borderId="113" xfId="0" applyNumberFormat="1" applyFont="1" applyBorder="1" applyAlignment="1">
      <alignment horizontal="center" vertical="center" wrapText="1"/>
    </xf>
    <xf numFmtId="0" fontId="57" fillId="0" borderId="112" xfId="0" applyFont="1" applyBorder="1" applyAlignment="1">
      <alignment horizontal="center" vertical="center"/>
    </xf>
    <xf numFmtId="0" fontId="57" fillId="0" borderId="113" xfId="0" applyFont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97" xfId="0" applyFont="1" applyBorder="1" applyAlignment="1">
      <alignment horizontal="center" vertical="center"/>
    </xf>
    <xf numFmtId="0" fontId="57" fillId="0" borderId="8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218" fontId="82" fillId="0" borderId="0" xfId="0" applyNumberFormat="1" applyFont="1" applyFill="1" applyBorder="1" applyAlignment="1">
      <alignment horizontal="right" vertical="center"/>
    </xf>
    <xf numFmtId="4" fontId="82" fillId="0" borderId="0" xfId="0" applyNumberFormat="1" applyFont="1" applyFill="1" applyBorder="1" applyAlignment="1">
      <alignment horizontal="center" vertical="center"/>
    </xf>
    <xf numFmtId="9" fontId="102" fillId="0" borderId="0" xfId="1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</cellXfs>
  <cellStyles count="55">
    <cellStyle name="1월" xfId="1"/>
    <cellStyle name="columns_array" xfId="35"/>
    <cellStyle name="Comma [0]_ SG&amp;A Bridge " xfId="36"/>
    <cellStyle name="Comma_ SG&amp;A Bridge " xfId="37"/>
    <cellStyle name="Currency [0]_ SG&amp;A Bridge " xfId="38"/>
    <cellStyle name="Currency_ SG&amp;A Bridge " xfId="39"/>
    <cellStyle name="Grey" xfId="40"/>
    <cellStyle name="Input [yellow]" xfId="41"/>
    <cellStyle name="Input [yellow] 10" xfId="46"/>
    <cellStyle name="Input [yellow] 2" xfId="50"/>
    <cellStyle name="Input [yellow] 3" xfId="49"/>
    <cellStyle name="Input [yellow] 4" xfId="52"/>
    <cellStyle name="Input [yellow] 5" xfId="54"/>
    <cellStyle name="Input [yellow] 6" xfId="48"/>
    <cellStyle name="Input [yellow] 7" xfId="53"/>
    <cellStyle name="Input [yellow] 8" xfId="51"/>
    <cellStyle name="Input [yellow] 9" xfId="47"/>
    <cellStyle name="MS Proofing Tools" xfId="42"/>
    <cellStyle name="Normal - Style1" xfId="43"/>
    <cellStyle name="Normal_ SG&amp;A Bridge " xfId="44"/>
    <cellStyle name="Percent [2]" xfId="45"/>
    <cellStyle name="고정소숫점" xfId="2"/>
    <cellStyle name="고정출력1" xfId="3"/>
    <cellStyle name="고정출력2" xfId="4"/>
    <cellStyle name="날짜" xfId="5"/>
    <cellStyle name="달러" xfId="6"/>
    <cellStyle name="똿뗦먛귟 [0.00]_PRODUCT DETAIL Q1" xfId="7"/>
    <cellStyle name="똿뗦먛귟_PRODUCT DETAIL Q1" xfId="8"/>
    <cellStyle name="믅됞 [0.00]_PRODUCT DETAIL Q1" xfId="9"/>
    <cellStyle name="믅됞_PRODUCT DETAIL Q1" xfId="10"/>
    <cellStyle name="백분율" xfId="11" builtinId="5"/>
    <cellStyle name="백분율 2" xfId="12"/>
    <cellStyle name="백분율 3" xfId="13"/>
    <cellStyle name="뷭?_BOOKSHIP" xfId="14"/>
    <cellStyle name="숫자(R)" xfId="15"/>
    <cellStyle name="숫자(R) 2" xfId="16"/>
    <cellStyle name="쉼표 [0]" xfId="17" builtinId="6"/>
    <cellStyle name="쉼표 [0] 2" xfId="18"/>
    <cellStyle name="쉼표 [0] 3" xfId="19"/>
    <cellStyle name="자리수" xfId="20"/>
    <cellStyle name="자리수0" xfId="21"/>
    <cellStyle name="콤마 [0]_ 대    형 " xfId="22"/>
    <cellStyle name="콤마_ 대    형 " xfId="23"/>
    <cellStyle name="통화 [0]" xfId="24" builtinId="7"/>
    <cellStyle name="퍼센트" xfId="25"/>
    <cellStyle name="퍼센트 2" xfId="26"/>
    <cellStyle name="표준" xfId="0" builtinId="0"/>
    <cellStyle name="표준 2" xfId="27"/>
    <cellStyle name="표준 3" xfId="28"/>
    <cellStyle name="표준_Book2" xfId="31"/>
    <cellStyle name="표준_가평-용량계산서(일최대 기준)최종1800" xfId="29"/>
    <cellStyle name="표준_보령물질수지" xfId="30"/>
    <cellStyle name="합산" xfId="32"/>
    <cellStyle name="화폐기호" xfId="33"/>
    <cellStyle name="화폐기호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17</xdr:row>
      <xdr:rowOff>9525</xdr:rowOff>
    </xdr:from>
    <xdr:to>
      <xdr:col>4</xdr:col>
      <xdr:colOff>9525</xdr:colOff>
      <xdr:row>17</xdr:row>
      <xdr:rowOff>9525</xdr:rowOff>
    </xdr:to>
    <xdr:sp macro="" textlink="">
      <xdr:nvSpPr>
        <xdr:cNvPr id="112097" name="Line 1"/>
        <xdr:cNvSpPr>
          <a:spLocks noChangeShapeType="1"/>
        </xdr:cNvSpPr>
      </xdr:nvSpPr>
      <xdr:spPr bwMode="auto">
        <a:xfrm>
          <a:off x="942975" y="1990725"/>
          <a:ext cx="390525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76200</xdr:rowOff>
    </xdr:from>
    <xdr:to>
      <xdr:col>9</xdr:col>
      <xdr:colOff>447675</xdr:colOff>
      <xdr:row>16</xdr:row>
      <xdr:rowOff>76200</xdr:rowOff>
    </xdr:to>
    <xdr:sp macro="" textlink="">
      <xdr:nvSpPr>
        <xdr:cNvPr id="112098" name="Line 2"/>
        <xdr:cNvSpPr>
          <a:spLocks noChangeShapeType="1"/>
        </xdr:cNvSpPr>
      </xdr:nvSpPr>
      <xdr:spPr bwMode="auto">
        <a:xfrm>
          <a:off x="2495550" y="1943100"/>
          <a:ext cx="1171575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9525</xdr:colOff>
      <xdr:row>17</xdr:row>
      <xdr:rowOff>0</xdr:rowOff>
    </xdr:from>
    <xdr:to>
      <xdr:col>17</xdr:col>
      <xdr:colOff>19050</xdr:colOff>
      <xdr:row>17</xdr:row>
      <xdr:rowOff>0</xdr:rowOff>
    </xdr:to>
    <xdr:sp macro="" textlink="">
      <xdr:nvSpPr>
        <xdr:cNvPr id="112099" name="Line 4"/>
        <xdr:cNvSpPr>
          <a:spLocks noChangeShapeType="1"/>
        </xdr:cNvSpPr>
      </xdr:nvSpPr>
      <xdr:spPr bwMode="auto">
        <a:xfrm>
          <a:off x="5657850" y="1981200"/>
          <a:ext cx="790575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285750</xdr:colOff>
      <xdr:row>16</xdr:row>
      <xdr:rowOff>76200</xdr:rowOff>
    </xdr:from>
    <xdr:to>
      <xdr:col>8</xdr:col>
      <xdr:colOff>285750</xdr:colOff>
      <xdr:row>28</xdr:row>
      <xdr:rowOff>123825</xdr:rowOff>
    </xdr:to>
    <xdr:sp macro="" textlink="">
      <xdr:nvSpPr>
        <xdr:cNvPr id="112100" name="Line 6"/>
        <xdr:cNvSpPr>
          <a:spLocks noChangeShapeType="1"/>
        </xdr:cNvSpPr>
      </xdr:nvSpPr>
      <xdr:spPr bwMode="auto">
        <a:xfrm flipV="1">
          <a:off x="3171825" y="1943100"/>
          <a:ext cx="0" cy="1409700"/>
        </a:xfrm>
        <a:prstGeom prst="line">
          <a:avLst/>
        </a:prstGeom>
        <a:noFill/>
        <a:ln w="15240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9</xdr:col>
      <xdr:colOff>238125</xdr:colOff>
      <xdr:row>26</xdr:row>
      <xdr:rowOff>123825</xdr:rowOff>
    </xdr:from>
    <xdr:to>
      <xdr:col>17</xdr:col>
      <xdr:colOff>266700</xdr:colOff>
      <xdr:row>26</xdr:row>
      <xdr:rowOff>123825</xdr:rowOff>
    </xdr:to>
    <xdr:sp macro="" textlink="">
      <xdr:nvSpPr>
        <xdr:cNvPr id="112101" name="Line 8"/>
        <xdr:cNvSpPr>
          <a:spLocks noChangeShapeType="1"/>
        </xdr:cNvSpPr>
      </xdr:nvSpPr>
      <xdr:spPr bwMode="auto">
        <a:xfrm flipH="1">
          <a:off x="3514725" y="3124200"/>
          <a:ext cx="31813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381000</xdr:colOff>
      <xdr:row>17</xdr:row>
      <xdr:rowOff>19050</xdr:rowOff>
    </xdr:from>
    <xdr:to>
      <xdr:col>8</xdr:col>
      <xdr:colOff>381000</xdr:colOff>
      <xdr:row>28</xdr:row>
      <xdr:rowOff>104775</xdr:rowOff>
    </xdr:to>
    <xdr:sp macro="" textlink="">
      <xdr:nvSpPr>
        <xdr:cNvPr id="112102" name="Line 10"/>
        <xdr:cNvSpPr>
          <a:spLocks noChangeShapeType="1"/>
        </xdr:cNvSpPr>
      </xdr:nvSpPr>
      <xdr:spPr bwMode="auto">
        <a:xfrm flipV="1">
          <a:off x="3341688" y="1947863"/>
          <a:ext cx="0" cy="130810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12103" name="Line 11"/>
        <xdr:cNvSpPr>
          <a:spLocks noChangeShapeType="1"/>
        </xdr:cNvSpPr>
      </xdr:nvSpPr>
      <xdr:spPr bwMode="auto">
        <a:xfrm>
          <a:off x="4448175" y="11811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333375</xdr:colOff>
      <xdr:row>61</xdr:row>
      <xdr:rowOff>0</xdr:rowOff>
    </xdr:from>
    <xdr:to>
      <xdr:col>44</xdr:col>
      <xdr:colOff>333375</xdr:colOff>
      <xdr:row>61</xdr:row>
      <xdr:rowOff>0</xdr:rowOff>
    </xdr:to>
    <xdr:sp macro="" textlink="">
      <xdr:nvSpPr>
        <xdr:cNvPr id="112104" name="Line 17"/>
        <xdr:cNvSpPr>
          <a:spLocks noChangeShapeType="1"/>
        </xdr:cNvSpPr>
      </xdr:nvSpPr>
      <xdr:spPr bwMode="auto">
        <a:xfrm>
          <a:off x="20421600" y="7010400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228600</xdr:colOff>
      <xdr:row>17</xdr:row>
      <xdr:rowOff>76200</xdr:rowOff>
    </xdr:from>
    <xdr:to>
      <xdr:col>9</xdr:col>
      <xdr:colOff>228600</xdr:colOff>
      <xdr:row>28</xdr:row>
      <xdr:rowOff>114300</xdr:rowOff>
    </xdr:to>
    <xdr:sp macro="" textlink="">
      <xdr:nvSpPr>
        <xdr:cNvPr id="112105" name="Line 20"/>
        <xdr:cNvSpPr>
          <a:spLocks noChangeShapeType="1"/>
        </xdr:cNvSpPr>
      </xdr:nvSpPr>
      <xdr:spPr bwMode="auto">
        <a:xfrm flipV="1">
          <a:off x="3505200" y="2057400"/>
          <a:ext cx="0" cy="1295400"/>
        </a:xfrm>
        <a:prstGeom prst="line">
          <a:avLst/>
        </a:prstGeom>
        <a:noFill/>
        <a:ln w="15240">
          <a:solidFill>
            <a:srgbClr val="000000"/>
          </a:solidFill>
          <a:prstDash val="sysDot"/>
          <a:round/>
          <a:headEnd type="triangle" w="med" len="med"/>
          <a:tailEnd/>
        </a:ln>
      </xdr:spPr>
    </xdr:sp>
    <xdr:clientData/>
  </xdr:twoCellAnchor>
  <xdr:twoCellAnchor>
    <xdr:from>
      <xdr:col>9</xdr:col>
      <xdr:colOff>238125</xdr:colOff>
      <xdr:row>17</xdr:row>
      <xdr:rowOff>76200</xdr:rowOff>
    </xdr:from>
    <xdr:to>
      <xdr:col>10</xdr:col>
      <xdr:colOff>0</xdr:colOff>
      <xdr:row>17</xdr:row>
      <xdr:rowOff>76200</xdr:rowOff>
    </xdr:to>
    <xdr:sp macro="" textlink="">
      <xdr:nvSpPr>
        <xdr:cNvPr id="112106" name="Line 24"/>
        <xdr:cNvSpPr>
          <a:spLocks noChangeShapeType="1"/>
        </xdr:cNvSpPr>
      </xdr:nvSpPr>
      <xdr:spPr bwMode="auto">
        <a:xfrm>
          <a:off x="3514725" y="2057400"/>
          <a:ext cx="152400" cy="0"/>
        </a:xfrm>
        <a:prstGeom prst="line">
          <a:avLst/>
        </a:prstGeom>
        <a:noFill/>
        <a:ln w="1524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388935</xdr:colOff>
      <xdr:row>13</xdr:row>
      <xdr:rowOff>47625</xdr:rowOff>
    </xdr:from>
    <xdr:to>
      <xdr:col>8</xdr:col>
      <xdr:colOff>388935</xdr:colOff>
      <xdr:row>16</xdr:row>
      <xdr:rowOff>28575</xdr:rowOff>
    </xdr:to>
    <xdr:sp macro="" textlink="">
      <xdr:nvSpPr>
        <xdr:cNvPr id="112107" name="Line 27"/>
        <xdr:cNvSpPr>
          <a:spLocks noChangeShapeType="1"/>
        </xdr:cNvSpPr>
      </xdr:nvSpPr>
      <xdr:spPr bwMode="auto">
        <a:xfrm flipV="1">
          <a:off x="3349623" y="1531938"/>
          <a:ext cx="0" cy="314325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400050</xdr:colOff>
      <xdr:row>13</xdr:row>
      <xdr:rowOff>9525</xdr:rowOff>
    </xdr:from>
    <xdr:to>
      <xdr:col>14</xdr:col>
      <xdr:colOff>400050</xdr:colOff>
      <xdr:row>15</xdr:row>
      <xdr:rowOff>123825</xdr:rowOff>
    </xdr:to>
    <xdr:sp macro="" textlink="">
      <xdr:nvSpPr>
        <xdr:cNvPr id="112108" name="Line 28"/>
        <xdr:cNvSpPr>
          <a:spLocks noChangeShapeType="1"/>
        </xdr:cNvSpPr>
      </xdr:nvSpPr>
      <xdr:spPr bwMode="auto">
        <a:xfrm flipV="1">
          <a:off x="5648325" y="153352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381000</xdr:colOff>
      <xdr:row>13</xdr:row>
      <xdr:rowOff>0</xdr:rowOff>
    </xdr:from>
    <xdr:to>
      <xdr:col>10</xdr:col>
      <xdr:colOff>381000</xdr:colOff>
      <xdr:row>15</xdr:row>
      <xdr:rowOff>114300</xdr:rowOff>
    </xdr:to>
    <xdr:sp macro="" textlink="">
      <xdr:nvSpPr>
        <xdr:cNvPr id="112109" name="Line 29"/>
        <xdr:cNvSpPr>
          <a:spLocks noChangeShapeType="1"/>
        </xdr:cNvSpPr>
      </xdr:nvSpPr>
      <xdr:spPr bwMode="auto">
        <a:xfrm>
          <a:off x="4048125" y="15240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390525</xdr:colOff>
      <xdr:row>13</xdr:row>
      <xdr:rowOff>0</xdr:rowOff>
    </xdr:from>
    <xdr:to>
      <xdr:col>14</xdr:col>
      <xdr:colOff>390525</xdr:colOff>
      <xdr:row>13</xdr:row>
      <xdr:rowOff>0</xdr:rowOff>
    </xdr:to>
    <xdr:sp macro="" textlink="">
      <xdr:nvSpPr>
        <xdr:cNvPr id="112110" name="Line 30"/>
        <xdr:cNvSpPr>
          <a:spLocks noChangeShapeType="1"/>
        </xdr:cNvSpPr>
      </xdr:nvSpPr>
      <xdr:spPr bwMode="auto">
        <a:xfrm flipH="1" flipV="1">
          <a:off x="4057650" y="152400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13</xdr:row>
      <xdr:rowOff>47625</xdr:rowOff>
    </xdr:from>
    <xdr:to>
      <xdr:col>10</xdr:col>
      <xdr:colOff>200025</xdr:colOff>
      <xdr:row>13</xdr:row>
      <xdr:rowOff>47625</xdr:rowOff>
    </xdr:to>
    <xdr:sp macro="" textlink="">
      <xdr:nvSpPr>
        <xdr:cNvPr id="112111" name="Line 31"/>
        <xdr:cNvSpPr>
          <a:spLocks noChangeShapeType="1"/>
        </xdr:cNvSpPr>
      </xdr:nvSpPr>
      <xdr:spPr bwMode="auto">
        <a:xfrm>
          <a:off x="3267075" y="1571625"/>
          <a:ext cx="600075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190500</xdr:colOff>
      <xdr:row>13</xdr:row>
      <xdr:rowOff>38100</xdr:rowOff>
    </xdr:from>
    <xdr:to>
      <xdr:col>10</xdr:col>
      <xdr:colOff>190500</xdr:colOff>
      <xdr:row>15</xdr:row>
      <xdr:rowOff>114300</xdr:rowOff>
    </xdr:to>
    <xdr:sp macro="" textlink="">
      <xdr:nvSpPr>
        <xdr:cNvPr id="112112" name="Line 32"/>
        <xdr:cNvSpPr>
          <a:spLocks noChangeShapeType="1"/>
        </xdr:cNvSpPr>
      </xdr:nvSpPr>
      <xdr:spPr bwMode="auto">
        <a:xfrm flipV="1">
          <a:off x="3857625" y="1562100"/>
          <a:ext cx="0" cy="304800"/>
        </a:xfrm>
        <a:prstGeom prst="line">
          <a:avLst/>
        </a:prstGeom>
        <a:noFill/>
        <a:ln w="15240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16</xdr:col>
      <xdr:colOff>19049</xdr:colOff>
      <xdr:row>47</xdr:row>
      <xdr:rowOff>19047</xdr:rowOff>
    </xdr:from>
    <xdr:to>
      <xdr:col>17</xdr:col>
      <xdr:colOff>301624</xdr:colOff>
      <xdr:row>47</xdr:row>
      <xdr:rowOff>19047</xdr:rowOff>
    </xdr:to>
    <xdr:sp macro="" textlink="">
      <xdr:nvSpPr>
        <xdr:cNvPr id="112113" name="Line 221"/>
        <xdr:cNvSpPr>
          <a:spLocks noChangeShapeType="1"/>
        </xdr:cNvSpPr>
      </xdr:nvSpPr>
      <xdr:spPr bwMode="auto">
        <a:xfrm flipH="1" flipV="1">
          <a:off x="6035674" y="5281610"/>
          <a:ext cx="671513" cy="0"/>
        </a:xfrm>
        <a:prstGeom prst="line">
          <a:avLst/>
        </a:prstGeom>
        <a:noFill/>
        <a:ln w="1524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47</xdr:row>
      <xdr:rowOff>19050</xdr:rowOff>
    </xdr:from>
    <xdr:to>
      <xdr:col>13</xdr:col>
      <xdr:colOff>0</xdr:colOff>
      <xdr:row>47</xdr:row>
      <xdr:rowOff>19050</xdr:rowOff>
    </xdr:to>
    <xdr:sp macro="" textlink="">
      <xdr:nvSpPr>
        <xdr:cNvPr id="112114" name="Line 866"/>
        <xdr:cNvSpPr>
          <a:spLocks noChangeShapeType="1"/>
        </xdr:cNvSpPr>
      </xdr:nvSpPr>
      <xdr:spPr bwMode="auto">
        <a:xfrm flipH="1">
          <a:off x="3667125" y="5429250"/>
          <a:ext cx="1171575" cy="0"/>
        </a:xfrm>
        <a:prstGeom prst="line">
          <a:avLst/>
        </a:prstGeom>
        <a:noFill/>
        <a:ln w="1524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</xdr:colOff>
      <xdr:row>47</xdr:row>
      <xdr:rowOff>19050</xdr:rowOff>
    </xdr:from>
    <xdr:to>
      <xdr:col>6</xdr:col>
      <xdr:colOff>381000</xdr:colOff>
      <xdr:row>47</xdr:row>
      <xdr:rowOff>19050</xdr:rowOff>
    </xdr:to>
    <xdr:sp macro="" textlink="">
      <xdr:nvSpPr>
        <xdr:cNvPr id="112115" name="Line 881"/>
        <xdr:cNvSpPr>
          <a:spLocks noChangeShapeType="1"/>
        </xdr:cNvSpPr>
      </xdr:nvSpPr>
      <xdr:spPr bwMode="auto">
        <a:xfrm flipH="1">
          <a:off x="1333500" y="5429250"/>
          <a:ext cx="1152525" cy="0"/>
        </a:xfrm>
        <a:prstGeom prst="line">
          <a:avLst/>
        </a:prstGeom>
        <a:noFill/>
        <a:ln w="1524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485775</xdr:colOff>
      <xdr:row>17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112116" name="Line 4"/>
        <xdr:cNvSpPr>
          <a:spLocks noChangeShapeType="1"/>
        </xdr:cNvSpPr>
      </xdr:nvSpPr>
      <xdr:spPr bwMode="auto">
        <a:xfrm>
          <a:off x="7210425" y="1981200"/>
          <a:ext cx="781050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485775</xdr:colOff>
      <xdr:row>17</xdr:row>
      <xdr:rowOff>0</xdr:rowOff>
    </xdr:from>
    <xdr:to>
      <xdr:col>24</xdr:col>
      <xdr:colOff>457200</xdr:colOff>
      <xdr:row>17</xdr:row>
      <xdr:rowOff>0</xdr:rowOff>
    </xdr:to>
    <xdr:sp macro="" textlink="">
      <xdr:nvSpPr>
        <xdr:cNvPr id="112117" name="Line 4"/>
        <xdr:cNvSpPr>
          <a:spLocks noChangeShapeType="1"/>
        </xdr:cNvSpPr>
      </xdr:nvSpPr>
      <xdr:spPr bwMode="auto">
        <a:xfrm>
          <a:off x="8772525" y="1981200"/>
          <a:ext cx="781050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297505</xdr:colOff>
      <xdr:row>18</xdr:row>
      <xdr:rowOff>9525</xdr:rowOff>
    </xdr:from>
    <xdr:to>
      <xdr:col>17</xdr:col>
      <xdr:colOff>297505</xdr:colOff>
      <xdr:row>46</xdr:row>
      <xdr:rowOff>103187</xdr:rowOff>
    </xdr:to>
    <xdr:sp macro="" textlink="">
      <xdr:nvSpPr>
        <xdr:cNvPr id="112118" name="Line 34"/>
        <xdr:cNvSpPr>
          <a:spLocks noChangeShapeType="1"/>
        </xdr:cNvSpPr>
      </xdr:nvSpPr>
      <xdr:spPr bwMode="auto">
        <a:xfrm flipH="1">
          <a:off x="6703068" y="2049463"/>
          <a:ext cx="0" cy="3205162"/>
        </a:xfrm>
        <a:prstGeom prst="line">
          <a:avLst/>
        </a:prstGeom>
        <a:noFill/>
        <a:ln w="1524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15</xdr:col>
      <xdr:colOff>466725</xdr:colOff>
      <xdr:row>13</xdr:row>
      <xdr:rowOff>0</xdr:rowOff>
    </xdr:from>
    <xdr:to>
      <xdr:col>16</xdr:col>
      <xdr:colOff>0</xdr:colOff>
      <xdr:row>17</xdr:row>
      <xdr:rowOff>0</xdr:rowOff>
    </xdr:to>
    <xdr:cxnSp macro="">
      <xdr:nvCxnSpPr>
        <xdr:cNvPr id="112119" name="직선 화살표 연결선 28"/>
        <xdr:cNvCxnSpPr>
          <a:cxnSpLocks noChangeShapeType="1"/>
        </xdr:cNvCxnSpPr>
      </xdr:nvCxnSpPr>
      <xdr:spPr bwMode="auto">
        <a:xfrm rot="16200000" flipH="1">
          <a:off x="5810250" y="1752600"/>
          <a:ext cx="457200" cy="0"/>
        </a:xfrm>
        <a:prstGeom prst="straightConnector1">
          <a:avLst/>
        </a:prstGeom>
        <a:noFill/>
        <a:ln w="9525" algn="ctr">
          <a:solidFill>
            <a:srgbClr val="FF0000"/>
          </a:solidFill>
          <a:prstDash val="lgDashDot"/>
          <a:round/>
          <a:headEnd/>
          <a:tailEnd type="arrow" w="med" len="med"/>
        </a:ln>
      </xdr:spPr>
    </xdr:cxnSp>
    <xdr:clientData/>
  </xdr:twoCellAnchor>
  <xdr:twoCellAnchor>
    <xdr:from>
      <xdr:col>17</xdr:col>
      <xdr:colOff>295275</xdr:colOff>
      <xdr:row>40</xdr:row>
      <xdr:rowOff>0</xdr:rowOff>
    </xdr:from>
    <xdr:to>
      <xdr:col>18</xdr:col>
      <xdr:colOff>0</xdr:colOff>
      <xdr:row>40</xdr:row>
      <xdr:rowOff>0</xdr:rowOff>
    </xdr:to>
    <xdr:cxnSp macro="">
      <xdr:nvCxnSpPr>
        <xdr:cNvPr id="112120" name="직선 연결선 32"/>
        <xdr:cNvCxnSpPr>
          <a:cxnSpLocks noChangeShapeType="1"/>
        </xdr:cNvCxnSpPr>
      </xdr:nvCxnSpPr>
      <xdr:spPr bwMode="auto">
        <a:xfrm rot="10800000">
          <a:off x="6724650" y="4610100"/>
          <a:ext cx="952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19050</xdr:colOff>
      <xdr:row>36</xdr:row>
      <xdr:rowOff>0</xdr:rowOff>
    </xdr:from>
    <xdr:to>
      <xdr:col>5</xdr:col>
      <xdr:colOff>142875</xdr:colOff>
      <xdr:row>36</xdr:row>
      <xdr:rowOff>0</xdr:rowOff>
    </xdr:to>
    <xdr:cxnSp macro="">
      <xdr:nvCxnSpPr>
        <xdr:cNvPr id="112121" name="직선 연결선 32"/>
        <xdr:cNvCxnSpPr>
          <a:cxnSpLocks noChangeShapeType="1"/>
        </xdr:cNvCxnSpPr>
      </xdr:nvCxnSpPr>
      <xdr:spPr bwMode="auto">
        <a:xfrm rot="10800000">
          <a:off x="1343025" y="4152900"/>
          <a:ext cx="5143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142875</xdr:colOff>
      <xdr:row>18</xdr:row>
      <xdr:rowOff>0</xdr:rowOff>
    </xdr:from>
    <xdr:to>
      <xdr:col>5</xdr:col>
      <xdr:colOff>142875</xdr:colOff>
      <xdr:row>47</xdr:row>
      <xdr:rowOff>19050</xdr:rowOff>
    </xdr:to>
    <xdr:cxnSp macro="">
      <xdr:nvCxnSpPr>
        <xdr:cNvPr id="112122" name="직선 화살표 연결선 36"/>
        <xdr:cNvCxnSpPr>
          <a:cxnSpLocks noChangeShapeType="1"/>
        </xdr:cNvCxnSpPr>
      </xdr:nvCxnSpPr>
      <xdr:spPr bwMode="auto">
        <a:xfrm rot="5400000" flipH="1" flipV="1">
          <a:off x="190500" y="3762375"/>
          <a:ext cx="3333750" cy="0"/>
        </a:xfrm>
        <a:prstGeom prst="straightConnector1">
          <a:avLst/>
        </a:prstGeom>
        <a:noFill/>
        <a:ln w="9525" algn="ctr">
          <a:solidFill>
            <a:srgbClr val="000000"/>
          </a:solidFill>
          <a:prstDash val="lgDashDot"/>
          <a:round/>
          <a:headEnd/>
          <a:tailEnd type="triangle" w="med" len="med"/>
        </a:ln>
      </xdr:spPr>
    </xdr:cxnSp>
    <xdr:clientData/>
  </xdr:twoCellAnchor>
  <xdr:twoCellAnchor>
    <xdr:from>
      <xdr:col>22</xdr:col>
      <xdr:colOff>9525</xdr:colOff>
      <xdr:row>24</xdr:row>
      <xdr:rowOff>19050</xdr:rowOff>
    </xdr:from>
    <xdr:to>
      <xdr:col>22</xdr:col>
      <xdr:colOff>9525</xdr:colOff>
      <xdr:row>34</xdr:row>
      <xdr:rowOff>19050</xdr:rowOff>
    </xdr:to>
    <xdr:sp macro="" textlink="">
      <xdr:nvSpPr>
        <xdr:cNvPr id="112123" name="Line 877"/>
        <xdr:cNvSpPr>
          <a:spLocks noChangeShapeType="1"/>
        </xdr:cNvSpPr>
      </xdr:nvSpPr>
      <xdr:spPr bwMode="auto">
        <a:xfrm>
          <a:off x="8391525" y="28003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5</xdr:col>
      <xdr:colOff>158748</xdr:colOff>
      <xdr:row>34</xdr:row>
      <xdr:rowOff>4762</xdr:rowOff>
    </xdr:from>
    <xdr:to>
      <xdr:col>22</xdr:col>
      <xdr:colOff>8373</xdr:colOff>
      <xdr:row>34</xdr:row>
      <xdr:rowOff>4762</xdr:rowOff>
    </xdr:to>
    <xdr:sp macro="" textlink="">
      <xdr:nvSpPr>
        <xdr:cNvPr id="112124" name="Line 877"/>
        <xdr:cNvSpPr>
          <a:spLocks noChangeShapeType="1"/>
        </xdr:cNvSpPr>
      </xdr:nvSpPr>
      <xdr:spPr bwMode="auto">
        <a:xfrm rot="16200000" flipH="1">
          <a:off x="5227061" y="516512"/>
          <a:ext cx="0" cy="666000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</xdr:col>
      <xdr:colOff>85722</xdr:colOff>
      <xdr:row>16</xdr:row>
      <xdr:rowOff>109535</xdr:rowOff>
    </xdr:from>
    <xdr:to>
      <xdr:col>3</xdr:col>
      <xdr:colOff>85722</xdr:colOff>
      <xdr:row>20</xdr:row>
      <xdr:rowOff>133035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1022347" y="1927223"/>
          <a:ext cx="0" cy="46800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1587</xdr:colOff>
      <xdr:row>25</xdr:row>
      <xdr:rowOff>1588</xdr:rowOff>
    </xdr:from>
    <xdr:to>
      <xdr:col>5</xdr:col>
      <xdr:colOff>125412</xdr:colOff>
      <xdr:row>25</xdr:row>
      <xdr:rowOff>1588</xdr:rowOff>
    </xdr:to>
    <xdr:cxnSp macro="">
      <xdr:nvCxnSpPr>
        <xdr:cNvPr id="32" name="직선 연결선 32"/>
        <xdr:cNvCxnSpPr>
          <a:cxnSpLocks noChangeShapeType="1"/>
        </xdr:cNvCxnSpPr>
      </xdr:nvCxnSpPr>
      <xdr:spPr bwMode="auto">
        <a:xfrm rot="10800000">
          <a:off x="1327150" y="2843213"/>
          <a:ext cx="512762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206</xdr:row>
      <xdr:rowOff>0</xdr:rowOff>
    </xdr:from>
    <xdr:to>
      <xdr:col>2</xdr:col>
      <xdr:colOff>304800</xdr:colOff>
      <xdr:row>291</xdr:row>
      <xdr:rowOff>238125</xdr:rowOff>
    </xdr:to>
    <xdr:sp macro="" textlink="">
      <xdr:nvSpPr>
        <xdr:cNvPr id="83703" name="AutoShape 10" descr="PIC4F"/>
        <xdr:cNvSpPr>
          <a:spLocks noChangeAspect="1" noChangeArrowheads="1"/>
        </xdr:cNvSpPr>
      </xdr:nvSpPr>
      <xdr:spPr bwMode="auto">
        <a:xfrm>
          <a:off x="1504950" y="48387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206</xdr:row>
      <xdr:rowOff>0</xdr:rowOff>
    </xdr:from>
    <xdr:to>
      <xdr:col>2</xdr:col>
      <xdr:colOff>304800</xdr:colOff>
      <xdr:row>291</xdr:row>
      <xdr:rowOff>238125</xdr:rowOff>
    </xdr:to>
    <xdr:sp macro="" textlink="">
      <xdr:nvSpPr>
        <xdr:cNvPr id="2" name="AutoShape 10" descr="PIC4F"/>
        <xdr:cNvSpPr>
          <a:spLocks noChangeAspect="1" noChangeArrowheads="1"/>
        </xdr:cNvSpPr>
      </xdr:nvSpPr>
      <xdr:spPr bwMode="auto">
        <a:xfrm>
          <a:off x="1504950" y="315849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206</xdr:row>
      <xdr:rowOff>0</xdr:rowOff>
    </xdr:from>
    <xdr:to>
      <xdr:col>2</xdr:col>
      <xdr:colOff>304800</xdr:colOff>
      <xdr:row>291</xdr:row>
      <xdr:rowOff>238125</xdr:rowOff>
    </xdr:to>
    <xdr:sp macro="" textlink="">
      <xdr:nvSpPr>
        <xdr:cNvPr id="2" name="AutoShape 10" descr="PIC4F"/>
        <xdr:cNvSpPr>
          <a:spLocks noChangeAspect="1" noChangeArrowheads="1"/>
        </xdr:cNvSpPr>
      </xdr:nvSpPr>
      <xdr:spPr bwMode="auto">
        <a:xfrm>
          <a:off x="150495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206</xdr:row>
      <xdr:rowOff>0</xdr:rowOff>
    </xdr:from>
    <xdr:to>
      <xdr:col>2</xdr:col>
      <xdr:colOff>304800</xdr:colOff>
      <xdr:row>291</xdr:row>
      <xdr:rowOff>238125</xdr:rowOff>
    </xdr:to>
    <xdr:sp macro="" textlink="">
      <xdr:nvSpPr>
        <xdr:cNvPr id="2" name="AutoShape 10" descr="PIC4F"/>
        <xdr:cNvSpPr>
          <a:spLocks noChangeAspect="1" noChangeArrowheads="1"/>
        </xdr:cNvSpPr>
      </xdr:nvSpPr>
      <xdr:spPr bwMode="auto">
        <a:xfrm>
          <a:off x="1504950" y="315849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2</xdr:row>
      <xdr:rowOff>0</xdr:rowOff>
    </xdr:from>
    <xdr:to>
      <xdr:col>4</xdr:col>
      <xdr:colOff>1</xdr:colOff>
      <xdr:row>4</xdr:row>
      <xdr:rowOff>0</xdr:rowOff>
    </xdr:to>
    <xdr:sp macro="" textlink="">
      <xdr:nvSpPr>
        <xdr:cNvPr id="2" name="직사각형 1"/>
        <xdr:cNvSpPr/>
      </xdr:nvSpPr>
      <xdr:spPr bwMode="auto">
        <a:xfrm>
          <a:off x="1524001" y="762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용량여유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" name="직사각형 2"/>
        <xdr:cNvSpPr/>
      </xdr:nvSpPr>
      <xdr:spPr bwMode="auto">
        <a:xfrm>
          <a:off x="3048000" y="762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ko-KR" sz="1100">
              <a:effectLst/>
              <a:latin typeface="+mn-lt"/>
              <a:ea typeface="+mn-ea"/>
              <a:cs typeface="+mn-cs"/>
            </a:rPr>
            <a:t>용량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부족</a:t>
          </a:r>
          <a:endParaRPr lang="ko-KR" altLang="en-US" sz="1100"/>
        </a:p>
      </xdr:txBody>
    </xdr:sp>
    <xdr:clientData/>
  </xdr:twoCellAnchor>
  <xdr:twoCellAnchor>
    <xdr:from>
      <xdr:col>2</xdr:col>
      <xdr:colOff>1</xdr:colOff>
      <xdr:row>5</xdr:row>
      <xdr:rowOff>0</xdr:rowOff>
    </xdr:from>
    <xdr:to>
      <xdr:col>4</xdr:col>
      <xdr:colOff>1</xdr:colOff>
      <xdr:row>7</xdr:row>
      <xdr:rowOff>0</xdr:rowOff>
    </xdr:to>
    <xdr:sp macro="" textlink="">
      <xdr:nvSpPr>
        <xdr:cNvPr id="4" name="직사각형 3"/>
        <xdr:cNvSpPr/>
      </xdr:nvSpPr>
      <xdr:spPr bwMode="auto">
        <a:xfrm>
          <a:off x="1524001" y="1905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용량부족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5" name="직사각형 4"/>
        <xdr:cNvSpPr/>
      </xdr:nvSpPr>
      <xdr:spPr bwMode="auto">
        <a:xfrm>
          <a:off x="3048000" y="1905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ko-KR" sz="1100">
              <a:effectLst/>
              <a:latin typeface="+mn-lt"/>
              <a:ea typeface="+mn-ea"/>
              <a:cs typeface="+mn-cs"/>
            </a:rPr>
            <a:t>용량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부족</a:t>
          </a:r>
          <a:endParaRPr lang="ko-KR" altLang="en-US" sz="1100"/>
        </a:p>
      </xdr:txBody>
    </xdr:sp>
    <xdr:clientData/>
  </xdr:twoCellAnchor>
  <xdr:twoCellAnchor>
    <xdr:from>
      <xdr:col>2</xdr:col>
      <xdr:colOff>1</xdr:colOff>
      <xdr:row>8</xdr:row>
      <xdr:rowOff>0</xdr:rowOff>
    </xdr:from>
    <xdr:to>
      <xdr:col>4</xdr:col>
      <xdr:colOff>1</xdr:colOff>
      <xdr:row>10</xdr:row>
      <xdr:rowOff>0</xdr:rowOff>
    </xdr:to>
    <xdr:sp macro="" textlink="">
      <xdr:nvSpPr>
        <xdr:cNvPr id="6" name="직사각형 5"/>
        <xdr:cNvSpPr/>
      </xdr:nvSpPr>
      <xdr:spPr bwMode="auto">
        <a:xfrm>
          <a:off x="1524001" y="3048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용량여유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7" name="직사각형 6"/>
        <xdr:cNvSpPr/>
      </xdr:nvSpPr>
      <xdr:spPr bwMode="auto">
        <a:xfrm>
          <a:off x="3048000" y="3048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ko-KR" sz="1100">
              <a:effectLst/>
              <a:latin typeface="+mn-lt"/>
              <a:ea typeface="+mn-ea"/>
              <a:cs typeface="+mn-cs"/>
            </a:rPr>
            <a:t>용량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부족</a:t>
          </a:r>
          <a:endParaRPr lang="ko-KR" altLang="en-US" sz="1100"/>
        </a:p>
      </xdr:txBody>
    </xdr:sp>
    <xdr:clientData/>
  </xdr:twoCellAnchor>
  <xdr:twoCellAnchor>
    <xdr:from>
      <xdr:col>2</xdr:col>
      <xdr:colOff>1</xdr:colOff>
      <xdr:row>11</xdr:row>
      <xdr:rowOff>0</xdr:rowOff>
    </xdr:from>
    <xdr:to>
      <xdr:col>4</xdr:col>
      <xdr:colOff>1</xdr:colOff>
      <xdr:row>13</xdr:row>
      <xdr:rowOff>0</xdr:rowOff>
    </xdr:to>
    <xdr:sp macro="" textlink="">
      <xdr:nvSpPr>
        <xdr:cNvPr id="8" name="직사각형 7"/>
        <xdr:cNvSpPr/>
      </xdr:nvSpPr>
      <xdr:spPr bwMode="auto">
        <a:xfrm>
          <a:off x="1524001" y="4191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용량부족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9" name="직사각형 8"/>
        <xdr:cNvSpPr/>
      </xdr:nvSpPr>
      <xdr:spPr bwMode="auto">
        <a:xfrm>
          <a:off x="3048000" y="4191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ko-KR" sz="1100">
              <a:effectLst/>
              <a:latin typeface="+mn-lt"/>
              <a:ea typeface="+mn-ea"/>
              <a:cs typeface="+mn-cs"/>
            </a:rPr>
            <a:t>용량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부족</a:t>
          </a:r>
          <a:endParaRPr lang="ko-KR" altLang="en-US" sz="1100"/>
        </a:p>
      </xdr:txBody>
    </xdr:sp>
    <xdr:clientData/>
  </xdr:twoCellAnchor>
  <xdr:twoCellAnchor>
    <xdr:from>
      <xdr:col>2</xdr:col>
      <xdr:colOff>1</xdr:colOff>
      <xdr:row>14</xdr:row>
      <xdr:rowOff>0</xdr:rowOff>
    </xdr:from>
    <xdr:to>
      <xdr:col>4</xdr:col>
      <xdr:colOff>1</xdr:colOff>
      <xdr:row>16</xdr:row>
      <xdr:rowOff>0</xdr:rowOff>
    </xdr:to>
    <xdr:sp macro="" textlink="">
      <xdr:nvSpPr>
        <xdr:cNvPr id="10" name="직사각형 9"/>
        <xdr:cNvSpPr/>
      </xdr:nvSpPr>
      <xdr:spPr bwMode="auto">
        <a:xfrm>
          <a:off x="1524001" y="5334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용량부족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1" name="직사각형 10"/>
        <xdr:cNvSpPr/>
      </xdr:nvSpPr>
      <xdr:spPr bwMode="auto">
        <a:xfrm>
          <a:off x="3048000" y="5334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ko-KR" sz="1100">
              <a:effectLst/>
              <a:latin typeface="+mn-lt"/>
              <a:ea typeface="+mn-ea"/>
              <a:cs typeface="+mn-cs"/>
            </a:rPr>
            <a:t>용량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부족</a:t>
          </a:r>
          <a:endParaRPr lang="ko-KR" altLang="en-US" sz="1100"/>
        </a:p>
      </xdr:txBody>
    </xdr:sp>
    <xdr:clientData/>
  </xdr:twoCellAnchor>
  <xdr:twoCellAnchor>
    <xdr:from>
      <xdr:col>2</xdr:col>
      <xdr:colOff>1</xdr:colOff>
      <xdr:row>17</xdr:row>
      <xdr:rowOff>0</xdr:rowOff>
    </xdr:from>
    <xdr:to>
      <xdr:col>4</xdr:col>
      <xdr:colOff>1</xdr:colOff>
      <xdr:row>19</xdr:row>
      <xdr:rowOff>0</xdr:rowOff>
    </xdr:to>
    <xdr:sp macro="" textlink="">
      <xdr:nvSpPr>
        <xdr:cNvPr id="12" name="직사각형 11"/>
        <xdr:cNvSpPr/>
      </xdr:nvSpPr>
      <xdr:spPr bwMode="auto">
        <a:xfrm>
          <a:off x="1524001" y="6477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용량여유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3" name="직사각형 12"/>
        <xdr:cNvSpPr/>
      </xdr:nvSpPr>
      <xdr:spPr bwMode="auto">
        <a:xfrm>
          <a:off x="3048000" y="6477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ko-KR" sz="1100">
              <a:effectLst/>
              <a:latin typeface="+mn-lt"/>
              <a:ea typeface="+mn-ea"/>
              <a:cs typeface="+mn-cs"/>
            </a:rPr>
            <a:t>용량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여유</a:t>
          </a:r>
          <a:endParaRPr lang="ko-KR" altLang="en-US" sz="1100"/>
        </a:p>
      </xdr:txBody>
    </xdr:sp>
    <xdr:clientData/>
  </xdr:twoCellAnchor>
  <xdr:twoCellAnchor>
    <xdr:from>
      <xdr:col>2</xdr:col>
      <xdr:colOff>1</xdr:colOff>
      <xdr:row>20</xdr:row>
      <xdr:rowOff>0</xdr:rowOff>
    </xdr:from>
    <xdr:to>
      <xdr:col>4</xdr:col>
      <xdr:colOff>1</xdr:colOff>
      <xdr:row>22</xdr:row>
      <xdr:rowOff>0</xdr:rowOff>
    </xdr:to>
    <xdr:sp macro="" textlink="">
      <xdr:nvSpPr>
        <xdr:cNvPr id="14" name="직사각형 13"/>
        <xdr:cNvSpPr/>
      </xdr:nvSpPr>
      <xdr:spPr bwMode="auto">
        <a:xfrm>
          <a:off x="1524001" y="7620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용량부족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5" name="직사각형 14"/>
        <xdr:cNvSpPr/>
      </xdr:nvSpPr>
      <xdr:spPr bwMode="auto">
        <a:xfrm>
          <a:off x="3048000" y="7620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>
              <a:effectLst/>
              <a:latin typeface="+mn-lt"/>
              <a:ea typeface="+mn-ea"/>
              <a:cs typeface="+mn-cs"/>
            </a:rPr>
            <a:t>용</a:t>
          </a:r>
          <a:r>
            <a:rPr lang="ko-KR" altLang="ko-KR" sz="1100">
              <a:effectLst/>
              <a:latin typeface="+mn-lt"/>
              <a:ea typeface="+mn-ea"/>
              <a:cs typeface="+mn-cs"/>
            </a:rPr>
            <a:t>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부족</a:t>
          </a:r>
          <a:endParaRPr lang="ko-KR" altLang="en-US" sz="1100"/>
        </a:p>
      </xdr:txBody>
    </xdr:sp>
    <xdr:clientData/>
  </xdr:twoCellAnchor>
  <xdr:twoCellAnchor>
    <xdr:from>
      <xdr:col>2</xdr:col>
      <xdr:colOff>1</xdr:colOff>
      <xdr:row>23</xdr:row>
      <xdr:rowOff>0</xdr:rowOff>
    </xdr:from>
    <xdr:to>
      <xdr:col>4</xdr:col>
      <xdr:colOff>1</xdr:colOff>
      <xdr:row>25</xdr:row>
      <xdr:rowOff>0</xdr:rowOff>
    </xdr:to>
    <xdr:sp macro="" textlink="">
      <xdr:nvSpPr>
        <xdr:cNvPr id="18" name="직사각형 17"/>
        <xdr:cNvSpPr/>
      </xdr:nvSpPr>
      <xdr:spPr bwMode="auto">
        <a:xfrm>
          <a:off x="1524001" y="8763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/>
            <a:t>용량부족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9" name="직사각형 18"/>
        <xdr:cNvSpPr/>
      </xdr:nvSpPr>
      <xdr:spPr bwMode="auto">
        <a:xfrm>
          <a:off x="3048000" y="8763000"/>
          <a:ext cx="1524000" cy="76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1100">
              <a:effectLst/>
              <a:latin typeface="+mn-lt"/>
              <a:ea typeface="+mn-ea"/>
              <a:cs typeface="+mn-cs"/>
            </a:rPr>
            <a:t>용</a:t>
          </a:r>
          <a:r>
            <a:rPr lang="ko-KR" altLang="ko-KR" sz="1100">
              <a:effectLst/>
              <a:latin typeface="+mn-lt"/>
              <a:ea typeface="+mn-ea"/>
              <a:cs typeface="+mn-cs"/>
            </a:rPr>
            <a:t>량</a:t>
          </a:r>
          <a:r>
            <a:rPr lang="ko-KR" altLang="en-US" sz="1100">
              <a:effectLst/>
              <a:latin typeface="+mn-lt"/>
              <a:ea typeface="+mn-ea"/>
              <a:cs typeface="+mn-cs"/>
            </a:rPr>
            <a:t>부족</a:t>
          </a:r>
          <a:endParaRPr lang="ko-KR" altLang="en-US" sz="1100"/>
        </a:p>
      </xdr:txBody>
    </xdr:sp>
    <xdr:clientData/>
  </xdr:twoCellAnchor>
  <xdr:twoCellAnchor>
    <xdr:from>
      <xdr:col>13</xdr:col>
      <xdr:colOff>176893</xdr:colOff>
      <xdr:row>0</xdr:row>
      <xdr:rowOff>340179</xdr:rowOff>
    </xdr:from>
    <xdr:to>
      <xdr:col>21</xdr:col>
      <xdr:colOff>205468</xdr:colOff>
      <xdr:row>4</xdr:row>
      <xdr:rowOff>16329</xdr:rowOff>
    </xdr:to>
    <xdr:pic>
      <xdr:nvPicPr>
        <xdr:cNvPr id="20" name="_x257744008" descr="EMB00000e8006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3" y="340179"/>
          <a:ext cx="612457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212109</xdr:colOff>
      <xdr:row>5</xdr:row>
      <xdr:rowOff>4802</xdr:rowOff>
    </xdr:from>
    <xdr:to>
      <xdr:col>22</xdr:col>
      <xdr:colOff>78442</xdr:colOff>
      <xdr:row>7</xdr:row>
      <xdr:rowOff>168088</xdr:rowOff>
    </xdr:to>
    <xdr:grpSp>
      <xdr:nvGrpSpPr>
        <xdr:cNvPr id="17" name="그룹 16"/>
        <xdr:cNvGrpSpPr/>
      </xdr:nvGrpSpPr>
      <xdr:grpSpPr>
        <a:xfrm>
          <a:off x="10118109" y="1909802"/>
          <a:ext cx="6724333" cy="925286"/>
          <a:chOff x="10118109" y="1909802"/>
          <a:chExt cx="6724333" cy="925286"/>
        </a:xfrm>
      </xdr:grpSpPr>
      <xdr:sp macro="" textlink="">
        <xdr:nvSpPr>
          <xdr:cNvPr id="23" name="직사각형 2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/>
              <a:t>용량여유</a:t>
            </a:r>
          </a:p>
        </xdr:txBody>
      </xdr:sp>
      <xdr:sp macro="" textlink="">
        <xdr:nvSpPr>
          <xdr:cNvPr id="24" name="직사각형 2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/>
              <a:t>용량여유</a:t>
            </a:r>
          </a:p>
        </xdr:txBody>
      </xdr:sp>
      <xdr:sp macro="" textlink="">
        <xdr:nvSpPr>
          <xdr:cNvPr id="16" name="오른쪽 화살표 15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26" name="직사각형 2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50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27" name="직사각형 2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19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33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28" name="직사각형 2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29" name="직사각형 2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30" name="직사각형 2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GOOD</a:t>
            </a:r>
            <a:endParaRPr lang="ko-KR" altLang="en-US" sz="1400"/>
          </a:p>
        </xdr:txBody>
      </xdr:sp>
      <xdr:sp macro="" textlink="">
        <xdr:nvSpPr>
          <xdr:cNvPr id="31" name="오른쪽 화살표 3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13</xdr:col>
      <xdr:colOff>212109</xdr:colOff>
      <xdr:row>7</xdr:row>
      <xdr:rowOff>222516</xdr:rowOff>
    </xdr:from>
    <xdr:to>
      <xdr:col>22</xdr:col>
      <xdr:colOff>78442</xdr:colOff>
      <xdr:row>10</xdr:row>
      <xdr:rowOff>4802</xdr:rowOff>
    </xdr:to>
    <xdr:grpSp>
      <xdr:nvGrpSpPr>
        <xdr:cNvPr id="32" name="그룹 31"/>
        <xdr:cNvGrpSpPr/>
      </xdr:nvGrpSpPr>
      <xdr:grpSpPr>
        <a:xfrm>
          <a:off x="10118109" y="2889516"/>
          <a:ext cx="6724333" cy="925286"/>
          <a:chOff x="10118109" y="1909802"/>
          <a:chExt cx="6724333" cy="925286"/>
        </a:xfrm>
      </xdr:grpSpPr>
      <xdr:sp macro="" textlink="">
        <xdr:nvSpPr>
          <xdr:cNvPr id="33" name="직사각형 3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34" name="직사각형 3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35" name="오른쪽 화살표 34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36" name="직사각형 3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59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37" name="직사각형 3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32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33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38" name="직사각형 3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39" name="직사각형 3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40" name="직사각형 3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GOOD</a:t>
            </a:r>
            <a:endParaRPr lang="ko-KR" altLang="en-US" sz="1400"/>
          </a:p>
        </xdr:txBody>
      </xdr:sp>
      <xdr:sp macro="" textlink="">
        <xdr:nvSpPr>
          <xdr:cNvPr id="41" name="오른쪽 화살표 4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13</xdr:col>
      <xdr:colOff>212109</xdr:colOff>
      <xdr:row>10</xdr:row>
      <xdr:rowOff>59230</xdr:rowOff>
    </xdr:from>
    <xdr:to>
      <xdr:col>22</xdr:col>
      <xdr:colOff>78442</xdr:colOff>
      <xdr:row>12</xdr:row>
      <xdr:rowOff>222516</xdr:rowOff>
    </xdr:to>
    <xdr:grpSp>
      <xdr:nvGrpSpPr>
        <xdr:cNvPr id="42" name="그룹 41"/>
        <xdr:cNvGrpSpPr/>
      </xdr:nvGrpSpPr>
      <xdr:grpSpPr>
        <a:xfrm>
          <a:off x="10118109" y="3869230"/>
          <a:ext cx="6724333" cy="925286"/>
          <a:chOff x="10118109" y="1909802"/>
          <a:chExt cx="6724333" cy="925286"/>
        </a:xfrm>
      </xdr:grpSpPr>
      <xdr:sp macro="" textlink="">
        <xdr:nvSpPr>
          <xdr:cNvPr id="43" name="직사각형 4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/>
              <a:t>용량여유</a:t>
            </a:r>
          </a:p>
        </xdr:txBody>
      </xdr:sp>
      <xdr:sp macro="" textlink="">
        <xdr:nvSpPr>
          <xdr:cNvPr id="44" name="직사각형 4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45" name="오른쪽 화살표 44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46" name="직사각형 4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50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47" name="직사각형 4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19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20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48" name="직사각형 4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49" name="직사각형 4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50" name="직사각형 4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GOOD</a:t>
            </a:r>
            <a:endParaRPr lang="ko-KR" altLang="en-US" sz="1400"/>
          </a:p>
        </xdr:txBody>
      </xdr:sp>
      <xdr:sp macro="" textlink="">
        <xdr:nvSpPr>
          <xdr:cNvPr id="51" name="오른쪽 화살표 5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13</xdr:col>
      <xdr:colOff>212109</xdr:colOff>
      <xdr:row>12</xdr:row>
      <xdr:rowOff>276944</xdr:rowOff>
    </xdr:from>
    <xdr:to>
      <xdr:col>22</xdr:col>
      <xdr:colOff>78442</xdr:colOff>
      <xdr:row>15</xdr:row>
      <xdr:rowOff>59230</xdr:rowOff>
    </xdr:to>
    <xdr:grpSp>
      <xdr:nvGrpSpPr>
        <xdr:cNvPr id="52" name="그룹 51"/>
        <xdr:cNvGrpSpPr/>
      </xdr:nvGrpSpPr>
      <xdr:grpSpPr>
        <a:xfrm>
          <a:off x="10118109" y="4848944"/>
          <a:ext cx="6724333" cy="925286"/>
          <a:chOff x="10118109" y="1909802"/>
          <a:chExt cx="6724333" cy="925286"/>
        </a:xfrm>
      </xdr:grpSpPr>
      <xdr:sp macro="" textlink="">
        <xdr:nvSpPr>
          <xdr:cNvPr id="53" name="직사각형 5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54" name="직사각형 5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55" name="오른쪽 화살표 54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56" name="직사각형 5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59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57" name="직사각형 5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33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20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58" name="직사각형 5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59" name="직사각형 5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60" name="직사각형 5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NO GOOD</a:t>
            </a:r>
            <a:endParaRPr lang="ko-KR" altLang="en-US" sz="1400"/>
          </a:p>
        </xdr:txBody>
      </xdr:sp>
      <xdr:sp macro="" textlink="">
        <xdr:nvSpPr>
          <xdr:cNvPr id="61" name="오른쪽 화살표 6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13</xdr:col>
      <xdr:colOff>212109</xdr:colOff>
      <xdr:row>15</xdr:row>
      <xdr:rowOff>154480</xdr:rowOff>
    </xdr:from>
    <xdr:to>
      <xdr:col>22</xdr:col>
      <xdr:colOff>78442</xdr:colOff>
      <xdr:row>17</xdr:row>
      <xdr:rowOff>317766</xdr:rowOff>
    </xdr:to>
    <xdr:grpSp>
      <xdr:nvGrpSpPr>
        <xdr:cNvPr id="62" name="그룹 61"/>
        <xdr:cNvGrpSpPr/>
      </xdr:nvGrpSpPr>
      <xdr:grpSpPr>
        <a:xfrm>
          <a:off x="10118109" y="5869480"/>
          <a:ext cx="6724333" cy="925286"/>
          <a:chOff x="10118109" y="1909802"/>
          <a:chExt cx="6724333" cy="925286"/>
        </a:xfrm>
      </xdr:grpSpPr>
      <xdr:sp macro="" textlink="">
        <xdr:nvSpPr>
          <xdr:cNvPr id="63" name="직사각형 6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64" name="직사각형 6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65" name="오른쪽 화살표 64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66" name="직사각형 6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57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67" name="직사각형 6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20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20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68" name="직사각형 6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69" name="직사각형 6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70" name="직사각형 6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GOOD</a:t>
            </a:r>
            <a:endParaRPr lang="ko-KR" altLang="en-US" sz="1400"/>
          </a:p>
        </xdr:txBody>
      </xdr:sp>
      <xdr:sp macro="" textlink="">
        <xdr:nvSpPr>
          <xdr:cNvPr id="71" name="오른쪽 화살표 7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13</xdr:col>
      <xdr:colOff>212109</xdr:colOff>
      <xdr:row>17</xdr:row>
      <xdr:rowOff>372194</xdr:rowOff>
    </xdr:from>
    <xdr:to>
      <xdr:col>22</xdr:col>
      <xdr:colOff>78442</xdr:colOff>
      <xdr:row>20</xdr:row>
      <xdr:rowOff>154480</xdr:rowOff>
    </xdr:to>
    <xdr:grpSp>
      <xdr:nvGrpSpPr>
        <xdr:cNvPr id="72" name="그룹 71"/>
        <xdr:cNvGrpSpPr/>
      </xdr:nvGrpSpPr>
      <xdr:grpSpPr>
        <a:xfrm>
          <a:off x="10118109" y="6849194"/>
          <a:ext cx="6724333" cy="925286"/>
          <a:chOff x="10118109" y="1909802"/>
          <a:chExt cx="6724333" cy="925286"/>
        </a:xfrm>
      </xdr:grpSpPr>
      <xdr:sp macro="" textlink="">
        <xdr:nvSpPr>
          <xdr:cNvPr id="73" name="직사각형 7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ysClr val="windowText" lastClr="000000"/>
                </a:solidFill>
              </a:rPr>
              <a:t>용량여유</a:t>
            </a:r>
          </a:p>
        </xdr:txBody>
      </xdr:sp>
      <xdr:sp macro="" textlink="">
        <xdr:nvSpPr>
          <xdr:cNvPr id="74" name="직사각형 7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ysClr val="windowText" lastClr="000000"/>
                </a:solidFill>
              </a:rPr>
              <a:t>용량여유</a:t>
            </a:r>
          </a:p>
        </xdr:txBody>
      </xdr:sp>
      <xdr:sp macro="" textlink="">
        <xdr:nvSpPr>
          <xdr:cNvPr id="75" name="오른쪽 화살표 74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76" name="직사각형 7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46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77" name="직사각형 7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9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20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78" name="직사각형 7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79" name="직사각형 7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80" name="직사각형 7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GOOD</a:t>
            </a:r>
            <a:endParaRPr lang="ko-KR" altLang="en-US" sz="1400"/>
          </a:p>
        </xdr:txBody>
      </xdr:sp>
      <xdr:sp macro="" textlink="">
        <xdr:nvSpPr>
          <xdr:cNvPr id="81" name="오른쪽 화살표 8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13</xdr:col>
      <xdr:colOff>212109</xdr:colOff>
      <xdr:row>20</xdr:row>
      <xdr:rowOff>208909</xdr:rowOff>
    </xdr:from>
    <xdr:to>
      <xdr:col>22</xdr:col>
      <xdr:colOff>78442</xdr:colOff>
      <xdr:row>22</xdr:row>
      <xdr:rowOff>372195</xdr:rowOff>
    </xdr:to>
    <xdr:grpSp>
      <xdr:nvGrpSpPr>
        <xdr:cNvPr id="82" name="그룹 81"/>
        <xdr:cNvGrpSpPr/>
      </xdr:nvGrpSpPr>
      <xdr:grpSpPr>
        <a:xfrm>
          <a:off x="10118109" y="7828909"/>
          <a:ext cx="6724333" cy="925286"/>
          <a:chOff x="10118109" y="1909802"/>
          <a:chExt cx="6724333" cy="925286"/>
        </a:xfrm>
      </xdr:grpSpPr>
      <xdr:sp macro="" textlink="">
        <xdr:nvSpPr>
          <xdr:cNvPr id="83" name="직사각형 8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84" name="직사각형 8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85" name="오른쪽 화살표 84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86" name="직사각형 8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57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87" name="직사각형 8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40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20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88" name="직사각형 8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89" name="직사각형 8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90" name="직사각형 8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NO GOOD</a:t>
            </a:r>
            <a:endParaRPr lang="ko-KR" altLang="en-US" sz="1400"/>
          </a:p>
        </xdr:txBody>
      </xdr:sp>
      <xdr:sp macro="" textlink="">
        <xdr:nvSpPr>
          <xdr:cNvPr id="91" name="오른쪽 화살표 9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13</xdr:col>
      <xdr:colOff>212109</xdr:colOff>
      <xdr:row>23</xdr:row>
      <xdr:rowOff>45623</xdr:rowOff>
    </xdr:from>
    <xdr:to>
      <xdr:col>22</xdr:col>
      <xdr:colOff>78442</xdr:colOff>
      <xdr:row>25</xdr:row>
      <xdr:rowOff>208909</xdr:rowOff>
    </xdr:to>
    <xdr:grpSp>
      <xdr:nvGrpSpPr>
        <xdr:cNvPr id="92" name="그룹 91"/>
        <xdr:cNvGrpSpPr/>
      </xdr:nvGrpSpPr>
      <xdr:grpSpPr>
        <a:xfrm>
          <a:off x="10118109" y="8808623"/>
          <a:ext cx="6724333" cy="925286"/>
          <a:chOff x="10118109" y="1909802"/>
          <a:chExt cx="6724333" cy="925286"/>
        </a:xfrm>
      </xdr:grpSpPr>
      <xdr:sp macro="" textlink="">
        <xdr:nvSpPr>
          <xdr:cNvPr id="93" name="직사각형 92"/>
          <xdr:cNvSpPr/>
        </xdr:nvSpPr>
        <xdr:spPr bwMode="auto">
          <a:xfrm>
            <a:off x="11653316" y="1909802"/>
            <a:ext cx="953302" cy="63393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94" name="직사각형 93"/>
          <xdr:cNvSpPr/>
        </xdr:nvSpPr>
        <xdr:spPr bwMode="auto">
          <a:xfrm>
            <a:off x="12751492" y="1909802"/>
            <a:ext cx="2118714" cy="63393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accent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400">
                <a:solidFill>
                  <a:srgbClr val="FF0000"/>
                </a:solidFill>
              </a:rPr>
              <a:t>용량부족</a:t>
            </a:r>
          </a:p>
        </xdr:txBody>
      </xdr:sp>
      <xdr:sp macro="" textlink="">
        <xdr:nvSpPr>
          <xdr:cNvPr id="95" name="오른쪽 화살표 94"/>
          <xdr:cNvSpPr/>
        </xdr:nvSpPr>
        <xdr:spPr bwMode="auto">
          <a:xfrm>
            <a:off x="110153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  <xdr:sp macro="" textlink="">
        <xdr:nvSpPr>
          <xdr:cNvPr id="96" name="직사각형 95"/>
          <xdr:cNvSpPr/>
        </xdr:nvSpPr>
        <xdr:spPr bwMode="auto">
          <a:xfrm>
            <a:off x="10118109" y="2156332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46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</a:t>
            </a:r>
            <a:endParaRPr lang="ko-KR" altLang="en-US" sz="1100"/>
          </a:p>
        </xdr:txBody>
      </xdr:sp>
      <xdr:sp macro="" textlink="">
        <xdr:nvSpPr>
          <xdr:cNvPr id="97" name="직사각형 96"/>
          <xdr:cNvSpPr/>
        </xdr:nvSpPr>
        <xdr:spPr bwMode="auto">
          <a:xfrm>
            <a:off x="15541756" y="1977036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100" baseline="0"/>
              <a:t>T-N 23</a:t>
            </a:r>
            <a:r>
              <a:rPr lang="ko-KR" altLang="en-US" sz="1100" baseline="0"/>
              <a:t>㎎</a:t>
            </a:r>
            <a:r>
              <a:rPr lang="en-US" altLang="ko-KR" sz="1100" baseline="0"/>
              <a:t>/L &lt; 20</a:t>
            </a:r>
            <a:r>
              <a:rPr lang="ko-KR" altLang="ko-KR" sz="1100" baseline="0">
                <a:effectLst/>
                <a:latin typeface="+mn-lt"/>
                <a:ea typeface="+mn-ea"/>
                <a:cs typeface="+mn-cs"/>
              </a:rPr>
              <a:t>㎎</a:t>
            </a:r>
            <a:r>
              <a:rPr lang="en-US" altLang="ko-KR" sz="1100" baseline="0">
                <a:effectLst/>
                <a:latin typeface="+mn-lt"/>
                <a:ea typeface="+mn-ea"/>
                <a:cs typeface="+mn-cs"/>
              </a:rPr>
              <a:t>/L</a:t>
            </a:r>
            <a:endParaRPr lang="ko-KR" altLang="en-US" sz="1100"/>
          </a:p>
        </xdr:txBody>
      </xdr:sp>
      <xdr:sp macro="" textlink="">
        <xdr:nvSpPr>
          <xdr:cNvPr id="98" name="직사각형 97"/>
          <xdr:cNvSpPr/>
        </xdr:nvSpPr>
        <xdr:spPr bwMode="auto">
          <a:xfrm>
            <a:off x="11653315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무산소조</a:t>
            </a:r>
            <a:endParaRPr lang="ko-KR" altLang="en-US" sz="1100"/>
          </a:p>
        </xdr:txBody>
      </xdr:sp>
      <xdr:sp macro="" textlink="">
        <xdr:nvSpPr>
          <xdr:cNvPr id="99" name="직사각형 98"/>
          <xdr:cNvSpPr/>
        </xdr:nvSpPr>
        <xdr:spPr bwMode="auto">
          <a:xfrm>
            <a:off x="13356609" y="2582155"/>
            <a:ext cx="953302" cy="252933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ko-KR" altLang="en-US" sz="1100" baseline="0"/>
              <a:t>호기조</a:t>
            </a:r>
            <a:endParaRPr lang="ko-KR" altLang="en-US" sz="1100"/>
          </a:p>
        </xdr:txBody>
      </xdr:sp>
      <xdr:sp macro="" textlink="">
        <xdr:nvSpPr>
          <xdr:cNvPr id="100" name="직사각형 99"/>
          <xdr:cNvSpPr/>
        </xdr:nvSpPr>
        <xdr:spPr bwMode="auto">
          <a:xfrm>
            <a:off x="15541756" y="2279595"/>
            <a:ext cx="1300686" cy="230521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altLang="ko-KR" sz="1400" baseline="0"/>
              <a:t>NO GOOD</a:t>
            </a:r>
            <a:endParaRPr lang="ko-KR" altLang="en-US" sz="1400"/>
          </a:p>
        </xdr:txBody>
      </xdr:sp>
      <xdr:sp macro="" textlink="">
        <xdr:nvSpPr>
          <xdr:cNvPr id="101" name="오른쪽 화살표 100"/>
          <xdr:cNvSpPr/>
        </xdr:nvSpPr>
        <xdr:spPr bwMode="auto">
          <a:xfrm>
            <a:off x="15015883" y="2207559"/>
            <a:ext cx="459441" cy="145677"/>
          </a:xfrm>
          <a:prstGeom prst="rightArrow">
            <a:avLst/>
          </a:prstGeom>
          <a:solidFill>
            <a:schemeClr val="accent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ko-KR" alt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238125</xdr:rowOff>
    </xdr:to>
    <xdr:sp macro="" textlink="">
      <xdr:nvSpPr>
        <xdr:cNvPr id="2" name="AutoShape 10" descr="PIC4F"/>
        <xdr:cNvSpPr>
          <a:spLocks noChangeAspect="1" noChangeArrowheads="1"/>
        </xdr:cNvSpPr>
      </xdr:nvSpPr>
      <xdr:spPr bwMode="auto">
        <a:xfrm>
          <a:off x="1524000" y="33147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238125</xdr:rowOff>
    </xdr:to>
    <xdr:sp macro="" textlink="">
      <xdr:nvSpPr>
        <xdr:cNvPr id="3" name="AutoShape 11" descr="PIC51"/>
        <xdr:cNvSpPr>
          <a:spLocks noChangeAspect="1" noChangeArrowheads="1"/>
        </xdr:cNvSpPr>
      </xdr:nvSpPr>
      <xdr:spPr bwMode="auto">
        <a:xfrm>
          <a:off x="1524000" y="33147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238125</xdr:rowOff>
    </xdr:to>
    <xdr:sp macro="" textlink="">
      <xdr:nvSpPr>
        <xdr:cNvPr id="4" name="AutoShape 12" descr="PIC51"/>
        <xdr:cNvSpPr>
          <a:spLocks noChangeAspect="1" noChangeArrowheads="1"/>
        </xdr:cNvSpPr>
      </xdr:nvSpPr>
      <xdr:spPr bwMode="auto">
        <a:xfrm>
          <a:off x="1524000" y="33147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304800</xdr:colOff>
      <xdr:row>83</xdr:row>
      <xdr:rowOff>238125</xdr:rowOff>
    </xdr:to>
    <xdr:sp macro="" textlink="">
      <xdr:nvSpPr>
        <xdr:cNvPr id="5" name="AutoShape 16" descr="PIC51"/>
        <xdr:cNvSpPr>
          <a:spLocks noChangeAspect="1" noChangeArrowheads="1"/>
        </xdr:cNvSpPr>
      </xdr:nvSpPr>
      <xdr:spPr bwMode="auto">
        <a:xfrm>
          <a:off x="1524000" y="33147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160</xdr:row>
      <xdr:rowOff>0</xdr:rowOff>
    </xdr:from>
    <xdr:to>
      <xdr:col>3</xdr:col>
      <xdr:colOff>247650</xdr:colOff>
      <xdr:row>160</xdr:row>
      <xdr:rowOff>209550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2019300" y="54416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160</xdr:row>
      <xdr:rowOff>0</xdr:rowOff>
    </xdr:from>
    <xdr:to>
      <xdr:col>3</xdr:col>
      <xdr:colOff>247650</xdr:colOff>
      <xdr:row>160</xdr:row>
      <xdr:rowOff>209550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2019300" y="54416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160</xdr:row>
      <xdr:rowOff>0</xdr:rowOff>
    </xdr:from>
    <xdr:to>
      <xdr:col>3</xdr:col>
      <xdr:colOff>247650</xdr:colOff>
      <xdr:row>160</xdr:row>
      <xdr:rowOff>209550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2019300" y="54416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160</xdr:row>
      <xdr:rowOff>0</xdr:rowOff>
    </xdr:from>
    <xdr:to>
      <xdr:col>3</xdr:col>
      <xdr:colOff>247650</xdr:colOff>
      <xdr:row>160</xdr:row>
      <xdr:rowOff>209550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2019300" y="54416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200</xdr:row>
      <xdr:rowOff>0</xdr:rowOff>
    </xdr:from>
    <xdr:to>
      <xdr:col>3</xdr:col>
      <xdr:colOff>247650</xdr:colOff>
      <xdr:row>200</xdr:row>
      <xdr:rowOff>209550</xdr:rowOff>
    </xdr:to>
    <xdr:sp macro="" textlink="">
      <xdr:nvSpPr>
        <xdr:cNvPr id="10" name="Text Box 29"/>
        <xdr:cNvSpPr txBox="1">
          <a:spLocks noChangeArrowheads="1"/>
        </xdr:cNvSpPr>
      </xdr:nvSpPr>
      <xdr:spPr bwMode="auto">
        <a:xfrm>
          <a:off x="2019300" y="65465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200</xdr:row>
      <xdr:rowOff>0</xdr:rowOff>
    </xdr:from>
    <xdr:to>
      <xdr:col>3</xdr:col>
      <xdr:colOff>247650</xdr:colOff>
      <xdr:row>200</xdr:row>
      <xdr:rowOff>209550</xdr:rowOff>
    </xdr:to>
    <xdr:sp macro="" textlink="">
      <xdr:nvSpPr>
        <xdr:cNvPr id="11" name="Text Box 30"/>
        <xdr:cNvSpPr txBox="1">
          <a:spLocks noChangeArrowheads="1"/>
        </xdr:cNvSpPr>
      </xdr:nvSpPr>
      <xdr:spPr bwMode="auto">
        <a:xfrm>
          <a:off x="2019300" y="65465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304800</xdr:colOff>
      <xdr:row>138</xdr:row>
      <xdr:rowOff>238125</xdr:rowOff>
    </xdr:to>
    <xdr:sp macro="" textlink="">
      <xdr:nvSpPr>
        <xdr:cNvPr id="12" name="AutoShape 10" descr="PIC4F"/>
        <xdr:cNvSpPr>
          <a:spLocks noChangeAspect="1" noChangeArrowheads="1"/>
        </xdr:cNvSpPr>
      </xdr:nvSpPr>
      <xdr:spPr bwMode="auto">
        <a:xfrm>
          <a:off x="1524000" y="48339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304800</xdr:colOff>
      <xdr:row>139</xdr:row>
      <xdr:rowOff>238125</xdr:rowOff>
    </xdr:to>
    <xdr:sp macro="" textlink="">
      <xdr:nvSpPr>
        <xdr:cNvPr id="13" name="AutoShape 11" descr="PIC51"/>
        <xdr:cNvSpPr>
          <a:spLocks noChangeAspect="1" noChangeArrowheads="1"/>
        </xdr:cNvSpPr>
      </xdr:nvSpPr>
      <xdr:spPr bwMode="auto">
        <a:xfrm>
          <a:off x="1524000" y="48615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238125</xdr:rowOff>
    </xdr:to>
    <xdr:sp macro="" textlink="">
      <xdr:nvSpPr>
        <xdr:cNvPr id="14" name="AutoShape 12" descr="PIC51"/>
        <xdr:cNvSpPr>
          <a:spLocks noChangeAspect="1" noChangeArrowheads="1"/>
        </xdr:cNvSpPr>
      </xdr:nvSpPr>
      <xdr:spPr bwMode="auto">
        <a:xfrm>
          <a:off x="1524000" y="488918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238125</xdr:rowOff>
    </xdr:to>
    <xdr:sp macro="" textlink="">
      <xdr:nvSpPr>
        <xdr:cNvPr id="15" name="AutoShape 16" descr="PIC51"/>
        <xdr:cNvSpPr>
          <a:spLocks noChangeAspect="1" noChangeArrowheads="1"/>
        </xdr:cNvSpPr>
      </xdr:nvSpPr>
      <xdr:spPr bwMode="auto">
        <a:xfrm>
          <a:off x="1524000" y="488918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oject/2017&#45380;/03%20&#50724;&#52285;&#53580;&#53356;&#45432;&#54260;&#47532;&#49828;/18%202&#52264;&#44160;&#53664;&#51032;&#44204;/20180625/&#49884;&#49444;&#50857;&#47049;&#44160;&#53664;/&#49373;&#47932;&#48152;&#51025;&#51312;%20&#50857;&#47049;&#44160;&#53664;(&#54224;&#49688;_&#50668;&#50976;&#50857;&#47049;%20&#44160;&#5366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oject/2017&#45380;/03%20&#50724;&#52285;&#53580;&#53356;&#45432;&#54260;&#47532;&#49828;/20%20&#50724;&#52285;%20&#44277;&#44277;&#54224;&#49688;&#52376;&#47532;&#49884;&#49444;%20&#50672;&#44228;&#52376;&#47532;&#54801;&#51032;&#51088;&#47308;/&#49884;&#49444;&#50857;&#47049;&#44160;&#53664;/3.%20&#50857;&#47049;&#44160;&#53664;(&#54616;&#49688;_2017&#45380;%20&#50868;&#50689;&#51088;&#4730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oject/2017&#45380;/03%20&#50724;&#52285;&#53580;&#53356;&#45432;&#54260;&#47532;&#49828;/18%202&#52264;&#44160;&#53664;&#51032;&#44204;/20180625/&#49884;&#49444;&#50857;&#47049;&#44160;&#53664;/2017&#45380;%20&#49884;&#49444;&#50857;&#47049;%20&#44160;&#53664;(&#50724;&#52285;&#44284;&#54617;&#49328;&#45800;&#54224;&#49688;&#52376;&#47532;&#49884;&#49444;)_&#54616;&#49688;_&#54620;&#44228;&#5282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oject/2017&#45380;/03%20&#50724;&#52285;&#53580;&#53356;&#45432;&#54260;&#47532;&#49828;/20%20&#50724;&#52285;%20&#44277;&#44277;&#54224;&#49688;&#52376;&#47532;&#49884;&#49444;%20&#50672;&#44228;&#52376;&#47532;&#54801;&#51032;&#51088;&#47308;/&#49884;&#49444;&#50857;&#47049;&#44160;&#53664;/4.%20&#50857;&#47049;&#44160;&#53664;(&#54224;&#49688;_2017&#45380;%20&#50868;&#50689;&#51088;&#4730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oject/2017&#45380;/03%20&#50724;&#52285;&#53580;&#53356;&#45432;&#54260;&#47532;&#49828;/18%202&#52264;&#44160;&#53664;&#51032;&#44204;/20180625/&#49884;&#49444;&#50857;&#47049;&#44160;&#53664;/2017&#45380;%20&#49884;&#49444;&#50857;&#47049;%20&#44160;&#53664;(&#50724;&#52285;&#44284;&#54617;&#49328;&#45800;&#54224;&#49688;&#52376;&#47532;&#49884;&#49444;)_&#54224;&#49688;_&#44228;&#54925;&#54224;&#49688;&#47049;%20&#54252;&#5463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oject/2017&#45380;/03%20&#50724;&#52285;&#53580;&#53356;&#45432;&#54260;&#47532;&#49828;/20%20&#50724;&#52285;%20&#44277;&#44277;&#54224;&#49688;&#52376;&#47532;&#49884;&#49444;%20&#50672;&#44228;&#52376;&#47532;&#54801;&#51032;&#51088;&#47308;/&#49884;&#49444;&#50857;&#47049;&#44160;&#53664;/3.%20&#50857;&#47049;&#44160;&#53664;(&#54616;&#49688;_2017&#45380;%20&#50868;&#50689;&#51088;&#47308;)%20&#50857;&#47049;23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질수지"/>
      <sheetName val="설계기준"/>
      <sheetName val="구조물용량계산(설계치)"/>
      <sheetName val="설계기준(여유용량검토)"/>
      <sheetName val="구조물용량계산(여유용량 검토)"/>
      <sheetName val="기계용량계산 (1단계)"/>
      <sheetName val="기계용량계산 (2계열)"/>
      <sheetName val="Alum"/>
      <sheetName val="기계용량계산 (2단계)"/>
      <sheetName val="유지관리비 (1단계)"/>
      <sheetName val="유지관리비 (2단계)"/>
      <sheetName val="유지관리비 (전체)"/>
      <sheetName val="PAC "/>
      <sheetName val="메탄올"/>
      <sheetName val="NaOH"/>
    </sheetNames>
    <sheetDataSet>
      <sheetData sheetId="0" refreshError="1"/>
      <sheetData sheetId="1" refreshError="1"/>
      <sheetData sheetId="2">
        <row r="143">
          <cell r="F143">
            <v>1.7718793464628402</v>
          </cell>
          <cell r="I143">
            <v>2953.1322441047337</v>
          </cell>
        </row>
        <row r="148">
          <cell r="L148">
            <v>2295.7440000000001</v>
          </cell>
        </row>
        <row r="150">
          <cell r="L150">
            <v>1.3774464000000002</v>
          </cell>
        </row>
        <row r="175">
          <cell r="G175">
            <v>8.475931666649192</v>
          </cell>
          <cell r="J175">
            <v>14126.552777748653</v>
          </cell>
        </row>
        <row r="181">
          <cell r="L181">
            <v>10376.794</v>
          </cell>
        </row>
        <row r="182">
          <cell r="L182">
            <v>6.2260764000000002</v>
          </cell>
        </row>
      </sheetData>
      <sheetData sheetId="3" refreshError="1"/>
      <sheetData sheetId="4">
        <row r="143">
          <cell r="F143">
            <v>2.3073204827680405</v>
          </cell>
          <cell r="I143">
            <v>3845.5341379467345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질수지"/>
      <sheetName val="설계기준(기준강화)"/>
      <sheetName val="구조물용량계산(설계치)(기준강화)"/>
      <sheetName val="기계용량계산 (2계열)"/>
      <sheetName val="Alum"/>
    </sheetNames>
    <sheetDataSet>
      <sheetData sheetId="0"/>
      <sheetData sheetId="1"/>
      <sheetData sheetId="2">
        <row r="143">
          <cell r="I143">
            <v>1417.6009233540831</v>
          </cell>
        </row>
        <row r="175">
          <cell r="J175">
            <v>5379.6023809523813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질수지"/>
      <sheetName val="설계기준(하수한계치)"/>
      <sheetName val="구조물용량계산(하수한계치)"/>
      <sheetName val="기계용량계산 (2계열)"/>
      <sheetName val="Alum"/>
    </sheetNames>
    <sheetDataSet>
      <sheetData sheetId="0" refreshError="1"/>
      <sheetData sheetId="1" refreshError="1"/>
      <sheetData sheetId="2">
        <row r="141">
          <cell r="D141">
            <v>2.1781320205184374</v>
          </cell>
        </row>
        <row r="150">
          <cell r="L150">
            <v>1.7633880000000004</v>
          </cell>
        </row>
        <row r="175">
          <cell r="G175">
            <v>8.2657142857142851</v>
          </cell>
        </row>
        <row r="182">
          <cell r="L182">
            <v>7.9474980000000004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질수지"/>
      <sheetName val="설계기준(기준강화)"/>
      <sheetName val="구조물용량계산(설계치)(기준강화)"/>
      <sheetName val="기계용량계산 (2계열)"/>
      <sheetName val="Alum"/>
    </sheetNames>
    <sheetDataSet>
      <sheetData sheetId="0"/>
      <sheetData sheetId="1"/>
      <sheetData sheetId="2">
        <row r="143">
          <cell r="I143">
            <v>1774.1196761911124</v>
          </cell>
        </row>
        <row r="150">
          <cell r="L150">
            <v>2.2516492031058442</v>
          </cell>
        </row>
        <row r="175">
          <cell r="G175">
            <v>6.4675983333158591</v>
          </cell>
          <cell r="J175">
            <v>6594.2554673432951</v>
          </cell>
        </row>
        <row r="182">
          <cell r="L182">
            <v>10.177484920310585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질수지"/>
      <sheetName val="설계기준(기준강화)"/>
      <sheetName val="구조물용량계산(설계치)(기준강화)"/>
      <sheetName val="설계기준(기준강화) (2)"/>
      <sheetName val="구조물용량계산(설계치)(기준강화) (2)"/>
      <sheetName val="기계용량계산 (2계열)"/>
      <sheetName val="Alum"/>
    </sheetNames>
    <sheetDataSet>
      <sheetData sheetId="0" refreshError="1"/>
      <sheetData sheetId="1" refreshError="1"/>
      <sheetData sheetId="2">
        <row r="141">
          <cell r="D141">
            <v>1.7400438180869102</v>
          </cell>
        </row>
        <row r="143">
          <cell r="I143">
            <v>2900.0730301448507</v>
          </cell>
        </row>
        <row r="150">
          <cell r="L150">
            <v>1.3774464000000002</v>
          </cell>
        </row>
        <row r="175">
          <cell r="G175">
            <v>6.4675983333158591</v>
          </cell>
          <cell r="J175">
            <v>10779.330555526432</v>
          </cell>
        </row>
        <row r="182">
          <cell r="L182">
            <v>6.2260764000000002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질수지"/>
      <sheetName val="설계기준(기준강화)"/>
      <sheetName val="구조물용량계산(설계치)(기준강화)"/>
      <sheetName val="기계용량계산 (2계열)"/>
      <sheetName val="Alum"/>
    </sheetNames>
    <sheetDataSet>
      <sheetData sheetId="0"/>
      <sheetData sheetId="1"/>
      <sheetData sheetId="2">
        <row r="143">
          <cell r="I143">
            <v>2168.5119374278142</v>
          </cell>
        </row>
        <row r="150">
          <cell r="L150">
            <v>1.1808072319410732</v>
          </cell>
        </row>
        <row r="175">
          <cell r="J175">
            <v>8229.2073809523808</v>
          </cell>
        </row>
        <row r="182">
          <cell r="L182">
            <v>5.3218367791077261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53"/>
  <sheetViews>
    <sheetView showGridLines="0" view="pageBreakPreview" zoomScaleSheetLayoutView="100" workbookViewId="0">
      <selection activeCell="P37" sqref="P37"/>
    </sheetView>
  </sheetViews>
  <sheetFormatPr defaultRowHeight="10.5"/>
  <cols>
    <col min="1" max="1" width="1" style="3" customWidth="1"/>
    <col min="2" max="2" width="4.5546875" style="3" customWidth="1"/>
    <col min="3" max="3" width="5.33203125" style="3" customWidth="1"/>
    <col min="4" max="4" width="4.5546875" style="3" customWidth="1"/>
    <col min="5" max="5" width="4.77734375" style="3" customWidth="1"/>
    <col min="6" max="6" width="4.5546875" style="3" customWidth="1"/>
    <col min="7" max="7" width="5.109375" style="3" customWidth="1"/>
    <col min="8" max="8" width="4.5546875" style="3" customWidth="1"/>
    <col min="9" max="9" width="4.88671875" style="3" customWidth="1"/>
    <col min="10" max="13" width="4.5546875" style="3" customWidth="1"/>
    <col min="14" max="14" width="4.88671875" style="3" customWidth="1"/>
    <col min="15" max="15" width="5" style="3" customWidth="1"/>
    <col min="16" max="19" width="4.5546875" style="3" customWidth="1"/>
    <col min="20" max="20" width="5.109375" style="3" customWidth="1"/>
    <col min="21" max="25" width="4.5546875" style="3" customWidth="1"/>
    <col min="26" max="26" width="5.109375" style="3" customWidth="1"/>
    <col min="27" max="27" width="4.5546875" style="3" customWidth="1"/>
    <col min="28" max="28" width="0.88671875" style="3" customWidth="1"/>
    <col min="29" max="34" width="6.77734375" style="3" customWidth="1"/>
    <col min="35" max="36" width="5.33203125" style="3" customWidth="1"/>
    <col min="37" max="39" width="7" style="3" customWidth="1"/>
    <col min="40" max="40" width="8.44140625" style="3" customWidth="1"/>
    <col min="41" max="41" width="5.5546875" style="3" customWidth="1"/>
    <col min="42" max="42" width="9.6640625" style="3" customWidth="1"/>
    <col min="43" max="43" width="9" style="3" customWidth="1"/>
    <col min="44" max="44" width="7" style="3" customWidth="1"/>
    <col min="45" max="50" width="5.33203125" style="3" customWidth="1"/>
    <col min="51" max="16384" width="8.88671875" style="3"/>
  </cols>
  <sheetData>
    <row r="1" spans="1:33" ht="12" customHeight="1" thickBot="1">
      <c r="A1" s="576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8"/>
    </row>
    <row r="2" spans="1:33" ht="9" customHeight="1" thickTop="1">
      <c r="A2" s="579"/>
      <c r="B2" s="1202" t="s">
        <v>827</v>
      </c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P2" s="1203"/>
      <c r="Q2" s="1203"/>
      <c r="R2" s="1203"/>
      <c r="S2" s="1203"/>
      <c r="T2" s="1203"/>
      <c r="U2" s="1203"/>
      <c r="V2" s="1203"/>
      <c r="W2" s="1203"/>
      <c r="X2" s="1203"/>
      <c r="Y2" s="1203"/>
      <c r="Z2" s="1203"/>
      <c r="AA2" s="1204"/>
      <c r="AB2" s="580"/>
    </row>
    <row r="3" spans="1:33" ht="9" customHeight="1">
      <c r="A3" s="581"/>
      <c r="B3" s="1205"/>
      <c r="C3" s="1206"/>
      <c r="D3" s="1206"/>
      <c r="E3" s="1206"/>
      <c r="F3" s="1206"/>
      <c r="G3" s="1206"/>
      <c r="H3" s="1206"/>
      <c r="I3" s="1206"/>
      <c r="J3" s="1206"/>
      <c r="K3" s="1206"/>
      <c r="L3" s="1206"/>
      <c r="M3" s="1206"/>
      <c r="N3" s="1206"/>
      <c r="O3" s="1206"/>
      <c r="P3" s="1206"/>
      <c r="Q3" s="1206"/>
      <c r="R3" s="1206"/>
      <c r="S3" s="1206"/>
      <c r="T3" s="1206"/>
      <c r="U3" s="1206"/>
      <c r="V3" s="1206"/>
      <c r="W3" s="1206"/>
      <c r="X3" s="1206"/>
      <c r="Y3" s="1206"/>
      <c r="Z3" s="1206"/>
      <c r="AA3" s="1207"/>
      <c r="AB3" s="580"/>
    </row>
    <row r="4" spans="1:33" ht="9" customHeight="1" thickBot="1">
      <c r="A4" s="579"/>
      <c r="B4" s="1208"/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10"/>
      <c r="AB4" s="580"/>
    </row>
    <row r="5" spans="1:33" ht="9" customHeight="1" thickTop="1">
      <c r="A5" s="582"/>
      <c r="B5" s="140"/>
      <c r="C5" s="140"/>
      <c r="D5" s="140"/>
      <c r="E5" s="142"/>
      <c r="F5" s="142"/>
      <c r="G5" s="142"/>
      <c r="H5" s="142"/>
      <c r="I5" s="142"/>
      <c r="J5" s="142"/>
      <c r="K5" s="142"/>
      <c r="L5" s="720"/>
      <c r="M5" s="142"/>
      <c r="N5" s="143"/>
      <c r="O5" s="142"/>
      <c r="P5" s="720"/>
      <c r="Q5" s="720"/>
      <c r="R5" s="142"/>
      <c r="S5" s="142"/>
      <c r="T5" s="142"/>
      <c r="U5" s="142"/>
      <c r="V5" s="142"/>
      <c r="W5" s="142"/>
      <c r="X5" s="142"/>
      <c r="Y5" s="142"/>
      <c r="Z5" s="142"/>
      <c r="AA5" s="486"/>
      <c r="AB5" s="583"/>
    </row>
    <row r="6" spans="1:33" ht="9" customHeight="1">
      <c r="A6" s="584"/>
      <c r="B6" s="142"/>
      <c r="C6" s="142"/>
      <c r="D6" s="142"/>
      <c r="E6" s="142"/>
      <c r="F6" s="720"/>
      <c r="G6" s="144"/>
      <c r="H6" s="143"/>
      <c r="I6" s="142"/>
      <c r="J6" s="142"/>
      <c r="K6" s="142"/>
      <c r="L6" s="720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583"/>
      <c r="AD6" s="3">
        <f>5900/24</f>
        <v>245.83333333333334</v>
      </c>
    </row>
    <row r="7" spans="1:33" ht="9" customHeight="1">
      <c r="A7" s="584"/>
      <c r="B7" s="145" t="s">
        <v>55</v>
      </c>
      <c r="C7" s="266">
        <v>11800</v>
      </c>
      <c r="D7" s="146" t="s">
        <v>62</v>
      </c>
      <c r="E7" s="142"/>
      <c r="F7" s="145" t="s">
        <v>55</v>
      </c>
      <c r="G7" s="147">
        <f t="shared" ref="G7:G12" si="0">C7+C26</f>
        <v>12384.423276698724</v>
      </c>
      <c r="H7" s="146" t="s">
        <v>62</v>
      </c>
      <c r="I7" s="148"/>
      <c r="J7" s="143"/>
      <c r="K7" s="140"/>
      <c r="L7" s="142"/>
      <c r="M7" s="142"/>
      <c r="N7" s="142"/>
      <c r="O7" s="142"/>
      <c r="P7" s="142"/>
      <c r="Q7" s="142"/>
      <c r="R7" s="7"/>
      <c r="S7" s="145" t="s">
        <v>55</v>
      </c>
      <c r="T7" s="149">
        <f>G7-T37</f>
        <v>12185.125776698724</v>
      </c>
      <c r="U7" s="146" t="s">
        <v>62</v>
      </c>
      <c r="V7" s="142"/>
      <c r="W7" s="142"/>
      <c r="X7" s="7"/>
      <c r="Y7" s="537" t="s">
        <v>55</v>
      </c>
      <c r="Z7" s="487">
        <f>T7-Y29</f>
        <v>11792.426695</v>
      </c>
      <c r="AA7" s="146" t="s">
        <v>62</v>
      </c>
      <c r="AB7" s="585"/>
      <c r="AE7" s="40"/>
    </row>
    <row r="8" spans="1:33" ht="9" customHeight="1">
      <c r="A8" s="584"/>
      <c r="B8" s="150" t="s">
        <v>45</v>
      </c>
      <c r="C8" s="267">
        <f>C7*D8*0.001</f>
        <v>2478</v>
      </c>
      <c r="D8" s="492">
        <v>210</v>
      </c>
      <c r="E8" s="142"/>
      <c r="F8" s="150" t="s">
        <v>45</v>
      </c>
      <c r="G8" s="415">
        <f t="shared" si="0"/>
        <v>2535.8124614400963</v>
      </c>
      <c r="H8" s="504">
        <f>((G8/G7*1000))</f>
        <v>204.75821964283341</v>
      </c>
      <c r="I8" s="152"/>
      <c r="J8" s="153"/>
      <c r="K8" s="154"/>
      <c r="L8" s="142"/>
      <c r="M8" s="142"/>
      <c r="N8" s="142"/>
      <c r="O8" s="142"/>
      <c r="P8" s="142"/>
      <c r="Q8" s="142"/>
      <c r="R8" s="7"/>
      <c r="S8" s="540" t="s">
        <v>45</v>
      </c>
      <c r="T8" s="495">
        <f>$T$7*U8/1000</f>
        <v>36.555377330096171</v>
      </c>
      <c r="U8" s="520">
        <v>3</v>
      </c>
      <c r="V8" s="142"/>
      <c r="W8" s="142"/>
      <c r="X8" s="7"/>
      <c r="Y8" s="538" t="s">
        <v>45</v>
      </c>
      <c r="Z8" s="791">
        <f>$Z$7*AA8/1000</f>
        <v>23.584853389999999</v>
      </c>
      <c r="AA8" s="790">
        <v>2</v>
      </c>
      <c r="AB8" s="586"/>
      <c r="AC8" s="28"/>
      <c r="AD8" s="28"/>
      <c r="AE8" s="28"/>
    </row>
    <row r="9" spans="1:33" ht="9" customHeight="1">
      <c r="A9" s="584"/>
      <c r="B9" s="155" t="s">
        <v>29</v>
      </c>
      <c r="C9" s="268">
        <f>C7*D9*0.001</f>
        <v>2360</v>
      </c>
      <c r="D9" s="490">
        <v>200</v>
      </c>
      <c r="E9" s="142"/>
      <c r="F9" s="155" t="s">
        <v>29</v>
      </c>
      <c r="G9" s="416">
        <f t="shared" si="0"/>
        <v>2412.3024474719873</v>
      </c>
      <c r="H9" s="505">
        <f>(G9/G7*1000)</f>
        <v>194.78520667254091</v>
      </c>
      <c r="I9" s="152"/>
      <c r="J9" s="153"/>
      <c r="K9" s="154"/>
      <c r="L9" s="142"/>
      <c r="M9" s="1187" t="s">
        <v>88</v>
      </c>
      <c r="N9" s="1188"/>
      <c r="O9" s="1189"/>
      <c r="P9" s="157">
        <f>AG19</f>
        <v>1.3982000000000001</v>
      </c>
      <c r="Q9" s="142"/>
      <c r="R9" s="7"/>
      <c r="S9" s="503" t="s">
        <v>29</v>
      </c>
      <c r="T9" s="496">
        <f>$T$7*U9/1000</f>
        <v>121.85125776698725</v>
      </c>
      <c r="U9" s="520">
        <v>10</v>
      </c>
      <c r="V9" s="142"/>
      <c r="W9" s="142"/>
      <c r="X9" s="7"/>
      <c r="Y9" s="539" t="s">
        <v>29</v>
      </c>
      <c r="Z9" s="496">
        <f t="shared" ref="Z9:Z12" si="1">$Z$7*AA9/1000</f>
        <v>70.754560169999991</v>
      </c>
      <c r="AA9" s="505">
        <v>6</v>
      </c>
      <c r="AB9" s="586"/>
      <c r="AC9" s="28"/>
      <c r="AD9" s="28"/>
      <c r="AG9" s="7"/>
    </row>
    <row r="10" spans="1:33" ht="9" customHeight="1">
      <c r="A10" s="584"/>
      <c r="B10" s="155" t="s">
        <v>46</v>
      </c>
      <c r="C10" s="268">
        <f>C7*D10*0.001</f>
        <v>2360</v>
      </c>
      <c r="D10" s="490">
        <v>200</v>
      </c>
      <c r="E10" s="142"/>
      <c r="F10" s="155" t="s">
        <v>46</v>
      </c>
      <c r="G10" s="416">
        <f t="shared" si="0"/>
        <v>2464.8746497167949</v>
      </c>
      <c r="H10" s="505">
        <f>(G10/G7*1000)</f>
        <v>199.03023295032665</v>
      </c>
      <c r="I10" s="152"/>
      <c r="J10" s="153"/>
      <c r="K10" s="154"/>
      <c r="L10" s="142"/>
      <c r="M10" s="158" t="s">
        <v>55</v>
      </c>
      <c r="N10" s="595">
        <f>+(G7)*P9</f>
        <v>17315.900625480157</v>
      </c>
      <c r="O10" s="159" t="s">
        <v>62</v>
      </c>
      <c r="P10" s="142"/>
      <c r="Q10" s="142"/>
      <c r="R10" s="7"/>
      <c r="S10" s="503" t="s">
        <v>46</v>
      </c>
      <c r="T10" s="496">
        <f>$T$7*U10/1000</f>
        <v>48.740503106794897</v>
      </c>
      <c r="U10" s="520">
        <v>4</v>
      </c>
      <c r="V10" s="142"/>
      <c r="W10" s="142"/>
      <c r="X10" s="7"/>
      <c r="Y10" s="539" t="s">
        <v>46</v>
      </c>
      <c r="Z10" s="496">
        <f t="shared" si="1"/>
        <v>23.584853389999999</v>
      </c>
      <c r="AA10" s="505">
        <v>2</v>
      </c>
      <c r="AB10" s="586"/>
      <c r="AC10" s="28"/>
      <c r="AD10" s="28"/>
      <c r="AG10" s="97"/>
    </row>
    <row r="11" spans="1:33" ht="9" customHeight="1">
      <c r="A11" s="584"/>
      <c r="B11" s="155" t="s">
        <v>47</v>
      </c>
      <c r="C11" s="268">
        <f>C7*D11*0.001</f>
        <v>472</v>
      </c>
      <c r="D11" s="491">
        <v>40</v>
      </c>
      <c r="E11" s="142"/>
      <c r="F11" s="155" t="s">
        <v>47</v>
      </c>
      <c r="G11" s="416">
        <f t="shared" si="0"/>
        <v>479.52731683725005</v>
      </c>
      <c r="H11" s="506">
        <f>G11/G7*1000</f>
        <v>38.720197632414589</v>
      </c>
      <c r="I11" s="152"/>
      <c r="J11" s="153"/>
      <c r="K11" s="154"/>
      <c r="L11" s="142"/>
      <c r="M11" s="142"/>
      <c r="N11" s="142"/>
      <c r="O11" s="142"/>
      <c r="P11" s="142"/>
      <c r="Q11" s="142"/>
      <c r="R11" s="7"/>
      <c r="S11" s="503" t="s">
        <v>47</v>
      </c>
      <c r="T11" s="496">
        <f>$T$7*U11/1000</f>
        <v>95.04398105825004</v>
      </c>
      <c r="U11" s="520">
        <v>7.8</v>
      </c>
      <c r="V11" s="142"/>
      <c r="W11" s="142"/>
      <c r="X11" s="7"/>
      <c r="Y11" s="539" t="s">
        <v>47</v>
      </c>
      <c r="Z11" s="496">
        <f t="shared" si="1"/>
        <v>91.980928220999999</v>
      </c>
      <c r="AA11" s="505">
        <v>7.8</v>
      </c>
      <c r="AB11" s="586"/>
      <c r="AC11" s="28"/>
      <c r="AD11" s="28"/>
      <c r="AG11" s="97"/>
    </row>
    <row r="12" spans="1:33" ht="9" customHeight="1">
      <c r="A12" s="584"/>
      <c r="B12" s="155" t="s">
        <v>48</v>
      </c>
      <c r="C12" s="268">
        <f>C7*D12*0.001</f>
        <v>70.8</v>
      </c>
      <c r="D12" s="491">
        <v>6</v>
      </c>
      <c r="E12" s="160"/>
      <c r="F12" s="161" t="s">
        <v>48</v>
      </c>
      <c r="G12" s="557">
        <f t="shared" si="0"/>
        <v>74.5</v>
      </c>
      <c r="H12" s="507">
        <f>(G12/G7*1000)</f>
        <v>6.0156212635409227</v>
      </c>
      <c r="I12" s="152"/>
      <c r="J12" s="153"/>
      <c r="K12" s="154"/>
      <c r="L12" s="142"/>
      <c r="M12" s="142"/>
      <c r="N12" s="142"/>
      <c r="O12" s="142"/>
      <c r="P12" s="142"/>
      <c r="Q12" s="142"/>
      <c r="R12" s="7"/>
      <c r="S12" s="503" t="s">
        <v>48</v>
      </c>
      <c r="T12" s="496">
        <f>$T$7*U12/1000</f>
        <v>2.1933226398057699</v>
      </c>
      <c r="U12" s="521">
        <v>0.18</v>
      </c>
      <c r="V12" s="142"/>
      <c r="W12" s="142"/>
      <c r="X12" s="7"/>
      <c r="Y12" s="539" t="s">
        <v>48</v>
      </c>
      <c r="Z12" s="496">
        <f t="shared" si="1"/>
        <v>2.1226368051</v>
      </c>
      <c r="AA12" s="505">
        <v>0.18</v>
      </c>
      <c r="AB12" s="586"/>
      <c r="AC12" s="28"/>
      <c r="AD12" s="28"/>
      <c r="AE12" s="28"/>
      <c r="AG12" s="97"/>
    </row>
    <row r="13" spans="1:33" ht="9" customHeight="1">
      <c r="A13" s="584"/>
      <c r="B13" s="493" t="s">
        <v>144</v>
      </c>
      <c r="C13" s="1220">
        <v>100000</v>
      </c>
      <c r="D13" s="1221"/>
      <c r="E13" s="142"/>
      <c r="F13" s="161" t="s">
        <v>171</v>
      </c>
      <c r="G13" s="1222">
        <f>C13</f>
        <v>100000</v>
      </c>
      <c r="H13" s="1223"/>
      <c r="I13" s="142"/>
      <c r="J13" s="142"/>
      <c r="K13" s="142"/>
      <c r="L13" s="142"/>
      <c r="M13" s="142"/>
      <c r="N13" s="142"/>
      <c r="O13" s="142"/>
      <c r="P13" s="1192" t="s">
        <v>771</v>
      </c>
      <c r="Q13" s="1192"/>
      <c r="R13" s="7"/>
      <c r="S13" s="485" t="s">
        <v>227</v>
      </c>
      <c r="T13" s="1218">
        <v>50000</v>
      </c>
      <c r="U13" s="1219"/>
      <c r="V13" s="142"/>
      <c r="W13" s="142"/>
      <c r="X13" s="7"/>
      <c r="Y13" s="792" t="s">
        <v>227</v>
      </c>
      <c r="Z13" s="1224">
        <f>T13*(1-AA20)</f>
        <v>500.00000000000045</v>
      </c>
      <c r="AA13" s="1225"/>
      <c r="AB13" s="587"/>
      <c r="AC13" s="96"/>
      <c r="AD13" s="28"/>
      <c r="AG13" s="97"/>
    </row>
    <row r="14" spans="1:33" ht="9" customHeight="1">
      <c r="A14" s="584"/>
      <c r="B14" s="574"/>
      <c r="C14" s="1211"/>
      <c r="D14" s="1211"/>
      <c r="E14" s="142"/>
      <c r="F14" s="574"/>
      <c r="G14" s="1211"/>
      <c r="H14" s="1211"/>
      <c r="I14" s="1172">
        <v>0.9</v>
      </c>
      <c r="J14" s="142"/>
      <c r="K14" s="142"/>
      <c r="L14" s="142"/>
      <c r="M14" s="142"/>
      <c r="N14" s="142"/>
      <c r="O14" s="142"/>
      <c r="P14" s="142"/>
      <c r="Q14" s="142"/>
      <c r="R14" s="7"/>
      <c r="S14" s="789"/>
      <c r="T14" s="1212"/>
      <c r="U14" s="1212"/>
      <c r="V14" s="142"/>
      <c r="W14" s="142"/>
      <c r="X14" s="7"/>
      <c r="Y14" s="794"/>
      <c r="Z14" s="795"/>
      <c r="AA14" s="796"/>
      <c r="AB14" s="583"/>
      <c r="AG14" s="136"/>
    </row>
    <row r="15" spans="1:33" ht="9" customHeight="1">
      <c r="A15" s="584"/>
      <c r="B15" s="485"/>
      <c r="C15" s="494"/>
      <c r="D15" s="494"/>
      <c r="E15" s="142"/>
      <c r="F15" s="485"/>
      <c r="G15" s="494"/>
      <c r="H15" s="494"/>
      <c r="I15" s="1172"/>
      <c r="J15" s="142"/>
      <c r="K15" s="142"/>
      <c r="L15" s="142"/>
      <c r="M15" s="142"/>
      <c r="N15" s="142"/>
      <c r="O15" s="142"/>
      <c r="P15" s="142"/>
      <c r="Q15" s="142"/>
      <c r="R15" s="7"/>
      <c r="S15" s="543"/>
      <c r="T15" s="7"/>
      <c r="U15" s="7"/>
      <c r="V15" s="142"/>
      <c r="W15" s="142"/>
      <c r="X15" s="142"/>
      <c r="Y15" s="142"/>
      <c r="Z15" s="793"/>
      <c r="AA15" s="142"/>
      <c r="AB15" s="583"/>
      <c r="AG15" s="136"/>
    </row>
    <row r="16" spans="1:33" ht="9" customHeight="1" thickBot="1">
      <c r="A16" s="584"/>
      <c r="B16" s="164"/>
      <c r="C16" s="142"/>
      <c r="D16" s="142"/>
      <c r="E16" s="165"/>
      <c r="F16" s="164"/>
      <c r="G16" s="142"/>
      <c r="H16" s="142"/>
      <c r="I16" s="1172"/>
      <c r="J16" s="142"/>
      <c r="K16" s="142"/>
      <c r="L16" s="142"/>
      <c r="M16" s="142"/>
      <c r="N16" s="142"/>
      <c r="O16" s="142"/>
      <c r="P16" s="142"/>
      <c r="Q16" s="142"/>
      <c r="R16" s="165"/>
      <c r="S16" s="164"/>
      <c r="T16" s="142"/>
      <c r="U16" s="142"/>
      <c r="V16" s="142"/>
      <c r="W16" s="142"/>
      <c r="X16" s="142"/>
      <c r="Y16" s="142"/>
      <c r="Z16" s="665"/>
      <c r="AA16" s="165"/>
      <c r="AB16" s="583"/>
      <c r="AC16" s="9"/>
      <c r="AD16" s="9"/>
      <c r="AE16" s="9"/>
      <c r="AF16" s="10"/>
    </row>
    <row r="17" spans="1:43" ht="9" customHeight="1">
      <c r="A17" s="584"/>
      <c r="B17" s="1159" t="s">
        <v>228</v>
      </c>
      <c r="C17" s="1160"/>
      <c r="D17" s="142"/>
      <c r="E17" s="1164" t="s">
        <v>776</v>
      </c>
      <c r="F17" s="1165"/>
      <c r="G17" s="1166"/>
      <c r="H17" s="142"/>
      <c r="I17" s="1172"/>
      <c r="J17" s="720"/>
      <c r="K17" s="1193" t="s">
        <v>615</v>
      </c>
      <c r="L17" s="1194"/>
      <c r="M17" s="1194"/>
      <c r="N17" s="1194"/>
      <c r="O17" s="1195"/>
      <c r="P17" s="142"/>
      <c r="Q17" s="142"/>
      <c r="R17" s="1164" t="s">
        <v>581</v>
      </c>
      <c r="S17" s="1173"/>
      <c r="T17" s="142"/>
      <c r="U17" s="139"/>
      <c r="V17" s="1164" t="s">
        <v>225</v>
      </c>
      <c r="W17" s="1173"/>
      <c r="X17" s="142"/>
      <c r="Y17" s="142"/>
      <c r="Z17" s="1164" t="s">
        <v>585</v>
      </c>
      <c r="AA17" s="1173"/>
      <c r="AB17" s="588"/>
      <c r="AC17" s="18"/>
      <c r="AD17" s="4"/>
      <c r="AF17" s="4"/>
    </row>
    <row r="18" spans="1:43" ht="9" customHeight="1" thickBot="1">
      <c r="A18" s="584"/>
      <c r="B18" s="1161"/>
      <c r="C18" s="1162"/>
      <c r="D18" s="142"/>
      <c r="E18" s="1167"/>
      <c r="F18" s="1168"/>
      <c r="G18" s="1169"/>
      <c r="H18" s="142"/>
      <c r="I18" s="142"/>
      <c r="J18" s="720"/>
      <c r="K18" s="1196"/>
      <c r="L18" s="1197"/>
      <c r="M18" s="1197"/>
      <c r="N18" s="1197"/>
      <c r="O18" s="1198"/>
      <c r="P18" s="142"/>
      <c r="Q18" s="142"/>
      <c r="R18" s="1174"/>
      <c r="S18" s="1175"/>
      <c r="T18" s="142"/>
      <c r="U18" s="139"/>
      <c r="V18" s="1174"/>
      <c r="W18" s="1175"/>
      <c r="X18" s="142"/>
      <c r="Y18" s="142"/>
      <c r="Z18" s="1174"/>
      <c r="AA18" s="1175"/>
      <c r="AB18" s="588"/>
      <c r="AC18" s="18"/>
      <c r="AD18" s="4"/>
      <c r="AE18" s="3" t="s">
        <v>72</v>
      </c>
      <c r="AF18" s="4"/>
      <c r="AG18" s="3" t="s">
        <v>73</v>
      </c>
    </row>
    <row r="19" spans="1:43" ht="9" customHeight="1">
      <c r="A19" s="584"/>
      <c r="B19" s="142"/>
      <c r="C19" s="140"/>
      <c r="D19" s="140"/>
      <c r="E19" s="140"/>
      <c r="F19" s="142"/>
      <c r="G19" s="142"/>
      <c r="H19" s="142"/>
      <c r="I19" s="140"/>
      <c r="J19" s="720"/>
      <c r="K19" s="1190" t="s">
        <v>229</v>
      </c>
      <c r="L19" s="1170"/>
      <c r="M19" s="1191"/>
      <c r="N19" s="1170" t="s">
        <v>230</v>
      </c>
      <c r="O19" s="1171"/>
      <c r="P19" s="142"/>
      <c r="Q19" s="142"/>
      <c r="R19" s="142"/>
      <c r="S19" s="142"/>
      <c r="T19" s="142"/>
      <c r="U19" s="142"/>
      <c r="V19" s="1185" t="s">
        <v>230</v>
      </c>
      <c r="W19" s="1186"/>
      <c r="X19" s="142"/>
      <c r="Y19" s="142"/>
      <c r="Z19" s="1176" t="s">
        <v>230</v>
      </c>
      <c r="AA19" s="1177"/>
      <c r="AB19" s="589"/>
      <c r="AC19" s="4"/>
      <c r="AD19" s="4"/>
      <c r="AE19" s="11">
        <f>'구조물용량계산(설계치12)'!L104</f>
        <v>0.6</v>
      </c>
      <c r="AF19" s="10"/>
      <c r="AG19" s="44">
        <f>'구조물용량계산(설계치12)'!L111</f>
        <v>1.3982000000000001</v>
      </c>
    </row>
    <row r="20" spans="1:43" ht="9" customHeight="1">
      <c r="A20" s="584"/>
      <c r="B20" s="142"/>
      <c r="C20" s="142"/>
      <c r="D20" s="142"/>
      <c r="E20" s="142"/>
      <c r="F20" s="142"/>
      <c r="G20" s="142"/>
      <c r="H20" s="142"/>
      <c r="I20" s="142"/>
      <c r="J20" s="193">
        <v>0.9</v>
      </c>
      <c r="K20" s="166" t="s">
        <v>231</v>
      </c>
      <c r="L20" s="167">
        <f>(G7*H8)/(L24*L21)</f>
        <v>1.6265217450739531</v>
      </c>
      <c r="M20" s="168" t="s">
        <v>232</v>
      </c>
      <c r="N20" s="169" t="s">
        <v>233</v>
      </c>
      <c r="O20" s="522">
        <f>(H8-U8)/H8</f>
        <v>0.98534857352621541</v>
      </c>
      <c r="P20" s="142"/>
      <c r="Q20" s="142"/>
      <c r="R20" s="142"/>
      <c r="S20" s="142"/>
      <c r="T20" s="140"/>
      <c r="U20" s="170"/>
      <c r="V20" s="542" t="s">
        <v>45</v>
      </c>
      <c r="W20" s="555">
        <f>(U8-AA8)/U8</f>
        <v>0.33333333333333331</v>
      </c>
      <c r="X20" s="142"/>
      <c r="Y20" s="142"/>
      <c r="Z20" s="171" t="s">
        <v>144</v>
      </c>
      <c r="AA20" s="575">
        <v>0.99</v>
      </c>
      <c r="AB20" s="590"/>
      <c r="AC20" s="7"/>
      <c r="AD20" s="7"/>
      <c r="AE20" s="12"/>
    </row>
    <row r="21" spans="1:43" ht="10.5" customHeight="1" thickBot="1">
      <c r="A21" s="584"/>
      <c r="B21" s="788"/>
      <c r="C21" s="788"/>
      <c r="D21" s="1163" t="s">
        <v>775</v>
      </c>
      <c r="E21" s="1163"/>
      <c r="F21" s="1163"/>
      <c r="G21" s="142"/>
      <c r="H21" s="142"/>
      <c r="I21" s="142"/>
      <c r="J21" s="142"/>
      <c r="K21" s="173" t="s">
        <v>234</v>
      </c>
      <c r="L21" s="174">
        <f>'설계기준(설계치12)'!K14</f>
        <v>3000</v>
      </c>
      <c r="M21" s="175" t="s">
        <v>235</v>
      </c>
      <c r="N21" s="176" t="s">
        <v>236</v>
      </c>
      <c r="O21" s="524">
        <f>(H9-U9)/H9</f>
        <v>0.94866139903113234</v>
      </c>
      <c r="P21" s="142"/>
      <c r="Q21" s="142"/>
      <c r="R21" s="142"/>
      <c r="S21" s="142"/>
      <c r="T21" s="142"/>
      <c r="U21" s="170"/>
      <c r="V21" s="239" t="s">
        <v>29</v>
      </c>
      <c r="W21" s="800">
        <f t="shared" ref="W21:W23" si="2">(U9-AA9)/U9</f>
        <v>0.4</v>
      </c>
      <c r="X21" s="142"/>
      <c r="Y21" s="142"/>
      <c r="Z21" s="142"/>
      <c r="AA21" s="142"/>
      <c r="AB21" s="583"/>
    </row>
    <row r="22" spans="1:43" ht="9" customHeight="1">
      <c r="A22" s="591"/>
      <c r="B22" s="143"/>
      <c r="C22" s="729"/>
      <c r="D22" s="1159" t="s">
        <v>772</v>
      </c>
      <c r="E22" s="1160"/>
      <c r="F22" s="178"/>
      <c r="G22" s="142"/>
      <c r="H22" s="142"/>
      <c r="I22" s="142"/>
      <c r="J22" s="142"/>
      <c r="K22" s="179" t="s">
        <v>237</v>
      </c>
      <c r="L22" s="180">
        <f>L21*L24/T37/U40</f>
        <v>0.97783464418770938</v>
      </c>
      <c r="M22" s="181" t="s">
        <v>238</v>
      </c>
      <c r="N22" s="176" t="s">
        <v>239</v>
      </c>
      <c r="O22" s="524">
        <f>(H10-U10)/H10</f>
        <v>0.97990255077981891</v>
      </c>
      <c r="P22" s="142"/>
      <c r="Q22" s="142"/>
      <c r="R22" s="142"/>
      <c r="S22" s="142"/>
      <c r="T22" s="142"/>
      <c r="U22" s="170"/>
      <c r="V22" s="239" t="s">
        <v>46</v>
      </c>
      <c r="W22" s="800">
        <f t="shared" si="2"/>
        <v>0.5</v>
      </c>
      <c r="X22" s="142"/>
      <c r="Y22" s="142"/>
      <c r="Z22" s="142"/>
      <c r="AA22" s="142"/>
      <c r="AB22" s="583"/>
    </row>
    <row r="23" spans="1:43" ht="9" customHeight="1" thickBot="1">
      <c r="A23" s="591"/>
      <c r="B23" s="190"/>
      <c r="C23" s="190"/>
      <c r="D23" s="1161"/>
      <c r="E23" s="1162"/>
      <c r="F23" s="140"/>
      <c r="G23" s="142"/>
      <c r="H23" s="142"/>
      <c r="I23" s="142"/>
      <c r="J23" s="142"/>
      <c r="K23" s="182" t="s">
        <v>240</v>
      </c>
      <c r="L23" s="183">
        <f>G7*H8/L24/1000</f>
        <v>4.8795652352218593</v>
      </c>
      <c r="M23" s="184" t="s">
        <v>241</v>
      </c>
      <c r="N23" s="176" t="s">
        <v>242</v>
      </c>
      <c r="O23" s="524">
        <f>(H11-U11)/H11</f>
        <v>0.79855474721362896</v>
      </c>
      <c r="P23" s="142"/>
      <c r="Q23" s="142"/>
      <c r="R23" s="142"/>
      <c r="S23" s="140"/>
      <c r="T23" s="140"/>
      <c r="U23" s="170"/>
      <c r="V23" s="239" t="s">
        <v>47</v>
      </c>
      <c r="W23" s="800">
        <f t="shared" si="2"/>
        <v>0</v>
      </c>
      <c r="X23" s="142"/>
      <c r="Y23" s="142"/>
      <c r="Z23" s="142"/>
      <c r="AA23" s="142"/>
      <c r="AB23" s="583"/>
      <c r="AE23" s="12"/>
    </row>
    <row r="24" spans="1:43" ht="9" customHeight="1" thickBot="1">
      <c r="A24" s="591"/>
      <c r="B24" s="727"/>
      <c r="C24" s="200"/>
      <c r="D24" s="438"/>
      <c r="E24" s="190"/>
      <c r="F24" s="190"/>
      <c r="G24" s="142"/>
      <c r="H24" s="142"/>
      <c r="I24" s="142"/>
      <c r="J24" s="142"/>
      <c r="K24" s="187" t="s">
        <v>243</v>
      </c>
      <c r="L24" s="188">
        <f>'구조물용량계산(설계치12)'!B182</f>
        <v>519.68000000000006</v>
      </c>
      <c r="M24" s="189" t="s">
        <v>244</v>
      </c>
      <c r="N24" s="295" t="s">
        <v>48</v>
      </c>
      <c r="O24" s="524">
        <f>(H12-U12)/H12</f>
        <v>0.97007790349254008</v>
      </c>
      <c r="P24" s="142"/>
      <c r="Q24" s="142"/>
      <c r="R24" s="142"/>
      <c r="S24" s="142"/>
      <c r="T24" s="140"/>
      <c r="U24" s="170"/>
      <c r="V24" s="541" t="s">
        <v>48</v>
      </c>
      <c r="W24" s="556">
        <v>0</v>
      </c>
      <c r="X24" s="142"/>
      <c r="Y24" s="142"/>
      <c r="Z24" s="142"/>
      <c r="AA24" s="142"/>
      <c r="AB24" s="583"/>
      <c r="AE24" s="12"/>
    </row>
    <row r="25" spans="1:43" ht="9" customHeight="1" thickBot="1">
      <c r="A25" s="591"/>
      <c r="B25" s="723" t="s">
        <v>773</v>
      </c>
      <c r="C25" s="200"/>
      <c r="D25" s="728"/>
      <c r="E25" s="190"/>
      <c r="F25" s="190"/>
      <c r="G25" s="142"/>
      <c r="H25" s="142"/>
      <c r="I25" s="153"/>
      <c r="J25" s="142"/>
      <c r="K25" s="142"/>
      <c r="L25" s="143"/>
      <c r="M25" s="142"/>
      <c r="N25" s="191" t="s">
        <v>171</v>
      </c>
      <c r="O25" s="523">
        <f>(G13-T13)/G13</f>
        <v>0.5</v>
      </c>
      <c r="P25" s="142"/>
      <c r="Q25" s="142"/>
      <c r="R25" s="142"/>
      <c r="S25" s="142"/>
      <c r="T25" s="190"/>
      <c r="U25" s="190"/>
      <c r="V25" s="142"/>
      <c r="W25" s="142"/>
      <c r="X25" s="142"/>
      <c r="Y25" s="142"/>
      <c r="Z25" s="142"/>
      <c r="AA25" s="142"/>
      <c r="AB25" s="583"/>
      <c r="AE25" s="12"/>
    </row>
    <row r="26" spans="1:43" ht="9" customHeight="1">
      <c r="A26" s="591"/>
      <c r="B26" s="145" t="s">
        <v>55</v>
      </c>
      <c r="C26" s="265">
        <f>C37+Y29</f>
        <v>584.42327669872418</v>
      </c>
      <c r="D26" s="219" t="s">
        <v>62</v>
      </c>
      <c r="E26" s="190"/>
      <c r="F26" s="190"/>
      <c r="G26" s="142"/>
      <c r="H26" s="142"/>
      <c r="I26" s="142"/>
      <c r="J26" s="193">
        <v>0.1</v>
      </c>
      <c r="K26" s="142"/>
      <c r="L26" s="142"/>
      <c r="M26" s="142"/>
      <c r="N26" s="7"/>
      <c r="O26" s="7"/>
      <c r="P26" s="142"/>
      <c r="Q26" s="142"/>
      <c r="R26" s="142"/>
      <c r="S26" s="142"/>
      <c r="T26" s="139"/>
      <c r="U26" s="139"/>
      <c r="V26" s="142"/>
      <c r="W26" s="142"/>
      <c r="X26" s="142"/>
      <c r="Y26" s="142"/>
      <c r="Z26" s="142"/>
      <c r="AA26" s="142"/>
      <c r="AB26" s="583"/>
    </row>
    <row r="27" spans="1:43" ht="9" customHeight="1">
      <c r="A27" s="591"/>
      <c r="B27" s="150" t="s">
        <v>233</v>
      </c>
      <c r="C27" s="560">
        <f>C38+Y30</f>
        <v>57.812461440096257</v>
      </c>
      <c r="D27" s="151">
        <f>C27/$C$26*1000</f>
        <v>98.922243081531363</v>
      </c>
      <c r="E27" s="190"/>
      <c r="F27" s="190"/>
      <c r="G27" s="142"/>
      <c r="H27" s="142"/>
      <c r="I27" s="19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39"/>
      <c r="U27" s="139"/>
      <c r="V27" s="142"/>
      <c r="W27" s="142"/>
      <c r="X27" s="142"/>
      <c r="Y27" s="142"/>
      <c r="Z27" s="142"/>
      <c r="AA27" s="142"/>
      <c r="AB27" s="583"/>
      <c r="AC27" s="7"/>
      <c r="AD27" s="39"/>
      <c r="AE27" s="26"/>
      <c r="AI27" s="8"/>
      <c r="AK27" s="123" t="s">
        <v>217</v>
      </c>
      <c r="AL27" s="124"/>
      <c r="AM27" s="125"/>
      <c r="AN27" s="126"/>
      <c r="AO27" s="126"/>
      <c r="AP27" s="126"/>
      <c r="AQ27" s="126"/>
    </row>
    <row r="28" spans="1:43" ht="9" customHeight="1">
      <c r="A28" s="584"/>
      <c r="B28" s="161" t="s">
        <v>29</v>
      </c>
      <c r="C28" s="560">
        <f t="shared" ref="C28:C30" si="3">C39+Y31</f>
        <v>52.302447471987257</v>
      </c>
      <c r="D28" s="151">
        <f t="shared" ref="D28:D31" si="4">C28/$C$26*1000</f>
        <v>89.49412105457543</v>
      </c>
      <c r="E28" s="190"/>
      <c r="F28" s="190"/>
      <c r="G28" s="142"/>
      <c r="H28" s="142"/>
      <c r="I28" s="193">
        <v>0.1</v>
      </c>
      <c r="J28" s="142"/>
      <c r="K28" s="142"/>
      <c r="L28" s="160"/>
      <c r="M28" s="142"/>
      <c r="N28" s="142"/>
      <c r="O28" s="142"/>
      <c r="P28" s="142"/>
      <c r="Q28" s="142"/>
      <c r="R28" s="142"/>
      <c r="S28" s="142"/>
      <c r="T28" s="142"/>
      <c r="U28" s="142"/>
      <c r="V28" s="194"/>
      <c r="W28" s="196"/>
      <c r="X28" s="197"/>
      <c r="Y28" s="195" t="s">
        <v>586</v>
      </c>
      <c r="Z28" s="720"/>
      <c r="AA28" s="142"/>
      <c r="AB28" s="583"/>
      <c r="AD28" s="20"/>
      <c r="AE28" s="26"/>
      <c r="AI28" s="8"/>
      <c r="AK28" s="127"/>
      <c r="AL28" s="128" t="s">
        <v>218</v>
      </c>
      <c r="AM28" s="129" t="s">
        <v>219</v>
      </c>
      <c r="AN28" s="128"/>
      <c r="AO28" s="128" t="s">
        <v>220</v>
      </c>
      <c r="AP28" s="128" t="s">
        <v>223</v>
      </c>
      <c r="AQ28" s="128" t="s">
        <v>221</v>
      </c>
    </row>
    <row r="29" spans="1:43" ht="9" customHeight="1" thickBot="1">
      <c r="A29" s="584"/>
      <c r="B29" s="155" t="s">
        <v>46</v>
      </c>
      <c r="C29" s="560">
        <f t="shared" si="3"/>
        <v>104.87464971679495</v>
      </c>
      <c r="D29" s="151">
        <f t="shared" si="4"/>
        <v>179.44981642279598</v>
      </c>
      <c r="E29" s="190"/>
      <c r="F29" s="190"/>
      <c r="G29" s="142"/>
      <c r="H29" s="142"/>
      <c r="I29" s="142"/>
      <c r="J29" s="142"/>
      <c r="K29" s="142"/>
      <c r="L29" s="160"/>
      <c r="M29" s="142"/>
      <c r="N29" s="142"/>
      <c r="O29" s="142"/>
      <c r="P29" s="142"/>
      <c r="Q29" s="142"/>
      <c r="R29" s="142"/>
      <c r="S29" s="142"/>
      <c r="T29" s="142"/>
      <c r="U29" s="142"/>
      <c r="V29" s="720"/>
      <c r="W29" s="548"/>
      <c r="X29" s="549" t="s">
        <v>587</v>
      </c>
      <c r="Y29" s="550">
        <f>AD36*2</f>
        <v>392.69908169872417</v>
      </c>
      <c r="Z29" s="551" t="s">
        <v>588</v>
      </c>
      <c r="AA29" s="142"/>
      <c r="AB29" s="583"/>
      <c r="AD29" s="43">
        <f>'구조물용량계산(설계치12)'!O236</f>
        <v>702.16823301520981</v>
      </c>
      <c r="AE29" s="26"/>
      <c r="AK29" s="127" t="s">
        <v>222</v>
      </c>
      <c r="AL29" s="128">
        <v>1</v>
      </c>
      <c r="AM29" s="130">
        <f>O49</f>
        <v>1594.38</v>
      </c>
      <c r="AN29" s="131">
        <v>0.2</v>
      </c>
      <c r="AO29" s="128">
        <v>1</v>
      </c>
      <c r="AP29" s="132">
        <f>ROUND((AQ29*100/AN29)/(AO29*1000),1)</f>
        <v>8</v>
      </c>
      <c r="AQ29" s="132">
        <f>ROUND(AL29/100*AM29,1)</f>
        <v>15.9</v>
      </c>
    </row>
    <row r="30" spans="1:43" ht="9" customHeight="1">
      <c r="A30" s="591"/>
      <c r="B30" s="155" t="s">
        <v>242</v>
      </c>
      <c r="C30" s="560">
        <f t="shared" si="3"/>
        <v>7.5273168372500407</v>
      </c>
      <c r="D30" s="151">
        <f t="shared" si="4"/>
        <v>12.879905947227432</v>
      </c>
      <c r="E30" s="7"/>
      <c r="F30" s="190"/>
      <c r="G30" s="142"/>
      <c r="H30" s="1164" t="s">
        <v>833</v>
      </c>
      <c r="I30" s="1180"/>
      <c r="J30" s="1173"/>
      <c r="K30" s="142"/>
      <c r="L30" s="198" t="s">
        <v>248</v>
      </c>
      <c r="M30" s="142"/>
      <c r="N30" s="142"/>
      <c r="O30" s="142"/>
      <c r="P30" s="142"/>
      <c r="Q30" s="142"/>
      <c r="R30" s="142"/>
      <c r="S30" s="142"/>
      <c r="T30" s="142"/>
      <c r="U30" s="142"/>
      <c r="V30" s="140"/>
      <c r="W30" s="205"/>
      <c r="X30" s="552" t="s">
        <v>589</v>
      </c>
      <c r="Y30" s="797">
        <f>T8-Z8</f>
        <v>12.970523940096172</v>
      </c>
      <c r="Z30" s="790">
        <f>((Y30/Y$29*1000))</f>
        <v>33.029167992929153</v>
      </c>
      <c r="AA30" s="142"/>
      <c r="AB30" s="583"/>
      <c r="AC30" s="1201" t="s">
        <v>100</v>
      </c>
      <c r="AD30" s="1201"/>
      <c r="AE30" s="27"/>
      <c r="AK30" s="133" t="s">
        <v>216</v>
      </c>
      <c r="AL30" s="134">
        <v>10</v>
      </c>
      <c r="AM30" s="130">
        <f>AM29</f>
        <v>1594.38</v>
      </c>
      <c r="AN30" s="135">
        <v>0.11</v>
      </c>
      <c r="AO30" s="128">
        <v>1.45</v>
      </c>
      <c r="AP30" s="132">
        <f>ROUND((AQ30*100/AN30)/(AO30*1000),1)</f>
        <v>99.9</v>
      </c>
      <c r="AQ30" s="132">
        <f>ROUND(AL30/100*AM30,1)</f>
        <v>159.4</v>
      </c>
    </row>
    <row r="31" spans="1:43" ht="9" customHeight="1">
      <c r="A31" s="591"/>
      <c r="B31" s="163" t="s">
        <v>48</v>
      </c>
      <c r="C31" s="699">
        <v>3.7</v>
      </c>
      <c r="D31" s="489">
        <f t="shared" si="4"/>
        <v>6.3310277799003307</v>
      </c>
      <c r="E31" s="7"/>
      <c r="F31" s="190"/>
      <c r="G31" s="142"/>
      <c r="H31" s="1181"/>
      <c r="I31" s="1182"/>
      <c r="J31" s="1183"/>
      <c r="K31" s="142"/>
      <c r="L31" s="145" t="s">
        <v>246</v>
      </c>
      <c r="M31" s="202">
        <f>+G7*O31</f>
        <v>7430.6539660192338</v>
      </c>
      <c r="N31" s="203" t="s">
        <v>247</v>
      </c>
      <c r="O31" s="204">
        <f>AE19</f>
        <v>0.6</v>
      </c>
      <c r="P31" s="142"/>
      <c r="Q31" s="142"/>
      <c r="R31" s="142"/>
      <c r="S31" s="142"/>
      <c r="T31" s="142"/>
      <c r="U31" s="142"/>
      <c r="V31" s="140"/>
      <c r="W31" s="205"/>
      <c r="X31" s="553" t="s">
        <v>590</v>
      </c>
      <c r="Y31" s="561">
        <f t="shared" ref="Y31:Y34" si="5">T9-Z9</f>
        <v>51.096697596987255</v>
      </c>
      <c r="Z31" s="505">
        <f t="shared" ref="Z31:Z34" si="6">((Y31/Y$29*1000))</f>
        <v>130.11667197171667</v>
      </c>
      <c r="AA31" s="142"/>
      <c r="AB31" s="583"/>
      <c r="AE31" s="26"/>
    </row>
    <row r="32" spans="1:43" ht="9" customHeight="1">
      <c r="A32" s="591"/>
      <c r="B32" s="7"/>
      <c r="C32" s="787">
        <f>C42+Y34</f>
        <v>3.6860197027154835</v>
      </c>
      <c r="D32" s="7"/>
      <c r="E32" s="7"/>
      <c r="F32" s="142"/>
      <c r="G32" s="142"/>
      <c r="H32" s="207" t="s">
        <v>246</v>
      </c>
      <c r="I32" s="149">
        <f>G7*I28+M31*J26</f>
        <v>1981.5077242717962</v>
      </c>
      <c r="J32" s="208" t="s">
        <v>247</v>
      </c>
      <c r="K32" s="209"/>
      <c r="L32" s="150" t="s">
        <v>239</v>
      </c>
      <c r="M32" s="210">
        <f>M31*N32*0.001</f>
        <v>59445.231728153871</v>
      </c>
      <c r="N32" s="211">
        <f>U40</f>
        <v>8000</v>
      </c>
      <c r="O32" s="142"/>
      <c r="P32" s="142"/>
      <c r="Q32" s="142"/>
      <c r="R32" s="142"/>
      <c r="S32" s="142"/>
      <c r="T32" s="142"/>
      <c r="U32" s="142"/>
      <c r="V32" s="140"/>
      <c r="W32" s="205"/>
      <c r="X32" s="553" t="s">
        <v>591</v>
      </c>
      <c r="Y32" s="561">
        <f t="shared" si="5"/>
        <v>25.155649716794898</v>
      </c>
      <c r="Z32" s="505">
        <f t="shared" si="6"/>
        <v>64.058335985858321</v>
      </c>
      <c r="AA32" s="142"/>
      <c r="AB32" s="583"/>
      <c r="AD32" s="90" t="s">
        <v>831</v>
      </c>
      <c r="AE32" s="91"/>
      <c r="AF32" s="92"/>
    </row>
    <row r="33" spans="1:44" ht="9" customHeight="1" thickBot="1">
      <c r="A33" s="591"/>
      <c r="B33" s="7"/>
      <c r="C33" s="7"/>
      <c r="D33" s="7"/>
      <c r="E33" s="7"/>
      <c r="F33" s="142"/>
      <c r="G33" s="142"/>
      <c r="H33" s="212" t="s">
        <v>234</v>
      </c>
      <c r="I33" s="213">
        <f>I32*J33*0.001</f>
        <v>5944.5231728153885</v>
      </c>
      <c r="J33" s="269">
        <f>L21</f>
        <v>3000</v>
      </c>
      <c r="K33" s="214"/>
      <c r="L33" s="163" t="s">
        <v>249</v>
      </c>
      <c r="M33" s="215">
        <f>T43</f>
        <v>99.2</v>
      </c>
      <c r="N33" s="216" t="s">
        <v>250</v>
      </c>
      <c r="O33" s="142"/>
      <c r="P33" s="142"/>
      <c r="Q33" s="142"/>
      <c r="R33" s="142"/>
      <c r="S33" s="142"/>
      <c r="T33" s="142"/>
      <c r="U33" s="142"/>
      <c r="V33" s="140"/>
      <c r="W33" s="205"/>
      <c r="X33" s="553" t="s">
        <v>592</v>
      </c>
      <c r="Y33" s="561">
        <f t="shared" si="5"/>
        <v>3.0630528372500407</v>
      </c>
      <c r="Z33" s="505">
        <f t="shared" si="6"/>
        <v>7.7999999999999803</v>
      </c>
      <c r="AA33" s="142"/>
      <c r="AB33" s="583"/>
      <c r="AD33" s="93">
        <v>2.5</v>
      </c>
      <c r="AE33" s="94">
        <v>40</v>
      </c>
      <c r="AF33" s="95">
        <v>4</v>
      </c>
    </row>
    <row r="34" spans="1:44" ht="9" customHeight="1">
      <c r="A34" s="584"/>
      <c r="B34" s="7"/>
      <c r="C34" s="7"/>
      <c r="D34" s="7"/>
      <c r="E34" s="7"/>
      <c r="F34" s="142"/>
      <c r="G34" s="142"/>
      <c r="H34" s="140"/>
      <c r="I34" s="140"/>
      <c r="J34" s="172"/>
      <c r="K34" s="206"/>
      <c r="L34" s="142"/>
      <c r="M34" s="142"/>
      <c r="N34" s="140"/>
      <c r="O34" s="153"/>
      <c r="P34" s="206"/>
      <c r="Q34" s="142"/>
      <c r="R34" s="142"/>
      <c r="S34" s="190"/>
      <c r="T34" s="190"/>
      <c r="U34" s="190"/>
      <c r="V34" s="190"/>
      <c r="W34" s="142"/>
      <c r="X34" s="554" t="s">
        <v>593</v>
      </c>
      <c r="Y34" s="562">
        <f t="shared" si="5"/>
        <v>7.0685834705769945E-2</v>
      </c>
      <c r="Z34" s="798">
        <f t="shared" si="6"/>
        <v>0.17999999999999897</v>
      </c>
      <c r="AA34" s="142"/>
      <c r="AB34" s="583"/>
      <c r="AD34" s="543">
        <f>2.5*2.5*PI()/4</f>
        <v>4.908738521234052</v>
      </c>
      <c r="AE34" s="544">
        <f>AD34*AE33</f>
        <v>196.34954084936209</v>
      </c>
      <c r="AF34" s="95">
        <f>AF33*AE34</f>
        <v>785.39816339744834</v>
      </c>
      <c r="AG34" s="85"/>
      <c r="AK34" s="84"/>
      <c r="AL34" s="1199"/>
      <c r="AM34" s="1199"/>
      <c r="AN34" s="89"/>
      <c r="AO34" s="24"/>
      <c r="AP34" s="22"/>
      <c r="AQ34" s="21"/>
      <c r="AR34" s="23"/>
    </row>
    <row r="35" spans="1:44" ht="9" customHeight="1">
      <c r="A35" s="584"/>
      <c r="B35" s="7"/>
      <c r="C35" s="7"/>
      <c r="D35" s="7"/>
      <c r="E35" s="142"/>
      <c r="F35" s="142"/>
      <c r="G35" s="217"/>
      <c r="H35" s="142"/>
      <c r="I35" s="142"/>
      <c r="J35" s="172"/>
      <c r="K35" s="142"/>
      <c r="L35" s="142"/>
      <c r="M35" s="142"/>
      <c r="N35" s="140"/>
      <c r="O35" s="172"/>
      <c r="P35" s="206"/>
      <c r="Q35" s="142"/>
      <c r="R35" s="142"/>
      <c r="S35" s="190"/>
      <c r="T35" s="190"/>
      <c r="U35" s="190"/>
      <c r="V35" s="190"/>
      <c r="W35" s="142"/>
      <c r="X35" s="142"/>
      <c r="Y35" s="142"/>
      <c r="Z35" s="142"/>
      <c r="AA35" s="142"/>
      <c r="AB35" s="583"/>
      <c r="AD35" s="799">
        <f>15/60</f>
        <v>0.25</v>
      </c>
      <c r="AE35" s="544"/>
      <c r="AF35" s="95"/>
      <c r="AG35" s="85"/>
      <c r="AK35" s="84"/>
      <c r="AL35" s="1200"/>
      <c r="AM35" s="1200"/>
      <c r="AN35" s="89"/>
      <c r="AO35" s="24"/>
      <c r="AP35" s="22"/>
      <c r="AQ35" s="21"/>
      <c r="AR35" s="23"/>
    </row>
    <row r="36" spans="1:44" ht="9" customHeight="1">
      <c r="A36" s="584"/>
      <c r="B36" s="142" t="s">
        <v>774</v>
      </c>
      <c r="C36" s="142"/>
      <c r="D36" s="142"/>
      <c r="E36" s="190"/>
      <c r="F36" s="153"/>
      <c r="G36" s="720"/>
      <c r="H36" s="153"/>
      <c r="I36" s="143"/>
      <c r="J36" s="142"/>
      <c r="K36" s="142"/>
      <c r="L36" s="142"/>
      <c r="M36" s="142"/>
      <c r="N36" s="140"/>
      <c r="O36" s="153"/>
      <c r="P36" s="206"/>
      <c r="Q36" s="142"/>
      <c r="R36" s="142"/>
      <c r="S36" s="142" t="s">
        <v>251</v>
      </c>
      <c r="T36" s="142"/>
      <c r="U36" s="142"/>
      <c r="V36" s="142"/>
      <c r="W36" s="142"/>
      <c r="X36" s="142"/>
      <c r="Y36" s="142"/>
      <c r="Z36" s="142"/>
      <c r="AA36" s="142"/>
      <c r="AB36" s="583"/>
      <c r="AD36" s="545">
        <f>AF34*AD35</f>
        <v>196.34954084936209</v>
      </c>
      <c r="AE36" s="544"/>
      <c r="AF36" s="95"/>
      <c r="AG36" s="85"/>
      <c r="AH36" s="86"/>
      <c r="AI36" s="87"/>
      <c r="AJ36" s="88"/>
      <c r="AK36" s="84"/>
      <c r="AL36" s="25"/>
      <c r="AM36" s="25"/>
      <c r="AN36" s="89"/>
      <c r="AO36" s="24"/>
      <c r="AP36" s="22"/>
      <c r="AQ36" s="21"/>
      <c r="AR36" s="21"/>
    </row>
    <row r="37" spans="1:44" ht="9" customHeight="1">
      <c r="A37" s="591"/>
      <c r="B37" s="145" t="s">
        <v>246</v>
      </c>
      <c r="C37" s="265">
        <f>K61</f>
        <v>191.72419500000001</v>
      </c>
      <c r="D37" s="219" t="s">
        <v>247</v>
      </c>
      <c r="E37" s="190"/>
      <c r="F37" s="190"/>
      <c r="G37" s="142"/>
      <c r="H37" s="220"/>
      <c r="I37" s="206"/>
      <c r="J37" s="142"/>
      <c r="K37" s="720"/>
      <c r="L37" s="714"/>
      <c r="M37" s="140"/>
      <c r="N37" s="720"/>
      <c r="O37" s="153"/>
      <c r="P37" s="140"/>
      <c r="Q37" s="142"/>
      <c r="R37" s="142"/>
      <c r="S37" s="145" t="s">
        <v>246</v>
      </c>
      <c r="T37" s="465">
        <f>T40/U40*1000</f>
        <v>199.29750000000001</v>
      </c>
      <c r="U37" s="219" t="s">
        <v>247</v>
      </c>
      <c r="V37" s="160"/>
      <c r="W37" s="221"/>
      <c r="X37" s="142"/>
      <c r="Y37" s="142"/>
      <c r="Z37" s="142"/>
      <c r="AA37" s="142"/>
      <c r="AB37" s="583"/>
      <c r="AD37" s="546"/>
      <c r="AE37" s="547"/>
      <c r="AF37" s="95"/>
      <c r="AG37" s="85"/>
      <c r="AH37" s="86"/>
      <c r="AI37" s="87"/>
      <c r="AJ37" s="88"/>
      <c r="AK37" s="84"/>
      <c r="AL37" s="1200"/>
      <c r="AM37" s="1200"/>
      <c r="AN37" s="89"/>
      <c r="AO37" s="24"/>
      <c r="AP37" s="22"/>
      <c r="AQ37" s="21"/>
      <c r="AR37" s="23"/>
    </row>
    <row r="38" spans="1:44" ht="9" customHeight="1">
      <c r="A38" s="584"/>
      <c r="B38" s="150" t="s">
        <v>233</v>
      </c>
      <c r="C38" s="560">
        <f>K56</f>
        <v>44.841937500000085</v>
      </c>
      <c r="D38" s="151">
        <f>C38/$C$37*1000</f>
        <v>233.88773388773433</v>
      </c>
      <c r="E38" s="190"/>
      <c r="F38" s="190"/>
      <c r="G38" s="142"/>
      <c r="H38" s="220"/>
      <c r="I38" s="206"/>
      <c r="J38" s="142"/>
      <c r="K38" s="140"/>
      <c r="L38" s="209"/>
      <c r="M38" s="153"/>
      <c r="N38" s="140"/>
      <c r="O38" s="153"/>
      <c r="P38" s="206"/>
      <c r="Q38" s="142"/>
      <c r="R38" s="142"/>
      <c r="S38" s="150" t="s">
        <v>233</v>
      </c>
      <c r="T38" s="222">
        <f>T40*0.75*0.75</f>
        <v>896.83875000000012</v>
      </c>
      <c r="U38" s="151">
        <f>T38/T37*1000</f>
        <v>4500</v>
      </c>
      <c r="V38" s="223">
        <v>121.9</v>
      </c>
      <c r="W38" s="142"/>
      <c r="X38" s="142"/>
      <c r="Y38" s="142"/>
      <c r="Z38" s="142"/>
      <c r="AA38" s="142"/>
      <c r="AB38" s="583"/>
      <c r="AE38" s="83"/>
      <c r="AF38" s="84"/>
      <c r="AG38" s="85"/>
      <c r="AH38" s="86"/>
      <c r="AI38" s="87"/>
      <c r="AJ38" s="88"/>
      <c r="AK38" s="84"/>
      <c r="AL38" s="1199"/>
      <c r="AM38" s="1199"/>
      <c r="AN38" s="89"/>
      <c r="AO38" s="24"/>
      <c r="AP38" s="22"/>
      <c r="AQ38" s="21"/>
      <c r="AR38" s="23"/>
    </row>
    <row r="39" spans="1:44" ht="9" customHeight="1">
      <c r="A39" s="584"/>
      <c r="B39" s="161" t="s">
        <v>236</v>
      </c>
      <c r="C39" s="560">
        <f>K57</f>
        <v>1.2057498750000022</v>
      </c>
      <c r="D39" s="151">
        <f>C39/$C$37*1000</f>
        <v>6.2889812889812999</v>
      </c>
      <c r="E39" s="190"/>
      <c r="F39" s="190"/>
      <c r="G39" s="142"/>
      <c r="H39" s="220"/>
      <c r="I39" s="206"/>
      <c r="J39" s="142"/>
      <c r="K39" s="140"/>
      <c r="L39" s="209"/>
      <c r="M39" s="153"/>
      <c r="N39" s="140"/>
      <c r="O39" s="153"/>
      <c r="P39" s="206"/>
      <c r="Q39" s="142"/>
      <c r="R39" s="142"/>
      <c r="S39" s="161" t="s">
        <v>236</v>
      </c>
      <c r="T39" s="224">
        <f>T37*U39*0.001</f>
        <v>24.114997500000001</v>
      </c>
      <c r="U39" s="141">
        <v>121</v>
      </c>
      <c r="V39" s="160"/>
      <c r="W39" s="142"/>
      <c r="X39" s="142"/>
      <c r="Y39" s="142"/>
      <c r="Z39" s="142"/>
      <c r="AA39" s="142"/>
      <c r="AB39" s="583"/>
      <c r="AC39" s="5"/>
    </row>
    <row r="40" spans="1:44" ht="9" customHeight="1">
      <c r="A40" s="584"/>
      <c r="B40" s="155" t="s">
        <v>239</v>
      </c>
      <c r="C40" s="560">
        <f>K58</f>
        <v>79.719000000000051</v>
      </c>
      <c r="D40" s="151">
        <f>C40/$C$37*1000</f>
        <v>415.80041580041603</v>
      </c>
      <c r="E40" s="142"/>
      <c r="F40" s="190"/>
      <c r="G40" s="142"/>
      <c r="H40" s="220"/>
      <c r="I40" s="206"/>
      <c r="J40" s="142"/>
      <c r="K40" s="140"/>
      <c r="L40" s="209"/>
      <c r="M40" s="153"/>
      <c r="N40" s="140"/>
      <c r="O40" s="153"/>
      <c r="P40" s="206"/>
      <c r="Q40" s="218"/>
      <c r="R40" s="142"/>
      <c r="S40" s="155" t="s">
        <v>239</v>
      </c>
      <c r="T40" s="534">
        <v>1594.38</v>
      </c>
      <c r="U40" s="225">
        <f>ROUNDUP((100-T43)*10000,0)</f>
        <v>8000</v>
      </c>
      <c r="V40" s="226"/>
      <c r="W40" s="142"/>
      <c r="X40" s="142"/>
      <c r="Y40" s="142"/>
      <c r="Z40" s="142"/>
      <c r="AA40" s="142"/>
      <c r="AB40" s="583"/>
      <c r="AC40" s="6"/>
    </row>
    <row r="41" spans="1:44" ht="9" customHeight="1">
      <c r="A41" s="584"/>
      <c r="B41" s="155" t="s">
        <v>242</v>
      </c>
      <c r="C41" s="560">
        <f>K59</f>
        <v>4.464264</v>
      </c>
      <c r="D41" s="151">
        <f>C41/$C$37*1000</f>
        <v>23.284823284823283</v>
      </c>
      <c r="E41" s="142"/>
      <c r="F41" s="190"/>
      <c r="G41" s="142"/>
      <c r="H41" s="220"/>
      <c r="I41" s="206"/>
      <c r="J41" s="142"/>
      <c r="K41" s="140"/>
      <c r="L41" s="209"/>
      <c r="M41" s="153"/>
      <c r="N41" s="140"/>
      <c r="O41" s="153"/>
      <c r="P41" s="206"/>
      <c r="Q41" s="720"/>
      <c r="R41" s="153"/>
      <c r="S41" s="155" t="s">
        <v>242</v>
      </c>
      <c r="T41" s="224">
        <f>T40*V44</f>
        <v>89.285280000000014</v>
      </c>
      <c r="U41" s="156">
        <f>T41/T37*1000</f>
        <v>448.00000000000006</v>
      </c>
      <c r="V41" s="160"/>
      <c r="W41" s="142"/>
      <c r="X41" s="142"/>
      <c r="Y41" s="142"/>
      <c r="Z41" s="720"/>
      <c r="AA41" s="140"/>
      <c r="AB41" s="589"/>
      <c r="AC41" s="6"/>
    </row>
    <row r="42" spans="1:44" ht="9" customHeight="1">
      <c r="A42" s="584"/>
      <c r="B42" s="163" t="s">
        <v>245</v>
      </c>
      <c r="C42" s="699">
        <f>K60</f>
        <v>3.6153338680097136</v>
      </c>
      <c r="D42" s="489">
        <f>C42/$C$37*1000</f>
        <v>18.856951612235029</v>
      </c>
      <c r="E42" s="142"/>
      <c r="F42" s="190"/>
      <c r="G42" s="142"/>
      <c r="H42" s="140"/>
      <c r="I42" s="142"/>
      <c r="J42" s="142"/>
      <c r="K42" s="140"/>
      <c r="L42" s="715"/>
      <c r="M42" s="153"/>
      <c r="N42" s="140"/>
      <c r="O42" s="153"/>
      <c r="P42" s="206"/>
      <c r="Q42" s="140"/>
      <c r="R42" s="153"/>
      <c r="S42" s="155" t="s">
        <v>245</v>
      </c>
      <c r="T42" s="227">
        <f>G12-T12</f>
        <v>72.306677360194229</v>
      </c>
      <c r="U42" s="156">
        <f>T42/T37*1000</f>
        <v>362.8077490194018</v>
      </c>
      <c r="V42" s="160"/>
      <c r="W42" s="142"/>
      <c r="X42" s="142"/>
      <c r="Y42" s="142"/>
      <c r="Z42" s="720"/>
      <c r="AA42" s="140"/>
      <c r="AB42" s="589"/>
      <c r="AC42" s="6"/>
    </row>
    <row r="43" spans="1:44" ht="9" customHeight="1" thickBot="1">
      <c r="A43" s="584"/>
      <c r="B43" s="142"/>
      <c r="C43" s="142"/>
      <c r="D43" s="7"/>
      <c r="E43" s="7"/>
      <c r="F43" s="228"/>
      <c r="G43" s="142"/>
      <c r="H43" s="140"/>
      <c r="I43" s="142"/>
      <c r="J43" s="142"/>
      <c r="K43" s="142"/>
      <c r="L43" s="140"/>
      <c r="M43" s="153"/>
      <c r="N43" s="140"/>
      <c r="O43" s="142"/>
      <c r="P43" s="206"/>
      <c r="Q43" s="140"/>
      <c r="R43" s="153"/>
      <c r="S43" s="162" t="s">
        <v>249</v>
      </c>
      <c r="T43" s="229">
        <v>99.2</v>
      </c>
      <c r="U43" s="230" t="s">
        <v>250</v>
      </c>
      <c r="V43" s="160"/>
      <c r="W43" s="142"/>
      <c r="X43" s="142"/>
      <c r="Y43" s="142"/>
      <c r="Z43" s="720"/>
      <c r="AA43" s="140"/>
      <c r="AB43" s="589"/>
      <c r="AC43" s="6"/>
    </row>
    <row r="44" spans="1:44" ht="9" customHeight="1">
      <c r="A44" s="584"/>
      <c r="B44" s="140"/>
      <c r="C44" s="142"/>
      <c r="D44" s="142"/>
      <c r="E44" s="142"/>
      <c r="F44" s="142"/>
      <c r="G44" s="142"/>
      <c r="H44" s="140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566" t="s">
        <v>614</v>
      </c>
      <c r="T44" s="567"/>
      <c r="U44" s="568"/>
      <c r="V44" s="569">
        <f>0.8*0.07</f>
        <v>5.6000000000000008E-2</v>
      </c>
      <c r="W44" s="142"/>
      <c r="X44" s="142"/>
      <c r="Y44" s="142" t="s">
        <v>252</v>
      </c>
      <c r="Z44" s="142"/>
      <c r="AA44" s="142"/>
      <c r="AB44" s="583"/>
      <c r="AC44" s="6"/>
      <c r="AD44" s="1159" t="s">
        <v>772</v>
      </c>
      <c r="AE44" s="1160"/>
    </row>
    <row r="45" spans="1:44" ht="9" customHeight="1" thickBot="1">
      <c r="A45" s="584"/>
      <c r="B45" s="140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0"/>
      <c r="P45" s="142"/>
      <c r="Q45" s="142"/>
      <c r="R45" s="142"/>
      <c r="S45" s="563"/>
      <c r="T45" s="563"/>
      <c r="U45" s="564"/>
      <c r="V45" s="565"/>
      <c r="W45" s="142"/>
      <c r="X45" s="142"/>
      <c r="Y45" s="145" t="s">
        <v>246</v>
      </c>
      <c r="Z45" s="231"/>
      <c r="AA45" s="231" t="s">
        <v>247</v>
      </c>
      <c r="AB45" s="585"/>
      <c r="AC45" s="6"/>
      <c r="AD45" s="1161"/>
      <c r="AE45" s="1162"/>
    </row>
    <row r="46" spans="1:44" ht="9" customHeight="1">
      <c r="A46" s="584"/>
      <c r="B46" s="1164" t="s">
        <v>253</v>
      </c>
      <c r="C46" s="1180"/>
      <c r="D46" s="1173"/>
      <c r="E46" s="142"/>
      <c r="F46" s="142"/>
      <c r="G46" s="142"/>
      <c r="H46" s="1164" t="s">
        <v>769</v>
      </c>
      <c r="I46" s="1180"/>
      <c r="J46" s="1173"/>
      <c r="K46" s="142"/>
      <c r="L46" s="142"/>
      <c r="M46" s="142"/>
      <c r="N46" s="1164" t="s">
        <v>254</v>
      </c>
      <c r="O46" s="1180"/>
      <c r="P46" s="1173"/>
      <c r="Q46" s="720"/>
      <c r="R46" s="139"/>
      <c r="S46" s="139"/>
      <c r="T46" s="139"/>
      <c r="U46" s="720"/>
      <c r="V46" s="209"/>
      <c r="W46" s="142"/>
      <c r="X46" s="142"/>
      <c r="Y46" s="232" t="s">
        <v>233</v>
      </c>
      <c r="Z46" s="233" t="s">
        <v>255</v>
      </c>
      <c r="AA46" s="488" t="s">
        <v>256</v>
      </c>
      <c r="AB46" s="585"/>
      <c r="AC46" s="6"/>
    </row>
    <row r="47" spans="1:44" ht="9" customHeight="1" thickBot="1">
      <c r="A47" s="584"/>
      <c r="B47" s="1174"/>
      <c r="C47" s="1216"/>
      <c r="D47" s="1175"/>
      <c r="E47" s="142"/>
      <c r="F47" s="142"/>
      <c r="G47" s="142"/>
      <c r="H47" s="1181"/>
      <c r="I47" s="1182"/>
      <c r="J47" s="1183"/>
      <c r="K47" s="142"/>
      <c r="L47" s="142"/>
      <c r="M47" s="142"/>
      <c r="N47" s="1181"/>
      <c r="O47" s="1182"/>
      <c r="P47" s="1183"/>
      <c r="Q47" s="140"/>
      <c r="R47" s="139"/>
      <c r="S47" s="139"/>
      <c r="T47" s="139"/>
      <c r="U47" s="720"/>
      <c r="V47" s="142"/>
      <c r="W47" s="142"/>
      <c r="X47" s="142"/>
      <c r="Y47" s="234" t="s">
        <v>236</v>
      </c>
      <c r="Z47" s="235" t="s">
        <v>255</v>
      </c>
      <c r="AA47" s="235" t="s">
        <v>71</v>
      </c>
      <c r="AB47" s="585"/>
      <c r="AC47" s="6"/>
    </row>
    <row r="48" spans="1:44" ht="9" customHeight="1">
      <c r="A48" s="584"/>
      <c r="B48" s="236" t="s">
        <v>257</v>
      </c>
      <c r="C48" s="419">
        <f>C49/D49*1000</f>
        <v>7.5733050000000004</v>
      </c>
      <c r="D48" s="237" t="s">
        <v>258</v>
      </c>
      <c r="E48" s="142"/>
      <c r="F48" s="142"/>
      <c r="G48" s="142"/>
      <c r="H48" s="236" t="s">
        <v>257</v>
      </c>
      <c r="I48" s="419">
        <f>O48</f>
        <v>199.29750000000001</v>
      </c>
      <c r="J48" s="237" t="s">
        <v>258</v>
      </c>
      <c r="K48" s="142"/>
      <c r="L48" s="142"/>
      <c r="M48" s="142"/>
      <c r="N48" s="238" t="s">
        <v>257</v>
      </c>
      <c r="O48" s="419">
        <f>T37</f>
        <v>199.29750000000001</v>
      </c>
      <c r="P48" s="208" t="s">
        <v>258</v>
      </c>
      <c r="Q48" s="720"/>
      <c r="R48" s="720"/>
      <c r="S48" s="701"/>
      <c r="T48" s="143"/>
      <c r="U48" s="142"/>
      <c r="V48" s="142"/>
      <c r="W48" s="142"/>
      <c r="X48" s="142"/>
      <c r="Y48" s="234" t="s">
        <v>259</v>
      </c>
      <c r="Z48" s="235" t="s">
        <v>260</v>
      </c>
      <c r="AA48" s="235" t="s">
        <v>71</v>
      </c>
      <c r="AB48" s="585"/>
      <c r="AC48" s="6"/>
    </row>
    <row r="49" spans="1:29" ht="9" customHeight="1">
      <c r="A49" s="584"/>
      <c r="B49" s="239" t="s">
        <v>259</v>
      </c>
      <c r="C49" s="417">
        <f>J58</f>
        <v>1514.6610000000001</v>
      </c>
      <c r="D49" s="661">
        <f>ROUNDDOWN((100-C50)*10000,-3)</f>
        <v>200000</v>
      </c>
      <c r="E49" s="142"/>
      <c r="F49" s="142"/>
      <c r="G49" s="142"/>
      <c r="H49" s="239" t="s">
        <v>259</v>
      </c>
      <c r="I49" s="420">
        <f>O49</f>
        <v>1594.38</v>
      </c>
      <c r="J49" s="240">
        <f>P49</f>
        <v>8000</v>
      </c>
      <c r="K49" s="142"/>
      <c r="L49" s="142"/>
      <c r="M49" s="142"/>
      <c r="N49" s="179" t="s">
        <v>259</v>
      </c>
      <c r="O49" s="421">
        <f>T40</f>
        <v>1594.38</v>
      </c>
      <c r="P49" s="241">
        <f>U40</f>
        <v>8000</v>
      </c>
      <c r="Q49" s="140"/>
      <c r="R49" s="140"/>
      <c r="S49" s="702"/>
      <c r="T49" s="178"/>
      <c r="U49" s="142"/>
      <c r="V49" s="142"/>
      <c r="W49" s="142"/>
      <c r="X49" s="142"/>
      <c r="Y49" s="234" t="s">
        <v>261</v>
      </c>
      <c r="Z49" s="235" t="s">
        <v>260</v>
      </c>
      <c r="AA49" s="235" t="s">
        <v>71</v>
      </c>
      <c r="AB49" s="585"/>
      <c r="AC49" s="6"/>
    </row>
    <row r="50" spans="1:29" ht="9" customHeight="1" thickBot="1">
      <c r="A50" s="584"/>
      <c r="B50" s="191" t="s">
        <v>262</v>
      </c>
      <c r="C50" s="571">
        <v>80</v>
      </c>
      <c r="D50" s="242" t="s">
        <v>263</v>
      </c>
      <c r="E50" s="142"/>
      <c r="F50" s="142"/>
      <c r="G50" s="142"/>
      <c r="H50" s="191" t="s">
        <v>262</v>
      </c>
      <c r="I50" s="418">
        <f>O50</f>
        <v>99.2</v>
      </c>
      <c r="J50" s="242" t="s">
        <v>263</v>
      </c>
      <c r="K50" s="142"/>
      <c r="L50" s="142"/>
      <c r="M50" s="142"/>
      <c r="N50" s="243" t="s">
        <v>262</v>
      </c>
      <c r="O50" s="422">
        <f>T43</f>
        <v>99.2</v>
      </c>
      <c r="P50" s="244" t="s">
        <v>263</v>
      </c>
      <c r="Q50" s="140"/>
      <c r="R50" s="140"/>
      <c r="S50" s="702"/>
      <c r="T50" s="245"/>
      <c r="U50" s="142"/>
      <c r="V50" s="142"/>
      <c r="W50" s="142"/>
      <c r="X50" s="142"/>
      <c r="Y50" s="246" t="s">
        <v>264</v>
      </c>
      <c r="Z50" s="247" t="s">
        <v>260</v>
      </c>
      <c r="AA50" s="247" t="s">
        <v>71</v>
      </c>
      <c r="AB50" s="585"/>
      <c r="AC50" s="6"/>
    </row>
    <row r="51" spans="1:29" ht="9" customHeight="1">
      <c r="A51" s="584"/>
      <c r="B51" s="140"/>
      <c r="C51" s="177" t="s">
        <v>265</v>
      </c>
      <c r="D51" s="570">
        <v>0.95</v>
      </c>
      <c r="E51" s="142"/>
      <c r="F51" s="142"/>
      <c r="G51" s="142"/>
      <c r="H51" s="245"/>
      <c r="I51" s="177"/>
      <c r="J51" s="570"/>
      <c r="K51" s="142"/>
      <c r="L51" s="142"/>
      <c r="M51" s="177"/>
      <c r="N51" s="245"/>
      <c r="O51" s="142"/>
      <c r="P51" s="142"/>
      <c r="Q51" s="245"/>
      <c r="R51" s="177"/>
      <c r="S51" s="245"/>
      <c r="T51" s="698"/>
      <c r="U51" s="142"/>
      <c r="V51" s="142"/>
      <c r="W51" s="142"/>
      <c r="X51" s="142"/>
      <c r="Y51" s="142"/>
      <c r="Z51" s="720"/>
      <c r="AA51" s="140"/>
      <c r="AB51" s="589"/>
      <c r="AC51" s="6"/>
    </row>
    <row r="52" spans="1:29" ht="3.75" customHeight="1" thickBot="1">
      <c r="A52" s="592"/>
      <c r="B52" s="718"/>
      <c r="C52" s="165"/>
      <c r="D52" s="165"/>
      <c r="E52" s="165"/>
      <c r="F52" s="165"/>
      <c r="G52" s="165"/>
      <c r="H52" s="593"/>
      <c r="I52" s="594"/>
      <c r="J52" s="165"/>
      <c r="K52" s="718"/>
      <c r="L52" s="718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721"/>
      <c r="AA52" s="718"/>
      <c r="AB52" s="719"/>
      <c r="AC52" s="6"/>
    </row>
    <row r="53" spans="1:29" ht="9" customHeight="1">
      <c r="A53" s="248"/>
      <c r="B53" s="138"/>
      <c r="C53" s="249"/>
      <c r="D53" s="250"/>
      <c r="E53" s="250"/>
      <c r="F53" s="250"/>
      <c r="G53" s="248"/>
      <c r="H53" s="248"/>
      <c r="I53" s="248"/>
      <c r="J53" s="248"/>
      <c r="K53" s="248"/>
      <c r="L53" s="248"/>
      <c r="M53" s="248"/>
      <c r="N53" s="251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52"/>
      <c r="AA53" s="138"/>
      <c r="AB53" s="138"/>
      <c r="AC53" s="6"/>
    </row>
    <row r="54" spans="1:29" ht="9" customHeight="1">
      <c r="A54" s="248"/>
      <c r="B54" s="248"/>
      <c r="C54" s="185"/>
      <c r="D54" s="190"/>
      <c r="E54" s="190"/>
      <c r="F54" s="190"/>
      <c r="G54" s="423"/>
      <c r="H54" s="1213" t="s">
        <v>266</v>
      </c>
      <c r="I54" s="1214"/>
      <c r="J54" s="1214"/>
      <c r="K54" s="1215"/>
      <c r="L54" s="683"/>
      <c r="M54" s="1184"/>
      <c r="N54" s="1184"/>
      <c r="O54" s="1184"/>
      <c r="P54" s="1184"/>
      <c r="Q54" s="185"/>
      <c r="R54" s="185"/>
      <c r="S54" s="185"/>
      <c r="T54" s="185"/>
      <c r="U54" s="185"/>
      <c r="V54" s="185"/>
      <c r="W54" s="185"/>
      <c r="X54" s="248"/>
      <c r="Y54" s="248"/>
      <c r="Z54" s="248"/>
      <c r="AA54" s="248"/>
      <c r="AB54" s="248"/>
    </row>
    <row r="55" spans="1:29" ht="9" customHeight="1">
      <c r="A55" s="248"/>
      <c r="B55" s="248"/>
      <c r="C55" s="190"/>
      <c r="D55" s="190"/>
      <c r="E55" s="190"/>
      <c r="F55" s="425"/>
      <c r="G55" s="426"/>
      <c r="H55" s="427" t="s">
        <v>267</v>
      </c>
      <c r="I55" s="199" t="s">
        <v>265</v>
      </c>
      <c r="J55" s="428" t="s">
        <v>268</v>
      </c>
      <c r="K55" s="572" t="s">
        <v>761</v>
      </c>
      <c r="L55" s="190"/>
      <c r="M55" s="684"/>
      <c r="N55" s="685"/>
      <c r="O55" s="685"/>
      <c r="P55" s="686"/>
      <c r="Q55" s="190"/>
      <c r="R55" s="190"/>
      <c r="S55" s="190"/>
      <c r="T55" s="190"/>
      <c r="U55" s="190"/>
      <c r="V55" s="190"/>
      <c r="W55" s="190"/>
      <c r="X55" s="250"/>
      <c r="Y55" s="250"/>
      <c r="Z55" s="250"/>
      <c r="AA55" s="248"/>
      <c r="AB55" s="248"/>
    </row>
    <row r="56" spans="1:29" ht="9" customHeight="1">
      <c r="A56" s="248"/>
      <c r="B56" s="248"/>
      <c r="C56" s="190"/>
      <c r="D56" s="190"/>
      <c r="E56" s="190"/>
      <c r="F56" s="430"/>
      <c r="G56" s="431" t="s">
        <v>45</v>
      </c>
      <c r="H56" s="432">
        <f>T38</f>
        <v>896.83875000000012</v>
      </c>
      <c r="I56" s="532">
        <f>I58</f>
        <v>0.95</v>
      </c>
      <c r="J56" s="433">
        <f>H56*I56</f>
        <v>851.99681250000003</v>
      </c>
      <c r="K56" s="434">
        <f t="shared" ref="K56:K61" si="7">H56-J56</f>
        <v>44.841937500000085</v>
      </c>
      <c r="L56" s="431"/>
      <c r="M56" s="687"/>
      <c r="N56" s="688"/>
      <c r="O56" s="689"/>
      <c r="P56" s="696"/>
      <c r="Q56" s="709" t="s">
        <v>764</v>
      </c>
      <c r="R56" s="711">
        <v>0.03</v>
      </c>
      <c r="S56" s="190"/>
      <c r="T56" s="190"/>
      <c r="U56" s="190"/>
      <c r="V56" s="190"/>
      <c r="W56" s="190"/>
      <c r="X56" s="250"/>
      <c r="Y56" s="250"/>
      <c r="Z56" s="250"/>
      <c r="AA56" s="248"/>
      <c r="AB56" s="248"/>
    </row>
    <row r="57" spans="1:29" ht="9" customHeight="1">
      <c r="A57" s="248"/>
      <c r="B57" s="248"/>
      <c r="C57" s="190"/>
      <c r="D57" s="190"/>
      <c r="E57" s="190"/>
      <c r="F57" s="190"/>
      <c r="G57" s="431" t="s">
        <v>29</v>
      </c>
      <c r="H57" s="432">
        <f>T39</f>
        <v>24.114997500000001</v>
      </c>
      <c r="I57" s="532">
        <f>I58</f>
        <v>0.95</v>
      </c>
      <c r="J57" s="433">
        <f>H57*I57</f>
        <v>22.909247624999999</v>
      </c>
      <c r="K57" s="434">
        <f t="shared" si="7"/>
        <v>1.2057498750000022</v>
      </c>
      <c r="L57" s="431"/>
      <c r="M57" s="687"/>
      <c r="N57" s="690"/>
      <c r="O57" s="689"/>
      <c r="P57" s="696"/>
      <c r="Q57" s="709" t="s">
        <v>765</v>
      </c>
      <c r="R57" s="711">
        <v>0.03</v>
      </c>
      <c r="S57" s="190"/>
      <c r="T57" s="190"/>
      <c r="U57" s="190"/>
      <c r="V57" s="190"/>
      <c r="W57" s="190"/>
      <c r="X57" s="250"/>
      <c r="Y57" s="250"/>
      <c r="Z57" s="250"/>
      <c r="AA57" s="248"/>
      <c r="AB57" s="248"/>
    </row>
    <row r="58" spans="1:29" ht="9" customHeight="1">
      <c r="A58" s="248"/>
      <c r="B58" s="257"/>
      <c r="C58" s="436"/>
      <c r="D58" s="190" t="s">
        <v>760</v>
      </c>
      <c r="E58" s="1179"/>
      <c r="F58" s="1179"/>
      <c r="G58" s="431" t="s">
        <v>46</v>
      </c>
      <c r="H58" s="432">
        <f>T40</f>
        <v>1594.38</v>
      </c>
      <c r="I58" s="573">
        <f>D51</f>
        <v>0.95</v>
      </c>
      <c r="J58" s="433">
        <f>H58*I58</f>
        <v>1514.6610000000001</v>
      </c>
      <c r="K58" s="434">
        <f t="shared" si="7"/>
        <v>79.719000000000051</v>
      </c>
      <c r="L58" s="431"/>
      <c r="M58" s="687"/>
      <c r="N58" s="690"/>
      <c r="O58" s="689"/>
      <c r="P58" s="696"/>
      <c r="Q58" s="710" t="s">
        <v>766</v>
      </c>
      <c r="R58" s="712">
        <v>0.1</v>
      </c>
      <c r="S58" s="1179"/>
      <c r="T58" s="1179"/>
      <c r="U58" s="1179"/>
      <c r="V58" s="1179"/>
      <c r="W58" s="435"/>
      <c r="X58" s="256"/>
      <c r="Y58" s="256"/>
      <c r="Z58" s="256"/>
      <c r="AA58" s="248"/>
      <c r="AB58" s="248"/>
    </row>
    <row r="59" spans="1:29" ht="9" customHeight="1">
      <c r="A59" s="248"/>
      <c r="B59" s="248"/>
      <c r="C59" s="190"/>
      <c r="D59" s="199">
        <f>671+353+2551+242+151</f>
        <v>3968</v>
      </c>
      <c r="E59" s="1217"/>
      <c r="F59" s="1217"/>
      <c r="G59" s="431" t="s">
        <v>47</v>
      </c>
      <c r="H59" s="432">
        <f>T41</f>
        <v>89.285280000000014</v>
      </c>
      <c r="I59" s="532">
        <f>I58</f>
        <v>0.95</v>
      </c>
      <c r="J59" s="433">
        <f>H59*I59</f>
        <v>84.821016000000014</v>
      </c>
      <c r="K59" s="434">
        <f t="shared" si="7"/>
        <v>4.464264</v>
      </c>
      <c r="L59" s="431"/>
      <c r="M59" s="687"/>
      <c r="N59" s="688"/>
      <c r="O59" s="689"/>
      <c r="P59" s="696"/>
      <c r="Q59" s="710" t="s">
        <v>767</v>
      </c>
      <c r="R59" s="713">
        <v>0</v>
      </c>
      <c r="S59" s="199"/>
      <c r="T59" s="190"/>
      <c r="U59" s="439"/>
      <c r="V59" s="429"/>
      <c r="W59" s="199"/>
      <c r="X59" s="138"/>
      <c r="Y59" s="138"/>
      <c r="Z59" s="138"/>
      <c r="AA59" s="248"/>
      <c r="AB59" s="248"/>
    </row>
    <row r="60" spans="1:29" ht="9" customHeight="1">
      <c r="A60" s="248"/>
      <c r="B60" s="248"/>
      <c r="C60" s="190"/>
      <c r="D60" s="199">
        <f>36+1+61+15+617</f>
        <v>730</v>
      </c>
      <c r="E60" s="1217"/>
      <c r="F60" s="1217"/>
      <c r="G60" s="440" t="s">
        <v>48</v>
      </c>
      <c r="H60" s="441">
        <f>T42</f>
        <v>72.306677360194229</v>
      </c>
      <c r="I60" s="533">
        <f>I58</f>
        <v>0.95</v>
      </c>
      <c r="J60" s="442">
        <f>H60*I60</f>
        <v>68.691343492184515</v>
      </c>
      <c r="K60" s="443">
        <f t="shared" si="7"/>
        <v>3.6153338680097136</v>
      </c>
      <c r="L60" s="440"/>
      <c r="M60" s="687"/>
      <c r="N60" s="691"/>
      <c r="O60" s="689"/>
      <c r="P60" s="696"/>
      <c r="Q60" s="709" t="s">
        <v>768</v>
      </c>
      <c r="R60" s="713">
        <v>0</v>
      </c>
      <c r="S60" s="186"/>
      <c r="T60" s="446"/>
      <c r="U60" s="447"/>
      <c r="V60" s="201"/>
      <c r="W60" s="190"/>
      <c r="X60" s="259"/>
      <c r="Y60" s="259"/>
      <c r="Z60" s="259"/>
      <c r="AA60" s="248"/>
      <c r="AB60" s="248"/>
    </row>
    <row r="61" spans="1:29" ht="9" customHeight="1">
      <c r="A61" s="248"/>
      <c r="B61" s="248"/>
      <c r="C61" s="199"/>
      <c r="D61" s="199">
        <f>3968+730</f>
        <v>4698</v>
      </c>
      <c r="E61" s="1217"/>
      <c r="F61" s="1217"/>
      <c r="G61" s="448" t="s">
        <v>763</v>
      </c>
      <c r="H61" s="716">
        <f>T37</f>
        <v>199.29750000000001</v>
      </c>
      <c r="I61" s="424"/>
      <c r="J61" s="703">
        <f>C48</f>
        <v>7.5733050000000004</v>
      </c>
      <c r="K61" s="449">
        <f t="shared" si="7"/>
        <v>191.72419500000001</v>
      </c>
      <c r="L61" s="692"/>
      <c r="M61" s="693"/>
      <c r="N61" s="694"/>
      <c r="O61" s="695"/>
      <c r="P61" s="697"/>
      <c r="Q61" s="444"/>
      <c r="R61" s="445"/>
      <c r="S61" s="186"/>
      <c r="T61" s="446"/>
      <c r="U61" s="447"/>
      <c r="V61" s="445"/>
      <c r="W61" s="190"/>
      <c r="X61" s="259"/>
      <c r="Y61" s="259"/>
      <c r="Z61" s="259"/>
      <c r="AA61" s="248"/>
      <c r="AB61" s="248"/>
    </row>
    <row r="62" spans="1:29" ht="9" customHeight="1">
      <c r="A62" s="248"/>
      <c r="B62" s="248"/>
      <c r="C62" s="199"/>
      <c r="D62" s="199"/>
      <c r="E62" s="1217"/>
      <c r="F62" s="1217"/>
      <c r="G62" s="681"/>
      <c r="H62" s="200"/>
      <c r="I62" s="446"/>
      <c r="J62" s="445"/>
      <c r="K62" s="190"/>
      <c r="L62" s="190"/>
      <c r="M62" s="438"/>
      <c r="N62" s="430"/>
      <c r="O62" s="199"/>
      <c r="P62" s="186"/>
      <c r="Q62" s="450"/>
      <c r="R62" s="445"/>
      <c r="S62" s="186"/>
      <c r="T62" s="446"/>
      <c r="U62" s="447"/>
      <c r="V62" s="201"/>
      <c r="W62" s="190"/>
      <c r="X62" s="259"/>
      <c r="Y62" s="259"/>
      <c r="Z62" s="259"/>
      <c r="AA62" s="248"/>
      <c r="AB62" s="248"/>
    </row>
    <row r="63" spans="1:29" ht="9" customHeight="1">
      <c r="A63" s="248"/>
      <c r="B63" s="248"/>
      <c r="C63" s="199"/>
      <c r="D63" s="199"/>
      <c r="E63" s="1217"/>
      <c r="F63" s="1217"/>
      <c r="G63" s="199"/>
      <c r="H63" s="200"/>
      <c r="I63" s="446"/>
      <c r="J63" s="445"/>
      <c r="K63" s="190"/>
      <c r="L63" s="190"/>
      <c r="M63" s="190"/>
      <c r="N63" s="190"/>
      <c r="O63" s="190"/>
      <c r="P63" s="190"/>
      <c r="Q63" s="447"/>
      <c r="R63" s="445"/>
      <c r="S63" s="186"/>
      <c r="T63" s="446"/>
      <c r="U63" s="447"/>
      <c r="V63" s="201"/>
      <c r="W63" s="190"/>
      <c r="X63" s="259"/>
      <c r="Y63" s="259"/>
      <c r="Z63" s="259"/>
      <c r="AA63" s="248"/>
      <c r="AB63" s="248"/>
    </row>
    <row r="64" spans="1:29" ht="9" customHeight="1">
      <c r="A64" s="248"/>
      <c r="B64" s="248"/>
      <c r="C64" s="199"/>
      <c r="D64" s="185"/>
      <c r="E64" s="185"/>
      <c r="F64" s="185"/>
      <c r="G64" s="185"/>
      <c r="H64" s="185"/>
      <c r="I64" s="190"/>
      <c r="J64" s="437"/>
      <c r="K64" s="437"/>
      <c r="L64" s="190"/>
      <c r="M64" s="190"/>
      <c r="N64" s="190"/>
      <c r="O64" s="190"/>
      <c r="P64" s="190"/>
      <c r="Q64" s="190"/>
      <c r="R64" s="429"/>
      <c r="S64" s="190"/>
      <c r="T64" s="190"/>
      <c r="U64" s="447"/>
      <c r="V64" s="201"/>
      <c r="W64" s="190"/>
      <c r="X64" s="259"/>
      <c r="Y64" s="259"/>
      <c r="Z64" s="259"/>
      <c r="AA64" s="248"/>
      <c r="AB64" s="248"/>
    </row>
    <row r="65" spans="1:28" ht="9" customHeight="1">
      <c r="A65" s="248"/>
      <c r="B65" s="248"/>
      <c r="C65" s="199"/>
      <c r="D65" s="451"/>
      <c r="E65" s="451"/>
      <c r="F65" s="452"/>
      <c r="G65" s="430"/>
      <c r="H65" s="453"/>
      <c r="I65" s="190"/>
      <c r="J65" s="451">
        <f>C8-Z8</f>
        <v>2454.4151466100002</v>
      </c>
      <c r="K65" s="454">
        <f>J65*365</f>
        <v>895861.52851265005</v>
      </c>
      <c r="L65" s="1179">
        <v>4698000000</v>
      </c>
      <c r="M65" s="1179"/>
      <c r="N65" s="1179"/>
      <c r="O65" s="1179"/>
      <c r="P65" s="1179">
        <f>L66/K65</f>
        <v>262.20570090780842</v>
      </c>
      <c r="Q65" s="1179"/>
      <c r="R65" s="1179"/>
      <c r="S65" s="190"/>
      <c r="T65" s="429"/>
      <c r="U65" s="455"/>
      <c r="V65" s="1178"/>
      <c r="W65" s="1178"/>
      <c r="X65" s="260"/>
      <c r="Y65" s="261"/>
      <c r="Z65" s="262"/>
      <c r="AA65" s="248"/>
      <c r="AB65" s="248"/>
    </row>
    <row r="66" spans="1:28" ht="9" customHeight="1">
      <c r="A66" s="248"/>
      <c r="B66" s="248"/>
      <c r="C66" s="190"/>
      <c r="D66" s="190"/>
      <c r="E66" s="190"/>
      <c r="F66" s="190"/>
      <c r="G66" s="190"/>
      <c r="H66" s="190"/>
      <c r="I66" s="437"/>
      <c r="J66" s="451">
        <f t="shared" ref="J66:J69" si="8">C9-Z9</f>
        <v>2289.2454398300001</v>
      </c>
      <c r="K66" s="454">
        <f t="shared" ref="K66:K69" si="9">J66*365</f>
        <v>835574.58553795004</v>
      </c>
      <c r="L66" s="1179">
        <f>L65/20</f>
        <v>234900000</v>
      </c>
      <c r="M66" s="1179"/>
      <c r="N66" s="1179"/>
      <c r="O66" s="190"/>
      <c r="P66" s="1179">
        <f>L66/K66</f>
        <v>281.12391648289469</v>
      </c>
      <c r="Q66" s="1179"/>
      <c r="R66" s="1179"/>
      <c r="S66" s="190"/>
      <c r="T66" s="190"/>
      <c r="U66" s="190"/>
      <c r="V66" s="190"/>
      <c r="W66" s="190"/>
      <c r="X66" s="250"/>
      <c r="Y66" s="250"/>
      <c r="Z66" s="250"/>
      <c r="AA66" s="248"/>
      <c r="AB66" s="248"/>
    </row>
    <row r="67" spans="1:28" ht="9" customHeight="1">
      <c r="A67" s="248"/>
      <c r="B67" s="248"/>
      <c r="C67" s="1179"/>
      <c r="D67" s="1179"/>
      <c r="E67" s="1179"/>
      <c r="F67" s="1179"/>
      <c r="G67" s="1179"/>
      <c r="H67" s="1179"/>
      <c r="I67" s="437"/>
      <c r="J67" s="451">
        <f t="shared" si="8"/>
        <v>2336.4151466100002</v>
      </c>
      <c r="K67" s="454">
        <f t="shared" si="9"/>
        <v>852791.52851265005</v>
      </c>
      <c r="L67" s="1179"/>
      <c r="M67" s="1179"/>
      <c r="N67" s="1179"/>
      <c r="O67" s="190"/>
      <c r="P67" s="1179">
        <f>L66/K67</f>
        <v>275.44832722446017</v>
      </c>
      <c r="Q67" s="1179"/>
      <c r="R67" s="1179"/>
      <c r="S67" s="190"/>
      <c r="T67" s="190"/>
      <c r="U67" s="190"/>
      <c r="V67" s="190"/>
      <c r="W67" s="190"/>
      <c r="X67" s="250"/>
      <c r="Y67" s="250"/>
      <c r="Z67" s="254"/>
      <c r="AA67" s="248"/>
      <c r="AB67" s="248"/>
    </row>
    <row r="68" spans="1:28" ht="9" customHeight="1">
      <c r="A68" s="248"/>
      <c r="B68" s="248"/>
      <c r="C68" s="199"/>
      <c r="D68" s="190"/>
      <c r="E68" s="190"/>
      <c r="F68" s="199"/>
      <c r="G68" s="190"/>
      <c r="H68" s="190"/>
      <c r="I68" s="437"/>
      <c r="J68" s="451">
        <f t="shared" si="8"/>
        <v>380.019071779</v>
      </c>
      <c r="K68" s="454">
        <f t="shared" si="9"/>
        <v>138706.961199335</v>
      </c>
      <c r="L68" s="190"/>
      <c r="M68" s="200"/>
      <c r="N68" s="429"/>
      <c r="O68" s="430"/>
      <c r="P68" s="1226">
        <f>L66/K68</f>
        <v>1693.4982784492447</v>
      </c>
      <c r="Q68" s="1226"/>
      <c r="R68" s="1226"/>
      <c r="S68" s="190"/>
      <c r="T68" s="190"/>
      <c r="U68" s="190"/>
      <c r="V68" s="430"/>
      <c r="W68" s="458"/>
      <c r="X68" s="263"/>
      <c r="Y68" s="250"/>
      <c r="Z68" s="254"/>
      <c r="AA68" s="248"/>
      <c r="AB68" s="248"/>
    </row>
    <row r="69" spans="1:28" ht="9" customHeight="1">
      <c r="A69" s="248"/>
      <c r="B69" s="248"/>
      <c r="C69" s="199"/>
      <c r="D69" s="190"/>
      <c r="E69" s="190"/>
      <c r="F69" s="199"/>
      <c r="G69" s="459"/>
      <c r="H69" s="190"/>
      <c r="I69" s="437"/>
      <c r="J69" s="451">
        <f t="shared" si="8"/>
        <v>68.677363194899996</v>
      </c>
      <c r="K69" s="454">
        <f t="shared" si="9"/>
        <v>25067.237566138498</v>
      </c>
      <c r="L69" s="460"/>
      <c r="M69" s="461"/>
      <c r="N69" s="462"/>
      <c r="O69" s="430"/>
      <c r="P69" s="1226">
        <f>L66/K69</f>
        <v>9370.797216096491</v>
      </c>
      <c r="Q69" s="1226"/>
      <c r="R69" s="1226"/>
      <c r="S69" s="190"/>
      <c r="T69" s="190"/>
      <c r="U69" s="190"/>
      <c r="V69" s="430"/>
      <c r="W69" s="458"/>
      <c r="X69" s="263"/>
      <c r="Y69" s="250"/>
      <c r="Z69" s="254"/>
      <c r="AA69" s="248"/>
      <c r="AB69" s="248"/>
    </row>
    <row r="70" spans="1:28" ht="9" customHeight="1">
      <c r="A70" s="248"/>
      <c r="B70" s="248"/>
      <c r="C70" s="199"/>
      <c r="D70" s="463"/>
      <c r="E70" s="463"/>
      <c r="F70" s="199"/>
      <c r="G70" s="201"/>
      <c r="H70" s="463"/>
      <c r="I70" s="437"/>
      <c r="J70" s="456"/>
      <c r="K70" s="457"/>
      <c r="L70" s="460"/>
      <c r="M70" s="461"/>
      <c r="N70" s="462"/>
      <c r="O70" s="190"/>
      <c r="P70" s="458"/>
      <c r="Q70" s="185"/>
      <c r="R70" s="185"/>
      <c r="S70" s="185"/>
      <c r="T70" s="185"/>
      <c r="U70" s="185"/>
      <c r="V70" s="190"/>
      <c r="W70" s="458"/>
      <c r="X70" s="263"/>
      <c r="Y70" s="264"/>
      <c r="Z70" s="254"/>
      <c r="AA70" s="248"/>
      <c r="AB70" s="248"/>
    </row>
    <row r="71" spans="1:28" ht="9" customHeight="1">
      <c r="A71" s="248"/>
      <c r="B71" s="248"/>
      <c r="C71" s="199"/>
      <c r="D71" s="190"/>
      <c r="E71" s="190"/>
      <c r="F71" s="199"/>
      <c r="G71" s="459"/>
      <c r="H71" s="190"/>
      <c r="I71" s="199"/>
      <c r="J71" s="460"/>
      <c r="K71" s="190"/>
      <c r="L71" s="460"/>
      <c r="M71" s="461"/>
      <c r="N71" s="462"/>
      <c r="O71" s="430"/>
      <c r="P71" s="458"/>
      <c r="Q71" s="185"/>
      <c r="R71" s="185"/>
      <c r="S71" s="185"/>
      <c r="T71" s="185"/>
      <c r="U71" s="185"/>
      <c r="V71" s="430"/>
      <c r="W71" s="458"/>
      <c r="X71" s="263"/>
      <c r="Y71" s="250"/>
      <c r="Z71" s="254"/>
      <c r="AA71" s="248"/>
      <c r="AB71" s="248"/>
    </row>
    <row r="72" spans="1:28" ht="9" customHeight="1">
      <c r="A72" s="248"/>
      <c r="B72" s="248"/>
      <c r="C72" s="199"/>
      <c r="D72" s="190"/>
      <c r="E72" s="190" t="s">
        <v>269</v>
      </c>
      <c r="F72" s="199"/>
      <c r="G72" s="459"/>
      <c r="H72" s="463"/>
      <c r="I72" s="199"/>
      <c r="J72" s="460"/>
      <c r="K72" s="190"/>
      <c r="L72" s="460"/>
      <c r="M72" s="461"/>
      <c r="N72" s="462"/>
      <c r="O72" s="430"/>
      <c r="P72" s="458"/>
      <c r="Q72" s="185"/>
      <c r="R72" s="185"/>
      <c r="S72" s="185"/>
      <c r="T72" s="185"/>
      <c r="U72" s="185"/>
      <c r="V72" s="430"/>
      <c r="W72" s="458"/>
      <c r="X72" s="263"/>
      <c r="Y72" s="258"/>
      <c r="Z72" s="254"/>
      <c r="AA72" s="248"/>
      <c r="AB72" s="248"/>
    </row>
    <row r="73" spans="1:28">
      <c r="A73" s="248"/>
      <c r="B73" s="248"/>
      <c r="C73" s="199"/>
      <c r="D73" s="190"/>
      <c r="E73" s="190"/>
      <c r="F73" s="199"/>
      <c r="G73" s="463"/>
      <c r="H73" s="190"/>
      <c r="I73" s="199"/>
      <c r="J73" s="460"/>
      <c r="K73" s="190"/>
      <c r="L73" s="460"/>
      <c r="M73" s="461"/>
      <c r="N73" s="462"/>
      <c r="O73" s="190"/>
      <c r="P73" s="190"/>
      <c r="Q73" s="185"/>
      <c r="R73" s="185"/>
      <c r="S73" s="185"/>
      <c r="T73" s="185"/>
      <c r="U73" s="185"/>
      <c r="V73" s="190"/>
      <c r="W73" s="190"/>
      <c r="X73" s="250"/>
      <c r="Y73" s="250"/>
      <c r="Z73" s="250"/>
      <c r="AA73" s="248"/>
      <c r="AB73" s="248"/>
    </row>
    <row r="74" spans="1:28">
      <c r="A74" s="248"/>
      <c r="B74" s="248"/>
      <c r="C74" s="250"/>
      <c r="D74" s="250"/>
      <c r="E74" s="250"/>
      <c r="F74" s="250"/>
      <c r="G74" s="84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48"/>
      <c r="AB74" s="248"/>
    </row>
    <row r="75" spans="1:28">
      <c r="A75" s="248"/>
      <c r="B75" s="248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48"/>
      <c r="AB75" s="248"/>
    </row>
    <row r="76" spans="1:28">
      <c r="A76" s="248"/>
      <c r="B76" s="248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48"/>
      <c r="AB76" s="248"/>
    </row>
    <row r="77" spans="1:28">
      <c r="A77" s="248"/>
      <c r="B77" s="248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48"/>
      <c r="AB77" s="248"/>
    </row>
    <row r="78" spans="1:28">
      <c r="A78" s="248"/>
      <c r="B78" s="248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48"/>
      <c r="AB78" s="248"/>
    </row>
    <row r="79" spans="1:28">
      <c r="A79" s="248"/>
      <c r="B79" s="248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48"/>
      <c r="AB79" s="248"/>
    </row>
    <row r="80" spans="1:28">
      <c r="A80" s="248"/>
      <c r="B80" s="248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48"/>
      <c r="AB80" s="248"/>
    </row>
    <row r="81" spans="1:28">
      <c r="A81" s="248"/>
      <c r="B81" s="248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48"/>
      <c r="AB81" s="248"/>
    </row>
    <row r="82" spans="1:28">
      <c r="A82" s="248"/>
      <c r="B82" s="248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48"/>
      <c r="AB82" s="248"/>
    </row>
    <row r="83" spans="1:28">
      <c r="A83" s="248"/>
      <c r="B83" s="248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48"/>
      <c r="AB83" s="248"/>
    </row>
    <row r="84" spans="1:28">
      <c r="A84" s="248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</row>
    <row r="85" spans="1:28">
      <c r="A85" s="248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</row>
    <row r="86" spans="1:28">
      <c r="A86" s="248"/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</row>
    <row r="87" spans="1:28">
      <c r="A87" s="248"/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</row>
    <row r="88" spans="1:28">
      <c r="A88" s="248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</row>
    <row r="89" spans="1:28">
      <c r="A89" s="248"/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</row>
    <row r="90" spans="1:28">
      <c r="A90" s="248"/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</row>
    <row r="91" spans="1:28">
      <c r="A91" s="248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</row>
    <row r="92" spans="1:28">
      <c r="A92" s="248"/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</row>
    <row r="93" spans="1:28">
      <c r="A93" s="248"/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</row>
    <row r="94" spans="1:28">
      <c r="A94" s="248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</row>
    <row r="95" spans="1:28">
      <c r="A95" s="248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</row>
    <row r="96" spans="1:28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</row>
    <row r="97" spans="1:28">
      <c r="A97" s="248"/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</row>
    <row r="98" spans="1:28">
      <c r="A98" s="248"/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</row>
    <row r="99" spans="1:28">
      <c r="A99" s="248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</row>
    <row r="100" spans="1:28">
      <c r="A100" s="248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</row>
    <row r="101" spans="1:28">
      <c r="A101" s="248"/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</row>
    <row r="102" spans="1:28">
      <c r="A102" s="248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</row>
    <row r="103" spans="1:28">
      <c r="A103" s="248"/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</row>
    <row r="104" spans="1:28">
      <c r="A104" s="248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</row>
    <row r="105" spans="1:28">
      <c r="A105" s="248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</row>
    <row r="106" spans="1:28">
      <c r="A106" s="248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</row>
    <row r="107" spans="1:28">
      <c r="A107" s="248"/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</row>
    <row r="108" spans="1:28">
      <c r="A108" s="248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</row>
    <row r="109" spans="1:28">
      <c r="A109" s="248"/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</row>
    <row r="110" spans="1:28">
      <c r="A110" s="248"/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</row>
    <row r="111" spans="1:28">
      <c r="A111" s="248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</row>
    <row r="112" spans="1:28">
      <c r="A112" s="248"/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</row>
    <row r="113" spans="1:28">
      <c r="A113" s="248"/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</row>
    <row r="114" spans="1:28">
      <c r="A114" s="248"/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</row>
    <row r="115" spans="1:28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</row>
    <row r="116" spans="1:28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</row>
    <row r="117" spans="1:28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</row>
    <row r="118" spans="1:28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</row>
    <row r="119" spans="1:28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</row>
    <row r="120" spans="1:28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</row>
    <row r="121" spans="1:28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</row>
    <row r="122" spans="1:28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</row>
    <row r="123" spans="1:28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</row>
    <row r="124" spans="1:28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</row>
    <row r="125" spans="1:28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</row>
    <row r="126" spans="1:28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</row>
    <row r="127" spans="1:28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</row>
    <row r="128" spans="1:28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</row>
    <row r="129" spans="1:28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</row>
    <row r="130" spans="1:28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</row>
    <row r="131" spans="1:28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</row>
    <row r="132" spans="1:28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</row>
    <row r="239" spans="2:3">
      <c r="B239" s="3">
        <f>P218</f>
        <v>0</v>
      </c>
    </row>
    <row r="240" spans="2:3">
      <c r="C240" s="3" t="e">
        <f>B239*G239/(I239-K239)/M239</f>
        <v>#DIV/0!</v>
      </c>
    </row>
    <row r="253" spans="2:6">
      <c r="B253" s="3">
        <v>9.6999999999999993</v>
      </c>
      <c r="F253" s="3">
        <v>3</v>
      </c>
    </row>
  </sheetData>
  <mergeCells count="53">
    <mergeCell ref="L66:N66"/>
    <mergeCell ref="P65:R65"/>
    <mergeCell ref="P66:R66"/>
    <mergeCell ref="P68:R68"/>
    <mergeCell ref="P69:R69"/>
    <mergeCell ref="P67:R67"/>
    <mergeCell ref="C67:E67"/>
    <mergeCell ref="F67:H67"/>
    <mergeCell ref="E61:F61"/>
    <mergeCell ref="E62:F62"/>
    <mergeCell ref="E63:F63"/>
    <mergeCell ref="B2:AA4"/>
    <mergeCell ref="C14:D14"/>
    <mergeCell ref="G14:H14"/>
    <mergeCell ref="T14:U14"/>
    <mergeCell ref="L67:N67"/>
    <mergeCell ref="N46:P47"/>
    <mergeCell ref="H54:K54"/>
    <mergeCell ref="H46:J47"/>
    <mergeCell ref="B46:D47"/>
    <mergeCell ref="E60:F60"/>
    <mergeCell ref="T13:U13"/>
    <mergeCell ref="B17:C18"/>
    <mergeCell ref="C13:D13"/>
    <mergeCell ref="E59:F59"/>
    <mergeCell ref="G13:H13"/>
    <mergeCell ref="Z13:AA13"/>
    <mergeCell ref="AL38:AM38"/>
    <mergeCell ref="AL34:AM34"/>
    <mergeCell ref="AL35:AM35"/>
    <mergeCell ref="AL37:AM37"/>
    <mergeCell ref="AC30:AD30"/>
    <mergeCell ref="E58:F58"/>
    <mergeCell ref="V19:W19"/>
    <mergeCell ref="M9:O9"/>
    <mergeCell ref="K19:M19"/>
    <mergeCell ref="P13:Q13"/>
    <mergeCell ref="K17:O18"/>
    <mergeCell ref="V17:W18"/>
    <mergeCell ref="R17:S18"/>
    <mergeCell ref="V65:W65"/>
    <mergeCell ref="S58:V58"/>
    <mergeCell ref="H30:J31"/>
    <mergeCell ref="L65:O65"/>
    <mergeCell ref="M54:P54"/>
    <mergeCell ref="AD44:AE45"/>
    <mergeCell ref="D22:E23"/>
    <mergeCell ref="D21:F21"/>
    <mergeCell ref="E17:G18"/>
    <mergeCell ref="N19:O19"/>
    <mergeCell ref="I14:I17"/>
    <mergeCell ref="Z17:AA18"/>
    <mergeCell ref="Z19:AA19"/>
  </mergeCells>
  <phoneticPr fontId="2" type="noConversion"/>
  <printOptions horizontalCentered="1" verticalCentered="1"/>
  <pageMargins left="0.39370078740157483" right="0.39370078740157483" top="0.78740157480314965" bottom="0.39370078740157483" header="4.3307086614173231" footer="0.39370078740157483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view="pageBreakPreview" zoomScale="60" zoomScaleNormal="100" workbookViewId="0">
      <selection activeCell="H22" sqref="H22"/>
    </sheetView>
  </sheetViews>
  <sheetFormatPr defaultRowHeight="13.5"/>
  <sheetData>
    <row r="1" spans="1:3" ht="31.5">
      <c r="A1" s="1227" t="s">
        <v>925</v>
      </c>
      <c r="B1" s="1227"/>
      <c r="C1" s="1227"/>
    </row>
  </sheetData>
  <mergeCells count="1">
    <mergeCell ref="A1:C1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55" zoomScaleNormal="55" workbookViewId="0">
      <selection activeCell="A16" sqref="A16"/>
    </sheetView>
  </sheetViews>
  <sheetFormatPr defaultRowHeight="50.1" customHeight="1"/>
  <cols>
    <col min="1" max="1" width="16.5546875" style="1056" customWidth="1"/>
    <col min="2" max="4" width="8.88671875" style="1056"/>
    <col min="5" max="5" width="11.21875" style="1056" bestFit="1" customWidth="1"/>
    <col min="6" max="16384" width="8.88671875" style="1056"/>
  </cols>
  <sheetData>
    <row r="1" spans="1:21" ht="50.1" customHeight="1">
      <c r="A1" s="1065" t="s">
        <v>923</v>
      </c>
    </row>
    <row r="2" spans="1:21" ht="50.1" customHeight="1">
      <c r="A2" s="1229" t="s">
        <v>842</v>
      </c>
      <c r="B2" s="1229"/>
      <c r="C2" s="1229" t="s">
        <v>845</v>
      </c>
      <c r="D2" s="1232" t="s">
        <v>846</v>
      </c>
      <c r="E2" s="1232"/>
      <c r="F2" s="1232"/>
      <c r="G2" s="1232"/>
      <c r="H2" s="1232"/>
      <c r="I2" s="1232" t="s">
        <v>847</v>
      </c>
      <c r="J2" s="1232"/>
      <c r="K2" s="1232"/>
      <c r="L2" s="1232"/>
      <c r="M2" s="1232"/>
      <c r="N2" s="1228" t="s">
        <v>869</v>
      </c>
      <c r="O2" s="1228" t="s">
        <v>855</v>
      </c>
      <c r="P2" s="1229" t="s">
        <v>868</v>
      </c>
      <c r="Q2" s="1229"/>
      <c r="R2" s="1053" t="s">
        <v>873</v>
      </c>
      <c r="S2" s="1228" t="s">
        <v>857</v>
      </c>
      <c r="T2" s="1229" t="s">
        <v>858</v>
      </c>
      <c r="U2" s="1230" t="s">
        <v>73</v>
      </c>
    </row>
    <row r="3" spans="1:21" ht="50.1" customHeight="1">
      <c r="A3" s="1229"/>
      <c r="B3" s="1229"/>
      <c r="C3" s="1229"/>
      <c r="D3" s="1229" t="s">
        <v>848</v>
      </c>
      <c r="E3" s="1229"/>
      <c r="F3" s="1229" t="s">
        <v>849</v>
      </c>
      <c r="G3" s="1229"/>
      <c r="H3" s="1052" t="s">
        <v>921</v>
      </c>
      <c r="I3" s="1229" t="s">
        <v>851</v>
      </c>
      <c r="J3" s="1229"/>
      <c r="K3" s="1229" t="s">
        <v>853</v>
      </c>
      <c r="L3" s="1229"/>
      <c r="M3" s="1052" t="s">
        <v>922</v>
      </c>
      <c r="N3" s="1229"/>
      <c r="O3" s="1229"/>
      <c r="P3" s="1052" t="s">
        <v>856</v>
      </c>
      <c r="Q3" s="1052" t="s">
        <v>864</v>
      </c>
      <c r="R3" s="1052" t="s">
        <v>864</v>
      </c>
      <c r="S3" s="1229"/>
      <c r="T3" s="1229"/>
      <c r="U3" s="1231"/>
    </row>
    <row r="4" spans="1:21" ht="50.1" customHeight="1">
      <c r="A4" s="1228" t="s">
        <v>874</v>
      </c>
      <c r="B4" s="1066" t="s">
        <v>843</v>
      </c>
      <c r="C4" s="1066">
        <v>23000</v>
      </c>
      <c r="D4" s="1067">
        <v>830.55387335185321</v>
      </c>
      <c r="E4" s="1068">
        <v>0.86666491132367285</v>
      </c>
      <c r="F4" s="1067">
        <v>1175.5920000000001</v>
      </c>
      <c r="G4" s="1068">
        <v>1.2267046956521741</v>
      </c>
      <c r="H4" s="1069">
        <f t="shared" ref="H4:H13" si="0">+F4/D4</f>
        <v>1.4154313617919594</v>
      </c>
      <c r="I4" s="1067">
        <v>6765.1289583165872</v>
      </c>
      <c r="J4" s="1068">
        <v>7.059264999982525</v>
      </c>
      <c r="K4" s="1067">
        <v>5298.3320000000003</v>
      </c>
      <c r="L4" s="1068">
        <v>5.5286942608695657</v>
      </c>
      <c r="M4" s="1069">
        <f t="shared" ref="M4:M13" si="1">+K4/I4</f>
        <v>0.78318270540675994</v>
      </c>
      <c r="N4" s="1069">
        <v>0.8</v>
      </c>
      <c r="O4" s="1069">
        <f t="shared" ref="O4:O13" si="2">IF(+H4&gt;1,1,H4)*IF(M4&gt;1,1,M4)*N4</f>
        <v>0.62654616432540799</v>
      </c>
      <c r="P4" s="1066">
        <v>50</v>
      </c>
      <c r="Q4" s="1070">
        <f t="shared" ref="Q4:Q13" si="3">(1-O4)*P4</f>
        <v>18.672691783729601</v>
      </c>
      <c r="R4" s="1070"/>
      <c r="S4" s="1066">
        <v>33</v>
      </c>
      <c r="T4" s="1071" t="str">
        <f t="shared" ref="T4:T13" si="4">+IF(Q4&lt;S4,"GOOD","NO GOOD")</f>
        <v>GOOD</v>
      </c>
      <c r="U4" s="1072">
        <v>0.28999999999999998</v>
      </c>
    </row>
    <row r="5" spans="1:21" ht="50.1" customHeight="1">
      <c r="A5" s="1229"/>
      <c r="B5" s="1066" t="s">
        <v>844</v>
      </c>
      <c r="C5" s="1066">
        <v>40000</v>
      </c>
      <c r="D5" s="1067">
        <v>2953.1322441047337</v>
      </c>
      <c r="E5" s="1068">
        <v>1.7718793464628402</v>
      </c>
      <c r="F5" s="1067">
        <v>2295.7440000000001</v>
      </c>
      <c r="G5" s="1068">
        <v>1.3774464000000002</v>
      </c>
      <c r="H5" s="1069">
        <f t="shared" si="0"/>
        <v>0.77739288668258533</v>
      </c>
      <c r="I5" s="1067">
        <v>14126.552777748653</v>
      </c>
      <c r="J5" s="1068">
        <v>8.475931666649192</v>
      </c>
      <c r="K5" s="1067">
        <v>10376.794</v>
      </c>
      <c r="L5" s="1068">
        <v>6.2260764000000002</v>
      </c>
      <c r="M5" s="1069">
        <f t="shared" si="1"/>
        <v>0.73455953219846659</v>
      </c>
      <c r="N5" s="1069">
        <v>0.8</v>
      </c>
      <c r="O5" s="1069">
        <f t="shared" si="2"/>
        <v>0.45683308414078039</v>
      </c>
      <c r="P5" s="1066">
        <v>59</v>
      </c>
      <c r="Q5" s="1070">
        <f t="shared" si="3"/>
        <v>32.046848035693955</v>
      </c>
      <c r="R5" s="1070"/>
      <c r="S5" s="1066">
        <v>33</v>
      </c>
      <c r="T5" s="1071" t="str">
        <f t="shared" si="4"/>
        <v>GOOD</v>
      </c>
      <c r="U5" s="1072">
        <v>0.47499999999999998</v>
      </c>
    </row>
    <row r="6" spans="1:21" ht="50.1" customHeight="1">
      <c r="A6" s="1228" t="s">
        <v>875</v>
      </c>
      <c r="B6" s="1066" t="s">
        <v>843</v>
      </c>
      <c r="C6" s="1066">
        <v>23000</v>
      </c>
      <c r="D6" s="1067">
        <v>830.55387335185321</v>
      </c>
      <c r="E6" s="1068">
        <v>0.86666491132367285</v>
      </c>
      <c r="F6" s="1067">
        <v>1175.5920000000001</v>
      </c>
      <c r="G6" s="1068">
        <v>1.2267046956521741</v>
      </c>
      <c r="H6" s="1069">
        <f t="shared" si="0"/>
        <v>1.4154313617919594</v>
      </c>
      <c r="I6" s="1067">
        <v>6765.1289583165872</v>
      </c>
      <c r="J6" s="1068">
        <v>7.059264999982525</v>
      </c>
      <c r="K6" s="1067">
        <v>5298.3320000000003</v>
      </c>
      <c r="L6" s="1068">
        <v>5.5286942608695657</v>
      </c>
      <c r="M6" s="1069">
        <f t="shared" si="1"/>
        <v>0.78318270540675994</v>
      </c>
      <c r="N6" s="1069">
        <v>0.8</v>
      </c>
      <c r="O6" s="1069">
        <f t="shared" si="2"/>
        <v>0.62654616432540799</v>
      </c>
      <c r="P6" s="1066">
        <v>50</v>
      </c>
      <c r="Q6" s="1070">
        <f t="shared" si="3"/>
        <v>18.672691783729601</v>
      </c>
      <c r="R6" s="1070"/>
      <c r="S6" s="1066">
        <v>20</v>
      </c>
      <c r="T6" s="1071" t="str">
        <f t="shared" si="4"/>
        <v>GOOD</v>
      </c>
      <c r="U6" s="1073">
        <v>1</v>
      </c>
    </row>
    <row r="7" spans="1:21" ht="50.1" customHeight="1">
      <c r="A7" s="1229"/>
      <c r="B7" s="1066" t="s">
        <v>844</v>
      </c>
      <c r="C7" s="1066">
        <v>40000</v>
      </c>
      <c r="D7" s="1067">
        <v>3845.5341379467345</v>
      </c>
      <c r="E7" s="1068">
        <v>2.3073204827680405</v>
      </c>
      <c r="F7" s="1067">
        <v>2295.7440000000001</v>
      </c>
      <c r="G7" s="1068">
        <v>1.3774464000000002</v>
      </c>
      <c r="H7" s="1069">
        <f t="shared" si="0"/>
        <v>0.59698962943695988</v>
      </c>
      <c r="I7" s="1067">
        <v>14126.552777748653</v>
      </c>
      <c r="J7" s="1068">
        <v>8.475931666649192</v>
      </c>
      <c r="K7" s="1067">
        <v>10376.794</v>
      </c>
      <c r="L7" s="1068">
        <v>6.2260764000000002</v>
      </c>
      <c r="M7" s="1069">
        <f t="shared" si="1"/>
        <v>0.73455953219846659</v>
      </c>
      <c r="N7" s="1069">
        <v>0.8</v>
      </c>
      <c r="O7" s="1069">
        <f t="shared" si="2"/>
        <v>0.35081953834123936</v>
      </c>
      <c r="P7" s="1066">
        <v>59</v>
      </c>
      <c r="Q7" s="1070">
        <f t="shared" si="3"/>
        <v>38.301647237866881</v>
      </c>
      <c r="R7" s="1070"/>
      <c r="S7" s="1066">
        <v>20</v>
      </c>
      <c r="T7" s="1071" t="str">
        <f t="shared" si="4"/>
        <v>NO GOOD</v>
      </c>
      <c r="U7" s="1072">
        <v>1.36</v>
      </c>
    </row>
    <row r="8" spans="1:21" ht="50.1" customHeight="1">
      <c r="A8" s="1228" t="s">
        <v>913</v>
      </c>
      <c r="B8" s="1066" t="s">
        <v>843</v>
      </c>
      <c r="C8" s="1066">
        <v>15620</v>
      </c>
      <c r="D8" s="1067">
        <v>1417.6009233540831</v>
      </c>
      <c r="E8" s="1068">
        <v>2.1781320205184374</v>
      </c>
      <c r="F8" s="1067">
        <v>1175.5920000000001</v>
      </c>
      <c r="G8" s="1068">
        <v>1.7633880000000004</v>
      </c>
      <c r="H8" s="1069">
        <f t="shared" si="0"/>
        <v>0.82928275555754916</v>
      </c>
      <c r="I8" s="1067">
        <v>5379.6023809523813</v>
      </c>
      <c r="J8" s="1068">
        <v>8.2657142857142851</v>
      </c>
      <c r="K8" s="1067">
        <v>5298.3320000000003</v>
      </c>
      <c r="L8" s="1068">
        <v>7.9474980000000004</v>
      </c>
      <c r="M8" s="1069">
        <f t="shared" si="1"/>
        <v>0.98489286471428894</v>
      </c>
      <c r="N8" s="1069">
        <v>0.8</v>
      </c>
      <c r="O8" s="1069">
        <f t="shared" si="2"/>
        <v>0.65340373502338722</v>
      </c>
      <c r="P8" s="1066">
        <v>57</v>
      </c>
      <c r="Q8" s="1070">
        <f t="shared" si="3"/>
        <v>19.755987103666929</v>
      </c>
      <c r="R8" s="1070" t="s">
        <v>865</v>
      </c>
      <c r="S8" s="1066">
        <v>20</v>
      </c>
      <c r="T8" s="1071" t="str">
        <f t="shared" si="4"/>
        <v>GOOD</v>
      </c>
      <c r="U8" s="1073">
        <v>1.28</v>
      </c>
    </row>
    <row r="9" spans="1:21" ht="50.1" customHeight="1">
      <c r="A9" s="1229"/>
      <c r="B9" s="1066" t="s">
        <v>844</v>
      </c>
      <c r="C9" s="1066">
        <v>24470</v>
      </c>
      <c r="D9" s="1067">
        <v>1774.1196761911124</v>
      </c>
      <c r="E9" s="1068">
        <v>1.7400438180869102</v>
      </c>
      <c r="F9" s="1067">
        <v>2295.7440000000001</v>
      </c>
      <c r="G9" s="1068">
        <v>2.2516492031058442</v>
      </c>
      <c r="H9" s="1069">
        <f t="shared" si="0"/>
        <v>1.2940186791281025</v>
      </c>
      <c r="I9" s="1067">
        <v>6594.2554673432951</v>
      </c>
      <c r="J9" s="1068">
        <v>6.4675983333158591</v>
      </c>
      <c r="K9" s="1067">
        <v>10376.794</v>
      </c>
      <c r="L9" s="1068">
        <v>10.177484920310585</v>
      </c>
      <c r="M9" s="1069">
        <f t="shared" si="1"/>
        <v>1.5736111607123739</v>
      </c>
      <c r="N9" s="1069">
        <v>0.8</v>
      </c>
      <c r="O9" s="1069">
        <f t="shared" si="2"/>
        <v>0.8</v>
      </c>
      <c r="P9" s="1066">
        <v>46</v>
      </c>
      <c r="Q9" s="1070">
        <f t="shared" si="3"/>
        <v>9.1999999999999975</v>
      </c>
      <c r="R9" s="1070" t="s">
        <v>865</v>
      </c>
      <c r="S9" s="1066">
        <v>20</v>
      </c>
      <c r="T9" s="1071" t="str">
        <f t="shared" si="4"/>
        <v>GOOD</v>
      </c>
      <c r="U9" s="1072">
        <v>0.84</v>
      </c>
    </row>
    <row r="10" spans="1:21" ht="50.1" customHeight="1">
      <c r="A10" s="1228" t="s">
        <v>914</v>
      </c>
      <c r="B10" s="1066" t="s">
        <v>843</v>
      </c>
      <c r="C10" s="1066">
        <v>23894</v>
      </c>
      <c r="D10" s="1076">
        <v>2169</v>
      </c>
      <c r="E10" s="1068">
        <v>2.1781320205184374</v>
      </c>
      <c r="F10" s="1076">
        <v>1175.5920000000001</v>
      </c>
      <c r="G10" s="1068">
        <v>1.2267046956521741</v>
      </c>
      <c r="H10" s="1069">
        <f t="shared" si="0"/>
        <v>0.54199723374827113</v>
      </c>
      <c r="I10" s="1076">
        <v>8298</v>
      </c>
      <c r="J10" s="1068">
        <v>8.2657142857142851</v>
      </c>
      <c r="K10" s="1076">
        <v>5298.3320000000003</v>
      </c>
      <c r="L10" s="1068">
        <v>5.5286942608695657</v>
      </c>
      <c r="M10" s="1069">
        <f t="shared" si="1"/>
        <v>0.63850711014702344</v>
      </c>
      <c r="N10" s="1069">
        <v>0.8</v>
      </c>
      <c r="O10" s="1069">
        <f t="shared" si="2"/>
        <v>0.27685526994263149</v>
      </c>
      <c r="P10" s="1066">
        <v>57</v>
      </c>
      <c r="Q10" s="1070">
        <f t="shared" si="3"/>
        <v>41.219249613270009</v>
      </c>
      <c r="R10" s="1070" t="s">
        <v>865</v>
      </c>
      <c r="S10" s="1066">
        <v>20</v>
      </c>
      <c r="T10" s="1071" t="str">
        <f t="shared" si="4"/>
        <v>NO GOOD</v>
      </c>
      <c r="U10" s="1073">
        <v>1.28</v>
      </c>
    </row>
    <row r="11" spans="1:21" ht="50.1" customHeight="1">
      <c r="A11" s="1228"/>
      <c r="B11" s="1066" t="s">
        <v>844</v>
      </c>
      <c r="C11" s="1066">
        <v>39767</v>
      </c>
      <c r="D11" s="1076">
        <v>2883</v>
      </c>
      <c r="E11" s="1068">
        <v>1.7400438180869102</v>
      </c>
      <c r="F11" s="1076">
        <v>2295.7440000000001</v>
      </c>
      <c r="G11" s="1068">
        <v>1.3774464000000002</v>
      </c>
      <c r="H11" s="1069">
        <f t="shared" si="0"/>
        <v>0.79630385015608751</v>
      </c>
      <c r="I11" s="1076">
        <v>10717</v>
      </c>
      <c r="J11" s="1068">
        <v>6.4675983333158591</v>
      </c>
      <c r="K11" s="1076">
        <v>10376.794</v>
      </c>
      <c r="L11" s="1068">
        <v>6.2260764000000002</v>
      </c>
      <c r="M11" s="1069">
        <f t="shared" si="1"/>
        <v>0.968255481944574</v>
      </c>
      <c r="N11" s="1069">
        <v>0.8</v>
      </c>
      <c r="O11" s="1069">
        <f t="shared" si="2"/>
        <v>0.61682045456576196</v>
      </c>
      <c r="P11" s="1066">
        <v>46</v>
      </c>
      <c r="Q11" s="1070">
        <f t="shared" si="3"/>
        <v>17.626259089974951</v>
      </c>
      <c r="R11" s="1070" t="s">
        <v>865</v>
      </c>
      <c r="S11" s="1066">
        <v>20</v>
      </c>
      <c r="T11" s="1071" t="str">
        <f t="shared" si="4"/>
        <v>GOOD</v>
      </c>
      <c r="U11" s="1072">
        <v>0.84</v>
      </c>
    </row>
    <row r="12" spans="1:21" ht="50.1" customHeight="1">
      <c r="A12" s="1228"/>
      <c r="B12" s="1066" t="s">
        <v>844</v>
      </c>
      <c r="C12" s="1066">
        <v>39767</v>
      </c>
      <c r="D12" s="1067">
        <v>3050</v>
      </c>
      <c r="E12" s="1068">
        <v>1.84</v>
      </c>
      <c r="F12" s="1067">
        <v>2295.7440000000001</v>
      </c>
      <c r="G12" s="1068">
        <v>1.3774464000000002</v>
      </c>
      <c r="H12" s="1069">
        <f t="shared" si="0"/>
        <v>0.7527029508196722</v>
      </c>
      <c r="I12" s="1067">
        <v>10993</v>
      </c>
      <c r="J12" s="1068">
        <v>6.63</v>
      </c>
      <c r="K12" s="1067">
        <v>10376.794</v>
      </c>
      <c r="L12" s="1068">
        <v>6.2260764000000002</v>
      </c>
      <c r="M12" s="1069">
        <f t="shared" si="1"/>
        <v>0.94394560174656594</v>
      </c>
      <c r="N12" s="1069">
        <v>0.8</v>
      </c>
      <c r="O12" s="1069">
        <f t="shared" si="2"/>
        <v>0.56840851187831309</v>
      </c>
      <c r="P12" s="1066">
        <v>47</v>
      </c>
      <c r="Q12" s="1070">
        <f t="shared" si="3"/>
        <v>20.284799941719285</v>
      </c>
      <c r="R12" s="1070" t="s">
        <v>865</v>
      </c>
      <c r="S12" s="1066">
        <v>20</v>
      </c>
      <c r="T12" s="1071" t="str">
        <f t="shared" si="4"/>
        <v>NO GOOD</v>
      </c>
      <c r="U12" s="1072">
        <v>0.88</v>
      </c>
    </row>
    <row r="13" spans="1:21" ht="50.1" customHeight="1">
      <c r="A13" s="1228"/>
      <c r="B13" s="1066" t="s">
        <v>844</v>
      </c>
      <c r="C13" s="1066">
        <v>39767</v>
      </c>
      <c r="D13" s="1067">
        <v>3217</v>
      </c>
      <c r="E13" s="1068">
        <v>1.94</v>
      </c>
      <c r="F13" s="1067">
        <v>2295.7440000000001</v>
      </c>
      <c r="G13" s="1068">
        <v>1.3774464000000002</v>
      </c>
      <c r="H13" s="1069">
        <f t="shared" si="0"/>
        <v>0.71362884675163196</v>
      </c>
      <c r="I13" s="1067">
        <v>11269</v>
      </c>
      <c r="J13" s="1068">
        <v>6.8</v>
      </c>
      <c r="K13" s="1067">
        <v>10376.794</v>
      </c>
      <c r="L13" s="1068">
        <v>6.2260764000000002</v>
      </c>
      <c r="M13" s="1069">
        <f t="shared" si="1"/>
        <v>0.9208265152187417</v>
      </c>
      <c r="N13" s="1069">
        <v>0.8</v>
      </c>
      <c r="O13" s="1069">
        <f t="shared" si="2"/>
        <v>0.52570269129109981</v>
      </c>
      <c r="P13" s="1066">
        <v>48</v>
      </c>
      <c r="Q13" s="1070">
        <f t="shared" si="3"/>
        <v>22.766270818027209</v>
      </c>
      <c r="R13" s="1070" t="s">
        <v>865</v>
      </c>
      <c r="S13" s="1066">
        <v>20</v>
      </c>
      <c r="T13" s="1071" t="str">
        <f t="shared" si="4"/>
        <v>NO GOOD</v>
      </c>
      <c r="U13" s="1072">
        <v>0.92</v>
      </c>
    </row>
  </sheetData>
  <mergeCells count="18">
    <mergeCell ref="S2:S3"/>
    <mergeCell ref="T2:T3"/>
    <mergeCell ref="U2:U3"/>
    <mergeCell ref="D3:E3"/>
    <mergeCell ref="F3:G3"/>
    <mergeCell ref="I3:J3"/>
    <mergeCell ref="K3:L3"/>
    <mergeCell ref="D2:H2"/>
    <mergeCell ref="I2:M2"/>
    <mergeCell ref="N2:N3"/>
    <mergeCell ref="O2:O3"/>
    <mergeCell ref="A4:A5"/>
    <mergeCell ref="A6:A7"/>
    <mergeCell ref="A8:A9"/>
    <mergeCell ref="A10:A13"/>
    <mergeCell ref="P2:Q2"/>
    <mergeCell ref="A2:B3"/>
    <mergeCell ref="C2:C3"/>
  </mergeCells>
  <phoneticPr fontId="2" type="noConversion"/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256"/>
  <sheetViews>
    <sheetView view="pageBreakPreview" zoomScaleSheetLayoutView="100" workbookViewId="0">
      <selection activeCell="A2" sqref="A2"/>
    </sheetView>
  </sheetViews>
  <sheetFormatPr defaultRowHeight="18.75" customHeight="1"/>
  <cols>
    <col min="1" max="1" width="12.77734375" style="1" customWidth="1"/>
    <col min="2" max="2" width="4.77734375" style="1" customWidth="1"/>
    <col min="3" max="16" width="3.77734375" style="1" customWidth="1"/>
    <col min="17" max="17" width="8.77734375" style="1" customWidth="1"/>
    <col min="18" max="20" width="4" style="1" customWidth="1"/>
    <col min="21" max="36" width="4.77734375" style="1" customWidth="1"/>
    <col min="37" max="16384" width="8.88671875" style="1"/>
  </cols>
  <sheetData>
    <row r="1" spans="1:29" ht="24" customHeight="1">
      <c r="A1" s="1074" t="s">
        <v>930</v>
      </c>
      <c r="B1" s="1074"/>
      <c r="C1" s="1074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29" s="2" customFormat="1" ht="24" customHeight="1" thickBot="1">
      <c r="A2" s="270" t="s">
        <v>924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29" s="2" customFormat="1" ht="24.75" customHeight="1">
      <c r="A3" s="282" t="s">
        <v>270</v>
      </c>
      <c r="B3" s="1244" t="s">
        <v>271</v>
      </c>
      <c r="C3" s="1244"/>
      <c r="D3" s="1244"/>
      <c r="E3" s="1244"/>
      <c r="F3" s="1244"/>
      <c r="G3" s="1244"/>
      <c r="H3" s="1244"/>
      <c r="I3" s="1244"/>
      <c r="J3" s="1244"/>
      <c r="K3" s="1244"/>
      <c r="L3" s="1244"/>
      <c r="M3" s="1244"/>
      <c r="N3" s="1244"/>
      <c r="O3" s="1244"/>
      <c r="P3" s="1245"/>
      <c r="Q3" s="283" t="s">
        <v>272</v>
      </c>
    </row>
    <row r="4" spans="1:29" s="2" customFormat="1" ht="24.75" customHeight="1">
      <c r="A4" s="284" t="s">
        <v>273</v>
      </c>
      <c r="B4" s="272"/>
      <c r="C4" s="1247">
        <v>4000</v>
      </c>
      <c r="D4" s="1247"/>
      <c r="E4" s="1248" t="s">
        <v>44</v>
      </c>
      <c r="F4" s="1248"/>
      <c r="G4" s="273" t="s">
        <v>275</v>
      </c>
      <c r="H4" s="1247">
        <f>C4/24</f>
        <v>166.66666666666666</v>
      </c>
      <c r="I4" s="1247"/>
      <c r="J4" s="1248" t="s">
        <v>276</v>
      </c>
      <c r="K4" s="1248"/>
      <c r="L4" s="273" t="s">
        <v>275</v>
      </c>
      <c r="M4" s="1247">
        <f>H4/60</f>
        <v>2.7777777777777777</v>
      </c>
      <c r="N4" s="1247"/>
      <c r="O4" s="1248" t="s">
        <v>277</v>
      </c>
      <c r="P4" s="1248"/>
      <c r="Q4" s="285"/>
    </row>
    <row r="5" spans="1:29" s="2" customFormat="1" ht="24.75" customHeight="1">
      <c r="A5" s="284" t="s">
        <v>278</v>
      </c>
      <c r="B5" s="272"/>
      <c r="C5" s="274"/>
      <c r="D5" s="274"/>
      <c r="E5" s="275"/>
      <c r="F5" s="275"/>
      <c r="G5" s="276"/>
      <c r="H5" s="276"/>
      <c r="I5" s="274"/>
      <c r="J5" s="274"/>
      <c r="K5" s="1249" t="s">
        <v>279</v>
      </c>
      <c r="L5" s="1249"/>
      <c r="M5" s="1249"/>
      <c r="N5" s="1249"/>
      <c r="O5" s="277"/>
      <c r="P5" s="274"/>
      <c r="Q5" s="285"/>
    </row>
    <row r="6" spans="1:29" s="2" customFormat="1" ht="24.75" customHeight="1">
      <c r="A6" s="284"/>
      <c r="B6" s="272"/>
      <c r="C6" s="1243" t="s">
        <v>270</v>
      </c>
      <c r="D6" s="1243"/>
      <c r="E6" s="1243"/>
      <c r="F6" s="1246" t="s">
        <v>280</v>
      </c>
      <c r="G6" s="1246"/>
      <c r="H6" s="1246"/>
      <c r="I6" s="1246"/>
      <c r="J6" s="1243" t="s">
        <v>281</v>
      </c>
      <c r="K6" s="1243"/>
      <c r="L6" s="1243"/>
      <c r="M6" s="1243"/>
      <c r="N6" s="1243" t="s">
        <v>272</v>
      </c>
      <c r="O6" s="1243"/>
      <c r="P6" s="1243"/>
      <c r="Q6" s="285"/>
    </row>
    <row r="7" spans="1:29" s="2" customFormat="1" ht="24.75" customHeight="1">
      <c r="A7" s="284"/>
      <c r="B7" s="272"/>
      <c r="C7" s="1243" t="s">
        <v>282</v>
      </c>
      <c r="D7" s="1243"/>
      <c r="E7" s="1243"/>
      <c r="F7" s="1242">
        <v>218.7</v>
      </c>
      <c r="G7" s="1242"/>
      <c r="H7" s="1242"/>
      <c r="I7" s="1242"/>
      <c r="J7" s="1242">
        <v>6</v>
      </c>
      <c r="K7" s="1242"/>
      <c r="L7" s="1242"/>
      <c r="M7" s="1242"/>
      <c r="N7" s="1243" t="s">
        <v>283</v>
      </c>
      <c r="O7" s="1243"/>
      <c r="P7" s="1243"/>
      <c r="Q7" s="285"/>
    </row>
    <row r="8" spans="1:29" s="2" customFormat="1" ht="24.75" customHeight="1">
      <c r="A8" s="284"/>
      <c r="B8" s="272"/>
      <c r="C8" s="1243" t="s">
        <v>284</v>
      </c>
      <c r="D8" s="1243"/>
      <c r="E8" s="1243"/>
      <c r="F8" s="1242">
        <v>146.4</v>
      </c>
      <c r="G8" s="1242"/>
      <c r="H8" s="1242"/>
      <c r="I8" s="1242"/>
      <c r="J8" s="1242">
        <v>10</v>
      </c>
      <c r="K8" s="1242"/>
      <c r="L8" s="1242"/>
      <c r="M8" s="1242"/>
      <c r="N8" s="1243"/>
      <c r="O8" s="1243"/>
      <c r="P8" s="1243"/>
      <c r="Q8" s="285"/>
      <c r="AC8" s="2" t="s">
        <v>139</v>
      </c>
    </row>
    <row r="9" spans="1:29" s="2" customFormat="1" ht="24.75" customHeight="1">
      <c r="A9" s="284"/>
      <c r="B9" s="272"/>
      <c r="C9" s="1243" t="s">
        <v>285</v>
      </c>
      <c r="D9" s="1243"/>
      <c r="E9" s="1243"/>
      <c r="F9" s="1242">
        <v>240.2</v>
      </c>
      <c r="G9" s="1242"/>
      <c r="H9" s="1242"/>
      <c r="I9" s="1242"/>
      <c r="J9" s="1242">
        <v>6</v>
      </c>
      <c r="K9" s="1242"/>
      <c r="L9" s="1242"/>
      <c r="M9" s="1242"/>
      <c r="N9" s="1243"/>
      <c r="O9" s="1243"/>
      <c r="P9" s="1243"/>
      <c r="Q9" s="285"/>
      <c r="AC9" s="14">
        <v>7</v>
      </c>
    </row>
    <row r="10" spans="1:29" s="2" customFormat="1" ht="24.75" customHeight="1">
      <c r="A10" s="284"/>
      <c r="B10" s="272"/>
      <c r="C10" s="1243" t="s">
        <v>286</v>
      </c>
      <c r="D10" s="1243"/>
      <c r="E10" s="1243"/>
      <c r="F10" s="1242">
        <v>59.954999999999998</v>
      </c>
      <c r="G10" s="1242"/>
      <c r="H10" s="1242"/>
      <c r="I10" s="1242"/>
      <c r="J10" s="1242">
        <v>20</v>
      </c>
      <c r="K10" s="1242"/>
      <c r="L10" s="1242"/>
      <c r="M10" s="1242"/>
      <c r="N10" s="1243"/>
      <c r="O10" s="1243"/>
      <c r="P10" s="1243"/>
      <c r="Q10" s="286"/>
      <c r="V10" s="13"/>
      <c r="AC10" s="14">
        <v>28</v>
      </c>
    </row>
    <row r="11" spans="1:29" s="2" customFormat="1" ht="24.75" customHeight="1">
      <c r="A11" s="284"/>
      <c r="B11" s="272"/>
      <c r="C11" s="1243" t="s">
        <v>287</v>
      </c>
      <c r="D11" s="1243"/>
      <c r="E11" s="1243"/>
      <c r="F11" s="1242">
        <v>6.89</v>
      </c>
      <c r="G11" s="1242"/>
      <c r="H11" s="1242"/>
      <c r="I11" s="1242"/>
      <c r="J11" s="1242">
        <v>0.3</v>
      </c>
      <c r="K11" s="1242"/>
      <c r="L11" s="1242"/>
      <c r="M11" s="1242"/>
      <c r="N11" s="1243"/>
      <c r="O11" s="1243"/>
      <c r="P11" s="1243"/>
      <c r="Q11" s="286"/>
      <c r="S11" s="2">
        <f>ROUNDDOWN(F8/F11, -0.4)</f>
        <v>21</v>
      </c>
      <c r="AC11" s="14">
        <v>7</v>
      </c>
    </row>
    <row r="12" spans="1:29" s="2" customFormat="1" ht="24.75" customHeight="1">
      <c r="A12" s="284" t="s">
        <v>288</v>
      </c>
      <c r="B12" s="272"/>
      <c r="C12" s="278">
        <v>12</v>
      </c>
      <c r="D12" s="273" t="s">
        <v>289</v>
      </c>
      <c r="E12" s="273"/>
      <c r="F12" s="275"/>
      <c r="G12" s="275"/>
      <c r="H12" s="275"/>
      <c r="I12" s="275"/>
      <c r="J12" s="279"/>
      <c r="K12" s="279"/>
      <c r="L12" s="279"/>
      <c r="M12" s="279"/>
      <c r="N12" s="273"/>
      <c r="O12" s="273"/>
      <c r="P12" s="273"/>
      <c r="Q12" s="286"/>
      <c r="AC12" s="14">
        <v>14</v>
      </c>
    </row>
    <row r="13" spans="1:29" s="2" customFormat="1" ht="24.75" customHeight="1">
      <c r="A13" s="284" t="s">
        <v>290</v>
      </c>
      <c r="B13" s="272" t="s">
        <v>291</v>
      </c>
      <c r="C13" s="1233">
        <v>0.15</v>
      </c>
      <c r="D13" s="1233"/>
      <c r="E13" s="280" t="s">
        <v>292</v>
      </c>
      <c r="F13" s="1233">
        <v>0.5</v>
      </c>
      <c r="G13" s="1233"/>
      <c r="H13" s="275"/>
      <c r="I13" s="1239" t="s">
        <v>293</v>
      </c>
      <c r="J13" s="1239"/>
      <c r="K13" s="1241">
        <f>물질수지!L20</f>
        <v>1.6265217450739531</v>
      </c>
      <c r="L13" s="1241"/>
      <c r="M13" s="273"/>
      <c r="N13" s="273"/>
      <c r="O13" s="277"/>
      <c r="P13" s="274"/>
      <c r="Q13" s="286"/>
      <c r="AC13" s="14">
        <v>1.4</v>
      </c>
    </row>
    <row r="14" spans="1:29" s="2" customFormat="1" ht="24.75" customHeight="1">
      <c r="A14" s="284" t="s">
        <v>294</v>
      </c>
      <c r="B14" s="272" t="s">
        <v>291</v>
      </c>
      <c r="C14" s="1234">
        <v>2000</v>
      </c>
      <c r="D14" s="1234"/>
      <c r="E14" s="280" t="s">
        <v>292</v>
      </c>
      <c r="F14" s="1234">
        <v>5000</v>
      </c>
      <c r="G14" s="1234"/>
      <c r="H14" s="281" t="s">
        <v>295</v>
      </c>
      <c r="I14" s="1239" t="s">
        <v>293</v>
      </c>
      <c r="J14" s="1239"/>
      <c r="K14" s="1236">
        <v>3000</v>
      </c>
      <c r="L14" s="1236"/>
      <c r="M14" s="273"/>
      <c r="N14" s="273"/>
      <c r="O14" s="277"/>
      <c r="P14" s="274"/>
      <c r="Q14" s="286"/>
    </row>
    <row r="15" spans="1:29" s="2" customFormat="1" ht="24.75" customHeight="1">
      <c r="A15" s="284" t="s">
        <v>296</v>
      </c>
      <c r="B15" s="272" t="s">
        <v>291</v>
      </c>
      <c r="C15" s="1234">
        <v>1500</v>
      </c>
      <c r="D15" s="1234"/>
      <c r="E15" s="280" t="s">
        <v>292</v>
      </c>
      <c r="F15" s="1234">
        <v>3500</v>
      </c>
      <c r="G15" s="1234"/>
      <c r="H15" s="281" t="s">
        <v>295</v>
      </c>
      <c r="I15" s="1239" t="s">
        <v>293</v>
      </c>
      <c r="J15" s="1239"/>
      <c r="K15" s="1237">
        <f>K14*0.8</f>
        <v>2400</v>
      </c>
      <c r="L15" s="1237"/>
      <c r="M15" s="273"/>
      <c r="N15" s="273"/>
      <c r="O15" s="277"/>
      <c r="P15" s="274"/>
      <c r="Q15" s="286"/>
    </row>
    <row r="16" spans="1:29" s="2" customFormat="1" ht="24.75" customHeight="1" thickBot="1">
      <c r="A16" s="287" t="s">
        <v>297</v>
      </c>
      <c r="B16" s="288" t="s">
        <v>291</v>
      </c>
      <c r="C16" s="1235">
        <v>6</v>
      </c>
      <c r="D16" s="1235"/>
      <c r="E16" s="289" t="s">
        <v>292</v>
      </c>
      <c r="F16" s="1235">
        <v>8</v>
      </c>
      <c r="G16" s="1235"/>
      <c r="H16" s="290"/>
      <c r="I16" s="1238" t="s">
        <v>293</v>
      </c>
      <c r="J16" s="1238"/>
      <c r="K16" s="1240">
        <v>7</v>
      </c>
      <c r="L16" s="1240"/>
      <c r="M16" s="291"/>
      <c r="N16" s="291"/>
      <c r="O16" s="292"/>
      <c r="P16" s="293"/>
      <c r="Q16" s="294"/>
    </row>
    <row r="242" spans="3:7" ht="18.75" customHeight="1">
      <c r="C242" s="1">
        <f>Q221</f>
        <v>0</v>
      </c>
    </row>
    <row r="243" spans="3:7" ht="18.75" customHeight="1">
      <c r="D243" s="1" t="e">
        <f>C242*H242/(J242-L242)/N242</f>
        <v>#DIV/0!</v>
      </c>
    </row>
    <row r="256" spans="3:7" ht="18.75" customHeight="1">
      <c r="C256" s="1">
        <v>9.6999999999999993</v>
      </c>
      <c r="G256" s="1">
        <v>3</v>
      </c>
    </row>
  </sheetData>
  <mergeCells count="48">
    <mergeCell ref="B3:P3"/>
    <mergeCell ref="F6:I6"/>
    <mergeCell ref="C6:E6"/>
    <mergeCell ref="C4:D4"/>
    <mergeCell ref="E4:F4"/>
    <mergeCell ref="H4:I4"/>
    <mergeCell ref="J4:K4"/>
    <mergeCell ref="M4:N4"/>
    <mergeCell ref="O4:P4"/>
    <mergeCell ref="K5:N5"/>
    <mergeCell ref="N6:P6"/>
    <mergeCell ref="J6:M6"/>
    <mergeCell ref="C7:E7"/>
    <mergeCell ref="N7:P7"/>
    <mergeCell ref="F7:I7"/>
    <mergeCell ref="J7:M7"/>
    <mergeCell ref="C9:E9"/>
    <mergeCell ref="N9:P9"/>
    <mergeCell ref="J9:M9"/>
    <mergeCell ref="F9:I9"/>
    <mergeCell ref="C8:E8"/>
    <mergeCell ref="N8:P8"/>
    <mergeCell ref="J8:M8"/>
    <mergeCell ref="F8:I8"/>
    <mergeCell ref="F10:I10"/>
    <mergeCell ref="N11:P11"/>
    <mergeCell ref="J11:M11"/>
    <mergeCell ref="F11:I11"/>
    <mergeCell ref="C11:E11"/>
    <mergeCell ref="C10:E10"/>
    <mergeCell ref="N10:P10"/>
    <mergeCell ref="J10:M10"/>
    <mergeCell ref="C13:D13"/>
    <mergeCell ref="C14:D14"/>
    <mergeCell ref="C16:D16"/>
    <mergeCell ref="F16:G16"/>
    <mergeCell ref="K14:L14"/>
    <mergeCell ref="K15:L15"/>
    <mergeCell ref="I16:J16"/>
    <mergeCell ref="C15:D15"/>
    <mergeCell ref="I13:J13"/>
    <mergeCell ref="I14:J14"/>
    <mergeCell ref="I15:J15"/>
    <mergeCell ref="K16:L16"/>
    <mergeCell ref="F13:G13"/>
    <mergeCell ref="F14:G14"/>
    <mergeCell ref="F15:G15"/>
    <mergeCell ref="K13:L13"/>
  </mergeCells>
  <phoneticPr fontId="2" type="noConversion"/>
  <printOptions horizontalCentered="1"/>
  <pageMargins left="0.39370078740157483" right="0.39370078740157483" top="0.78740157480314965" bottom="0.59055118110236227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G353"/>
  <sheetViews>
    <sheetView view="pageBreakPreview" topLeftCell="A168" zoomScale="115" zoomScaleSheetLayoutView="115" workbookViewId="0">
      <selection activeCell="G86" sqref="G86"/>
    </sheetView>
  </sheetViews>
  <sheetFormatPr defaultRowHeight="18.75" customHeight="1"/>
  <cols>
    <col min="1" max="1" width="12.77734375" style="736" customWidth="1"/>
    <col min="2" max="2" width="4.77734375" style="99" customWidth="1"/>
    <col min="3" max="5" width="4.109375" style="99" customWidth="1"/>
    <col min="6" max="6" width="3.77734375" style="99" customWidth="1"/>
    <col min="7" max="7" width="4.44140625" style="99" customWidth="1"/>
    <col min="8" max="16" width="4.109375" style="99" customWidth="1"/>
    <col min="17" max="17" width="7.77734375" style="875" customWidth="1"/>
    <col min="18" max="25" width="3.77734375" style="99" customWidth="1"/>
    <col min="26" max="26" width="7.33203125" style="99" customWidth="1"/>
    <col min="27" max="33" width="3.77734375" style="99" customWidth="1"/>
    <col min="34" max="36" width="4" style="99" customWidth="1"/>
    <col min="37" max="52" width="4.77734375" style="99" customWidth="1"/>
    <col min="53" max="16384" width="8.88671875" style="99"/>
  </cols>
  <sheetData>
    <row r="1" spans="1:33" ht="30" customHeight="1">
      <c r="A1" s="898" t="s">
        <v>931</v>
      </c>
      <c r="B1" s="899"/>
      <c r="C1" s="899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1"/>
      <c r="R1" s="98"/>
      <c r="S1" s="98"/>
    </row>
    <row r="2" spans="1:33" s="100" customFormat="1" ht="21" customHeight="1">
      <c r="A2" s="949" t="s">
        <v>37</v>
      </c>
      <c r="B2" s="1381" t="s">
        <v>135</v>
      </c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950" t="s">
        <v>49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</row>
    <row r="3" spans="1:33" s="100" customFormat="1" ht="21" hidden="1" customHeight="1">
      <c r="A3" s="738" t="s">
        <v>832</v>
      </c>
      <c r="B3" s="903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876"/>
      <c r="R3" s="734"/>
      <c r="S3" s="734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726"/>
    </row>
    <row r="4" spans="1:33" s="100" customFormat="1" ht="21" hidden="1" customHeight="1">
      <c r="A4" s="739" t="s">
        <v>778</v>
      </c>
      <c r="B4" s="903"/>
      <c r="C4" s="1256" t="s">
        <v>822</v>
      </c>
      <c r="D4" s="1256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905"/>
      <c r="Q4" s="876"/>
      <c r="R4" s="734"/>
      <c r="S4" s="734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726"/>
    </row>
    <row r="5" spans="1:33" s="100" customFormat="1" ht="21" hidden="1" customHeight="1">
      <c r="A5" s="739" t="s">
        <v>780</v>
      </c>
      <c r="B5" s="903"/>
      <c r="C5" s="1257" t="s">
        <v>788</v>
      </c>
      <c r="D5" s="1257"/>
      <c r="E5" s="1257"/>
      <c r="F5" s="1257"/>
      <c r="G5" s="1257"/>
      <c r="H5" s="1257"/>
      <c r="I5" s="1257"/>
      <c r="J5" s="1257"/>
      <c r="K5" s="1257"/>
      <c r="L5" s="1257"/>
      <c r="M5" s="1257"/>
      <c r="N5" s="905"/>
      <c r="O5" s="905"/>
      <c r="P5" s="905"/>
      <c r="Q5" s="876"/>
      <c r="R5" s="734"/>
      <c r="S5" s="734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726"/>
    </row>
    <row r="6" spans="1:33" s="100" customFormat="1" ht="21" hidden="1" customHeight="1">
      <c r="A6" s="739" t="s">
        <v>116</v>
      </c>
      <c r="B6" s="903"/>
      <c r="C6" s="1257" t="s">
        <v>300</v>
      </c>
      <c r="D6" s="1257"/>
      <c r="E6" s="1257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05"/>
      <c r="Q6" s="876"/>
      <c r="R6" s="734"/>
      <c r="S6" s="73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726"/>
    </row>
    <row r="7" spans="1:33" s="100" customFormat="1" ht="21" hidden="1" customHeight="1">
      <c r="A7" s="739"/>
      <c r="B7" s="903"/>
      <c r="C7" s="905"/>
      <c r="D7" s="1252">
        <f>'설계기준(설계치12)'!H4</f>
        <v>166.66666666666666</v>
      </c>
      <c r="E7" s="1252"/>
      <c r="F7" s="1253"/>
      <c r="G7" s="906" t="s">
        <v>51</v>
      </c>
      <c r="H7" s="535">
        <v>0.5</v>
      </c>
      <c r="I7" s="906" t="s">
        <v>30</v>
      </c>
      <c r="J7" s="1258">
        <f>D7*H7</f>
        <v>83.333333333333329</v>
      </c>
      <c r="K7" s="1259"/>
      <c r="L7" s="905" t="s">
        <v>118</v>
      </c>
      <c r="M7" s="905"/>
      <c r="N7" s="905"/>
      <c r="O7" s="905"/>
      <c r="P7" s="905"/>
      <c r="Q7" s="876"/>
      <c r="R7" s="734"/>
      <c r="S7" s="734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726"/>
    </row>
    <row r="8" spans="1:33" s="100" customFormat="1" ht="21" hidden="1" customHeight="1">
      <c r="A8" s="739" t="s">
        <v>119</v>
      </c>
      <c r="B8" s="903"/>
      <c r="C8" s="905"/>
      <c r="D8" s="905"/>
      <c r="E8" s="905"/>
      <c r="F8" s="905"/>
      <c r="G8" s="905"/>
      <c r="H8" s="905"/>
      <c r="I8" s="905"/>
      <c r="J8" s="905"/>
      <c r="K8" s="905"/>
      <c r="L8" s="905"/>
      <c r="M8" s="905"/>
      <c r="N8" s="905"/>
      <c r="O8" s="905"/>
      <c r="P8" s="905"/>
      <c r="Q8" s="876"/>
      <c r="R8" s="734"/>
      <c r="S8" s="734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726"/>
    </row>
    <row r="9" spans="1:33" s="100" customFormat="1" ht="21" hidden="1" customHeight="1">
      <c r="A9" s="931" t="s">
        <v>120</v>
      </c>
      <c r="B9" s="903"/>
      <c r="C9" s="1260" t="s">
        <v>121</v>
      </c>
      <c r="D9" s="1260"/>
      <c r="E9" s="1260"/>
      <c r="F9" s="1260"/>
      <c r="G9" s="1260"/>
      <c r="H9" s="1260"/>
      <c r="I9" s="1260"/>
      <c r="J9" s="1260"/>
      <c r="K9" s="1260"/>
      <c r="L9" s="1260"/>
      <c r="M9" s="1260"/>
      <c r="N9" s="1260"/>
      <c r="O9" s="1260"/>
      <c r="P9" s="905"/>
      <c r="Q9" s="876"/>
      <c r="R9" s="734"/>
      <c r="S9" s="73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726"/>
    </row>
    <row r="10" spans="1:33" s="100" customFormat="1" ht="21" hidden="1" customHeight="1">
      <c r="A10" s="931"/>
      <c r="B10" s="903"/>
      <c r="C10" s="910" t="s">
        <v>106</v>
      </c>
      <c r="D10" s="912">
        <v>7.5</v>
      </c>
      <c r="E10" s="904" t="s">
        <v>308</v>
      </c>
      <c r="F10" s="906" t="s">
        <v>51</v>
      </c>
      <c r="G10" s="910" t="s">
        <v>309</v>
      </c>
      <c r="H10" s="912">
        <v>6</v>
      </c>
      <c r="I10" s="904" t="s">
        <v>308</v>
      </c>
      <c r="J10" s="906" t="s">
        <v>51</v>
      </c>
      <c r="K10" s="1260" t="s">
        <v>606</v>
      </c>
      <c r="L10" s="1260"/>
      <c r="M10" s="910" t="s">
        <v>607</v>
      </c>
      <c r="N10" s="741">
        <v>3</v>
      </c>
      <c r="O10" s="904" t="s">
        <v>308</v>
      </c>
      <c r="P10" s="905"/>
      <c r="Q10" s="876"/>
      <c r="R10" s="734"/>
      <c r="S10" s="73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726"/>
    </row>
    <row r="11" spans="1:33" s="100" customFormat="1" ht="21" hidden="1" customHeight="1">
      <c r="A11" s="931" t="s">
        <v>125</v>
      </c>
      <c r="B11" s="903"/>
      <c r="C11" s="905"/>
      <c r="D11" s="905"/>
      <c r="E11" s="905"/>
      <c r="F11" s="905"/>
      <c r="G11" s="905"/>
      <c r="H11" s="905"/>
      <c r="I11" s="906">
        <v>1</v>
      </c>
      <c r="J11" s="905" t="s">
        <v>609</v>
      </c>
      <c r="K11" s="906">
        <v>2</v>
      </c>
      <c r="L11" s="905" t="s">
        <v>113</v>
      </c>
      <c r="M11" s="905"/>
      <c r="N11" s="905"/>
      <c r="O11" s="905"/>
      <c r="P11" s="905"/>
      <c r="Q11" s="876"/>
      <c r="R11" s="734"/>
      <c r="S11" s="73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726"/>
    </row>
    <row r="12" spans="1:33" s="100" customFormat="1" ht="21" hidden="1" customHeight="1">
      <c r="A12" s="931" t="s">
        <v>126</v>
      </c>
      <c r="B12" s="903"/>
      <c r="C12" s="906" t="s">
        <v>127</v>
      </c>
      <c r="D12" s="906" t="s">
        <v>30</v>
      </c>
      <c r="E12" s="1260">
        <f>D10*H10*N10</f>
        <v>135</v>
      </c>
      <c r="F12" s="1260"/>
      <c r="G12" s="1260" t="s">
        <v>128</v>
      </c>
      <c r="H12" s="1260"/>
      <c r="I12" s="906" t="s">
        <v>51</v>
      </c>
      <c r="J12" s="906">
        <f>I11*K11</f>
        <v>2</v>
      </c>
      <c r="K12" s="905" t="s">
        <v>609</v>
      </c>
      <c r="L12" s="906" t="s">
        <v>30</v>
      </c>
      <c r="M12" s="1261">
        <f>E12*J12</f>
        <v>270</v>
      </c>
      <c r="N12" s="1257"/>
      <c r="O12" s="905"/>
      <c r="P12" s="905"/>
      <c r="Q12" s="876"/>
      <c r="R12" s="734"/>
      <c r="S12" s="73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726"/>
    </row>
    <row r="13" spans="1:33" s="100" customFormat="1" ht="21" hidden="1" customHeight="1">
      <c r="A13" s="739" t="s">
        <v>129</v>
      </c>
      <c r="B13" s="903"/>
      <c r="C13" s="905"/>
      <c r="D13" s="905"/>
      <c r="E13" s="905"/>
      <c r="F13" s="905"/>
      <c r="G13" s="905"/>
      <c r="H13" s="905"/>
      <c r="I13" s="905"/>
      <c r="J13" s="905"/>
      <c r="K13" s="905"/>
      <c r="L13" s="905"/>
      <c r="M13" s="905"/>
      <c r="N13" s="905"/>
      <c r="O13" s="905"/>
      <c r="P13" s="905"/>
      <c r="Q13" s="876"/>
      <c r="R13" s="734"/>
      <c r="S13" s="73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726"/>
    </row>
    <row r="14" spans="1:33" s="100" customFormat="1" ht="21" hidden="1" customHeight="1">
      <c r="A14" s="931" t="s">
        <v>318</v>
      </c>
      <c r="B14" s="903"/>
      <c r="C14" s="1251">
        <f>M12</f>
        <v>270</v>
      </c>
      <c r="D14" s="1251"/>
      <c r="E14" s="906" t="s">
        <v>52</v>
      </c>
      <c r="F14" s="1252">
        <f>D7</f>
        <v>166.66666666666666</v>
      </c>
      <c r="G14" s="1252"/>
      <c r="H14" s="1253"/>
      <c r="I14" s="906" t="s">
        <v>30</v>
      </c>
      <c r="J14" s="1254">
        <f>C14/F14</f>
        <v>1.62</v>
      </c>
      <c r="K14" s="1254"/>
      <c r="L14" s="906"/>
      <c r="M14" s="1255"/>
      <c r="N14" s="1255"/>
      <c r="O14" s="905"/>
      <c r="P14" s="905"/>
      <c r="Q14" s="876"/>
      <c r="R14" s="734"/>
      <c r="S14" s="73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726"/>
    </row>
    <row r="15" spans="1:33" s="100" customFormat="1" ht="21" hidden="1" customHeight="1">
      <c r="A15" s="738"/>
      <c r="B15" s="903"/>
      <c r="C15" s="905"/>
      <c r="D15" s="905"/>
      <c r="E15" s="905"/>
      <c r="F15" s="905"/>
      <c r="G15" s="905"/>
      <c r="H15" s="905"/>
      <c r="I15" s="905"/>
      <c r="J15" s="905"/>
      <c r="K15" s="905"/>
      <c r="L15" s="905"/>
      <c r="M15" s="905"/>
      <c r="N15" s="905"/>
      <c r="O15" s="905"/>
      <c r="P15" s="905"/>
      <c r="Q15" s="876"/>
      <c r="R15" s="734"/>
      <c r="S15" s="73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726"/>
    </row>
    <row r="16" spans="1:33" s="100" customFormat="1" ht="21" hidden="1" customHeight="1">
      <c r="A16" s="738" t="s">
        <v>781</v>
      </c>
      <c r="B16" s="903"/>
      <c r="C16" s="905"/>
      <c r="D16" s="905"/>
      <c r="E16" s="905"/>
      <c r="F16" s="905"/>
      <c r="G16" s="905"/>
      <c r="H16" s="905"/>
      <c r="I16" s="905"/>
      <c r="J16" s="905"/>
      <c r="K16" s="905"/>
      <c r="L16" s="905"/>
      <c r="M16" s="905"/>
      <c r="N16" s="905"/>
      <c r="O16" s="905"/>
      <c r="P16" s="905"/>
      <c r="Q16" s="876"/>
      <c r="R16" s="734"/>
      <c r="S16" s="73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726"/>
    </row>
    <row r="17" spans="1:33" s="100" customFormat="1" ht="21" hidden="1" customHeight="1">
      <c r="A17" s="739" t="s">
        <v>778</v>
      </c>
      <c r="B17" s="903"/>
      <c r="C17" s="1256" t="s">
        <v>779</v>
      </c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905"/>
      <c r="Q17" s="876"/>
      <c r="R17" s="734"/>
      <c r="S17" s="73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726"/>
    </row>
    <row r="18" spans="1:33" s="100" customFormat="1" ht="21" hidden="1" customHeight="1">
      <c r="A18" s="739" t="s">
        <v>780</v>
      </c>
      <c r="B18" s="903"/>
      <c r="C18" s="1257" t="s">
        <v>820</v>
      </c>
      <c r="D18" s="1257"/>
      <c r="E18" s="1257"/>
      <c r="F18" s="1257"/>
      <c r="G18" s="1257"/>
      <c r="H18" s="1257"/>
      <c r="I18" s="1257"/>
      <c r="J18" s="1257"/>
      <c r="K18" s="1257"/>
      <c r="L18" s="1257"/>
      <c r="M18" s="1257"/>
      <c r="N18" s="905"/>
      <c r="O18" s="905"/>
      <c r="P18" s="905"/>
      <c r="Q18" s="876"/>
      <c r="R18" s="734"/>
      <c r="S18" s="73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726"/>
    </row>
    <row r="19" spans="1:33" s="100" customFormat="1" ht="21" hidden="1" customHeight="1">
      <c r="A19" s="739" t="s">
        <v>116</v>
      </c>
      <c r="B19" s="903"/>
      <c r="C19" s="1257" t="s">
        <v>300</v>
      </c>
      <c r="D19" s="1257"/>
      <c r="E19" s="1257"/>
      <c r="F19" s="905"/>
      <c r="G19" s="905"/>
      <c r="H19" s="905"/>
      <c r="I19" s="905"/>
      <c r="J19" s="905"/>
      <c r="K19" s="905"/>
      <c r="L19" s="905"/>
      <c r="M19" s="905"/>
      <c r="N19" s="905"/>
      <c r="O19" s="905"/>
      <c r="P19" s="905"/>
      <c r="Q19" s="876"/>
      <c r="R19" s="734"/>
      <c r="S19" s="734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726"/>
    </row>
    <row r="20" spans="1:33" s="100" customFormat="1" ht="21" hidden="1" customHeight="1">
      <c r="A20" s="739"/>
      <c r="B20" s="903"/>
      <c r="C20" s="905"/>
      <c r="D20" s="1252">
        <f>'설계기준(설계치12)'!H4</f>
        <v>166.66666666666666</v>
      </c>
      <c r="E20" s="1252"/>
      <c r="F20" s="1253"/>
      <c r="G20" s="906" t="s">
        <v>51</v>
      </c>
      <c r="H20" s="303">
        <v>2</v>
      </c>
      <c r="I20" s="906" t="s">
        <v>30</v>
      </c>
      <c r="J20" s="1258">
        <f>D20*H20</f>
        <v>333.33333333333331</v>
      </c>
      <c r="K20" s="1259"/>
      <c r="L20" s="905" t="s">
        <v>118</v>
      </c>
      <c r="M20" s="905"/>
      <c r="N20" s="905"/>
      <c r="O20" s="905"/>
      <c r="P20" s="905"/>
      <c r="Q20" s="876"/>
      <c r="R20" s="734"/>
      <c r="S20" s="734"/>
      <c r="T20" s="45"/>
      <c r="U20" s="45"/>
      <c r="V20" s="45"/>
      <c r="W20" s="45"/>
      <c r="X20" s="45"/>
      <c r="Y20" s="45"/>
      <c r="Z20" s="45">
        <f>69*26</f>
        <v>1794</v>
      </c>
      <c r="AA20" s="45"/>
      <c r="AB20" s="45"/>
      <c r="AC20" s="45"/>
      <c r="AD20" s="45"/>
      <c r="AE20" s="45"/>
      <c r="AF20" s="45"/>
      <c r="AG20" s="726"/>
    </row>
    <row r="21" spans="1:33" s="100" customFormat="1" ht="21" hidden="1" customHeight="1">
      <c r="A21" s="739" t="s">
        <v>119</v>
      </c>
      <c r="B21" s="903"/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905"/>
      <c r="P21" s="905"/>
      <c r="Q21" s="876"/>
      <c r="R21" s="734"/>
      <c r="S21" s="73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726"/>
    </row>
    <row r="22" spans="1:33" s="100" customFormat="1" ht="21" hidden="1" customHeight="1">
      <c r="A22" s="931" t="s">
        <v>120</v>
      </c>
      <c r="B22" s="903"/>
      <c r="C22" s="1260" t="s">
        <v>121</v>
      </c>
      <c r="D22" s="1260"/>
      <c r="E22" s="1260"/>
      <c r="F22" s="1260"/>
      <c r="G22" s="1260"/>
      <c r="H22" s="1260"/>
      <c r="I22" s="1260"/>
      <c r="J22" s="1260"/>
      <c r="K22" s="1260"/>
      <c r="L22" s="1260"/>
      <c r="M22" s="1260"/>
      <c r="N22" s="1260"/>
      <c r="O22" s="1260"/>
      <c r="P22" s="905"/>
      <c r="Q22" s="876"/>
      <c r="R22" s="734"/>
      <c r="S22" s="734"/>
      <c r="T22" s="45"/>
      <c r="U22" s="1263">
        <f>H23+G37+0.4</f>
        <v>28.4</v>
      </c>
      <c r="V22" s="1263"/>
      <c r="W22" s="1263"/>
      <c r="X22" s="45"/>
      <c r="Y22" s="45"/>
      <c r="Z22" s="45"/>
      <c r="AA22" s="45"/>
      <c r="AB22" s="45"/>
      <c r="AC22" s="45"/>
      <c r="AD22" s="45"/>
      <c r="AE22" s="45"/>
      <c r="AF22" s="45"/>
      <c r="AG22" s="726"/>
    </row>
    <row r="23" spans="1:33" s="100" customFormat="1" ht="21" hidden="1" customHeight="1">
      <c r="A23" s="931"/>
      <c r="B23" s="903"/>
      <c r="C23" s="910" t="s">
        <v>106</v>
      </c>
      <c r="D23" s="912">
        <v>28.8</v>
      </c>
      <c r="E23" s="904" t="s">
        <v>308</v>
      </c>
      <c r="F23" s="906" t="s">
        <v>51</v>
      </c>
      <c r="G23" s="910" t="s">
        <v>309</v>
      </c>
      <c r="H23" s="912">
        <v>4</v>
      </c>
      <c r="I23" s="904" t="s">
        <v>308</v>
      </c>
      <c r="J23" s="906" t="s">
        <v>51</v>
      </c>
      <c r="K23" s="1260" t="s">
        <v>606</v>
      </c>
      <c r="L23" s="1260"/>
      <c r="M23" s="910" t="s">
        <v>607</v>
      </c>
      <c r="N23" s="741">
        <v>4.5</v>
      </c>
      <c r="O23" s="904" t="s">
        <v>308</v>
      </c>
      <c r="P23" s="906"/>
      <c r="Q23" s="876"/>
      <c r="R23" s="734"/>
      <c r="S23" s="734"/>
      <c r="T23" s="45"/>
      <c r="U23" s="1264">
        <v>28.4</v>
      </c>
      <c r="V23" s="1264"/>
      <c r="W23" s="1264"/>
      <c r="X23" s="45"/>
      <c r="Y23" s="45"/>
      <c r="Z23" s="45"/>
      <c r="AA23" s="45"/>
      <c r="AB23" s="45"/>
      <c r="AC23" s="45"/>
      <c r="AD23" s="45"/>
      <c r="AE23" s="45"/>
      <c r="AF23" s="45"/>
      <c r="AG23" s="726"/>
    </row>
    <row r="24" spans="1:33" s="100" customFormat="1" ht="21" hidden="1" customHeight="1">
      <c r="A24" s="931" t="s">
        <v>125</v>
      </c>
      <c r="B24" s="903"/>
      <c r="C24" s="905"/>
      <c r="D24" s="905"/>
      <c r="E24" s="905"/>
      <c r="F24" s="905"/>
      <c r="G24" s="905"/>
      <c r="H24" s="905"/>
      <c r="I24" s="906">
        <v>2</v>
      </c>
      <c r="J24" s="905" t="s">
        <v>113</v>
      </c>
      <c r="K24" s="906"/>
      <c r="L24" s="905"/>
      <c r="M24" s="905"/>
      <c r="N24" s="905"/>
      <c r="O24" s="905"/>
      <c r="P24" s="905"/>
      <c r="Q24" s="876"/>
      <c r="R24" s="734"/>
      <c r="S24" s="73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726"/>
    </row>
    <row r="25" spans="1:33" s="100" customFormat="1" ht="21" hidden="1" customHeight="1">
      <c r="A25" s="931" t="s">
        <v>126</v>
      </c>
      <c r="B25" s="903"/>
      <c r="C25" s="906" t="s">
        <v>127</v>
      </c>
      <c r="D25" s="906" t="s">
        <v>30</v>
      </c>
      <c r="E25" s="1260">
        <f>D23*H23*N23</f>
        <v>518.4</v>
      </c>
      <c r="F25" s="1260"/>
      <c r="G25" s="1260" t="s">
        <v>128</v>
      </c>
      <c r="H25" s="1260"/>
      <c r="I25" s="906" t="s">
        <v>51</v>
      </c>
      <c r="J25" s="906">
        <f>I24</f>
        <v>2</v>
      </c>
      <c r="K25" s="905" t="s">
        <v>113</v>
      </c>
      <c r="L25" s="906" t="s">
        <v>30</v>
      </c>
      <c r="M25" s="1261">
        <f>E25*J25</f>
        <v>1036.8</v>
      </c>
      <c r="N25" s="1257"/>
      <c r="O25" s="905"/>
      <c r="P25" s="905"/>
      <c r="Q25" s="876"/>
      <c r="R25" s="734"/>
      <c r="S25" s="734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726"/>
    </row>
    <row r="26" spans="1:33" s="100" customFormat="1" ht="21" hidden="1" customHeight="1">
      <c r="A26" s="739" t="s">
        <v>129</v>
      </c>
      <c r="B26" s="903"/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876"/>
      <c r="R26" s="734"/>
      <c r="S26" s="734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726"/>
    </row>
    <row r="27" spans="1:33" s="100" customFormat="1" ht="21" hidden="1" customHeight="1">
      <c r="A27" s="931" t="s">
        <v>318</v>
      </c>
      <c r="B27" s="903"/>
      <c r="C27" s="1251">
        <f>M25</f>
        <v>1036.8</v>
      </c>
      <c r="D27" s="1251"/>
      <c r="E27" s="906" t="s">
        <v>52</v>
      </c>
      <c r="F27" s="1252">
        <f>D20</f>
        <v>166.66666666666666</v>
      </c>
      <c r="G27" s="1252"/>
      <c r="H27" s="1253"/>
      <c r="I27" s="906" t="s">
        <v>30</v>
      </c>
      <c r="J27" s="1254">
        <f>C27/F27</f>
        <v>6.2207999999999997</v>
      </c>
      <c r="K27" s="1254"/>
      <c r="L27" s="906"/>
      <c r="M27" s="1255"/>
      <c r="N27" s="1255"/>
      <c r="O27" s="905"/>
      <c r="P27" s="905"/>
      <c r="Q27" s="876"/>
      <c r="R27" s="734"/>
      <c r="S27" s="73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726"/>
    </row>
    <row r="28" spans="1:33" s="100" customFormat="1" ht="21" hidden="1" customHeight="1">
      <c r="A28" s="732"/>
      <c r="B28" s="732"/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87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726"/>
    </row>
    <row r="29" spans="1:33" s="100" customFormat="1" ht="21" hidden="1" customHeight="1">
      <c r="A29" s="854" t="s">
        <v>782</v>
      </c>
      <c r="B29" s="322"/>
      <c r="C29" s="905"/>
      <c r="D29" s="905"/>
      <c r="E29" s="905"/>
      <c r="F29" s="905"/>
      <c r="G29" s="905"/>
      <c r="H29" s="905"/>
      <c r="I29" s="905"/>
      <c r="J29" s="905"/>
      <c r="K29" s="905"/>
      <c r="L29" s="905"/>
      <c r="M29" s="905"/>
      <c r="N29" s="905"/>
      <c r="O29" s="905"/>
      <c r="P29" s="905"/>
      <c r="Q29" s="878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45"/>
    </row>
    <row r="30" spans="1:33" s="100" customFormat="1" ht="21" hidden="1" customHeight="1">
      <c r="A30" s="322" t="s">
        <v>114</v>
      </c>
      <c r="B30" s="1384" t="s">
        <v>509</v>
      </c>
      <c r="C30" s="1259"/>
      <c r="D30" s="1259"/>
      <c r="E30" s="1259"/>
      <c r="F30" s="1259"/>
      <c r="G30" s="1259"/>
      <c r="H30" s="1259"/>
      <c r="I30" s="1259"/>
      <c r="J30" s="1259"/>
      <c r="K30" s="1259"/>
      <c r="L30" s="1259"/>
      <c r="M30" s="1259"/>
      <c r="N30" s="1259"/>
      <c r="O30" s="1259"/>
      <c r="P30" s="1385"/>
      <c r="Q30" s="878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45"/>
    </row>
    <row r="31" spans="1:33" s="100" customFormat="1" ht="21" hidden="1" customHeight="1">
      <c r="A31" s="322"/>
      <c r="B31" s="1384" t="s">
        <v>510</v>
      </c>
      <c r="C31" s="1386"/>
      <c r="D31" s="1386"/>
      <c r="E31" s="1386"/>
      <c r="F31" s="1386"/>
      <c r="G31" s="1386"/>
      <c r="H31" s="1386"/>
      <c r="I31" s="1386"/>
      <c r="J31" s="1386"/>
      <c r="K31" s="1386"/>
      <c r="L31" s="1386"/>
      <c r="M31" s="1386"/>
      <c r="N31" s="1386"/>
      <c r="O31" s="1386"/>
      <c r="P31" s="1387"/>
      <c r="Q31" s="878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45"/>
    </row>
    <row r="32" spans="1:33" s="100" customFormat="1" ht="21" hidden="1" customHeight="1">
      <c r="A32" s="322" t="s">
        <v>115</v>
      </c>
      <c r="B32" s="1293" t="s">
        <v>821</v>
      </c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905" t="s">
        <v>25</v>
      </c>
      <c r="N32" s="905"/>
      <c r="O32" s="905"/>
      <c r="P32" s="905"/>
      <c r="Q32" s="878"/>
      <c r="R32" s="1265"/>
      <c r="S32" s="1265"/>
      <c r="T32" s="1265"/>
      <c r="U32" s="1265"/>
      <c r="V32" s="1265"/>
      <c r="W32" s="1265"/>
      <c r="X32" s="1265"/>
      <c r="Y32" s="297"/>
      <c r="Z32" s="297"/>
      <c r="AA32" s="297"/>
      <c r="AB32" s="297"/>
      <c r="AC32" s="297"/>
      <c r="AD32" s="297"/>
      <c r="AE32" s="297"/>
      <c r="AF32" s="297"/>
      <c r="AG32" s="45"/>
    </row>
    <row r="33" spans="1:33" s="100" customFormat="1" ht="21" hidden="1" customHeight="1">
      <c r="A33" s="322" t="s">
        <v>116</v>
      </c>
      <c r="B33" s="1293" t="s">
        <v>117</v>
      </c>
      <c r="C33" s="1257"/>
      <c r="D33" s="1257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878"/>
      <c r="R33" s="1265"/>
      <c r="S33" s="1265"/>
      <c r="T33" s="1265"/>
      <c r="U33" s="297"/>
      <c r="V33" s="297"/>
      <c r="W33" s="297"/>
      <c r="X33" s="297"/>
      <c r="Y33" s="297"/>
      <c r="Z33" s="297"/>
      <c r="AA33" s="297"/>
      <c r="AB33" s="297"/>
      <c r="AC33" s="1269" t="s">
        <v>138</v>
      </c>
      <c r="AD33" s="1269"/>
      <c r="AE33" s="297"/>
      <c r="AF33" s="297"/>
      <c r="AG33" s="45"/>
    </row>
    <row r="34" spans="1:33" s="100" customFormat="1" ht="21" hidden="1" customHeight="1">
      <c r="A34" s="896"/>
      <c r="B34" s="896"/>
      <c r="C34" s="1374">
        <f>'설계기준(설계치12)'!C4</f>
        <v>4000</v>
      </c>
      <c r="D34" s="1374"/>
      <c r="E34" s="1375"/>
      <c r="F34" s="919" t="s">
        <v>41</v>
      </c>
      <c r="G34" s="897">
        <v>12</v>
      </c>
      <c r="H34" s="919" t="s">
        <v>30</v>
      </c>
      <c r="I34" s="1383">
        <f>C34*G34/24</f>
        <v>2000</v>
      </c>
      <c r="J34" s="1383"/>
      <c r="K34" s="621" t="s">
        <v>118</v>
      </c>
      <c r="L34" s="621"/>
      <c r="M34" s="621"/>
      <c r="N34" s="621"/>
      <c r="O34" s="621"/>
      <c r="P34" s="621"/>
      <c r="Q34" s="879"/>
      <c r="R34" s="297"/>
      <c r="S34" s="304"/>
      <c r="T34" s="304"/>
      <c r="U34" s="304"/>
      <c r="V34" s="301"/>
      <c r="W34" s="305"/>
      <c r="X34" s="301"/>
      <c r="Y34" s="1308"/>
      <c r="Z34" s="1308"/>
      <c r="AA34" s="297"/>
      <c r="AB34" s="297"/>
      <c r="AC34" s="307">
        <v>7</v>
      </c>
      <c r="AD34" s="297"/>
      <c r="AE34" s="297"/>
      <c r="AF34" s="297"/>
      <c r="AG34" s="45"/>
    </row>
    <row r="35" spans="1:33" s="100" customFormat="1" ht="21" hidden="1" customHeight="1">
      <c r="A35" s="322" t="s">
        <v>119</v>
      </c>
      <c r="B35" s="322"/>
      <c r="C35" s="905"/>
      <c r="D35" s="905"/>
      <c r="E35" s="905"/>
      <c r="F35" s="905"/>
      <c r="G35" s="905"/>
      <c r="H35" s="905"/>
      <c r="I35" s="905"/>
      <c r="J35" s="905"/>
      <c r="K35" s="905"/>
      <c r="L35" s="905"/>
      <c r="M35" s="905"/>
      <c r="N35" s="905"/>
      <c r="O35" s="905"/>
      <c r="P35" s="905"/>
      <c r="Q35" s="878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307">
        <v>28</v>
      </c>
      <c r="AD35" s="297"/>
      <c r="AE35" s="297"/>
      <c r="AF35" s="297"/>
      <c r="AG35" s="45"/>
    </row>
    <row r="36" spans="1:33" s="100" customFormat="1" ht="21" hidden="1" customHeight="1">
      <c r="A36" s="928" t="s">
        <v>120</v>
      </c>
      <c r="B36" s="322"/>
      <c r="C36" s="1260" t="s">
        <v>121</v>
      </c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905"/>
      <c r="Q36" s="878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307"/>
      <c r="AD36" s="297"/>
      <c r="AE36" s="297"/>
      <c r="AF36" s="297"/>
      <c r="AG36" s="45"/>
    </row>
    <row r="37" spans="1:33" s="100" customFormat="1" ht="21" hidden="1" customHeight="1">
      <c r="A37" s="928" t="s">
        <v>122</v>
      </c>
      <c r="B37" s="913" t="s">
        <v>106</v>
      </c>
      <c r="C37" s="309">
        <f>D23</f>
        <v>28.8</v>
      </c>
      <c r="D37" s="906" t="s">
        <v>36</v>
      </c>
      <c r="E37" s="906" t="s">
        <v>51</v>
      </c>
      <c r="F37" s="906" t="s">
        <v>108</v>
      </c>
      <c r="G37" s="309">
        <v>24</v>
      </c>
      <c r="H37" s="906" t="s">
        <v>36</v>
      </c>
      <c r="I37" s="906" t="s">
        <v>51</v>
      </c>
      <c r="J37" s="1260" t="s">
        <v>123</v>
      </c>
      <c r="K37" s="1260"/>
      <c r="L37" s="906" t="s">
        <v>124</v>
      </c>
      <c r="M37" s="309">
        <v>4.5</v>
      </c>
      <c r="N37" s="906" t="s">
        <v>36</v>
      </c>
      <c r="O37" s="906"/>
      <c r="P37" s="906"/>
      <c r="Q37" s="878"/>
      <c r="R37" s="310"/>
      <c r="S37" s="311"/>
      <c r="T37" s="299"/>
      <c r="U37" s="301"/>
      <c r="V37" s="310"/>
      <c r="W37" s="311"/>
      <c r="X37" s="299"/>
      <c r="Y37" s="301"/>
      <c r="Z37" s="1269"/>
      <c r="AA37" s="1269"/>
      <c r="AB37" s="310"/>
      <c r="AC37" s="307">
        <v>14</v>
      </c>
      <c r="AD37" s="299"/>
      <c r="AE37" s="301"/>
      <c r="AF37" s="297"/>
      <c r="AG37" s="45"/>
    </row>
    <row r="38" spans="1:33" s="100" customFormat="1" ht="21" hidden="1" customHeight="1">
      <c r="A38" s="928" t="s">
        <v>125</v>
      </c>
      <c r="B38" s="322"/>
      <c r="C38" s="905"/>
      <c r="D38" s="905"/>
      <c r="E38" s="905"/>
      <c r="F38" s="905"/>
      <c r="G38" s="905"/>
      <c r="H38" s="906">
        <v>2</v>
      </c>
      <c r="I38" s="906" t="s">
        <v>113</v>
      </c>
      <c r="J38" s="905"/>
      <c r="K38" s="905"/>
      <c r="L38" s="905"/>
      <c r="M38" s="905"/>
      <c r="N38" s="905"/>
      <c r="O38" s="905"/>
      <c r="P38" s="905"/>
      <c r="Q38" s="878"/>
      <c r="R38" s="297"/>
      <c r="S38" s="297"/>
      <c r="T38" s="297"/>
      <c r="U38" s="297"/>
      <c r="V38" s="297"/>
      <c r="W38" s="297"/>
      <c r="X38" s="301"/>
      <c r="Y38" s="297"/>
      <c r="Z38" s="297"/>
      <c r="AA38" s="297"/>
      <c r="AB38" s="297"/>
      <c r="AC38" s="312">
        <v>1.4</v>
      </c>
      <c r="AD38" s="297"/>
      <c r="AE38" s="297"/>
      <c r="AF38" s="297"/>
      <c r="AG38" s="45"/>
    </row>
    <row r="39" spans="1:33" s="100" customFormat="1" ht="21" hidden="1" customHeight="1">
      <c r="A39" s="928" t="s">
        <v>126</v>
      </c>
      <c r="B39" s="913" t="s">
        <v>127</v>
      </c>
      <c r="C39" s="906" t="s">
        <v>30</v>
      </c>
      <c r="D39" s="1272">
        <f>ROUND(C37*G37*M37,2)</f>
        <v>3110.4</v>
      </c>
      <c r="E39" s="1272"/>
      <c r="F39" s="1260" t="s">
        <v>128</v>
      </c>
      <c r="G39" s="1260"/>
      <c r="H39" s="906" t="s">
        <v>41</v>
      </c>
      <c r="I39" s="906">
        <f>H38</f>
        <v>2</v>
      </c>
      <c r="J39" s="905" t="str">
        <f>I38</f>
        <v>계열</v>
      </c>
      <c r="K39" s="906" t="s">
        <v>30</v>
      </c>
      <c r="L39" s="1291">
        <f>D39*I39</f>
        <v>6220.8</v>
      </c>
      <c r="M39" s="1291"/>
      <c r="N39" s="905"/>
      <c r="O39" s="905"/>
      <c r="P39" s="905"/>
      <c r="Q39" s="878"/>
      <c r="R39" s="301"/>
      <c r="S39" s="301"/>
      <c r="T39" s="1269"/>
      <c r="U39" s="1269"/>
      <c r="V39" s="1269"/>
      <c r="W39" s="1269"/>
      <c r="X39" s="301"/>
      <c r="Y39" s="301"/>
      <c r="Z39" s="297"/>
      <c r="AA39" s="301"/>
      <c r="AB39" s="1265"/>
      <c r="AC39" s="1265"/>
      <c r="AD39" s="297"/>
      <c r="AE39" s="297"/>
      <c r="AF39" s="297"/>
      <c r="AG39" s="45"/>
    </row>
    <row r="40" spans="1:33" s="100" customFormat="1" ht="21" hidden="1" customHeight="1">
      <c r="A40" s="322" t="s">
        <v>129</v>
      </c>
      <c r="B40" s="322"/>
      <c r="C40" s="905"/>
      <c r="D40" s="905"/>
      <c r="E40" s="905"/>
      <c r="F40" s="905"/>
      <c r="G40" s="905"/>
      <c r="H40" s="905"/>
      <c r="I40" s="905"/>
      <c r="J40" s="905"/>
      <c r="K40" s="905"/>
      <c r="L40" s="905"/>
      <c r="M40" s="905"/>
      <c r="N40" s="905"/>
      <c r="O40" s="905"/>
      <c r="P40" s="905"/>
      <c r="Q40" s="878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45"/>
    </row>
    <row r="41" spans="1:33" s="100" customFormat="1" ht="21" hidden="1" customHeight="1">
      <c r="A41" s="928" t="s">
        <v>130</v>
      </c>
      <c r="B41" s="1388">
        <f>L39</f>
        <v>6220.8</v>
      </c>
      <c r="C41" s="1291"/>
      <c r="D41" s="906" t="s">
        <v>52</v>
      </c>
      <c r="E41" s="1327">
        <f>C34</f>
        <v>4000</v>
      </c>
      <c r="F41" s="1327"/>
      <c r="G41" s="1328"/>
      <c r="H41" s="906" t="s">
        <v>51</v>
      </c>
      <c r="I41" s="1304">
        <v>24</v>
      </c>
      <c r="J41" s="1304"/>
      <c r="K41" s="906" t="s">
        <v>30</v>
      </c>
      <c r="L41" s="1332">
        <f>B41/E41*I41</f>
        <v>37.324800000000003</v>
      </c>
      <c r="M41" s="1332"/>
      <c r="N41" s="905"/>
      <c r="O41" s="905"/>
      <c r="P41" s="905"/>
      <c r="Q41" s="878"/>
      <c r="R41" s="1269"/>
      <c r="S41" s="1269"/>
      <c r="T41" s="301"/>
      <c r="U41" s="1298"/>
      <c r="V41" s="1298"/>
      <c r="W41" s="1298"/>
      <c r="X41" s="301"/>
      <c r="Y41" s="1299"/>
      <c r="Z41" s="1299"/>
      <c r="AA41" s="301"/>
      <c r="AB41" s="1307"/>
      <c r="AC41" s="1307"/>
      <c r="AD41" s="297"/>
      <c r="AE41" s="297"/>
      <c r="AF41" s="297"/>
      <c r="AG41" s="45"/>
    </row>
    <row r="42" spans="1:33" s="100" customFormat="1" ht="21" hidden="1" customHeight="1">
      <c r="A42" s="928"/>
      <c r="B42" s="926"/>
      <c r="C42" s="914"/>
      <c r="D42" s="906"/>
      <c r="E42" s="920"/>
      <c r="F42" s="920"/>
      <c r="G42" s="921"/>
      <c r="H42" s="906"/>
      <c r="I42" s="923"/>
      <c r="J42" s="923"/>
      <c r="K42" s="906"/>
      <c r="L42" s="925"/>
      <c r="M42" s="925"/>
      <c r="N42" s="905"/>
      <c r="O42" s="905"/>
      <c r="P42" s="905"/>
      <c r="Q42" s="878"/>
      <c r="R42" s="301"/>
      <c r="S42" s="301"/>
      <c r="T42" s="301"/>
      <c r="U42" s="314"/>
      <c r="V42" s="314"/>
      <c r="W42" s="314"/>
      <c r="X42" s="301"/>
      <c r="Y42" s="315"/>
      <c r="Z42" s="315"/>
      <c r="AA42" s="301"/>
      <c r="AB42" s="316"/>
      <c r="AC42" s="316"/>
      <c r="AD42" s="297"/>
      <c r="AE42" s="297"/>
      <c r="AF42" s="297"/>
      <c r="AG42" s="45"/>
    </row>
    <row r="43" spans="1:33" s="100" customFormat="1" ht="21" hidden="1" customHeight="1">
      <c r="A43" s="854" t="s">
        <v>834</v>
      </c>
      <c r="B43" s="322"/>
      <c r="C43" s="905"/>
      <c r="D43" s="905"/>
      <c r="E43" s="905"/>
      <c r="F43" s="905"/>
      <c r="G43" s="905"/>
      <c r="H43" s="905"/>
      <c r="I43" s="905"/>
      <c r="J43" s="905"/>
      <c r="K43" s="905"/>
      <c r="L43" s="905"/>
      <c r="M43" s="905"/>
      <c r="N43" s="905"/>
      <c r="O43" s="905"/>
      <c r="P43" s="905"/>
      <c r="Q43" s="878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45"/>
    </row>
    <row r="44" spans="1:33" s="100" customFormat="1" ht="21" hidden="1" customHeight="1">
      <c r="A44" s="322" t="s">
        <v>114</v>
      </c>
      <c r="B44" s="916" t="s">
        <v>511</v>
      </c>
      <c r="C44" s="904"/>
      <c r="D44" s="904"/>
      <c r="E44" s="904"/>
      <c r="F44" s="904"/>
      <c r="G44" s="904"/>
      <c r="H44" s="904"/>
      <c r="I44" s="904"/>
      <c r="J44" s="904"/>
      <c r="K44" s="904"/>
      <c r="L44" s="904"/>
      <c r="M44" s="904"/>
      <c r="N44" s="904"/>
      <c r="O44" s="904"/>
      <c r="P44" s="904"/>
      <c r="Q44" s="878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45"/>
    </row>
    <row r="45" spans="1:33" s="100" customFormat="1" ht="21" hidden="1" customHeight="1">
      <c r="A45" s="322"/>
      <c r="B45" s="916" t="s">
        <v>512</v>
      </c>
      <c r="C45" s="904"/>
      <c r="D45" s="904"/>
      <c r="E45" s="904"/>
      <c r="F45" s="904"/>
      <c r="G45" s="904"/>
      <c r="H45" s="904"/>
      <c r="I45" s="904"/>
      <c r="J45" s="904"/>
      <c r="K45" s="904"/>
      <c r="L45" s="904"/>
      <c r="M45" s="904"/>
      <c r="N45" s="904"/>
      <c r="O45" s="904"/>
      <c r="P45" s="904"/>
      <c r="Q45" s="878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45"/>
    </row>
    <row r="46" spans="1:33" s="100" customFormat="1" ht="21" hidden="1" customHeight="1">
      <c r="A46" s="322" t="s">
        <v>115</v>
      </c>
      <c r="B46" s="322" t="s">
        <v>828</v>
      </c>
      <c r="C46" s="905"/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878"/>
      <c r="R46" s="1265"/>
      <c r="S46" s="1265"/>
      <c r="T46" s="1265"/>
      <c r="U46" s="1265"/>
      <c r="V46" s="1265"/>
      <c r="W46" s="1265"/>
      <c r="X46" s="1265"/>
      <c r="Y46" s="297"/>
      <c r="Z46" s="297"/>
      <c r="AA46" s="297"/>
      <c r="AB46" s="297"/>
      <c r="AC46" s="297"/>
      <c r="AD46" s="297"/>
      <c r="AE46" s="297"/>
      <c r="AF46" s="297"/>
      <c r="AG46" s="45"/>
    </row>
    <row r="47" spans="1:33" s="100" customFormat="1" ht="21" hidden="1" customHeight="1">
      <c r="A47" s="322" t="s">
        <v>116</v>
      </c>
      <c r="B47" s="1293" t="s">
        <v>117</v>
      </c>
      <c r="C47" s="1257"/>
      <c r="D47" s="1257"/>
      <c r="E47" s="905"/>
      <c r="F47" s="905"/>
      <c r="G47" s="905"/>
      <c r="H47" s="905"/>
      <c r="I47" s="905"/>
      <c r="J47" s="905"/>
      <c r="K47" s="905"/>
      <c r="L47" s="905"/>
      <c r="M47" s="905"/>
      <c r="N47" s="905"/>
      <c r="O47" s="905"/>
      <c r="P47" s="905"/>
      <c r="Q47" s="878"/>
      <c r="R47" s="1265"/>
      <c r="S47" s="1265"/>
      <c r="T47" s="1265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45"/>
    </row>
    <row r="48" spans="1:33" s="100" customFormat="1" ht="21" hidden="1" customHeight="1">
      <c r="A48" s="739"/>
      <c r="B48" s="905"/>
      <c r="C48" s="1376">
        <f>'설계기준(설계치12)'!C4</f>
        <v>4000</v>
      </c>
      <c r="D48" s="1376"/>
      <c r="E48" s="1377"/>
      <c r="F48" s="906" t="s">
        <v>51</v>
      </c>
      <c r="G48" s="682">
        <v>3</v>
      </c>
      <c r="H48" s="906" t="s">
        <v>30</v>
      </c>
      <c r="I48" s="1291">
        <f>C48*G48/100</f>
        <v>120</v>
      </c>
      <c r="J48" s="1291"/>
      <c r="K48" s="905" t="s">
        <v>118</v>
      </c>
      <c r="L48" s="905"/>
      <c r="M48" s="905"/>
      <c r="N48" s="905"/>
      <c r="O48" s="905"/>
      <c r="P48" s="905"/>
      <c r="Q48" s="878"/>
      <c r="R48" s="297"/>
      <c r="S48" s="1315"/>
      <c r="T48" s="1315"/>
      <c r="U48" s="1315"/>
      <c r="V48" s="301"/>
      <c r="W48" s="305"/>
      <c r="X48" s="301"/>
      <c r="Y48" s="1308"/>
      <c r="Z48" s="1308"/>
      <c r="AA48" s="297"/>
      <c r="AB48" s="297"/>
      <c r="AC48" s="297"/>
      <c r="AD48" s="297"/>
      <c r="AE48" s="297"/>
      <c r="AF48" s="297"/>
      <c r="AG48" s="45"/>
    </row>
    <row r="49" spans="1:35" s="100" customFormat="1" ht="21" hidden="1" customHeight="1">
      <c r="A49" s="739" t="s">
        <v>119</v>
      </c>
      <c r="B49" s="905"/>
      <c r="C49" s="905"/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878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45"/>
    </row>
    <row r="50" spans="1:35" s="100" customFormat="1" ht="21" hidden="1" customHeight="1">
      <c r="A50" s="931" t="s">
        <v>120</v>
      </c>
      <c r="B50" s="322"/>
      <c r="C50" s="1260" t="s">
        <v>121</v>
      </c>
      <c r="D50" s="1260"/>
      <c r="E50" s="905"/>
      <c r="F50" s="905"/>
      <c r="G50" s="905"/>
      <c r="H50" s="905"/>
      <c r="I50" s="905"/>
      <c r="J50" s="905"/>
      <c r="K50" s="905"/>
      <c r="L50" s="905"/>
      <c r="M50" s="905"/>
      <c r="N50" s="905"/>
      <c r="O50" s="905"/>
      <c r="P50" s="905"/>
      <c r="Q50" s="878"/>
      <c r="R50" s="1269"/>
      <c r="S50" s="1269"/>
      <c r="T50" s="1269"/>
      <c r="U50" s="1269"/>
      <c r="V50" s="1269"/>
      <c r="W50" s="1269"/>
      <c r="X50" s="1269"/>
      <c r="Y50" s="1269"/>
      <c r="Z50" s="1269"/>
      <c r="AA50" s="1269"/>
      <c r="AB50" s="1269"/>
      <c r="AC50" s="1269"/>
      <c r="AD50" s="1269"/>
      <c r="AE50" s="1269"/>
      <c r="AF50" s="1269"/>
      <c r="AG50" s="45"/>
    </row>
    <row r="51" spans="1:35" s="100" customFormat="1" ht="21" hidden="1" customHeight="1">
      <c r="A51" s="931" t="s">
        <v>122</v>
      </c>
      <c r="B51" s="906" t="s">
        <v>106</v>
      </c>
      <c r="C51" s="309">
        <v>4.2</v>
      </c>
      <c r="D51" s="906" t="s">
        <v>36</v>
      </c>
      <c r="E51" s="906" t="s">
        <v>51</v>
      </c>
      <c r="F51" s="906" t="s">
        <v>108</v>
      </c>
      <c r="G51" s="309">
        <v>5</v>
      </c>
      <c r="H51" s="906" t="s">
        <v>36</v>
      </c>
      <c r="I51" s="906" t="s">
        <v>51</v>
      </c>
      <c r="J51" s="1260" t="s">
        <v>123</v>
      </c>
      <c r="K51" s="1260"/>
      <c r="L51" s="906" t="s">
        <v>124</v>
      </c>
      <c r="M51" s="309">
        <v>4.5</v>
      </c>
      <c r="N51" s="906" t="s">
        <v>36</v>
      </c>
      <c r="O51" s="906"/>
      <c r="P51" s="905"/>
      <c r="Q51" s="878"/>
      <c r="R51" s="310"/>
      <c r="S51" s="311"/>
      <c r="T51" s="299"/>
      <c r="U51" s="301"/>
      <c r="V51" s="310"/>
      <c r="W51" s="311"/>
      <c r="X51" s="299"/>
      <c r="Y51" s="301"/>
      <c r="Z51" s="1269"/>
      <c r="AA51" s="1269"/>
      <c r="AB51" s="310"/>
      <c r="AC51" s="301"/>
      <c r="AD51" s="299"/>
      <c r="AE51" s="301"/>
      <c r="AF51" s="297"/>
      <c r="AG51" s="45"/>
    </row>
    <row r="52" spans="1:35" s="100" customFormat="1" ht="21" hidden="1" customHeight="1">
      <c r="A52" s="931" t="s">
        <v>131</v>
      </c>
      <c r="B52" s="905"/>
      <c r="C52" s="905"/>
      <c r="D52" s="905"/>
      <c r="E52" s="905"/>
      <c r="F52" s="906"/>
      <c r="G52" s="906"/>
      <c r="H52" s="906">
        <v>4</v>
      </c>
      <c r="I52" s="906" t="s">
        <v>113</v>
      </c>
      <c r="J52" s="905"/>
      <c r="K52" s="905"/>
      <c r="L52" s="905"/>
      <c r="M52" s="905"/>
      <c r="N52" s="905"/>
      <c r="O52" s="905"/>
      <c r="P52" s="905"/>
      <c r="Q52" s="878"/>
      <c r="R52" s="297"/>
      <c r="S52" s="297"/>
      <c r="T52" s="297"/>
      <c r="U52" s="297"/>
      <c r="V52" s="297"/>
      <c r="W52" s="297"/>
      <c r="X52" s="301"/>
      <c r="Y52" s="297"/>
      <c r="Z52" s="297"/>
      <c r="AA52" s="297"/>
      <c r="AB52" s="297"/>
      <c r="AC52" s="297"/>
      <c r="AD52" s="297"/>
      <c r="AE52" s="297"/>
      <c r="AF52" s="297"/>
      <c r="AG52" s="45"/>
    </row>
    <row r="53" spans="1:35" s="100" customFormat="1" ht="21" hidden="1" customHeight="1">
      <c r="A53" s="931" t="s">
        <v>126</v>
      </c>
      <c r="B53" s="906" t="s">
        <v>127</v>
      </c>
      <c r="C53" s="906" t="s">
        <v>30</v>
      </c>
      <c r="D53" s="1272">
        <f>ROUND(C51*G51*M51,2)</f>
        <v>94.5</v>
      </c>
      <c r="E53" s="1272"/>
      <c r="F53" s="1260" t="s">
        <v>128</v>
      </c>
      <c r="G53" s="1260"/>
      <c r="H53" s="906" t="s">
        <v>51</v>
      </c>
      <c r="I53" s="906">
        <f>H52</f>
        <v>4</v>
      </c>
      <c r="J53" s="906" t="str">
        <f>I52</f>
        <v>계열</v>
      </c>
      <c r="K53" s="906" t="s">
        <v>30</v>
      </c>
      <c r="L53" s="1291">
        <f>D53*I53</f>
        <v>378</v>
      </c>
      <c r="M53" s="1291"/>
      <c r="N53" s="905"/>
      <c r="O53" s="905"/>
      <c r="P53" s="905"/>
      <c r="Q53" s="878"/>
      <c r="R53" s="301"/>
      <c r="S53" s="301"/>
      <c r="T53" s="1269"/>
      <c r="U53" s="1269"/>
      <c r="V53" s="1269"/>
      <c r="W53" s="1269"/>
      <c r="X53" s="301"/>
      <c r="Y53" s="301"/>
      <c r="Z53" s="297"/>
      <c r="AA53" s="301"/>
      <c r="AB53" s="1265"/>
      <c r="AC53" s="1265"/>
      <c r="AD53" s="297"/>
      <c r="AE53" s="297"/>
      <c r="AF53" s="297"/>
      <c r="AG53" s="45"/>
    </row>
    <row r="54" spans="1:35" s="100" customFormat="1" ht="21" hidden="1" customHeight="1">
      <c r="A54" s="739" t="s">
        <v>129</v>
      </c>
      <c r="B54" s="905"/>
      <c r="C54" s="905"/>
      <c r="D54" s="905"/>
      <c r="E54" s="905"/>
      <c r="F54" s="905"/>
      <c r="G54" s="905"/>
      <c r="H54" s="905"/>
      <c r="I54" s="905"/>
      <c r="J54" s="905"/>
      <c r="K54" s="905"/>
      <c r="L54" s="905"/>
      <c r="M54" s="905"/>
      <c r="N54" s="905"/>
      <c r="O54" s="905"/>
      <c r="P54" s="905"/>
      <c r="Q54" s="878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45"/>
    </row>
    <row r="55" spans="1:35" s="100" customFormat="1" ht="21" hidden="1" customHeight="1">
      <c r="A55" s="931" t="s">
        <v>130</v>
      </c>
      <c r="B55" s="1291">
        <f>L53</f>
        <v>378</v>
      </c>
      <c r="C55" s="1291"/>
      <c r="D55" s="906" t="s">
        <v>52</v>
      </c>
      <c r="E55" s="1327">
        <f>'설계기준(설계치12)'!C4</f>
        <v>4000</v>
      </c>
      <c r="F55" s="1327"/>
      <c r="G55" s="1328"/>
      <c r="H55" s="906" t="s">
        <v>51</v>
      </c>
      <c r="I55" s="1304">
        <v>24</v>
      </c>
      <c r="J55" s="1304"/>
      <c r="K55" s="906" t="s">
        <v>30</v>
      </c>
      <c r="L55" s="1332">
        <f>B55/E55*I55</f>
        <v>2.2679999999999998</v>
      </c>
      <c r="M55" s="1332"/>
      <c r="N55" s="905"/>
      <c r="O55" s="905"/>
      <c r="P55" s="905"/>
      <c r="Q55" s="878"/>
      <c r="R55" s="1269"/>
      <c r="S55" s="1269"/>
      <c r="T55" s="301"/>
      <c r="U55" s="1298"/>
      <c r="V55" s="1298"/>
      <c r="W55" s="1298"/>
      <c r="X55" s="301"/>
      <c r="Y55" s="1299"/>
      <c r="Z55" s="1299"/>
      <c r="AA55" s="301"/>
      <c r="AB55" s="1307"/>
      <c r="AC55" s="1307"/>
      <c r="AD55" s="297"/>
      <c r="AE55" s="297"/>
      <c r="AF55" s="297"/>
      <c r="AG55" s="45"/>
    </row>
    <row r="56" spans="1:35" s="100" customFormat="1" ht="21" hidden="1" customHeight="1">
      <c r="A56" s="739" t="s">
        <v>132</v>
      </c>
      <c r="B56" s="905"/>
      <c r="C56" s="905"/>
      <c r="D56" s="905"/>
      <c r="E56" s="905"/>
      <c r="F56" s="905"/>
      <c r="G56" s="905"/>
      <c r="H56" s="905"/>
      <c r="I56" s="905"/>
      <c r="J56" s="905"/>
      <c r="K56" s="905"/>
      <c r="L56" s="905"/>
      <c r="M56" s="905"/>
      <c r="N56" s="905"/>
      <c r="O56" s="905"/>
      <c r="P56" s="905"/>
      <c r="Q56" s="878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45"/>
    </row>
    <row r="57" spans="1:35" s="100" customFormat="1" ht="21" hidden="1" customHeight="1">
      <c r="A57" s="931" t="s">
        <v>835</v>
      </c>
      <c r="B57" s="905"/>
      <c r="C57" s="905"/>
      <c r="D57" s="905"/>
      <c r="E57" s="906" t="s">
        <v>226</v>
      </c>
      <c r="F57" s="906" t="e">
        <f>#REF!</f>
        <v>#REF!</v>
      </c>
      <c r="G57" s="906" t="s">
        <v>51</v>
      </c>
      <c r="H57" s="1278" t="e">
        <f>#REF!</f>
        <v>#REF!</v>
      </c>
      <c r="I57" s="1278"/>
      <c r="J57" s="906" t="s">
        <v>124</v>
      </c>
      <c r="K57" s="906" t="s">
        <v>51</v>
      </c>
      <c r="L57" s="906" t="e">
        <f>#REF!</f>
        <v>#REF!</v>
      </c>
      <c r="M57" s="906" t="s">
        <v>99</v>
      </c>
      <c r="N57" s="905"/>
      <c r="O57" s="905"/>
      <c r="P57" s="905"/>
      <c r="Q57" s="878"/>
      <c r="R57" s="297"/>
      <c r="S57" s="297"/>
      <c r="T57" s="297"/>
      <c r="U57" s="310"/>
      <c r="V57" s="299"/>
      <c r="W57" s="301"/>
      <c r="X57" s="1314"/>
      <c r="Y57" s="1314"/>
      <c r="Z57" s="297"/>
      <c r="AA57" s="301"/>
      <c r="AB57" s="301"/>
      <c r="AC57" s="297"/>
      <c r="AD57" s="297"/>
      <c r="AE57" s="297"/>
      <c r="AF57" s="297"/>
      <c r="AG57" s="45"/>
    </row>
    <row r="58" spans="1:35" s="100" customFormat="1" ht="21" hidden="1" customHeight="1">
      <c r="A58" s="928"/>
      <c r="B58" s="322"/>
      <c r="C58" s="905"/>
      <c r="D58" s="905"/>
      <c r="E58" s="906"/>
      <c r="F58" s="906"/>
      <c r="G58" s="906"/>
      <c r="H58" s="911"/>
      <c r="I58" s="911"/>
      <c r="J58" s="906"/>
      <c r="K58" s="906"/>
      <c r="L58" s="906"/>
      <c r="M58" s="906"/>
      <c r="N58" s="905"/>
      <c r="O58" s="905"/>
      <c r="P58" s="905"/>
      <c r="Q58" s="878"/>
      <c r="R58" s="297"/>
      <c r="S58" s="297"/>
      <c r="T58" s="297"/>
      <c r="U58" s="310"/>
      <c r="V58" s="299"/>
      <c r="W58" s="301"/>
      <c r="X58" s="319"/>
      <c r="Y58" s="319"/>
      <c r="Z58" s="297"/>
      <c r="AA58" s="301"/>
      <c r="AB58" s="301"/>
      <c r="AC58" s="297"/>
      <c r="AD58" s="297"/>
      <c r="AE58" s="297"/>
      <c r="AF58" s="297"/>
      <c r="AG58" s="45"/>
    </row>
    <row r="59" spans="1:35" s="100" customFormat="1" ht="21" customHeight="1">
      <c r="A59" s="939" t="s">
        <v>836</v>
      </c>
      <c r="B59" s="939"/>
      <c r="C59" s="940"/>
      <c r="D59" s="940"/>
      <c r="E59" s="940"/>
      <c r="F59" s="940"/>
      <c r="G59" s="940"/>
      <c r="H59" s="905"/>
      <c r="I59" s="905"/>
      <c r="J59" s="905"/>
      <c r="K59" s="905"/>
      <c r="L59" s="905"/>
      <c r="M59" s="905"/>
      <c r="N59" s="905"/>
      <c r="O59" s="905"/>
      <c r="P59" s="905"/>
      <c r="Q59" s="878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45"/>
    </row>
    <row r="60" spans="1:35" s="100" customFormat="1" ht="21" hidden="1" customHeight="1">
      <c r="A60" s="854" t="s">
        <v>133</v>
      </c>
      <c r="B60" s="322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878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45"/>
    </row>
    <row r="61" spans="1:35" s="100" customFormat="1" ht="21" hidden="1" customHeight="1">
      <c r="A61" s="739" t="s">
        <v>114</v>
      </c>
      <c r="B61" s="322" t="s">
        <v>134</v>
      </c>
      <c r="C61" s="905"/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878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45"/>
      <c r="AH61" s="46"/>
      <c r="AI61" s="46"/>
    </row>
    <row r="62" spans="1:35" s="100" customFormat="1" ht="21" hidden="1" customHeight="1">
      <c r="A62" s="739" t="s">
        <v>115</v>
      </c>
      <c r="B62" s="916" t="s">
        <v>513</v>
      </c>
      <c r="C62" s="904"/>
      <c r="D62" s="904"/>
      <c r="E62" s="904"/>
      <c r="F62" s="904"/>
      <c r="G62" s="904"/>
      <c r="H62" s="904"/>
      <c r="I62" s="904"/>
      <c r="J62" s="904"/>
      <c r="K62" s="904"/>
      <c r="L62" s="904"/>
      <c r="M62" s="904"/>
      <c r="N62" s="904"/>
      <c r="O62" s="904"/>
      <c r="P62" s="904"/>
      <c r="Q62" s="878"/>
      <c r="R62" s="299"/>
      <c r="S62" s="299"/>
      <c r="T62" s="299"/>
      <c r="U62" s="299"/>
      <c r="V62" s="299"/>
      <c r="W62" s="299"/>
      <c r="X62" s="299"/>
      <c r="Y62" s="297"/>
      <c r="Z62" s="297"/>
      <c r="AA62" s="297"/>
      <c r="AB62" s="297"/>
      <c r="AC62" s="297"/>
      <c r="AD62" s="297"/>
      <c r="AE62" s="297"/>
      <c r="AF62" s="297"/>
      <c r="AG62" s="45"/>
      <c r="AH62" s="19"/>
      <c r="AI62" s="19"/>
    </row>
    <row r="63" spans="1:35" s="100" customFormat="1" ht="21" hidden="1" customHeight="1">
      <c r="A63" s="739"/>
      <c r="B63" s="916" t="s">
        <v>514</v>
      </c>
      <c r="C63" s="904"/>
      <c r="D63" s="904"/>
      <c r="E63" s="904"/>
      <c r="F63" s="904"/>
      <c r="G63" s="904"/>
      <c r="H63" s="904"/>
      <c r="I63" s="904"/>
      <c r="J63" s="904"/>
      <c r="K63" s="904"/>
      <c r="L63" s="904"/>
      <c r="M63" s="904"/>
      <c r="N63" s="904"/>
      <c r="O63" s="904"/>
      <c r="P63" s="904"/>
      <c r="Q63" s="878"/>
      <c r="R63" s="299"/>
      <c r="S63" s="299"/>
      <c r="T63" s="299"/>
      <c r="U63" s="299"/>
      <c r="V63" s="299"/>
      <c r="W63" s="299"/>
      <c r="X63" s="299"/>
      <c r="Y63" s="297"/>
      <c r="Z63" s="297"/>
      <c r="AA63" s="297"/>
      <c r="AB63" s="297"/>
      <c r="AC63" s="297"/>
      <c r="AD63" s="297"/>
      <c r="AE63" s="297"/>
      <c r="AF63" s="297"/>
      <c r="AG63" s="45"/>
      <c r="AH63" s="19"/>
      <c r="AI63" s="19"/>
    </row>
    <row r="64" spans="1:35" s="100" customFormat="1" ht="21" hidden="1" customHeight="1">
      <c r="A64" s="739"/>
      <c r="B64" s="934" t="s">
        <v>146</v>
      </c>
      <c r="C64" s="935"/>
      <c r="D64" s="935"/>
      <c r="E64" s="935"/>
      <c r="F64" s="935"/>
      <c r="G64" s="935"/>
      <c r="H64" s="935"/>
      <c r="I64" s="935"/>
      <c r="J64" s="935"/>
      <c r="K64" s="935"/>
      <c r="L64" s="935"/>
      <c r="M64" s="935"/>
      <c r="N64" s="935"/>
      <c r="O64" s="935"/>
      <c r="P64" s="935"/>
      <c r="Q64" s="878"/>
      <c r="R64" s="297"/>
      <c r="S64" s="317"/>
      <c r="T64" s="317"/>
      <c r="U64" s="317"/>
      <c r="V64" s="301"/>
      <c r="W64" s="305"/>
      <c r="X64" s="301"/>
      <c r="Y64" s="306"/>
      <c r="Z64" s="306"/>
      <c r="AA64" s="297"/>
      <c r="AB64" s="297"/>
      <c r="AC64" s="297"/>
      <c r="AD64" s="297"/>
      <c r="AE64" s="297"/>
      <c r="AF64" s="297"/>
      <c r="AG64" s="45"/>
      <c r="AH64" s="19"/>
      <c r="AI64" s="19"/>
    </row>
    <row r="65" spans="1:35" s="100" customFormat="1" ht="21" hidden="1" customHeight="1">
      <c r="A65" s="739" t="s">
        <v>299</v>
      </c>
      <c r="B65" s="1257" t="s">
        <v>300</v>
      </c>
      <c r="C65" s="1257"/>
      <c r="D65" s="1257"/>
      <c r="E65" s="905"/>
      <c r="F65" s="905"/>
      <c r="G65" s="905"/>
      <c r="H65" s="905"/>
      <c r="I65" s="905"/>
      <c r="J65" s="905"/>
      <c r="K65" s="905"/>
      <c r="L65" s="905"/>
      <c r="M65" s="905"/>
      <c r="N65" s="905"/>
      <c r="O65" s="905"/>
      <c r="P65" s="905"/>
      <c r="Q65" s="878"/>
      <c r="R65" s="1265"/>
      <c r="S65" s="1265"/>
      <c r="T65" s="1265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45"/>
      <c r="AI65" s="45"/>
    </row>
    <row r="66" spans="1:35" s="100" customFormat="1" ht="21" hidden="1" customHeight="1">
      <c r="A66" s="739"/>
      <c r="B66" s="905"/>
      <c r="C66" s="1370">
        <f>'설계기준(설계치12)'!H4</f>
        <v>166.66666666666666</v>
      </c>
      <c r="D66" s="1370"/>
      <c r="E66" s="1370"/>
      <c r="F66" s="906" t="s">
        <v>51</v>
      </c>
      <c r="G66" s="397">
        <v>1</v>
      </c>
      <c r="H66" s="906" t="s">
        <v>301</v>
      </c>
      <c r="I66" s="906" t="s">
        <v>298</v>
      </c>
      <c r="J66" s="1330">
        <f>C66*G66</f>
        <v>166.66666666666666</v>
      </c>
      <c r="K66" s="1260"/>
      <c r="L66" s="906" t="s">
        <v>302</v>
      </c>
      <c r="M66" s="906"/>
      <c r="N66" s="905"/>
      <c r="O66" s="905"/>
      <c r="P66" s="905"/>
      <c r="Q66" s="878"/>
      <c r="R66" s="297"/>
      <c r="S66" s="1313"/>
      <c r="T66" s="1313"/>
      <c r="U66" s="1295"/>
      <c r="V66" s="1310"/>
      <c r="W66" s="1310"/>
      <c r="X66" s="301"/>
      <c r="Y66" s="1308"/>
      <c r="Z66" s="1295"/>
      <c r="AA66" s="297"/>
      <c r="AB66" s="297"/>
      <c r="AC66" s="297"/>
      <c r="AD66" s="297"/>
      <c r="AE66" s="297"/>
      <c r="AF66" s="297"/>
      <c r="AG66" s="45"/>
    </row>
    <row r="67" spans="1:35" s="100" customFormat="1" ht="21" hidden="1" customHeight="1">
      <c r="A67" s="855"/>
      <c r="B67" s="621"/>
      <c r="C67" s="827"/>
      <c r="D67" s="827"/>
      <c r="E67" s="827"/>
      <c r="F67" s="919"/>
      <c r="G67" s="828"/>
      <c r="H67" s="919"/>
      <c r="I67" s="919"/>
      <c r="J67" s="829"/>
      <c r="K67" s="919"/>
      <c r="L67" s="919"/>
      <c r="M67" s="919"/>
      <c r="N67" s="621"/>
      <c r="O67" s="621"/>
      <c r="P67" s="621"/>
      <c r="Q67" s="879"/>
      <c r="R67" s="817"/>
      <c r="S67" s="820"/>
      <c r="T67" s="820"/>
      <c r="U67" s="817"/>
      <c r="V67" s="822"/>
      <c r="W67" s="822"/>
      <c r="X67" s="812"/>
      <c r="Y67" s="821"/>
      <c r="Z67" s="817"/>
      <c r="AA67" s="817"/>
      <c r="AB67" s="817"/>
      <c r="AC67" s="817"/>
      <c r="AD67" s="817"/>
      <c r="AE67" s="817"/>
      <c r="AF67" s="817"/>
      <c r="AG67" s="45"/>
    </row>
    <row r="68" spans="1:35" s="100" customFormat="1" ht="21" hidden="1" customHeight="1">
      <c r="A68" s="856" t="s">
        <v>303</v>
      </c>
      <c r="B68" s="830"/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  <c r="P68" s="830"/>
      <c r="Q68" s="880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45"/>
    </row>
    <row r="69" spans="1:35" s="100" customFormat="1" ht="21" hidden="1" customHeight="1">
      <c r="A69" s="931" t="s">
        <v>304</v>
      </c>
      <c r="B69" s="322"/>
      <c r="C69" s="1260" t="s">
        <v>121</v>
      </c>
      <c r="D69" s="1260"/>
      <c r="E69" s="905"/>
      <c r="F69" s="905"/>
      <c r="G69" s="905"/>
      <c r="H69" s="905"/>
      <c r="I69" s="905"/>
      <c r="J69" s="905"/>
      <c r="K69" s="905"/>
      <c r="L69" s="905"/>
      <c r="M69" s="905"/>
      <c r="N69" s="905"/>
      <c r="O69" s="905"/>
      <c r="P69" s="905"/>
      <c r="Q69" s="878"/>
      <c r="R69" s="1269"/>
      <c r="S69" s="1269"/>
      <c r="T69" s="1269"/>
      <c r="U69" s="1269"/>
      <c r="V69" s="1269"/>
      <c r="W69" s="1269"/>
      <c r="X69" s="1269"/>
      <c r="Y69" s="1269"/>
      <c r="Z69" s="1269"/>
      <c r="AA69" s="1269"/>
      <c r="AB69" s="1269"/>
      <c r="AC69" s="1269"/>
      <c r="AD69" s="1269"/>
      <c r="AE69" s="1269"/>
      <c r="AF69" s="1269"/>
      <c r="AG69" s="45"/>
    </row>
    <row r="70" spans="1:35" s="100" customFormat="1" ht="21" hidden="1" customHeight="1">
      <c r="A70" s="931" t="s">
        <v>306</v>
      </c>
      <c r="B70" s="906" t="s">
        <v>307</v>
      </c>
      <c r="C70" s="309">
        <v>5.8</v>
      </c>
      <c r="D70" s="906" t="s">
        <v>308</v>
      </c>
      <c r="E70" s="906" t="s">
        <v>51</v>
      </c>
      <c r="F70" s="906" t="s">
        <v>309</v>
      </c>
      <c r="G70" s="309">
        <v>5</v>
      </c>
      <c r="H70" s="906" t="s">
        <v>308</v>
      </c>
      <c r="I70" s="906" t="s">
        <v>51</v>
      </c>
      <c r="J70" s="1260" t="s">
        <v>310</v>
      </c>
      <c r="K70" s="1260"/>
      <c r="L70" s="906" t="s">
        <v>311</v>
      </c>
      <c r="M70" s="309">
        <v>4.5</v>
      </c>
      <c r="N70" s="906" t="s">
        <v>308</v>
      </c>
      <c r="O70" s="906"/>
      <c r="P70" s="905"/>
      <c r="Q70" s="878"/>
      <c r="R70" s="310"/>
      <c r="S70" s="311"/>
      <c r="T70" s="299"/>
      <c r="U70" s="301"/>
      <c r="V70" s="310"/>
      <c r="W70" s="311"/>
      <c r="X70" s="299"/>
      <c r="Y70" s="301"/>
      <c r="Z70" s="1269"/>
      <c r="AA70" s="1269"/>
      <c r="AB70" s="310"/>
      <c r="AC70" s="301"/>
      <c r="AD70" s="299"/>
      <c r="AE70" s="301"/>
      <c r="AF70" s="297"/>
      <c r="AG70" s="45"/>
    </row>
    <row r="71" spans="1:35" s="100" customFormat="1" ht="21" hidden="1" customHeight="1">
      <c r="A71" s="931" t="s">
        <v>312</v>
      </c>
      <c r="B71" s="905"/>
      <c r="C71" s="905"/>
      <c r="D71" s="905"/>
      <c r="E71" s="905"/>
      <c r="F71" s="905"/>
      <c r="G71" s="905"/>
      <c r="H71" s="906">
        <v>4</v>
      </c>
      <c r="I71" s="905" t="s">
        <v>313</v>
      </c>
      <c r="J71" s="905"/>
      <c r="K71" s="905"/>
      <c r="L71" s="905"/>
      <c r="M71" s="905"/>
      <c r="N71" s="905"/>
      <c r="O71" s="905"/>
      <c r="P71" s="905"/>
      <c r="Q71" s="878"/>
      <c r="R71" s="297"/>
      <c r="S71" s="297"/>
      <c r="T71" s="297"/>
      <c r="U71" s="297"/>
      <c r="V71" s="297"/>
      <c r="W71" s="297"/>
      <c r="X71" s="301"/>
      <c r="Y71" s="297"/>
      <c r="Z71" s="297"/>
      <c r="AA71" s="297"/>
      <c r="AB71" s="297"/>
      <c r="AC71" s="297"/>
      <c r="AD71" s="297"/>
      <c r="AE71" s="297"/>
      <c r="AF71" s="297"/>
      <c r="AG71" s="45"/>
    </row>
    <row r="72" spans="1:35" s="100" customFormat="1" ht="21" hidden="1" customHeight="1">
      <c r="A72" s="931" t="s">
        <v>314</v>
      </c>
      <c r="B72" s="906" t="s">
        <v>315</v>
      </c>
      <c r="C72" s="906" t="s">
        <v>298</v>
      </c>
      <c r="D72" s="1272">
        <f>ROUND(C70*G70*M70,2)</f>
        <v>130.5</v>
      </c>
      <c r="E72" s="1272"/>
      <c r="F72" s="1260" t="s">
        <v>316</v>
      </c>
      <c r="G72" s="1260"/>
      <c r="H72" s="906" t="s">
        <v>51</v>
      </c>
      <c r="I72" s="906">
        <f>H71</f>
        <v>4</v>
      </c>
      <c r="J72" s="906" t="str">
        <f>I71</f>
        <v>계열</v>
      </c>
      <c r="K72" s="906" t="s">
        <v>298</v>
      </c>
      <c r="L72" s="1291">
        <f>D72*I72</f>
        <v>522</v>
      </c>
      <c r="M72" s="1291"/>
      <c r="N72" s="905"/>
      <c r="O72" s="905"/>
      <c r="P72" s="905"/>
      <c r="Q72" s="878"/>
      <c r="R72" s="301"/>
      <c r="S72" s="301"/>
      <c r="T72" s="1269"/>
      <c r="U72" s="1269"/>
      <c r="V72" s="1269"/>
      <c r="W72" s="1269"/>
      <c r="X72" s="297"/>
      <c r="Y72" s="301"/>
      <c r="Z72" s="297"/>
      <c r="AA72" s="301"/>
      <c r="AB72" s="1269"/>
      <c r="AC72" s="1269"/>
      <c r="AD72" s="297"/>
      <c r="AE72" s="297"/>
      <c r="AF72" s="297"/>
      <c r="AG72" s="45"/>
    </row>
    <row r="73" spans="1:35" s="100" customFormat="1" ht="21" hidden="1" customHeight="1">
      <c r="A73" s="739" t="s">
        <v>317</v>
      </c>
      <c r="B73" s="905"/>
      <c r="C73" s="905"/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878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45"/>
    </row>
    <row r="74" spans="1:35" s="100" customFormat="1" ht="21" hidden="1" customHeight="1">
      <c r="A74" s="931" t="s">
        <v>318</v>
      </c>
      <c r="B74" s="1291">
        <f>L72</f>
        <v>522</v>
      </c>
      <c r="C74" s="1291"/>
      <c r="D74" s="906" t="s">
        <v>52</v>
      </c>
      <c r="E74" s="1327">
        <f>'설계기준(설계치12)'!C4</f>
        <v>4000</v>
      </c>
      <c r="F74" s="1327"/>
      <c r="G74" s="1328"/>
      <c r="H74" s="906" t="s">
        <v>51</v>
      </c>
      <c r="I74" s="1304">
        <v>24</v>
      </c>
      <c r="J74" s="1304"/>
      <c r="K74" s="323" t="s">
        <v>298</v>
      </c>
      <c r="L74" s="1332">
        <f>B74/E74*I74</f>
        <v>3.1320000000000001</v>
      </c>
      <c r="M74" s="1332"/>
      <c r="N74" s="348"/>
      <c r="O74" s="348"/>
      <c r="P74" s="906"/>
      <c r="Q74" s="878"/>
      <c r="R74" s="1295"/>
      <c r="S74" s="1295"/>
      <c r="T74" s="301"/>
      <c r="U74" s="1298"/>
      <c r="V74" s="1298"/>
      <c r="W74" s="1298"/>
      <c r="X74" s="301"/>
      <c r="Y74" s="1299"/>
      <c r="Z74" s="1295"/>
      <c r="AA74" s="398"/>
      <c r="AB74" s="1307"/>
      <c r="AC74" s="1307"/>
      <c r="AD74" s="1316"/>
      <c r="AE74" s="1316"/>
      <c r="AF74" s="297"/>
      <c r="AG74" s="45"/>
    </row>
    <row r="75" spans="1:35" s="100" customFormat="1" ht="21" customHeight="1">
      <c r="A75" s="738" t="s">
        <v>839</v>
      </c>
      <c r="B75" s="905"/>
      <c r="C75" s="905"/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878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45"/>
    </row>
    <row r="76" spans="1:35" s="100" customFormat="1" ht="21" customHeight="1">
      <c r="A76" s="739" t="s">
        <v>319</v>
      </c>
      <c r="B76" s="916" t="s">
        <v>320</v>
      </c>
      <c r="C76" s="904"/>
      <c r="D76" s="904"/>
      <c r="E76" s="904"/>
      <c r="F76" s="904"/>
      <c r="G76" s="904"/>
      <c r="H76" s="904"/>
      <c r="I76" s="904"/>
      <c r="J76" s="904"/>
      <c r="K76" s="904"/>
      <c r="L76" s="904"/>
      <c r="M76" s="904"/>
      <c r="N76" s="904"/>
      <c r="O76" s="904"/>
      <c r="P76" s="904"/>
      <c r="Q76" s="878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45"/>
    </row>
    <row r="77" spans="1:35" s="100" customFormat="1" ht="21" customHeight="1">
      <c r="A77" s="739" t="s">
        <v>321</v>
      </c>
      <c r="B77" s="327"/>
      <c r="C77" s="906"/>
      <c r="D77" s="906"/>
      <c r="E77" s="906"/>
      <c r="F77" s="905"/>
      <c r="G77" s="328"/>
      <c r="H77" s="329"/>
      <c r="I77" s="329"/>
      <c r="J77" s="330"/>
      <c r="K77" s="905"/>
      <c r="L77" s="906"/>
      <c r="M77" s="906"/>
      <c r="N77" s="906"/>
      <c r="O77" s="918"/>
      <c r="P77" s="905"/>
      <c r="Q77" s="881"/>
      <c r="R77" s="331"/>
      <c r="S77" s="301"/>
      <c r="T77" s="301"/>
      <c r="U77" s="301"/>
      <c r="V77" s="321"/>
      <c r="W77" s="332"/>
      <c r="X77" s="333"/>
      <c r="Y77" s="333"/>
      <c r="Z77" s="334"/>
      <c r="AA77" s="321"/>
      <c r="AB77" s="301"/>
      <c r="AC77" s="301"/>
      <c r="AD77" s="301"/>
      <c r="AE77" s="335"/>
      <c r="AF77" s="297"/>
      <c r="AG77" s="399"/>
    </row>
    <row r="78" spans="1:35" s="100" customFormat="1" ht="21" customHeight="1">
      <c r="A78" s="857" t="s">
        <v>322</v>
      </c>
      <c r="B78" s="912" t="s">
        <v>323</v>
      </c>
      <c r="C78" s="906" t="s">
        <v>298</v>
      </c>
      <c r="D78" s="912" t="s">
        <v>324</v>
      </c>
      <c r="E78" s="906" t="s">
        <v>51</v>
      </c>
      <c r="F78" s="1088" t="s">
        <v>483</v>
      </c>
      <c r="G78" s="906"/>
      <c r="H78" s="906" t="s">
        <v>325</v>
      </c>
      <c r="I78" s="906" t="s">
        <v>326</v>
      </c>
      <c r="J78" s="906" t="s">
        <v>327</v>
      </c>
      <c r="K78" s="906" t="s">
        <v>484</v>
      </c>
      <c r="L78" s="906" t="s">
        <v>524</v>
      </c>
      <c r="M78" s="906" t="s">
        <v>523</v>
      </c>
      <c r="N78" s="906" t="s">
        <v>143</v>
      </c>
      <c r="O78" s="906"/>
      <c r="P78" s="906"/>
      <c r="Q78" s="878"/>
      <c r="R78" s="331"/>
      <c r="S78" s="301"/>
      <c r="T78" s="331"/>
      <c r="U78" s="310"/>
      <c r="V78" s="299"/>
      <c r="W78" s="297"/>
      <c r="X78" s="301"/>
      <c r="Y78" s="301"/>
      <c r="Z78" s="301"/>
      <c r="AA78" s="297"/>
      <c r="AB78" s="301"/>
      <c r="AC78" s="297"/>
      <c r="AD78" s="321"/>
      <c r="AE78" s="321"/>
      <c r="AF78" s="297"/>
      <c r="AG78" s="45"/>
    </row>
    <row r="79" spans="1:35" s="100" customFormat="1" ht="21" customHeight="1">
      <c r="A79" s="857" t="s">
        <v>329</v>
      </c>
      <c r="B79" s="906"/>
      <c r="C79" s="906"/>
      <c r="D79" s="906" t="s">
        <v>527</v>
      </c>
      <c r="E79" s="906">
        <v>1</v>
      </c>
      <c r="F79" s="906" t="s">
        <v>330</v>
      </c>
      <c r="G79" s="906">
        <v>0.83299999999999996</v>
      </c>
      <c r="H79" s="906" t="s">
        <v>141</v>
      </c>
      <c r="I79" s="906">
        <v>7.2</v>
      </c>
      <c r="J79" s="906" t="s">
        <v>330</v>
      </c>
      <c r="K79" s="906" t="s">
        <v>520</v>
      </c>
      <c r="L79" s="906" t="s">
        <v>519</v>
      </c>
      <c r="M79" s="906"/>
      <c r="N79" s="906"/>
      <c r="O79" s="906"/>
      <c r="P79" s="906"/>
      <c r="Q79" s="878"/>
      <c r="R79" s="297"/>
      <c r="S79" s="301"/>
      <c r="T79" s="297"/>
      <c r="U79" s="301"/>
      <c r="V79" s="301"/>
      <c r="W79" s="1269"/>
      <c r="X79" s="1269"/>
      <c r="Y79" s="301"/>
      <c r="Z79" s="301"/>
      <c r="AA79" s="301"/>
      <c r="AB79" s="297"/>
      <c r="AC79" s="297"/>
      <c r="AD79" s="297"/>
      <c r="AE79" s="297"/>
      <c r="AF79" s="297"/>
      <c r="AG79" s="45"/>
    </row>
    <row r="80" spans="1:35" s="100" customFormat="1" ht="21" customHeight="1">
      <c r="A80" s="739"/>
      <c r="B80" s="913" t="s">
        <v>526</v>
      </c>
      <c r="C80" s="912" t="s">
        <v>518</v>
      </c>
      <c r="D80" s="1260" t="s">
        <v>332</v>
      </c>
      <c r="E80" s="1260"/>
      <c r="F80" s="1260"/>
      <c r="G80" s="906" t="s">
        <v>298</v>
      </c>
      <c r="H80" s="906">
        <v>0.47</v>
      </c>
      <c r="I80" s="906" t="s">
        <v>485</v>
      </c>
      <c r="J80" s="906" t="s">
        <v>333</v>
      </c>
      <c r="K80" s="906">
        <f>'설계기준(설계치12)'!C12</f>
        <v>12</v>
      </c>
      <c r="L80" s="906" t="s">
        <v>334</v>
      </c>
      <c r="M80" s="906" t="s">
        <v>335</v>
      </c>
      <c r="N80" s="906">
        <f>'설계기준(설계치12)'!K16</f>
        <v>7</v>
      </c>
      <c r="O80" s="904" t="s">
        <v>189</v>
      </c>
      <c r="P80" s="905"/>
      <c r="Q80" s="878"/>
      <c r="R80" s="297"/>
      <c r="S80" s="331"/>
      <c r="T80" s="301"/>
      <c r="U80" s="336"/>
      <c r="V80" s="337"/>
      <c r="W80" s="337"/>
      <c r="X80" s="337"/>
      <c r="Y80" s="297"/>
      <c r="Z80" s="299"/>
      <c r="AA80" s="310"/>
      <c r="AB80" s="301"/>
      <c r="AC80" s="297"/>
      <c r="AD80" s="297"/>
      <c r="AE80" s="301"/>
      <c r="AF80" s="297"/>
      <c r="AG80" s="45"/>
    </row>
    <row r="81" spans="1:33" s="100" customFormat="1" ht="21" customHeight="1">
      <c r="A81" s="739"/>
      <c r="B81" s="905"/>
      <c r="C81" s="327" t="s">
        <v>336</v>
      </c>
      <c r="D81" s="327"/>
      <c r="E81" s="327"/>
      <c r="F81" s="327"/>
      <c r="G81" s="906" t="s">
        <v>298</v>
      </c>
      <c r="H81" s="905" t="s">
        <v>337</v>
      </c>
      <c r="I81" s="309">
        <v>2</v>
      </c>
      <c r="J81" s="905" t="s">
        <v>338</v>
      </c>
      <c r="K81" s="905"/>
      <c r="L81" s="905"/>
      <c r="M81" s="905"/>
      <c r="N81" s="905"/>
      <c r="O81" s="905"/>
      <c r="P81" s="905"/>
      <c r="Q81" s="878"/>
      <c r="R81" s="297"/>
      <c r="S81" s="338"/>
      <c r="T81" s="310"/>
      <c r="U81" s="299"/>
      <c r="V81" s="299"/>
      <c r="W81" s="297"/>
      <c r="X81" s="297"/>
      <c r="Y81" s="301"/>
      <c r="Z81" s="1265"/>
      <c r="AA81" s="1265"/>
      <c r="AB81" s="321"/>
      <c r="AC81" s="321"/>
      <c r="AD81" s="297"/>
      <c r="AE81" s="297"/>
      <c r="AF81" s="297"/>
      <c r="AG81" s="45"/>
    </row>
    <row r="82" spans="1:33" s="100" customFormat="1" ht="21" customHeight="1">
      <c r="A82" s="739"/>
      <c r="B82" s="905"/>
      <c r="C82" s="905" t="s">
        <v>521</v>
      </c>
      <c r="D82" s="905"/>
      <c r="E82" s="905"/>
      <c r="F82" s="905"/>
      <c r="G82" s="906" t="s">
        <v>30</v>
      </c>
      <c r="H82" s="912">
        <v>1.3</v>
      </c>
      <c r="I82" s="905"/>
      <c r="J82" s="905"/>
      <c r="K82" s="905"/>
      <c r="L82" s="905"/>
      <c r="M82" s="905"/>
      <c r="N82" s="905"/>
      <c r="O82" s="905"/>
      <c r="P82" s="905"/>
      <c r="Q82" s="878"/>
      <c r="R82" s="297"/>
      <c r="S82" s="299"/>
      <c r="T82" s="301"/>
      <c r="U82" s="301"/>
      <c r="V82" s="301"/>
      <c r="W82" s="301"/>
      <c r="X82" s="301"/>
      <c r="Y82" s="301"/>
      <c r="Z82" s="297"/>
      <c r="AA82" s="297"/>
      <c r="AB82" s="297"/>
      <c r="AC82" s="297"/>
      <c r="AD82" s="297"/>
      <c r="AE82" s="297"/>
      <c r="AF82" s="297"/>
      <c r="AG82" s="45"/>
    </row>
    <row r="83" spans="1:33" s="100" customFormat="1" ht="21" customHeight="1">
      <c r="A83" s="739"/>
      <c r="B83" s="905"/>
      <c r="C83" s="912" t="s">
        <v>298</v>
      </c>
      <c r="D83" s="906">
        <f>H80</f>
        <v>0.47</v>
      </c>
      <c r="E83" s="906" t="s">
        <v>51</v>
      </c>
      <c r="F83" s="1088" t="s">
        <v>483</v>
      </c>
      <c r="G83" s="912"/>
      <c r="H83" s="906" t="s">
        <v>325</v>
      </c>
      <c r="I83" s="309">
        <f>I81</f>
        <v>2</v>
      </c>
      <c r="J83" s="906" t="s">
        <v>522</v>
      </c>
      <c r="K83" s="906">
        <f>H82</f>
        <v>1.3</v>
      </c>
      <c r="L83" s="906" t="s">
        <v>525</v>
      </c>
      <c r="M83" s="309">
        <f>I81</f>
        <v>2</v>
      </c>
      <c r="N83" s="906" t="s">
        <v>339</v>
      </c>
      <c r="O83" s="905"/>
      <c r="P83" s="905"/>
      <c r="Q83" s="878"/>
      <c r="R83" s="310"/>
      <c r="S83" s="311"/>
      <c r="T83" s="299"/>
      <c r="U83" s="310"/>
      <c r="V83" s="299"/>
      <c r="W83" s="311"/>
      <c r="X83" s="301"/>
      <c r="Y83" s="301"/>
      <c r="Z83" s="339"/>
      <c r="AA83" s="301"/>
      <c r="AB83" s="301"/>
      <c r="AC83" s="301"/>
      <c r="AD83" s="297"/>
      <c r="AE83" s="297"/>
      <c r="AF83" s="297"/>
      <c r="AG83" s="45"/>
    </row>
    <row r="84" spans="1:33" s="100" customFormat="1" ht="21" customHeight="1">
      <c r="A84" s="739"/>
      <c r="B84" s="905"/>
      <c r="C84" s="906"/>
      <c r="D84" s="906" t="s">
        <v>527</v>
      </c>
      <c r="E84" s="906">
        <v>1</v>
      </c>
      <c r="F84" s="906" t="s">
        <v>330</v>
      </c>
      <c r="G84" s="906">
        <v>0.83299999999999996</v>
      </c>
      <c r="H84" s="906" t="s">
        <v>331</v>
      </c>
      <c r="I84" s="906">
        <v>7.2</v>
      </c>
      <c r="J84" s="906" t="s">
        <v>330</v>
      </c>
      <c r="K84" s="906">
        <f>N80</f>
        <v>7</v>
      </c>
      <c r="L84" s="906" t="s">
        <v>528</v>
      </c>
      <c r="M84" s="906" t="s">
        <v>30</v>
      </c>
      <c r="N84" s="918">
        <f>D83*EXP(0.098*(K80-15))*I83/(K83+M83)*(E84-G84*(I84-N80))</f>
        <v>0.17692321887597162</v>
      </c>
      <c r="O84" s="906" t="s">
        <v>486</v>
      </c>
      <c r="P84" s="906"/>
      <c r="Q84" s="878"/>
      <c r="R84" s="297"/>
      <c r="S84" s="301"/>
      <c r="T84" s="339"/>
      <c r="U84" s="301"/>
      <c r="V84" s="301"/>
      <c r="W84" s="301"/>
      <c r="X84" s="301"/>
      <c r="Y84" s="339"/>
      <c r="Z84" s="297"/>
      <c r="AA84" s="301"/>
      <c r="AB84" s="297"/>
      <c r="AC84" s="297"/>
      <c r="AD84" s="335"/>
      <c r="AE84" s="335"/>
      <c r="AF84" s="297"/>
      <c r="AG84" s="45"/>
    </row>
    <row r="85" spans="1:33" s="100" customFormat="1" ht="21" customHeight="1">
      <c r="A85" s="739"/>
      <c r="B85" s="510" t="s">
        <v>53</v>
      </c>
      <c r="C85" s="511" t="s">
        <v>340</v>
      </c>
      <c r="D85" s="512"/>
      <c r="E85" s="512"/>
      <c r="F85" s="512"/>
      <c r="G85" s="512"/>
      <c r="H85" s="512"/>
      <c r="I85" s="512"/>
      <c r="J85" s="905"/>
      <c r="K85" s="905"/>
      <c r="L85" s="327"/>
      <c r="M85" s="327"/>
      <c r="N85" s="905"/>
      <c r="O85" s="905"/>
      <c r="P85" s="905"/>
      <c r="Q85" s="878"/>
      <c r="R85" s="301"/>
      <c r="S85" s="299"/>
      <c r="T85" s="299"/>
      <c r="U85" s="299"/>
      <c r="V85" s="299"/>
      <c r="W85" s="299"/>
      <c r="X85" s="299"/>
      <c r="Y85" s="299"/>
      <c r="Z85" s="299"/>
      <c r="AA85" s="297"/>
      <c r="AB85" s="311"/>
      <c r="AC85" s="311"/>
      <c r="AD85" s="297"/>
      <c r="AE85" s="297"/>
      <c r="AF85" s="297"/>
      <c r="AG85" s="45"/>
    </row>
    <row r="86" spans="1:33" s="100" customFormat="1" ht="21" customHeight="1">
      <c r="A86" s="739"/>
      <c r="B86" s="905"/>
      <c r="C86" s="905" t="s">
        <v>487</v>
      </c>
      <c r="D86" s="906" t="s">
        <v>30</v>
      </c>
      <c r="E86" s="906" t="s">
        <v>323</v>
      </c>
      <c r="F86" s="906" t="s">
        <v>330</v>
      </c>
      <c r="G86" s="906" t="s">
        <v>341</v>
      </c>
      <c r="H86" s="906" t="s">
        <v>298</v>
      </c>
      <c r="I86" s="918">
        <f>N84</f>
        <v>0.17692321887597162</v>
      </c>
      <c r="J86" s="906" t="s">
        <v>330</v>
      </c>
      <c r="K86" s="906">
        <f>I87</f>
        <v>0.05</v>
      </c>
      <c r="L86" s="906" t="s">
        <v>298</v>
      </c>
      <c r="M86" s="349">
        <f>I86-K86</f>
        <v>0.12692321887597163</v>
      </c>
      <c r="N86" s="906" t="s">
        <v>486</v>
      </c>
      <c r="O86" s="906"/>
      <c r="P86" s="906"/>
      <c r="Q86" s="878"/>
      <c r="R86" s="297"/>
      <c r="S86" s="301"/>
      <c r="T86" s="301"/>
      <c r="U86" s="301"/>
      <c r="V86" s="297"/>
      <c r="W86" s="301"/>
      <c r="X86" s="297"/>
      <c r="Y86" s="301"/>
      <c r="Z86" s="340"/>
      <c r="AA86" s="301"/>
      <c r="AB86" s="297"/>
      <c r="AC86" s="301"/>
      <c r="AD86" s="341"/>
      <c r="AE86" s="297"/>
      <c r="AF86" s="297"/>
      <c r="AG86" s="45"/>
    </row>
    <row r="87" spans="1:33" s="100" customFormat="1" ht="21" customHeight="1">
      <c r="A87" s="739"/>
      <c r="B87" s="905"/>
      <c r="C87" s="906" t="s">
        <v>529</v>
      </c>
      <c r="D87" s="905" t="s">
        <v>530</v>
      </c>
      <c r="E87" s="905"/>
      <c r="F87" s="905"/>
      <c r="G87" s="905"/>
      <c r="H87" s="905"/>
      <c r="I87" s="513">
        <v>0.05</v>
      </c>
      <c r="J87" s="905" t="s">
        <v>486</v>
      </c>
      <c r="K87" s="905" t="s">
        <v>531</v>
      </c>
      <c r="L87" s="349"/>
      <c r="M87" s="514" t="s">
        <v>143</v>
      </c>
      <c r="N87" s="349"/>
      <c r="O87" s="905"/>
      <c r="P87" s="905"/>
      <c r="Q87" s="878"/>
      <c r="R87" s="297"/>
      <c r="S87" s="297"/>
      <c r="T87" s="299"/>
      <c r="U87" s="301"/>
      <c r="V87" s="301"/>
      <c r="W87" s="301"/>
      <c r="X87" s="301"/>
      <c r="Y87" s="301"/>
      <c r="Z87" s="301"/>
      <c r="AA87" s="301"/>
      <c r="AB87" s="297"/>
      <c r="AC87" s="299"/>
      <c r="AD87" s="341"/>
      <c r="AE87" s="297"/>
      <c r="AF87" s="297"/>
      <c r="AG87" s="45"/>
    </row>
    <row r="88" spans="1:33" s="100" customFormat="1" ht="21" customHeight="1">
      <c r="A88" s="739"/>
      <c r="B88" s="905"/>
      <c r="C88" s="906" t="s">
        <v>342</v>
      </c>
      <c r="D88" s="906" t="s">
        <v>298</v>
      </c>
      <c r="E88" s="906">
        <v>1</v>
      </c>
      <c r="F88" s="906" t="s">
        <v>142</v>
      </c>
      <c r="G88" s="349">
        <f>M86</f>
        <v>0.12692321887597163</v>
      </c>
      <c r="H88" s="906" t="s">
        <v>298</v>
      </c>
      <c r="I88" s="1378">
        <f>E88/G88</f>
        <v>7.8787790670294306</v>
      </c>
      <c r="J88" s="1378"/>
      <c r="K88" s="906"/>
      <c r="L88" s="906"/>
      <c r="M88" s="906"/>
      <c r="N88" s="349"/>
      <c r="O88" s="905"/>
      <c r="P88" s="905"/>
      <c r="Q88" s="878"/>
      <c r="R88" s="297"/>
      <c r="S88" s="301"/>
      <c r="T88" s="301"/>
      <c r="U88" s="301"/>
      <c r="V88" s="297"/>
      <c r="W88" s="301"/>
      <c r="X88" s="342"/>
      <c r="Y88" s="342"/>
      <c r="Z88" s="301"/>
      <c r="AA88" s="343"/>
      <c r="AB88" s="297"/>
      <c r="AC88" s="301"/>
      <c r="AD88" s="341"/>
      <c r="AE88" s="297"/>
      <c r="AF88" s="297"/>
      <c r="AG88" s="45"/>
    </row>
    <row r="89" spans="1:33" s="100" customFormat="1" ht="21" customHeight="1">
      <c r="A89" s="739"/>
      <c r="B89" s="905"/>
      <c r="C89" s="1259" t="s">
        <v>344</v>
      </c>
      <c r="D89" s="1259"/>
      <c r="E89" s="1259"/>
      <c r="F89" s="1259"/>
      <c r="G89" s="1259"/>
      <c r="H89" s="1259"/>
      <c r="I89" s="905"/>
      <c r="J89" s="348"/>
      <c r="K89" s="905"/>
      <c r="L89" s="905"/>
      <c r="M89" s="905"/>
      <c r="N89" s="349"/>
      <c r="O89" s="905"/>
      <c r="P89" s="905"/>
      <c r="Q89" s="878"/>
      <c r="R89" s="297"/>
      <c r="S89" s="301"/>
      <c r="T89" s="301"/>
      <c r="U89" s="301"/>
      <c r="V89" s="301"/>
      <c r="W89" s="301"/>
      <c r="X89" s="301"/>
      <c r="Y89" s="301"/>
      <c r="Z89" s="340"/>
      <c r="AA89" s="297"/>
      <c r="AB89" s="297"/>
      <c r="AC89" s="301"/>
      <c r="AD89" s="341"/>
      <c r="AE89" s="297"/>
      <c r="AF89" s="297"/>
      <c r="AG89" s="45"/>
    </row>
    <row r="90" spans="1:33" s="45" customFormat="1" ht="21" customHeight="1">
      <c r="A90" s="739"/>
      <c r="B90" s="905"/>
      <c r="C90" s="906" t="s">
        <v>345</v>
      </c>
      <c r="D90" s="906" t="s">
        <v>298</v>
      </c>
      <c r="E90" s="906" t="s">
        <v>342</v>
      </c>
      <c r="F90" s="906" t="s">
        <v>51</v>
      </c>
      <c r="G90" s="309">
        <f>+K90/I88</f>
        <v>1.2692321887597162</v>
      </c>
      <c r="H90" s="1318" t="s">
        <v>346</v>
      </c>
      <c r="I90" s="1318"/>
      <c r="J90" s="906" t="s">
        <v>298</v>
      </c>
      <c r="K90" s="1075">
        <v>10</v>
      </c>
      <c r="L90" s="510" t="s">
        <v>532</v>
      </c>
      <c r="M90" s="906"/>
      <c r="N90" s="906"/>
      <c r="O90" s="906"/>
      <c r="P90" s="906"/>
      <c r="Q90" s="878"/>
      <c r="R90" s="297"/>
      <c r="S90" s="301"/>
      <c r="T90" s="301"/>
      <c r="U90" s="301"/>
      <c r="V90" s="301"/>
      <c r="W90" s="301"/>
      <c r="X90" s="301"/>
      <c r="Y90" s="345"/>
      <c r="Z90" s="345"/>
      <c r="AA90" s="301"/>
      <c r="AB90" s="346"/>
      <c r="AC90" s="297"/>
      <c r="AD90" s="297"/>
      <c r="AE90" s="297"/>
      <c r="AF90" s="297"/>
    </row>
    <row r="91" spans="1:33" s="100" customFormat="1" ht="21" customHeight="1">
      <c r="A91" s="739"/>
      <c r="B91" s="906" t="s">
        <v>330</v>
      </c>
      <c r="C91" s="511" t="s">
        <v>533</v>
      </c>
      <c r="D91" s="511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905"/>
      <c r="P91" s="905"/>
      <c r="Q91" s="878"/>
      <c r="R91" s="301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7"/>
      <c r="AF91" s="297"/>
      <c r="AG91" s="45"/>
    </row>
    <row r="92" spans="1:33" s="100" customFormat="1" ht="21" customHeight="1">
      <c r="A92" s="739"/>
      <c r="B92" s="905"/>
      <c r="C92" s="906" t="s">
        <v>347</v>
      </c>
      <c r="D92" s="906" t="s">
        <v>298</v>
      </c>
      <c r="E92" s="906" t="s">
        <v>534</v>
      </c>
      <c r="F92" s="906" t="s">
        <v>343</v>
      </c>
      <c r="G92" s="906" t="s">
        <v>345</v>
      </c>
      <c r="H92" s="906" t="s">
        <v>525</v>
      </c>
      <c r="I92" s="906" t="s">
        <v>535</v>
      </c>
      <c r="J92" s="906" t="s">
        <v>41</v>
      </c>
      <c r="K92" s="515">
        <v>1</v>
      </c>
      <c r="L92" s="906" t="s">
        <v>142</v>
      </c>
      <c r="M92" s="906" t="s">
        <v>348</v>
      </c>
      <c r="N92" s="349"/>
      <c r="O92" s="905"/>
      <c r="P92" s="905"/>
      <c r="Q92" s="878"/>
      <c r="R92" s="297"/>
      <c r="S92" s="301"/>
      <c r="T92" s="301"/>
      <c r="U92" s="297"/>
      <c r="V92" s="301"/>
      <c r="W92" s="297"/>
      <c r="X92" s="301"/>
      <c r="Y92" s="297"/>
      <c r="Z92" s="301"/>
      <c r="AA92" s="347"/>
      <c r="AB92" s="301"/>
      <c r="AC92" s="297"/>
      <c r="AD92" s="341"/>
      <c r="AE92" s="297"/>
      <c r="AF92" s="297"/>
      <c r="AG92" s="45"/>
    </row>
    <row r="93" spans="1:33" s="100" customFormat="1" ht="21" customHeight="1">
      <c r="A93" s="739"/>
      <c r="B93" s="905"/>
      <c r="C93" s="906" t="s">
        <v>529</v>
      </c>
      <c r="D93" s="349" t="s">
        <v>536</v>
      </c>
      <c r="E93" s="349"/>
      <c r="F93" s="349"/>
      <c r="G93" s="349"/>
      <c r="H93" s="349"/>
      <c r="I93" s="349"/>
      <c r="J93" s="349"/>
      <c r="K93" s="349"/>
      <c r="L93" s="349"/>
      <c r="M93" s="516">
        <v>0.2</v>
      </c>
      <c r="N93" s="906" t="s">
        <v>143</v>
      </c>
      <c r="O93" s="517"/>
      <c r="P93" s="905"/>
      <c r="Q93" s="878"/>
      <c r="R93" s="342">
        <v>0.1</v>
      </c>
      <c r="S93" s="342" t="s">
        <v>448</v>
      </c>
      <c r="T93" s="342">
        <v>0.3</v>
      </c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297"/>
      <c r="AF93" s="297"/>
      <c r="AG93" s="45"/>
    </row>
    <row r="94" spans="1:33" s="100" customFormat="1" ht="21" customHeight="1">
      <c r="A94" s="739"/>
      <c r="B94" s="905"/>
      <c r="C94" s="905"/>
      <c r="D94" s="906" t="s">
        <v>298</v>
      </c>
      <c r="E94" s="906" t="s">
        <v>534</v>
      </c>
      <c r="F94" s="906" t="s">
        <v>142</v>
      </c>
      <c r="G94" s="906">
        <f>K90</f>
        <v>10</v>
      </c>
      <c r="H94" s="906" t="s">
        <v>525</v>
      </c>
      <c r="I94" s="915">
        <f>I87</f>
        <v>0.05</v>
      </c>
      <c r="J94" s="906" t="s">
        <v>41</v>
      </c>
      <c r="K94" s="515">
        <v>1</v>
      </c>
      <c r="L94" s="906" t="s">
        <v>142</v>
      </c>
      <c r="M94" s="906">
        <f>M93</f>
        <v>0.2</v>
      </c>
      <c r="N94" s="514" t="s">
        <v>298</v>
      </c>
      <c r="O94" s="918">
        <f>(1/G94+I94)*1/M94</f>
        <v>0.75000000000000011</v>
      </c>
      <c r="P94" s="905" t="s">
        <v>486</v>
      </c>
      <c r="Q94" s="878"/>
      <c r="R94" s="297"/>
      <c r="S94" s="301"/>
      <c r="T94" s="301"/>
      <c r="U94" s="297"/>
      <c r="V94" s="301"/>
      <c r="W94" s="301"/>
      <c r="X94" s="301"/>
      <c r="Y94" s="340"/>
      <c r="Z94" s="339"/>
      <c r="AA94" s="301"/>
      <c r="AB94" s="342"/>
      <c r="AC94" s="335"/>
      <c r="AD94" s="297"/>
      <c r="AE94" s="297"/>
      <c r="AF94" s="321"/>
      <c r="AG94" s="45"/>
    </row>
    <row r="95" spans="1:33" s="100" customFormat="1" ht="21" customHeight="1">
      <c r="A95" s="739"/>
      <c r="B95" s="906" t="s">
        <v>53</v>
      </c>
      <c r="C95" s="511" t="s">
        <v>537</v>
      </c>
      <c r="D95" s="511"/>
      <c r="E95" s="511"/>
      <c r="F95" s="511"/>
      <c r="G95" s="905"/>
      <c r="H95" s="905"/>
      <c r="I95" s="905"/>
      <c r="J95" s="348"/>
      <c r="K95" s="905"/>
      <c r="L95" s="905"/>
      <c r="M95" s="905"/>
      <c r="N95" s="349"/>
      <c r="O95" s="905"/>
      <c r="P95" s="905"/>
      <c r="Q95" s="878"/>
      <c r="R95" s="297"/>
      <c r="S95" s="301"/>
      <c r="T95" s="301"/>
      <c r="U95" s="297"/>
      <c r="V95" s="301"/>
      <c r="W95" s="301"/>
      <c r="X95" s="301"/>
      <c r="Y95" s="340"/>
      <c r="Z95" s="339"/>
      <c r="AA95" s="301"/>
      <c r="AB95" s="342"/>
      <c r="AC95" s="335"/>
      <c r="AD95" s="297"/>
      <c r="AE95" s="297"/>
      <c r="AF95" s="321"/>
      <c r="AG95" s="45"/>
    </row>
    <row r="96" spans="1:33" s="100" customFormat="1" ht="21" customHeight="1">
      <c r="A96" s="739"/>
      <c r="B96" s="905"/>
      <c r="C96" s="906" t="s">
        <v>347</v>
      </c>
      <c r="D96" s="906" t="s">
        <v>298</v>
      </c>
      <c r="E96" s="906" t="s">
        <v>349</v>
      </c>
      <c r="F96" s="906" t="s">
        <v>51</v>
      </c>
      <c r="G96" s="906" t="s">
        <v>488</v>
      </c>
      <c r="H96" s="906" t="s">
        <v>350</v>
      </c>
      <c r="I96" s="906" t="s">
        <v>351</v>
      </c>
      <c r="J96" s="918" t="s">
        <v>328</v>
      </c>
      <c r="K96" s="906" t="s">
        <v>489</v>
      </c>
      <c r="L96" s="905"/>
      <c r="M96" s="905"/>
      <c r="N96" s="349"/>
      <c r="O96" s="905"/>
      <c r="P96" s="905"/>
      <c r="Q96" s="878"/>
      <c r="R96" s="297"/>
      <c r="S96" s="301"/>
      <c r="T96" s="301"/>
      <c r="U96" s="297"/>
      <c r="V96" s="301"/>
      <c r="W96" s="301"/>
      <c r="X96" s="301"/>
      <c r="Y96" s="340"/>
      <c r="Z96" s="339"/>
      <c r="AA96" s="301"/>
      <c r="AB96" s="342"/>
      <c r="AC96" s="335"/>
      <c r="AD96" s="297"/>
      <c r="AE96" s="297"/>
      <c r="AF96" s="321"/>
      <c r="AG96" s="45"/>
    </row>
    <row r="97" spans="1:33" s="100" customFormat="1" ht="21" customHeight="1">
      <c r="A97" s="739"/>
      <c r="B97" s="327"/>
      <c r="C97" s="906" t="s">
        <v>488</v>
      </c>
      <c r="D97" s="906" t="s">
        <v>298</v>
      </c>
      <c r="E97" s="906" t="s">
        <v>352</v>
      </c>
      <c r="F97" s="906" t="s">
        <v>51</v>
      </c>
      <c r="G97" s="906" t="s">
        <v>353</v>
      </c>
      <c r="H97" s="906" t="s">
        <v>343</v>
      </c>
      <c r="I97" s="906" t="s">
        <v>349</v>
      </c>
      <c r="J97" s="906" t="s">
        <v>330</v>
      </c>
      <c r="K97" s="906" t="s">
        <v>354</v>
      </c>
      <c r="L97" s="905"/>
      <c r="M97" s="905"/>
      <c r="N97" s="348"/>
      <c r="O97" s="348"/>
      <c r="P97" s="905"/>
      <c r="Q97" s="878"/>
      <c r="R97" s="297"/>
      <c r="S97" s="301"/>
      <c r="T97" s="301"/>
      <c r="U97" s="297"/>
      <c r="V97" s="301"/>
      <c r="W97" s="301"/>
      <c r="X97" s="301"/>
      <c r="Y97" s="340"/>
      <c r="Z97" s="339"/>
      <c r="AA97" s="301"/>
      <c r="AB97" s="342"/>
      <c r="AC97" s="335"/>
      <c r="AD97" s="297"/>
      <c r="AE97" s="297"/>
      <c r="AF97" s="321"/>
      <c r="AG97" s="45"/>
    </row>
    <row r="98" spans="1:33" s="100" customFormat="1" ht="21" customHeight="1">
      <c r="A98" s="739"/>
      <c r="B98" s="905"/>
      <c r="C98" s="905" t="s">
        <v>538</v>
      </c>
      <c r="D98" s="905"/>
      <c r="E98" s="905"/>
      <c r="F98" s="905"/>
      <c r="G98" s="905"/>
      <c r="H98" s="1318" t="s">
        <v>355</v>
      </c>
      <c r="I98" s="1318"/>
      <c r="J98" s="918">
        <f>N84/M93</f>
        <v>0.88461609437985811</v>
      </c>
      <c r="K98" s="906" t="s">
        <v>486</v>
      </c>
      <c r="L98" s="905"/>
      <c r="M98" s="905"/>
      <c r="N98" s="905"/>
      <c r="O98" s="905"/>
      <c r="P98" s="905"/>
      <c r="Q98" s="878"/>
      <c r="R98" s="297"/>
      <c r="S98" s="301"/>
      <c r="T98" s="344"/>
      <c r="U98" s="297"/>
      <c r="V98" s="301"/>
      <c r="W98" s="301"/>
      <c r="X98" s="301"/>
      <c r="Y98" s="340"/>
      <c r="Z98" s="339"/>
      <c r="AA98" s="301"/>
      <c r="AB98" s="342"/>
      <c r="AC98" s="335"/>
      <c r="AD98" s="297"/>
      <c r="AE98" s="297"/>
      <c r="AF98" s="321"/>
      <c r="AG98" s="45"/>
    </row>
    <row r="99" spans="1:33" s="100" customFormat="1" ht="21" customHeight="1">
      <c r="A99" s="739"/>
      <c r="B99" s="322" t="s">
        <v>356</v>
      </c>
      <c r="C99" s="905" t="s">
        <v>539</v>
      </c>
      <c r="D99" s="905"/>
      <c r="E99" s="905" t="s">
        <v>351</v>
      </c>
      <c r="F99" s="906" t="s">
        <v>298</v>
      </c>
      <c r="G99" s="905" t="s">
        <v>566</v>
      </c>
      <c r="H99" s="905"/>
      <c r="I99" s="905"/>
      <c r="J99" s="906" t="s">
        <v>298</v>
      </c>
      <c r="K99" s="412">
        <f>10^(0.051*K80-1.158)</f>
        <v>0.28444611074479159</v>
      </c>
      <c r="L99" s="411"/>
      <c r="M99" s="905"/>
      <c r="N99" s="905"/>
      <c r="O99" s="905"/>
      <c r="P99" s="905"/>
      <c r="Q99" s="878"/>
      <c r="R99" s="297"/>
      <c r="S99" s="301"/>
      <c r="T99" s="301"/>
      <c r="U99" s="297"/>
      <c r="V99" s="301"/>
      <c r="W99" s="301"/>
      <c r="X99" s="301"/>
      <c r="Y99" s="340"/>
      <c r="Z99" s="339"/>
      <c r="AA99" s="301"/>
      <c r="AB99" s="342"/>
      <c r="AC99" s="335"/>
      <c r="AD99" s="297"/>
      <c r="AE99" s="297"/>
      <c r="AF99" s="321"/>
      <c r="AG99" s="45"/>
    </row>
    <row r="100" spans="1:33" s="100" customFormat="1" ht="21" customHeight="1">
      <c r="A100" s="739"/>
      <c r="B100" s="905"/>
      <c r="C100" s="905"/>
      <c r="D100" s="906" t="s">
        <v>298</v>
      </c>
      <c r="E100" s="348">
        <f>O94</f>
        <v>0.75000000000000011</v>
      </c>
      <c r="F100" s="906" t="s">
        <v>51</v>
      </c>
      <c r="G100" s="918">
        <f>K99</f>
        <v>0.28444611074479159</v>
      </c>
      <c r="H100" s="906" t="s">
        <v>142</v>
      </c>
      <c r="I100" s="918">
        <f>J98</f>
        <v>0.88461609437985811</v>
      </c>
      <c r="J100" s="906" t="s">
        <v>330</v>
      </c>
      <c r="K100" s="918">
        <f>O94</f>
        <v>0.75000000000000011</v>
      </c>
      <c r="L100" s="906" t="s">
        <v>30</v>
      </c>
      <c r="M100" s="413">
        <f>(E100*G100)/(I100-K100)</f>
        <v>1.5847628327160415</v>
      </c>
      <c r="N100" s="906" t="s">
        <v>540</v>
      </c>
      <c r="O100" s="905"/>
      <c r="P100" s="905"/>
      <c r="Q100" s="884"/>
      <c r="R100" s="297"/>
      <c r="S100" s="301"/>
      <c r="T100" s="301"/>
      <c r="U100" s="297"/>
      <c r="V100" s="301"/>
      <c r="W100" s="301"/>
      <c r="X100" s="301"/>
      <c r="Y100" s="340"/>
      <c r="Z100" s="339"/>
      <c r="AA100" s="301"/>
      <c r="AB100" s="342"/>
      <c r="AC100" s="335"/>
      <c r="AD100" s="297"/>
      <c r="AE100" s="297"/>
      <c r="AF100" s="321"/>
      <c r="AG100" s="45"/>
    </row>
    <row r="101" spans="1:33" s="112" customFormat="1" ht="21" customHeight="1">
      <c r="A101" s="931" t="s">
        <v>357</v>
      </c>
      <c r="B101" s="929"/>
      <c r="C101" s="1260" t="s">
        <v>358</v>
      </c>
      <c r="D101" s="1260"/>
      <c r="E101" s="1379">
        <f>'설계기준(설계치12)'!K14</f>
        <v>3000</v>
      </c>
      <c r="F101" s="1379"/>
      <c r="G101" s="1260" t="s">
        <v>359</v>
      </c>
      <c r="H101" s="1260"/>
      <c r="I101" s="1260"/>
      <c r="J101" s="1379">
        <f>물질수지!U40</f>
        <v>8000</v>
      </c>
      <c r="K101" s="1379"/>
      <c r="L101" s="906"/>
      <c r="M101" s="906"/>
      <c r="N101" s="410"/>
      <c r="O101" s="905"/>
      <c r="P101" s="905"/>
      <c r="Q101" s="884"/>
      <c r="R101" s="1296"/>
      <c r="S101" s="1296"/>
      <c r="T101" s="1294"/>
      <c r="U101" s="1294"/>
      <c r="V101" s="1295"/>
      <c r="W101" s="299"/>
      <c r="X101" s="1296"/>
      <c r="Y101" s="1296"/>
      <c r="Z101" s="1296"/>
      <c r="AA101" s="1311"/>
      <c r="AB101" s="1311"/>
      <c r="AC101" s="1295"/>
      <c r="AD101" s="351"/>
      <c r="AE101" s="301"/>
      <c r="AF101" s="301"/>
      <c r="AG101" s="46"/>
    </row>
    <row r="102" spans="1:33" s="112" customFormat="1" ht="21" customHeight="1">
      <c r="A102" s="931" t="s">
        <v>360</v>
      </c>
      <c r="B102" s="905"/>
      <c r="C102" s="1278">
        <f>J101</f>
        <v>8000</v>
      </c>
      <c r="D102" s="1260"/>
      <c r="E102" s="906" t="s">
        <v>51</v>
      </c>
      <c r="F102" s="1260" t="s">
        <v>361</v>
      </c>
      <c r="G102" s="1260"/>
      <c r="H102" s="1260" t="s">
        <v>298</v>
      </c>
      <c r="I102" s="1278">
        <f>E101</f>
        <v>3000</v>
      </c>
      <c r="J102" s="1260"/>
      <c r="K102" s="1259" t="s">
        <v>362</v>
      </c>
      <c r="L102" s="905"/>
      <c r="M102" s="905"/>
      <c r="N102" s="905"/>
      <c r="O102" s="905"/>
      <c r="P102" s="905"/>
      <c r="Q102" s="884"/>
      <c r="R102" s="301"/>
      <c r="S102" s="1297"/>
      <c r="T102" s="1269"/>
      <c r="U102" s="301"/>
      <c r="V102" s="1269"/>
      <c r="W102" s="1269"/>
      <c r="X102" s="1269"/>
      <c r="Y102" s="1297"/>
      <c r="Z102" s="1269"/>
      <c r="AA102" s="1269"/>
      <c r="AB102" s="301"/>
      <c r="AC102" s="301"/>
      <c r="AD102" s="301"/>
      <c r="AE102" s="301"/>
      <c r="AF102" s="301"/>
      <c r="AG102" s="46"/>
    </row>
    <row r="103" spans="1:33" s="112" customFormat="1" ht="21" customHeight="1">
      <c r="A103" s="859"/>
      <c r="B103" s="905"/>
      <c r="C103" s="1260" t="s">
        <v>361</v>
      </c>
      <c r="D103" s="1260"/>
      <c r="E103" s="906" t="s">
        <v>328</v>
      </c>
      <c r="F103" s="1260">
        <v>1</v>
      </c>
      <c r="G103" s="1260"/>
      <c r="H103" s="1260"/>
      <c r="I103" s="1260"/>
      <c r="J103" s="1260"/>
      <c r="K103" s="1259"/>
      <c r="L103" s="905"/>
      <c r="M103" s="905"/>
      <c r="N103" s="905"/>
      <c r="O103" s="905"/>
      <c r="P103" s="905"/>
      <c r="Q103" s="884"/>
      <c r="R103" s="301"/>
      <c r="S103" s="1269"/>
      <c r="T103" s="1269"/>
      <c r="U103" s="301"/>
      <c r="V103" s="1269"/>
      <c r="W103" s="1269"/>
      <c r="X103" s="1269"/>
      <c r="Y103" s="1269"/>
      <c r="Z103" s="1269"/>
      <c r="AA103" s="1269"/>
      <c r="AB103" s="301"/>
      <c r="AC103" s="301"/>
      <c r="AD103" s="301"/>
      <c r="AE103" s="301"/>
      <c r="AF103" s="301"/>
      <c r="AG103" s="46"/>
    </row>
    <row r="104" spans="1:33" s="112" customFormat="1" ht="21" customHeight="1">
      <c r="A104" s="859"/>
      <c r="B104" s="905"/>
      <c r="C104" s="1260" t="s">
        <v>361</v>
      </c>
      <c r="D104" s="1260"/>
      <c r="E104" s="1259" t="s">
        <v>298</v>
      </c>
      <c r="F104" s="1278">
        <f>I102</f>
        <v>3000</v>
      </c>
      <c r="G104" s="1260"/>
      <c r="H104" s="1260"/>
      <c r="I104" s="1260"/>
      <c r="J104" s="1260"/>
      <c r="K104" s="1260" t="s">
        <v>298</v>
      </c>
      <c r="L104" s="1270">
        <f>F104/(F105-I105)</f>
        <v>0.6</v>
      </c>
      <c r="M104" s="1270"/>
      <c r="N104" s="905"/>
      <c r="O104" s="905"/>
      <c r="P104" s="905"/>
      <c r="Q104" s="884"/>
      <c r="R104" s="301"/>
      <c r="S104" s="1269"/>
      <c r="T104" s="1269"/>
      <c r="U104" s="1269"/>
      <c r="V104" s="1297"/>
      <c r="W104" s="1269"/>
      <c r="X104" s="1269"/>
      <c r="Y104" s="1269"/>
      <c r="Z104" s="1269"/>
      <c r="AA104" s="1269"/>
      <c r="AB104" s="1309"/>
      <c r="AC104" s="1309"/>
      <c r="AD104" s="301"/>
      <c r="AE104" s="301"/>
      <c r="AF104" s="301"/>
      <c r="AG104" s="46"/>
    </row>
    <row r="105" spans="1:33" s="112" customFormat="1" ht="21" customHeight="1">
      <c r="A105" s="930"/>
      <c r="B105" s="621"/>
      <c r="C105" s="1321"/>
      <c r="D105" s="1321"/>
      <c r="E105" s="1380"/>
      <c r="F105" s="1391">
        <f>C102</f>
        <v>8000</v>
      </c>
      <c r="G105" s="1392"/>
      <c r="H105" s="936" t="s">
        <v>330</v>
      </c>
      <c r="I105" s="1391">
        <f>I102</f>
        <v>3000</v>
      </c>
      <c r="J105" s="1392"/>
      <c r="K105" s="1321"/>
      <c r="L105" s="1312"/>
      <c r="M105" s="1312"/>
      <c r="N105" s="621"/>
      <c r="O105" s="621"/>
      <c r="P105" s="621"/>
      <c r="Q105" s="882"/>
      <c r="R105" s="301"/>
      <c r="S105" s="1269"/>
      <c r="T105" s="1269"/>
      <c r="U105" s="1269"/>
      <c r="V105" s="1297"/>
      <c r="W105" s="1269"/>
      <c r="X105" s="301"/>
      <c r="Y105" s="1297"/>
      <c r="Z105" s="1269"/>
      <c r="AA105" s="1269"/>
      <c r="AB105" s="1309"/>
      <c r="AC105" s="1309"/>
      <c r="AD105" s="301"/>
      <c r="AE105" s="301"/>
      <c r="AF105" s="301"/>
      <c r="AG105" s="46"/>
    </row>
    <row r="106" spans="1:33" s="112" customFormat="1" ht="21" customHeight="1">
      <c r="A106" s="858" t="s">
        <v>363</v>
      </c>
      <c r="B106" s="830"/>
      <c r="C106" s="1319" t="s">
        <v>364</v>
      </c>
      <c r="D106" s="1319"/>
      <c r="E106" s="1397" t="s">
        <v>298</v>
      </c>
      <c r="F106" s="927" t="s">
        <v>365</v>
      </c>
      <c r="G106" s="927" t="s">
        <v>51</v>
      </c>
      <c r="H106" s="1319" t="s">
        <v>490</v>
      </c>
      <c r="I106" s="1319"/>
      <c r="J106" s="1319" t="s">
        <v>330</v>
      </c>
      <c r="K106" s="1319">
        <v>1</v>
      </c>
      <c r="L106" s="830"/>
      <c r="M106" s="830"/>
      <c r="N106" s="830"/>
      <c r="O106" s="830"/>
      <c r="P106" s="830"/>
      <c r="Q106" s="883"/>
      <c r="R106" s="301"/>
      <c r="S106" s="1269"/>
      <c r="T106" s="1269"/>
      <c r="U106" s="1269"/>
      <c r="V106" s="301"/>
      <c r="W106" s="301"/>
      <c r="X106" s="1269"/>
      <c r="Y106" s="1269"/>
      <c r="Z106" s="1269"/>
      <c r="AA106" s="1269"/>
      <c r="AB106" s="301"/>
      <c r="AC106" s="301"/>
      <c r="AD106" s="301"/>
      <c r="AE106" s="301"/>
      <c r="AF106" s="301"/>
      <c r="AG106" s="46"/>
    </row>
    <row r="107" spans="1:33" s="112" customFormat="1" ht="21" customHeight="1">
      <c r="A107" s="931" t="s">
        <v>366</v>
      </c>
      <c r="B107" s="905"/>
      <c r="C107" s="1260"/>
      <c r="D107" s="1260"/>
      <c r="E107" s="1259"/>
      <c r="F107" s="1319" t="s">
        <v>491</v>
      </c>
      <c r="G107" s="1319"/>
      <c r="H107" s="1319"/>
      <c r="I107" s="1319"/>
      <c r="J107" s="1260"/>
      <c r="K107" s="1260"/>
      <c r="L107" s="905"/>
      <c r="M107" s="905"/>
      <c r="N107" s="905"/>
      <c r="O107" s="905"/>
      <c r="P107" s="905"/>
      <c r="Q107" s="884"/>
      <c r="R107" s="301"/>
      <c r="S107" s="1269"/>
      <c r="T107" s="1269"/>
      <c r="U107" s="1269"/>
      <c r="V107" s="1269"/>
      <c r="W107" s="1269"/>
      <c r="X107" s="1269"/>
      <c r="Y107" s="1269"/>
      <c r="Z107" s="1269"/>
      <c r="AA107" s="1269"/>
      <c r="AB107" s="301"/>
      <c r="AC107" s="301"/>
      <c r="AD107" s="301"/>
      <c r="AE107" s="301"/>
      <c r="AF107" s="301"/>
      <c r="AG107" s="46"/>
    </row>
    <row r="108" spans="1:33" s="112" customFormat="1" ht="21" customHeight="1">
      <c r="A108" s="931"/>
      <c r="B108" s="905"/>
      <c r="C108" s="905"/>
      <c r="D108" s="905" t="s">
        <v>367</v>
      </c>
      <c r="E108" s="905"/>
      <c r="F108" s="905" t="s">
        <v>541</v>
      </c>
      <c r="G108" s="905"/>
      <c r="H108" s="905"/>
      <c r="I108" s="905"/>
      <c r="J108" s="905"/>
      <c r="K108" s="905"/>
      <c r="L108" s="905"/>
      <c r="M108" s="905"/>
      <c r="N108" s="905"/>
      <c r="O108" s="905"/>
      <c r="P108" s="905"/>
      <c r="Q108" s="884"/>
      <c r="R108" s="301"/>
      <c r="S108" s="301"/>
      <c r="T108" s="299"/>
      <c r="U108" s="301"/>
      <c r="V108" s="299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46"/>
    </row>
    <row r="109" spans="1:33" s="112" customFormat="1" ht="21" customHeight="1">
      <c r="A109" s="931"/>
      <c r="B109" s="905"/>
      <c r="C109" s="905"/>
      <c r="D109" s="905"/>
      <c r="E109" s="905"/>
      <c r="F109" s="905" t="s">
        <v>542</v>
      </c>
      <c r="G109" s="905"/>
      <c r="H109" s="905"/>
      <c r="I109" s="905"/>
      <c r="J109" s="905"/>
      <c r="K109" s="905"/>
      <c r="L109" s="905"/>
      <c r="M109" s="905"/>
      <c r="N109" s="905"/>
      <c r="O109" s="905"/>
      <c r="P109" s="905"/>
      <c r="Q109" s="884"/>
      <c r="R109" s="301"/>
      <c r="S109" s="301"/>
      <c r="T109" s="301"/>
      <c r="U109" s="301"/>
      <c r="V109" s="299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46"/>
    </row>
    <row r="110" spans="1:33" s="112" customFormat="1" ht="21" customHeight="1">
      <c r="A110" s="931"/>
      <c r="B110" s="905"/>
      <c r="C110" s="905"/>
      <c r="D110" s="905"/>
      <c r="E110" s="905"/>
      <c r="F110" s="905" t="s">
        <v>543</v>
      </c>
      <c r="G110" s="905"/>
      <c r="H110" s="905"/>
      <c r="I110" s="905"/>
      <c r="J110" s="905"/>
      <c r="K110" s="905"/>
      <c r="L110" s="905"/>
      <c r="M110" s="905"/>
      <c r="N110" s="905"/>
      <c r="O110" s="905"/>
      <c r="P110" s="905"/>
      <c r="Q110" s="884"/>
      <c r="R110" s="301"/>
      <c r="S110" s="301"/>
      <c r="T110" s="301"/>
      <c r="U110" s="301"/>
      <c r="V110" s="299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46"/>
    </row>
    <row r="111" spans="1:33" s="46" customFormat="1" ht="21" customHeight="1">
      <c r="A111" s="859"/>
      <c r="B111" s="905"/>
      <c r="C111" s="1260" t="s">
        <v>364</v>
      </c>
      <c r="D111" s="1260"/>
      <c r="E111" s="1259" t="s">
        <v>298</v>
      </c>
      <c r="F111" s="407">
        <v>0.8</v>
      </c>
      <c r="G111" s="906" t="s">
        <v>51</v>
      </c>
      <c r="H111" s="464">
        <f>'설계기준(설계치12)'!F10</f>
        <v>59.954999999999998</v>
      </c>
      <c r="I111" s="1260" t="s">
        <v>330</v>
      </c>
      <c r="J111" s="1260">
        <v>1</v>
      </c>
      <c r="K111" s="1260" t="s">
        <v>298</v>
      </c>
      <c r="L111" s="1270">
        <f>(F111*H111/F112)-J111</f>
        <v>1.3982000000000001</v>
      </c>
      <c r="M111" s="1270"/>
      <c r="N111" s="354"/>
      <c r="O111" s="905"/>
      <c r="P111" s="905"/>
      <c r="Q111" s="884"/>
      <c r="R111" s="301"/>
      <c r="S111" s="1269" t="s">
        <v>838</v>
      </c>
      <c r="T111" s="1269"/>
      <c r="U111" s="1269"/>
      <c r="V111" s="301"/>
      <c r="W111" s="301"/>
      <c r="X111" s="1300"/>
      <c r="Y111" s="1269"/>
      <c r="Z111" s="1269"/>
      <c r="AA111" s="1269"/>
      <c r="AB111" s="1269"/>
      <c r="AC111" s="1269"/>
      <c r="AD111" s="1269"/>
      <c r="AE111" s="301"/>
      <c r="AF111" s="301"/>
    </row>
    <row r="112" spans="1:33" s="46" customFormat="1" ht="21" customHeight="1">
      <c r="A112" s="859"/>
      <c r="B112" s="905"/>
      <c r="C112" s="1260"/>
      <c r="D112" s="1260"/>
      <c r="E112" s="1259"/>
      <c r="F112" s="1393">
        <f>'설계기준(설계치12)'!J10</f>
        <v>20</v>
      </c>
      <c r="G112" s="1393"/>
      <c r="H112" s="1393"/>
      <c r="I112" s="1260"/>
      <c r="J112" s="1260"/>
      <c r="K112" s="1260"/>
      <c r="L112" s="1270"/>
      <c r="M112" s="1270"/>
      <c r="N112" s="354"/>
      <c r="O112" s="905"/>
      <c r="P112" s="905"/>
      <c r="Q112" s="884"/>
      <c r="R112" s="301"/>
      <c r="S112" s="1269"/>
      <c r="T112" s="1269"/>
      <c r="U112" s="1269"/>
      <c r="V112" s="1302"/>
      <c r="W112" s="1269"/>
      <c r="X112" s="1269"/>
      <c r="Y112" s="1269"/>
      <c r="Z112" s="1269"/>
      <c r="AA112" s="1269"/>
      <c r="AB112" s="1269"/>
      <c r="AC112" s="1269"/>
      <c r="AD112" s="1269"/>
      <c r="AE112" s="301"/>
      <c r="AF112" s="301"/>
    </row>
    <row r="113" spans="1:33" s="46" customFormat="1" ht="21" customHeight="1">
      <c r="A113" s="931" t="s">
        <v>368</v>
      </c>
      <c r="B113" s="1389" t="s">
        <v>369</v>
      </c>
      <c r="C113" s="1390"/>
      <c r="D113" s="1390"/>
      <c r="E113" s="1390"/>
      <c r="F113" s="905"/>
      <c r="G113" s="906" t="s">
        <v>298</v>
      </c>
      <c r="H113" s="1418">
        <f>H114-H115</f>
        <v>49.32</v>
      </c>
      <c r="I113" s="1418"/>
      <c r="J113" s="905"/>
      <c r="K113" s="905"/>
      <c r="L113" s="905"/>
      <c r="M113" s="905"/>
      <c r="N113" s="905"/>
      <c r="O113" s="905"/>
      <c r="P113" s="905"/>
      <c r="Q113" s="884"/>
      <c r="R113" s="299"/>
      <c r="S113" s="299"/>
      <c r="T113" s="299"/>
      <c r="U113" s="299"/>
      <c r="V113" s="299"/>
      <c r="W113" s="301"/>
      <c r="X113" s="1301"/>
      <c r="Y113" s="1301"/>
      <c r="Z113" s="1265"/>
      <c r="AA113" s="299"/>
      <c r="AB113" s="301"/>
      <c r="AC113" s="301"/>
      <c r="AD113" s="301"/>
      <c r="AE113" s="301"/>
      <c r="AF113" s="301"/>
    </row>
    <row r="114" spans="1:33" s="46" customFormat="1" ht="21" customHeight="1">
      <c r="A114" s="931"/>
      <c r="B114" s="909" t="s">
        <v>330</v>
      </c>
      <c r="C114" s="1259" t="s">
        <v>370</v>
      </c>
      <c r="D114" s="1259"/>
      <c r="E114" s="1259"/>
      <c r="F114" s="1259"/>
      <c r="G114" s="906" t="s">
        <v>30</v>
      </c>
      <c r="H114" s="1271">
        <f>'설계기준(설계치12)'!F10</f>
        <v>59.954999999999998</v>
      </c>
      <c r="I114" s="1271"/>
      <c r="J114" s="905"/>
      <c r="K114" s="905"/>
      <c r="L114" s="905"/>
      <c r="M114" s="905"/>
      <c r="N114" s="905"/>
      <c r="O114" s="905"/>
      <c r="P114" s="905"/>
      <c r="Q114" s="884"/>
      <c r="R114" s="310"/>
      <c r="S114" s="1265"/>
      <c r="T114" s="1265"/>
      <c r="U114" s="1265"/>
      <c r="V114" s="1265"/>
      <c r="W114" s="1265"/>
      <c r="X114" s="301"/>
      <c r="Y114" s="1338"/>
      <c r="Z114" s="1265"/>
      <c r="AA114" s="1265"/>
      <c r="AB114" s="301"/>
      <c r="AC114" s="301"/>
      <c r="AD114" s="301"/>
      <c r="AE114" s="301"/>
      <c r="AF114" s="301"/>
    </row>
    <row r="115" spans="1:33" s="46" customFormat="1" ht="21" customHeight="1">
      <c r="A115" s="859"/>
      <c r="B115" s="909" t="s">
        <v>330</v>
      </c>
      <c r="C115" s="1259" t="s">
        <v>371</v>
      </c>
      <c r="D115" s="1259"/>
      <c r="E115" s="1259"/>
      <c r="F115" s="1259"/>
      <c r="G115" s="906" t="s">
        <v>30</v>
      </c>
      <c r="H115" s="1271">
        <f>H116*0.05</f>
        <v>10.635</v>
      </c>
      <c r="I115" s="1271"/>
      <c r="J115" s="932"/>
      <c r="K115" s="905"/>
      <c r="L115" s="905"/>
      <c r="M115" s="905"/>
      <c r="N115" s="905"/>
      <c r="O115" s="905"/>
      <c r="P115" s="905"/>
      <c r="Q115" s="884"/>
      <c r="R115" s="310"/>
      <c r="S115" s="1265"/>
      <c r="T115" s="1265"/>
      <c r="U115" s="1265"/>
      <c r="V115" s="1265"/>
      <c r="W115" s="1265"/>
      <c r="X115" s="301"/>
      <c r="Y115" s="1342"/>
      <c r="Z115" s="1342"/>
      <c r="AA115" s="1342"/>
      <c r="AB115" s="301"/>
      <c r="AC115" s="301"/>
      <c r="AD115" s="301"/>
      <c r="AE115" s="301"/>
      <c r="AF115" s="301"/>
    </row>
    <row r="116" spans="1:33" s="46" customFormat="1" ht="21" customHeight="1">
      <c r="A116" s="859"/>
      <c r="B116" s="909" t="s">
        <v>330</v>
      </c>
      <c r="C116" s="1257" t="s">
        <v>372</v>
      </c>
      <c r="D116" s="1257"/>
      <c r="E116" s="1257"/>
      <c r="F116" s="1257"/>
      <c r="G116" s="906" t="s">
        <v>30</v>
      </c>
      <c r="H116" s="1271">
        <f>'설계기준(설계치12)'!F7-'설계기준(설계치12)'!J7</f>
        <v>212.7</v>
      </c>
      <c r="I116" s="1271"/>
      <c r="J116" s="905"/>
      <c r="K116" s="905"/>
      <c r="L116" s="905"/>
      <c r="M116" s="1259"/>
      <c r="N116" s="1259"/>
      <c r="O116" s="905"/>
      <c r="P116" s="905"/>
      <c r="Q116" s="884"/>
      <c r="R116" s="310"/>
      <c r="S116" s="1269"/>
      <c r="T116" s="1269"/>
      <c r="U116" s="1269"/>
      <c r="V116" s="301"/>
      <c r="W116" s="1343"/>
      <c r="X116" s="1343"/>
      <c r="Y116" s="1265"/>
      <c r="Z116" s="299"/>
      <c r="AA116" s="301"/>
      <c r="AB116" s="301"/>
      <c r="AC116" s="301"/>
      <c r="AD116" s="301"/>
      <c r="AE116" s="301"/>
      <c r="AF116" s="301"/>
    </row>
    <row r="117" spans="1:33" s="46" customFormat="1" ht="21" customHeight="1">
      <c r="A117" s="859"/>
      <c r="B117" s="1389" t="s">
        <v>544</v>
      </c>
      <c r="C117" s="1390"/>
      <c r="D117" s="1390"/>
      <c r="E117" s="1390"/>
      <c r="F117" s="905"/>
      <c r="G117" s="906" t="s">
        <v>298</v>
      </c>
      <c r="H117" s="1271">
        <f>'설계기준(설계치12)'!J10</f>
        <v>20</v>
      </c>
      <c r="I117" s="1271"/>
      <c r="J117" s="905"/>
      <c r="K117" s="905"/>
      <c r="L117" s="905"/>
      <c r="M117" s="357"/>
      <c r="N117" s="357"/>
      <c r="O117" s="357"/>
      <c r="P117" s="905"/>
      <c r="Q117" s="884"/>
      <c r="R117" s="299"/>
      <c r="S117" s="299"/>
      <c r="T117" s="299"/>
      <c r="U117" s="299"/>
      <c r="V117" s="301"/>
      <c r="W117" s="1341"/>
      <c r="X117" s="1295"/>
      <c r="Y117" s="299"/>
      <c r="Z117" s="301"/>
      <c r="AA117" s="301"/>
      <c r="AB117" s="301"/>
      <c r="AC117" s="301"/>
      <c r="AD117" s="301"/>
      <c r="AE117" s="301"/>
      <c r="AF117" s="301"/>
    </row>
    <row r="118" spans="1:33" s="112" customFormat="1" ht="21" customHeight="1">
      <c r="A118" s="859"/>
      <c r="B118" s="909" t="s">
        <v>330</v>
      </c>
      <c r="C118" s="1257" t="s">
        <v>492</v>
      </c>
      <c r="D118" s="1257"/>
      <c r="E118" s="1257"/>
      <c r="F118" s="1257"/>
      <c r="G118" s="906" t="s">
        <v>298</v>
      </c>
      <c r="H118" s="1271">
        <f>K121/(G119+K122+K123)</f>
        <v>19.728000000000002</v>
      </c>
      <c r="I118" s="1271"/>
      <c r="J118" s="356"/>
      <c r="K118" s="932"/>
      <c r="L118" s="905"/>
      <c r="M118" s="1423"/>
      <c r="N118" s="1423"/>
      <c r="O118" s="1423"/>
      <c r="P118" s="905"/>
      <c r="Q118" s="884"/>
      <c r="R118" s="310"/>
      <c r="S118" s="1265"/>
      <c r="T118" s="1265"/>
      <c r="U118" s="1265"/>
      <c r="V118" s="1265"/>
      <c r="W118" s="1265"/>
      <c r="X118" s="301"/>
      <c r="Y118" s="1265"/>
      <c r="Z118" s="1265"/>
      <c r="AA118" s="1340"/>
      <c r="AB118" s="301"/>
      <c r="AC118" s="301"/>
      <c r="AD118" s="301"/>
      <c r="AE118" s="301"/>
      <c r="AF118" s="301"/>
      <c r="AG118" s="46"/>
    </row>
    <row r="119" spans="1:33" s="112" customFormat="1" ht="21" customHeight="1">
      <c r="A119" s="859"/>
      <c r="B119" s="322"/>
      <c r="C119" s="906" t="s">
        <v>373</v>
      </c>
      <c r="D119" s="905" t="s">
        <v>298</v>
      </c>
      <c r="E119" s="906" t="s">
        <v>493</v>
      </c>
      <c r="F119" s="906" t="s">
        <v>327</v>
      </c>
      <c r="G119" s="906">
        <v>1</v>
      </c>
      <c r="H119" s="906" t="s">
        <v>328</v>
      </c>
      <c r="I119" s="906" t="s">
        <v>361</v>
      </c>
      <c r="J119" s="906" t="s">
        <v>328</v>
      </c>
      <c r="K119" s="906" t="s">
        <v>374</v>
      </c>
      <c r="L119" s="905"/>
      <c r="M119" s="905"/>
      <c r="N119" s="905"/>
      <c r="O119" s="905"/>
      <c r="P119" s="905"/>
      <c r="Q119" s="884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46"/>
    </row>
    <row r="120" spans="1:33" s="112" customFormat="1" ht="21" customHeight="1">
      <c r="A120" s="859"/>
      <c r="B120" s="322"/>
      <c r="C120" s="905" t="s">
        <v>375</v>
      </c>
      <c r="D120" s="905"/>
      <c r="E120" s="905" t="s">
        <v>373</v>
      </c>
      <c r="F120" s="906" t="s">
        <v>298</v>
      </c>
      <c r="G120" s="1257" t="s">
        <v>376</v>
      </c>
      <c r="H120" s="1257"/>
      <c r="I120" s="1257"/>
      <c r="J120" s="1257"/>
      <c r="K120" s="905"/>
      <c r="L120" s="905"/>
      <c r="M120" s="905"/>
      <c r="N120" s="905"/>
      <c r="O120" s="905"/>
      <c r="P120" s="905"/>
      <c r="Q120" s="884"/>
      <c r="R120" s="301">
        <v>27.4</v>
      </c>
      <c r="S120" s="1269">
        <v>600</v>
      </c>
      <c r="T120" s="1269"/>
      <c r="U120" s="301"/>
      <c r="V120" s="301"/>
      <c r="W120" s="1265"/>
      <c r="X120" s="1265"/>
      <c r="Y120" s="1265"/>
      <c r="Z120" s="1265"/>
      <c r="AA120" s="1265"/>
      <c r="AB120" s="1265"/>
      <c r="AC120" s="1265"/>
      <c r="AD120" s="301"/>
      <c r="AE120" s="301"/>
      <c r="AF120" s="301"/>
      <c r="AG120" s="46"/>
    </row>
    <row r="121" spans="1:33" s="112" customFormat="1" ht="21" customHeight="1">
      <c r="A121" s="859"/>
      <c r="B121" s="322"/>
      <c r="C121" s="905"/>
      <c r="D121" s="905"/>
      <c r="E121" s="905" t="s">
        <v>377</v>
      </c>
      <c r="F121" s="906" t="s">
        <v>298</v>
      </c>
      <c r="G121" s="1257" t="s">
        <v>378</v>
      </c>
      <c r="H121" s="1257"/>
      <c r="I121" s="1257"/>
      <c r="J121" s="1257"/>
      <c r="K121" s="413">
        <f>H113</f>
        <v>49.32</v>
      </c>
      <c r="L121" s="905" t="s">
        <v>546</v>
      </c>
      <c r="M121" s="357"/>
      <c r="N121" s="905"/>
      <c r="O121" s="905"/>
      <c r="P121" s="905"/>
      <c r="Q121" s="884"/>
      <c r="R121" s="301">
        <v>2625</v>
      </c>
      <c r="S121" s="1269">
        <v>147.19999999999999</v>
      </c>
      <c r="T121" s="1269"/>
      <c r="U121" s="301"/>
      <c r="V121" s="301"/>
      <c r="W121" s="1265"/>
      <c r="X121" s="1265"/>
      <c r="Y121" s="1265"/>
      <c r="Z121" s="1265"/>
      <c r="AA121" s="1265"/>
      <c r="AB121" s="1344"/>
      <c r="AC121" s="1344"/>
      <c r="AD121" s="1340"/>
      <c r="AE121" s="299"/>
      <c r="AF121" s="301"/>
      <c r="AG121" s="46"/>
    </row>
    <row r="122" spans="1:33" s="112" customFormat="1" ht="21" customHeight="1">
      <c r="A122" s="859"/>
      <c r="B122" s="322"/>
      <c r="C122" s="905"/>
      <c r="D122" s="905"/>
      <c r="E122" s="905" t="s">
        <v>361</v>
      </c>
      <c r="F122" s="906" t="s">
        <v>298</v>
      </c>
      <c r="G122" s="1257" t="s">
        <v>379</v>
      </c>
      <c r="H122" s="1257"/>
      <c r="I122" s="1257"/>
      <c r="J122" s="1257"/>
      <c r="K122" s="483">
        <v>0.5</v>
      </c>
      <c r="L122" s="905" t="s">
        <v>380</v>
      </c>
      <c r="M122" s="905"/>
      <c r="N122" s="905"/>
      <c r="O122" s="905"/>
      <c r="P122" s="905"/>
      <c r="Q122" s="884"/>
      <c r="R122" s="301"/>
      <c r="S122" s="301"/>
      <c r="T122" s="301"/>
      <c r="U122" s="301"/>
      <c r="V122" s="301"/>
      <c r="W122" s="1265"/>
      <c r="X122" s="1265"/>
      <c r="Y122" s="1265"/>
      <c r="Z122" s="1265"/>
      <c r="AA122" s="301"/>
      <c r="AB122" s="299"/>
      <c r="AC122" s="301"/>
      <c r="AD122" s="301"/>
      <c r="AE122" s="301"/>
      <c r="AF122" s="301"/>
      <c r="AG122" s="46"/>
    </row>
    <row r="123" spans="1:33" s="112" customFormat="1" ht="21" customHeight="1">
      <c r="A123" s="859"/>
      <c r="B123" s="322"/>
      <c r="C123" s="905"/>
      <c r="D123" s="905"/>
      <c r="E123" s="905" t="s">
        <v>381</v>
      </c>
      <c r="F123" s="906" t="s">
        <v>298</v>
      </c>
      <c r="G123" s="1259" t="s">
        <v>382</v>
      </c>
      <c r="H123" s="1259"/>
      <c r="I123" s="1259"/>
      <c r="J123" s="1259"/>
      <c r="K123" s="414">
        <v>1</v>
      </c>
      <c r="L123" s="905" t="s">
        <v>380</v>
      </c>
      <c r="M123" s="905"/>
      <c r="N123" s="905"/>
      <c r="O123" s="905"/>
      <c r="P123" s="905"/>
      <c r="Q123" s="884"/>
      <c r="R123" s="301"/>
      <c r="S123" s="301"/>
      <c r="T123" s="301"/>
      <c r="U123" s="301"/>
      <c r="V123" s="301"/>
      <c r="W123" s="1265"/>
      <c r="X123" s="1265"/>
      <c r="Y123" s="1265"/>
      <c r="Z123" s="1265"/>
      <c r="AA123" s="301"/>
      <c r="AB123" s="299"/>
      <c r="AC123" s="301"/>
      <c r="AD123" s="301"/>
      <c r="AE123" s="301"/>
      <c r="AF123" s="301"/>
      <c r="AG123" s="46"/>
    </row>
    <row r="124" spans="1:33" s="112" customFormat="1" ht="21" customHeight="1">
      <c r="A124" s="859"/>
      <c r="B124" s="1389" t="s">
        <v>545</v>
      </c>
      <c r="C124" s="1390"/>
      <c r="D124" s="1390"/>
      <c r="E124" s="1390"/>
      <c r="F124" s="905"/>
      <c r="G124" s="906" t="s">
        <v>30</v>
      </c>
      <c r="H124" s="1271">
        <f>K121</f>
        <v>49.32</v>
      </c>
      <c r="I124" s="1271"/>
      <c r="J124" s="906" t="s">
        <v>547</v>
      </c>
      <c r="K124" s="1320">
        <f>H117-H118</f>
        <v>0.27199999999999847</v>
      </c>
      <c r="L124" s="1320"/>
      <c r="M124" s="906" t="s">
        <v>383</v>
      </c>
      <c r="N124" s="1421">
        <f>H124-K124</f>
        <v>49.048000000000002</v>
      </c>
      <c r="O124" s="1421"/>
      <c r="P124" s="735"/>
      <c r="Q124" s="884"/>
      <c r="R124" s="1339" t="s">
        <v>548</v>
      </c>
      <c r="S124" s="1339"/>
      <c r="T124" s="1339"/>
      <c r="U124" s="1339"/>
      <c r="V124" s="301"/>
      <c r="W124" s="1269"/>
      <c r="X124" s="1269"/>
      <c r="Y124" s="1334"/>
      <c r="Z124" s="299"/>
      <c r="AA124" s="1269"/>
      <c r="AB124" s="1334"/>
      <c r="AC124" s="299"/>
      <c r="AD124" s="1336"/>
      <c r="AE124" s="1336"/>
      <c r="AF124" s="1337"/>
      <c r="AG124" s="46"/>
    </row>
    <row r="125" spans="1:33" s="112" customFormat="1" ht="21" customHeight="1">
      <c r="A125" s="859" t="s">
        <v>384</v>
      </c>
      <c r="B125" s="1389" t="s">
        <v>549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905"/>
      <c r="M125" s="905"/>
      <c r="N125" s="905"/>
      <c r="O125" s="905"/>
      <c r="P125" s="905"/>
      <c r="Q125" s="884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46"/>
    </row>
    <row r="126" spans="1:33" s="112" customFormat="1" ht="21" customHeight="1">
      <c r="A126" s="859"/>
      <c r="B126" s="508" t="s">
        <v>330</v>
      </c>
      <c r="C126" s="1250" t="s">
        <v>385</v>
      </c>
      <c r="D126" s="1250"/>
      <c r="E126" s="1250"/>
      <c r="F126" s="509">
        <v>0.2</v>
      </c>
      <c r="G126" s="250" t="s">
        <v>386</v>
      </c>
      <c r="H126" s="905"/>
      <c r="I126" s="905"/>
      <c r="J126" s="905"/>
      <c r="K126" s="905"/>
      <c r="L126" s="905"/>
      <c r="M126" s="905"/>
      <c r="N126" s="905"/>
      <c r="O126" s="905"/>
      <c r="P126" s="905"/>
      <c r="Q126" s="884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46"/>
    </row>
    <row r="127" spans="1:33" s="112" customFormat="1" ht="21" customHeight="1">
      <c r="A127" s="859"/>
      <c r="B127" s="250"/>
      <c r="C127" s="250"/>
      <c r="D127" s="250"/>
      <c r="E127" s="903" t="s">
        <v>298</v>
      </c>
      <c r="F127" s="1320">
        <f>N124*F126</f>
        <v>9.8096000000000014</v>
      </c>
      <c r="G127" s="1320"/>
      <c r="H127" s="833"/>
      <c r="I127" s="250"/>
      <c r="J127" s="905"/>
      <c r="K127" s="905"/>
      <c r="L127" s="905"/>
      <c r="M127" s="905"/>
      <c r="N127" s="905"/>
      <c r="O127" s="905"/>
      <c r="P127" s="905"/>
      <c r="Q127" s="884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46"/>
    </row>
    <row r="128" spans="1:33" s="112" customFormat="1" ht="21" customHeight="1">
      <c r="A128" s="859"/>
      <c r="B128" s="905"/>
      <c r="C128" s="905"/>
      <c r="D128" s="905"/>
      <c r="E128" s="906" t="s">
        <v>298</v>
      </c>
      <c r="F128" s="1320">
        <f>H113</f>
        <v>49.32</v>
      </c>
      <c r="G128" s="1320"/>
      <c r="H128" s="906" t="s">
        <v>330</v>
      </c>
      <c r="I128" s="1320">
        <f>H117</f>
        <v>20</v>
      </c>
      <c r="J128" s="1320"/>
      <c r="K128" s="358" t="s">
        <v>330</v>
      </c>
      <c r="L128" s="1320">
        <f>F127</f>
        <v>9.8096000000000014</v>
      </c>
      <c r="M128" s="1320"/>
      <c r="N128" s="917"/>
      <c r="O128" s="905"/>
      <c r="P128" s="905"/>
      <c r="Q128" s="884"/>
      <c r="R128" s="301"/>
      <c r="S128" s="301"/>
      <c r="T128" s="301"/>
      <c r="U128" s="301"/>
      <c r="V128" s="301"/>
      <c r="W128" s="301"/>
      <c r="X128" s="321"/>
      <c r="Y128" s="299"/>
      <c r="Z128" s="301"/>
      <c r="AA128" s="301"/>
      <c r="AB128" s="301"/>
      <c r="AC128" s="301"/>
      <c r="AD128" s="301"/>
      <c r="AE128" s="301"/>
      <c r="AF128" s="301"/>
      <c r="AG128" s="46"/>
    </row>
    <row r="129" spans="1:33" s="112" customFormat="1" ht="21" customHeight="1">
      <c r="A129" s="859"/>
      <c r="B129" s="905"/>
      <c r="C129" s="905"/>
      <c r="D129" s="905"/>
      <c r="E129" s="906" t="s">
        <v>298</v>
      </c>
      <c r="F129" s="1320">
        <f>F128-I128-L128</f>
        <v>19.510399999999997</v>
      </c>
      <c r="G129" s="1320"/>
      <c r="H129" s="917"/>
      <c r="I129" s="905"/>
      <c r="J129" s="905"/>
      <c r="K129" s="905"/>
      <c r="L129" s="905"/>
      <c r="M129" s="905"/>
      <c r="N129" s="905"/>
      <c r="O129" s="905"/>
      <c r="P129" s="905"/>
      <c r="Q129" s="884"/>
      <c r="R129" s="301"/>
      <c r="S129" s="301"/>
      <c r="T129" s="301"/>
      <c r="U129" s="301"/>
      <c r="V129" s="301"/>
      <c r="W129" s="301"/>
      <c r="X129" s="321"/>
      <c r="Y129" s="299"/>
      <c r="Z129" s="301"/>
      <c r="AA129" s="301"/>
      <c r="AB129" s="301"/>
      <c r="AC129" s="301"/>
      <c r="AD129" s="301"/>
      <c r="AE129" s="301"/>
      <c r="AF129" s="301"/>
      <c r="AG129" s="46"/>
    </row>
    <row r="130" spans="1:33" s="112" customFormat="1" ht="21" customHeight="1">
      <c r="A130" s="860" t="s">
        <v>840</v>
      </c>
      <c r="B130" s="906"/>
      <c r="C130" s="906"/>
      <c r="D130" s="906"/>
      <c r="E130" s="906"/>
      <c r="F130" s="906"/>
      <c r="G130" s="906"/>
      <c r="H130" s="906"/>
      <c r="I130" s="906"/>
      <c r="J130" s="906"/>
      <c r="K130" s="906"/>
      <c r="L130" s="906"/>
      <c r="M130" s="906"/>
      <c r="N130" s="906"/>
      <c r="O130" s="906"/>
      <c r="P130" s="906"/>
      <c r="Q130" s="884"/>
      <c r="R130" s="301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01"/>
      <c r="AG130" s="46"/>
    </row>
    <row r="131" spans="1:33" s="112" customFormat="1" ht="21" customHeight="1">
      <c r="A131" s="857" t="s">
        <v>387</v>
      </c>
      <c r="B131" s="906" t="s">
        <v>494</v>
      </c>
      <c r="C131" s="906" t="s">
        <v>298</v>
      </c>
      <c r="D131" s="906" t="s">
        <v>495</v>
      </c>
      <c r="E131" s="906" t="s">
        <v>51</v>
      </c>
      <c r="F131" s="350" t="s">
        <v>550</v>
      </c>
      <c r="G131" s="906"/>
      <c r="H131" s="906" t="s">
        <v>551</v>
      </c>
      <c r="I131" s="906">
        <v>1</v>
      </c>
      <c r="J131" s="906" t="s">
        <v>330</v>
      </c>
      <c r="K131" s="906" t="s">
        <v>552</v>
      </c>
      <c r="L131" s="906" t="s">
        <v>143</v>
      </c>
      <c r="M131" s="906"/>
      <c r="N131" s="906"/>
      <c r="O131" s="906"/>
      <c r="P131" s="906"/>
      <c r="Q131" s="884"/>
      <c r="R131" s="301"/>
      <c r="S131" s="301"/>
      <c r="T131" s="301"/>
      <c r="U131" s="301"/>
      <c r="V131" s="345"/>
      <c r="W131" s="301"/>
      <c r="X131" s="339"/>
      <c r="Y131" s="301"/>
      <c r="Z131" s="301"/>
      <c r="AA131" s="301"/>
      <c r="AB131" s="301"/>
      <c r="AC131" s="337"/>
      <c r="AD131" s="337"/>
      <c r="AE131" s="337"/>
      <c r="AF131" s="337"/>
      <c r="AG131" s="46"/>
    </row>
    <row r="132" spans="1:33" s="112" customFormat="1" ht="21" customHeight="1">
      <c r="A132" s="931" t="s">
        <v>496</v>
      </c>
      <c r="B132" s="906"/>
      <c r="C132" s="1260" t="s">
        <v>375</v>
      </c>
      <c r="D132" s="1260"/>
      <c r="E132" s="906"/>
      <c r="F132" s="906" t="s">
        <v>495</v>
      </c>
      <c r="G132" s="906" t="s">
        <v>298</v>
      </c>
      <c r="H132" s="1390" t="s">
        <v>497</v>
      </c>
      <c r="I132" s="1390"/>
      <c r="J132" s="1390"/>
      <c r="K132" s="1390"/>
      <c r="L132" s="1390"/>
      <c r="M132" s="1390"/>
      <c r="N132" s="1390"/>
      <c r="O132" s="1390"/>
      <c r="P132" s="1422"/>
      <c r="Q132" s="902"/>
      <c r="R132" s="301">
        <v>0.03</v>
      </c>
      <c r="S132" s="301" t="s">
        <v>448</v>
      </c>
      <c r="T132" s="301">
        <v>0.11</v>
      </c>
      <c r="U132" s="337"/>
      <c r="V132" s="301"/>
      <c r="W132" s="301"/>
      <c r="X132" s="1335"/>
      <c r="Y132" s="1335"/>
      <c r="Z132" s="1335"/>
      <c r="AA132" s="1335"/>
      <c r="AB132" s="1335"/>
      <c r="AC132" s="1335"/>
      <c r="AD132" s="1335"/>
      <c r="AE132" s="1335"/>
      <c r="AF132" s="1335"/>
      <c r="AG132" s="46"/>
    </row>
    <row r="133" spans="1:33" s="112" customFormat="1" ht="21" customHeight="1">
      <c r="A133" s="928"/>
      <c r="B133" s="913"/>
      <c r="C133" s="906"/>
      <c r="D133" s="906"/>
      <c r="E133" s="906"/>
      <c r="F133" s="906" t="s">
        <v>388</v>
      </c>
      <c r="G133" s="906" t="s">
        <v>298</v>
      </c>
      <c r="H133" s="1260" t="s">
        <v>389</v>
      </c>
      <c r="I133" s="1260"/>
      <c r="J133" s="906" t="s">
        <v>54</v>
      </c>
      <c r="K133" s="906"/>
      <c r="L133" s="906"/>
      <c r="M133" s="906"/>
      <c r="N133" s="906"/>
      <c r="O133" s="906"/>
      <c r="P133" s="933"/>
      <c r="Q133" s="902"/>
      <c r="R133" s="301"/>
      <c r="S133" s="301"/>
      <c r="T133" s="301"/>
      <c r="U133" s="301"/>
      <c r="V133" s="301"/>
      <c r="W133" s="301"/>
      <c r="X133" s="1269"/>
      <c r="Y133" s="1269"/>
      <c r="Z133" s="301"/>
      <c r="AA133" s="301"/>
      <c r="AB133" s="301"/>
      <c r="AC133" s="301"/>
      <c r="AD133" s="301"/>
      <c r="AE133" s="301"/>
      <c r="AF133" s="301"/>
      <c r="AG133" s="46"/>
    </row>
    <row r="134" spans="1:33" s="112" customFormat="1" ht="21" customHeight="1">
      <c r="A134" s="928"/>
      <c r="B134" s="913"/>
      <c r="C134" s="906"/>
      <c r="D134" s="906"/>
      <c r="E134" s="906"/>
      <c r="F134" s="906" t="s">
        <v>326</v>
      </c>
      <c r="G134" s="906" t="s">
        <v>298</v>
      </c>
      <c r="H134" s="1260" t="s">
        <v>390</v>
      </c>
      <c r="I134" s="1260"/>
      <c r="J134" s="906" t="s">
        <v>391</v>
      </c>
      <c r="K134" s="906" t="s">
        <v>392</v>
      </c>
      <c r="L134" s="906">
        <v>0.2</v>
      </c>
      <c r="M134" s="906" t="s">
        <v>339</v>
      </c>
      <c r="N134" s="906"/>
      <c r="O134" s="906"/>
      <c r="P134" s="933"/>
      <c r="Q134" s="902"/>
      <c r="R134" s="301">
        <v>15</v>
      </c>
      <c r="S134" s="301"/>
      <c r="T134" s="301"/>
      <c r="U134" s="301"/>
      <c r="V134" s="301"/>
      <c r="W134" s="301"/>
      <c r="X134" s="1269"/>
      <c r="Y134" s="1269"/>
      <c r="Z134" s="1269"/>
      <c r="AA134" s="301"/>
      <c r="AB134" s="301"/>
      <c r="AC134" s="301"/>
      <c r="AD134" s="301"/>
      <c r="AE134" s="301"/>
      <c r="AF134" s="301"/>
      <c r="AG134" s="46"/>
    </row>
    <row r="135" spans="1:33" s="112" customFormat="1" ht="21" customHeight="1">
      <c r="A135" s="931"/>
      <c r="B135" s="906" t="s">
        <v>494</v>
      </c>
      <c r="C135" s="1260" t="s">
        <v>498</v>
      </c>
      <c r="D135" s="1260"/>
      <c r="E135" s="906" t="s">
        <v>298</v>
      </c>
      <c r="F135" s="948">
        <v>0.11</v>
      </c>
      <c r="G135" s="904" t="s">
        <v>499</v>
      </c>
      <c r="H135" s="904"/>
      <c r="I135" s="906"/>
      <c r="J135" s="906"/>
      <c r="K135" s="350" t="s">
        <v>553</v>
      </c>
      <c r="L135" s="910"/>
      <c r="M135" s="904"/>
      <c r="N135" s="906"/>
      <c r="O135" s="906"/>
      <c r="P135" s="906"/>
      <c r="Q135" s="884"/>
      <c r="R135" s="301"/>
      <c r="S135" s="1269">
        <v>0.18</v>
      </c>
      <c r="T135" s="1269"/>
      <c r="U135" s="301"/>
      <c r="V135" s="301"/>
      <c r="W135" s="299"/>
      <c r="X135" s="299"/>
      <c r="Y135" s="337"/>
      <c r="Z135" s="337"/>
      <c r="AA135" s="345"/>
      <c r="AB135" s="310"/>
      <c r="AC135" s="299"/>
      <c r="AD135" s="301"/>
      <c r="AE135" s="301"/>
      <c r="AF135" s="301"/>
      <c r="AG135" s="46"/>
    </row>
    <row r="136" spans="1:33" s="112" customFormat="1" ht="21" customHeight="1">
      <c r="A136" s="931"/>
      <c r="B136" s="906"/>
      <c r="C136" s="906"/>
      <c r="D136" s="906"/>
      <c r="E136" s="906" t="s">
        <v>298</v>
      </c>
      <c r="F136" s="1317">
        <f>F135*1.09^(K80-20)</f>
        <v>5.5205290764004489E-2</v>
      </c>
      <c r="G136" s="1317"/>
      <c r="H136" s="1257" t="s">
        <v>486</v>
      </c>
      <c r="I136" s="1257"/>
      <c r="J136" s="906"/>
      <c r="K136" s="906"/>
      <c r="L136" s="906"/>
      <c r="M136" s="906"/>
      <c r="N136" s="906"/>
      <c r="O136" s="906"/>
      <c r="P136" s="906"/>
      <c r="Q136" s="884"/>
      <c r="R136" s="301"/>
      <c r="S136" s="301"/>
      <c r="T136" s="301"/>
      <c r="U136" s="301"/>
      <c r="V136" s="1269"/>
      <c r="W136" s="1269"/>
      <c r="X136" s="1265"/>
      <c r="Y136" s="1265"/>
      <c r="Z136" s="301"/>
      <c r="AA136" s="301"/>
      <c r="AB136" s="301"/>
      <c r="AC136" s="301"/>
      <c r="AD136" s="301"/>
      <c r="AE136" s="301"/>
      <c r="AF136" s="301"/>
      <c r="AG136" s="46"/>
    </row>
    <row r="137" spans="1:33" s="112" customFormat="1" ht="21" customHeight="1">
      <c r="A137" s="931" t="s">
        <v>393</v>
      </c>
      <c r="B137" s="906" t="s">
        <v>394</v>
      </c>
      <c r="C137" s="906" t="s">
        <v>298</v>
      </c>
      <c r="D137" s="906" t="s">
        <v>395</v>
      </c>
      <c r="E137" s="906" t="s">
        <v>343</v>
      </c>
      <c r="F137" s="906" t="s">
        <v>392</v>
      </c>
      <c r="G137" s="906" t="s">
        <v>494</v>
      </c>
      <c r="H137" s="906" t="s">
        <v>51</v>
      </c>
      <c r="I137" s="906" t="s">
        <v>396</v>
      </c>
      <c r="J137" s="906" t="s">
        <v>339</v>
      </c>
      <c r="K137" s="906"/>
      <c r="L137" s="906"/>
      <c r="M137" s="906"/>
      <c r="N137" s="906"/>
      <c r="O137" s="906"/>
      <c r="P137" s="906"/>
      <c r="Q137" s="884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46"/>
    </row>
    <row r="138" spans="1:33" s="112" customFormat="1" ht="21" customHeight="1">
      <c r="A138" s="930"/>
      <c r="B138" s="919"/>
      <c r="C138" s="1321" t="s">
        <v>375</v>
      </c>
      <c r="D138" s="1321"/>
      <c r="E138" s="1321" t="s">
        <v>395</v>
      </c>
      <c r="F138" s="1321"/>
      <c r="G138" s="919" t="s">
        <v>298</v>
      </c>
      <c r="H138" s="938" t="s">
        <v>397</v>
      </c>
      <c r="I138" s="938"/>
      <c r="J138" s="938"/>
      <c r="K138" s="938"/>
      <c r="L138" s="938"/>
      <c r="M138" s="938"/>
      <c r="N138" s="938"/>
      <c r="O138" s="938"/>
      <c r="P138" s="919"/>
      <c r="Q138" s="882"/>
      <c r="R138" s="301"/>
      <c r="S138" s="1269"/>
      <c r="T138" s="1269"/>
      <c r="U138" s="1269"/>
      <c r="V138" s="1269"/>
      <c r="W138" s="301"/>
      <c r="X138" s="299"/>
      <c r="Y138" s="299"/>
      <c r="Z138" s="299"/>
      <c r="AA138" s="299"/>
      <c r="AB138" s="299"/>
      <c r="AC138" s="299"/>
      <c r="AD138" s="299"/>
      <c r="AE138" s="299"/>
      <c r="AF138" s="301"/>
      <c r="AG138" s="46"/>
    </row>
    <row r="139" spans="1:33" s="112" customFormat="1" ht="21" customHeight="1">
      <c r="A139" s="956"/>
      <c r="B139" s="927"/>
      <c r="C139" s="927"/>
      <c r="D139" s="927"/>
      <c r="E139" s="1319" t="s">
        <v>396</v>
      </c>
      <c r="F139" s="1319"/>
      <c r="G139" s="927" t="s">
        <v>298</v>
      </c>
      <c r="H139" s="1319" t="s">
        <v>398</v>
      </c>
      <c r="I139" s="1319"/>
      <c r="J139" s="853" t="s">
        <v>399</v>
      </c>
      <c r="K139" s="927"/>
      <c r="L139" s="927"/>
      <c r="M139" s="927"/>
      <c r="N139" s="927"/>
      <c r="O139" s="927"/>
      <c r="P139" s="927"/>
      <c r="Q139" s="883"/>
      <c r="R139" s="301"/>
      <c r="S139" s="301"/>
      <c r="T139" s="301"/>
      <c r="U139" s="301"/>
      <c r="V139" s="301"/>
      <c r="W139" s="301"/>
      <c r="X139" s="1269"/>
      <c r="Y139" s="1269"/>
      <c r="Z139" s="299"/>
      <c r="AA139" s="301"/>
      <c r="AB139" s="301"/>
      <c r="AC139" s="301"/>
      <c r="AD139" s="301"/>
      <c r="AE139" s="301"/>
      <c r="AF139" s="301"/>
      <c r="AG139" s="46"/>
    </row>
    <row r="140" spans="1:33" s="112" customFormat="1" ht="21" customHeight="1">
      <c r="A140" s="859"/>
      <c r="B140" s="906"/>
      <c r="C140" s="906" t="s">
        <v>298</v>
      </c>
      <c r="D140" s="359">
        <f>F129</f>
        <v>19.510399999999997</v>
      </c>
      <c r="E140" s="906" t="s">
        <v>327</v>
      </c>
      <c r="F140" s="937">
        <f>F135</f>
        <v>0.11</v>
      </c>
      <c r="G140" s="906" t="s">
        <v>51</v>
      </c>
      <c r="H140" s="1318" t="s">
        <v>555</v>
      </c>
      <c r="I140" s="1318"/>
      <c r="J140" s="904" t="s">
        <v>400</v>
      </c>
      <c r="K140" s="1278">
        <f>'설계기준(설계치12)'!K15</f>
        <v>2400</v>
      </c>
      <c r="L140" s="1260"/>
      <c r="M140" s="906" t="s">
        <v>143</v>
      </c>
      <c r="N140" s="906" t="s">
        <v>41</v>
      </c>
      <c r="O140" s="906">
        <v>24</v>
      </c>
      <c r="P140" s="906" t="s">
        <v>188</v>
      </c>
      <c r="Q140" s="884"/>
      <c r="R140" s="301"/>
      <c r="S140" s="301"/>
      <c r="T140" s="310"/>
      <c r="U140" s="1349"/>
      <c r="V140" s="1350"/>
      <c r="W140" s="339"/>
      <c r="X140" s="301"/>
      <c r="Y140" s="301"/>
      <c r="Z140" s="345"/>
      <c r="AA140" s="301"/>
      <c r="AB140" s="337"/>
      <c r="AC140" s="301"/>
      <c r="AD140" s="301"/>
      <c r="AE140" s="301"/>
      <c r="AF140" s="301"/>
      <c r="AG140" s="46"/>
    </row>
    <row r="141" spans="1:33" s="112" customFormat="1" ht="21" customHeight="1">
      <c r="A141" s="859"/>
      <c r="B141" s="906"/>
      <c r="C141" s="906" t="s">
        <v>298</v>
      </c>
      <c r="D141" s="908">
        <f>(D140)/(F140*1.09^(K80-20)*K140)*O140</f>
        <v>3.5341540149483937</v>
      </c>
      <c r="E141" s="906" t="s">
        <v>188</v>
      </c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884"/>
      <c r="R141" s="301"/>
      <c r="S141" s="301"/>
      <c r="T141" s="301"/>
      <c r="U141" s="301"/>
      <c r="V141" s="301"/>
      <c r="W141" s="301"/>
      <c r="X141" s="299"/>
      <c r="Y141" s="1297"/>
      <c r="Z141" s="1269"/>
      <c r="AA141" s="353"/>
      <c r="AB141" s="301"/>
      <c r="AC141" s="301"/>
      <c r="AD141" s="301"/>
      <c r="AE141" s="1307"/>
      <c r="AF141" s="1307"/>
      <c r="AG141" s="46"/>
    </row>
    <row r="142" spans="1:33" s="112" customFormat="1" ht="21" customHeight="1">
      <c r="A142" s="860" t="s">
        <v>401</v>
      </c>
      <c r="B142" s="906"/>
      <c r="C142" s="906"/>
      <c r="D142" s="906"/>
      <c r="E142" s="906"/>
      <c r="F142" s="906"/>
      <c r="G142" s="906"/>
      <c r="H142" s="906"/>
      <c r="I142" s="906"/>
      <c r="J142" s="906"/>
      <c r="K142" s="906"/>
      <c r="L142" s="906"/>
      <c r="M142" s="906"/>
      <c r="N142" s="906"/>
      <c r="O142" s="906"/>
      <c r="P142" s="906"/>
      <c r="Q142" s="884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46"/>
    </row>
    <row r="143" spans="1:33" s="112" customFormat="1" ht="21" customHeight="1">
      <c r="A143" s="931" t="s">
        <v>300</v>
      </c>
      <c r="B143" s="906"/>
      <c r="C143" s="1333">
        <f>'설계기준(설계치12)'!H4</f>
        <v>166.66666666666666</v>
      </c>
      <c r="D143" s="1333"/>
      <c r="E143" s="906" t="s">
        <v>51</v>
      </c>
      <c r="F143" s="514">
        <f>D141</f>
        <v>3.5341540149483937</v>
      </c>
      <c r="G143" s="906" t="s">
        <v>188</v>
      </c>
      <c r="H143" s="906" t="s">
        <v>298</v>
      </c>
      <c r="I143" s="1291">
        <f>C143*F143</f>
        <v>589.02566915806563</v>
      </c>
      <c r="J143" s="1291"/>
      <c r="K143" s="906" t="s">
        <v>302</v>
      </c>
      <c r="L143" s="906"/>
      <c r="M143" s="924"/>
      <c r="N143" s="906"/>
      <c r="O143" s="905"/>
      <c r="P143" s="905"/>
      <c r="Q143" s="884"/>
      <c r="R143" s="1042">
        <f>IF(+L148/I143&gt;1,1,+L148/I143)</f>
        <v>0.51576699608735554</v>
      </c>
      <c r="S143" s="1305">
        <f>+R143*R181</f>
        <v>0.20214032868728693</v>
      </c>
      <c r="T143" s="1305"/>
      <c r="U143" s="1305"/>
      <c r="V143" s="943">
        <v>59</v>
      </c>
      <c r="W143" s="1039"/>
      <c r="X143" s="321"/>
      <c r="Y143" s="943"/>
      <c r="Z143" s="1040">
        <f>+L148/I143</f>
        <v>0.51576699608735554</v>
      </c>
      <c r="AA143" s="321"/>
      <c r="AB143" s="943"/>
      <c r="AC143" s="945"/>
      <c r="AD143" s="943"/>
      <c r="AE143" s="321"/>
      <c r="AF143" s="321"/>
      <c r="AG143" s="46"/>
    </row>
    <row r="144" spans="1:33" s="112" customFormat="1" ht="21" customHeight="1">
      <c r="A144" s="860" t="s">
        <v>402</v>
      </c>
      <c r="B144" s="906"/>
      <c r="C144" s="906"/>
      <c r="D144" s="906"/>
      <c r="E144" s="906"/>
      <c r="F144" s="906"/>
      <c r="G144" s="906"/>
      <c r="H144" s="906"/>
      <c r="I144" s="906"/>
      <c r="J144" s="906"/>
      <c r="K144" s="906"/>
      <c r="L144" s="906"/>
      <c r="M144" s="906"/>
      <c r="N144" s="906"/>
      <c r="O144" s="906"/>
      <c r="P144" s="906"/>
      <c r="Q144" s="884"/>
      <c r="R144" s="942"/>
      <c r="S144" s="1305">
        <v>0.8</v>
      </c>
      <c r="T144" s="1305"/>
      <c r="U144" s="1305"/>
      <c r="V144" s="942">
        <v>31</v>
      </c>
      <c r="W144" s="942"/>
      <c r="X144" s="942"/>
      <c r="Y144" s="942"/>
      <c r="Z144" s="942"/>
      <c r="AA144" s="942"/>
      <c r="AB144" s="942"/>
      <c r="AC144" s="942"/>
      <c r="AD144" s="942"/>
      <c r="AE144" s="942"/>
      <c r="AF144" s="942"/>
      <c r="AG144" s="46"/>
    </row>
    <row r="145" spans="1:67" s="112" customFormat="1" ht="21" customHeight="1">
      <c r="A145" s="931" t="s">
        <v>304</v>
      </c>
      <c r="B145" s="913"/>
      <c r="C145" s="1260" t="s">
        <v>121</v>
      </c>
      <c r="D145" s="1260"/>
      <c r="E145" s="1260"/>
      <c r="F145" s="1260"/>
      <c r="G145" s="1260"/>
      <c r="H145" s="1260"/>
      <c r="I145" s="1260"/>
      <c r="J145" s="1260"/>
      <c r="K145" s="1260"/>
      <c r="L145" s="1260"/>
      <c r="M145" s="1260"/>
      <c r="N145" s="1260"/>
      <c r="O145" s="906"/>
      <c r="P145" s="905"/>
      <c r="Q145" s="884"/>
      <c r="R145" s="944"/>
      <c r="S145" s="1305">
        <f>+S143*S144</f>
        <v>0.16171226294982954</v>
      </c>
      <c r="T145" s="1305"/>
      <c r="U145" s="1305"/>
      <c r="V145" s="1041">
        <f>1-V144/V143</f>
        <v>0.47457627118644063</v>
      </c>
      <c r="W145" s="944"/>
      <c r="X145" s="944">
        <f>V143-+V143*S145</f>
        <v>49.458976485960058</v>
      </c>
      <c r="Y145" s="944"/>
      <c r="Z145" s="944"/>
      <c r="AA145" s="944"/>
      <c r="AB145" s="944"/>
      <c r="AC145" s="944"/>
      <c r="AD145" s="944"/>
      <c r="AE145" s="944"/>
      <c r="AF145" s="944"/>
      <c r="AG145" s="46"/>
    </row>
    <row r="146" spans="1:67" s="112" customFormat="1" ht="21" customHeight="1">
      <c r="A146" s="931" t="s">
        <v>306</v>
      </c>
      <c r="B146" s="906" t="s">
        <v>307</v>
      </c>
      <c r="C146" s="309">
        <v>7</v>
      </c>
      <c r="D146" s="906" t="s">
        <v>308</v>
      </c>
      <c r="E146" s="906" t="s">
        <v>51</v>
      </c>
      <c r="F146" s="906" t="s">
        <v>309</v>
      </c>
      <c r="G146" s="309">
        <v>3.5</v>
      </c>
      <c r="H146" s="906" t="s">
        <v>308</v>
      </c>
      <c r="I146" s="906" t="s">
        <v>51</v>
      </c>
      <c r="J146" s="1260" t="s">
        <v>310</v>
      </c>
      <c r="K146" s="1260"/>
      <c r="L146" s="906" t="s">
        <v>311</v>
      </c>
      <c r="M146" s="309">
        <v>6.2</v>
      </c>
      <c r="N146" s="906" t="s">
        <v>308</v>
      </c>
      <c r="O146" s="906"/>
      <c r="P146" s="906"/>
      <c r="Q146" s="884"/>
      <c r="R146" s="310"/>
      <c r="S146" s="311"/>
      <c r="T146" s="299"/>
      <c r="U146" s="301"/>
      <c r="V146" s="310"/>
      <c r="W146" s="311"/>
      <c r="X146" s="299"/>
      <c r="Y146" s="301"/>
      <c r="Z146" s="1269"/>
      <c r="AA146" s="1269"/>
      <c r="AB146" s="310"/>
      <c r="AC146" s="301"/>
      <c r="AD146" s="299"/>
      <c r="AE146" s="301"/>
      <c r="AF146" s="301"/>
      <c r="AG146" s="46"/>
    </row>
    <row r="147" spans="1:67" s="112" customFormat="1" ht="21" customHeight="1">
      <c r="A147" s="931" t="s">
        <v>312</v>
      </c>
      <c r="B147" s="905"/>
      <c r="C147" s="905"/>
      <c r="D147" s="905"/>
      <c r="E147" s="905"/>
      <c r="F147" s="905"/>
      <c r="G147" s="905"/>
      <c r="H147" s="906">
        <v>2</v>
      </c>
      <c r="I147" s="905" t="s">
        <v>313</v>
      </c>
      <c r="J147" s="905"/>
      <c r="K147" s="905"/>
      <c r="L147" s="905"/>
      <c r="M147" s="905"/>
      <c r="N147" s="905"/>
      <c r="O147" s="906"/>
      <c r="P147" s="906"/>
      <c r="Q147" s="884"/>
      <c r="R147" s="297"/>
      <c r="S147" s="297"/>
      <c r="T147" s="297"/>
      <c r="U147" s="297"/>
      <c r="V147" s="297"/>
      <c r="W147" s="297"/>
      <c r="X147" s="301"/>
      <c r="Y147" s="297"/>
      <c r="Z147" s="297"/>
      <c r="AA147" s="297"/>
      <c r="AB147" s="297"/>
      <c r="AC147" s="297"/>
      <c r="AD147" s="297"/>
      <c r="AE147" s="301"/>
      <c r="AF147" s="301"/>
      <c r="AG147" s="46"/>
    </row>
    <row r="148" spans="1:67" s="112" customFormat="1" ht="21" customHeight="1">
      <c r="A148" s="931" t="s">
        <v>314</v>
      </c>
      <c r="B148" s="906" t="s">
        <v>315</v>
      </c>
      <c r="C148" s="906" t="s">
        <v>298</v>
      </c>
      <c r="D148" s="1272">
        <f>C146*G146*M146</f>
        <v>151.9</v>
      </c>
      <c r="E148" s="1272"/>
      <c r="F148" s="1260" t="s">
        <v>316</v>
      </c>
      <c r="G148" s="1260"/>
      <c r="H148" s="906" t="s">
        <v>51</v>
      </c>
      <c r="I148" s="906">
        <f>H147</f>
        <v>2</v>
      </c>
      <c r="J148" s="906" t="str">
        <f>I147</f>
        <v>계열</v>
      </c>
      <c r="K148" s="906" t="s">
        <v>298</v>
      </c>
      <c r="L148" s="1291">
        <f>D148*I148</f>
        <v>303.8</v>
      </c>
      <c r="M148" s="1291"/>
      <c r="N148" s="905"/>
      <c r="O148" s="906"/>
      <c r="P148" s="906"/>
      <c r="Q148" s="884"/>
      <c r="R148" s="301"/>
      <c r="S148" s="301"/>
      <c r="T148" s="1269"/>
      <c r="U148" s="1269"/>
      <c r="V148" s="1269"/>
      <c r="W148" s="1269"/>
      <c r="X148" s="297"/>
      <c r="Y148" s="301"/>
      <c r="Z148" s="297"/>
      <c r="AA148" s="297"/>
      <c r="AB148" s="1269"/>
      <c r="AC148" s="1269"/>
      <c r="AD148" s="297"/>
      <c r="AE148" s="301"/>
      <c r="AF148" s="301"/>
      <c r="AG148" s="46"/>
    </row>
    <row r="149" spans="1:67" s="112" customFormat="1" ht="21" customHeight="1">
      <c r="A149" s="860" t="s">
        <v>403</v>
      </c>
      <c r="B149" s="906"/>
      <c r="C149" s="906"/>
      <c r="D149" s="906"/>
      <c r="E149" s="906"/>
      <c r="F149" s="906"/>
      <c r="G149" s="906"/>
      <c r="H149" s="906"/>
      <c r="I149" s="906"/>
      <c r="J149" s="906"/>
      <c r="K149" s="906"/>
      <c r="L149" s="906"/>
      <c r="M149" s="906"/>
      <c r="N149" s="906"/>
      <c r="O149" s="906"/>
      <c r="P149" s="906"/>
      <c r="Q149" s="878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46"/>
    </row>
    <row r="150" spans="1:67" s="100" customFormat="1" ht="21" customHeight="1">
      <c r="A150" s="931" t="s">
        <v>404</v>
      </c>
      <c r="B150" s="1291">
        <f>L148</f>
        <v>303.8</v>
      </c>
      <c r="C150" s="1291"/>
      <c r="D150" s="906" t="s">
        <v>405</v>
      </c>
      <c r="E150" s="1327">
        <f>'설계기준(설계치12)'!C4</f>
        <v>4000</v>
      </c>
      <c r="F150" s="1327"/>
      <c r="G150" s="1328"/>
      <c r="H150" s="906" t="s">
        <v>325</v>
      </c>
      <c r="I150" s="1304">
        <v>24</v>
      </c>
      <c r="J150" s="1304"/>
      <c r="K150" s="362" t="s">
        <v>298</v>
      </c>
      <c r="L150" s="1332">
        <f>B150/E150*I150</f>
        <v>1.8228</v>
      </c>
      <c r="M150" s="1332"/>
      <c r="N150" s="905"/>
      <c r="O150" s="905"/>
      <c r="P150" s="905"/>
      <c r="Q150" s="878"/>
      <c r="R150" s="1269"/>
      <c r="S150" s="1269"/>
      <c r="T150" s="301"/>
      <c r="U150" s="1306"/>
      <c r="V150" s="1295"/>
      <c r="W150" s="1295"/>
      <c r="X150" s="301"/>
      <c r="Y150" s="1348"/>
      <c r="Z150" s="1295"/>
      <c r="AA150" s="364"/>
      <c r="AB150" s="1307"/>
      <c r="AC150" s="1269"/>
      <c r="AD150" s="297"/>
      <c r="AE150" s="297"/>
      <c r="AF150" s="297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101" customFormat="1" ht="21" customHeight="1">
      <c r="A151" s="738" t="s">
        <v>577</v>
      </c>
      <c r="B151" s="322"/>
      <c r="C151" s="905"/>
      <c r="D151" s="905"/>
      <c r="E151" s="905"/>
      <c r="F151" s="905"/>
      <c r="G151" s="905"/>
      <c r="H151" s="905"/>
      <c r="I151" s="905"/>
      <c r="J151" s="905"/>
      <c r="K151" s="905"/>
      <c r="L151" s="905"/>
      <c r="M151" s="905"/>
      <c r="N151" s="905"/>
      <c r="O151" s="905"/>
      <c r="P151" s="905"/>
      <c r="Q151" s="878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1:67" s="100" customFormat="1" ht="21" customHeight="1">
      <c r="A152" s="739" t="s">
        <v>406</v>
      </c>
      <c r="B152" s="916" t="s">
        <v>578</v>
      </c>
      <c r="C152" s="904"/>
      <c r="D152" s="904"/>
      <c r="E152" s="904"/>
      <c r="F152" s="904"/>
      <c r="G152" s="904"/>
      <c r="H152" s="904"/>
      <c r="I152" s="904"/>
      <c r="J152" s="904"/>
      <c r="K152" s="904"/>
      <c r="L152" s="904"/>
      <c r="M152" s="904"/>
      <c r="N152" s="904"/>
      <c r="O152" s="904"/>
      <c r="P152" s="904"/>
      <c r="Q152" s="878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45"/>
    </row>
    <row r="153" spans="1:67" s="100" customFormat="1" ht="21" customHeight="1">
      <c r="A153" s="739"/>
      <c r="B153" s="916" t="s">
        <v>579</v>
      </c>
      <c r="C153" s="904"/>
      <c r="D153" s="904"/>
      <c r="E153" s="904"/>
      <c r="F153" s="904"/>
      <c r="G153" s="904"/>
      <c r="H153" s="904"/>
      <c r="I153" s="904"/>
      <c r="J153" s="904"/>
      <c r="K153" s="904"/>
      <c r="L153" s="904"/>
      <c r="M153" s="904"/>
      <c r="N153" s="904"/>
      <c r="O153" s="904"/>
      <c r="P153" s="904"/>
      <c r="Q153" s="878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45"/>
    </row>
    <row r="154" spans="1:67" s="100" customFormat="1" ht="21" customHeight="1">
      <c r="A154" s="739" t="s">
        <v>407</v>
      </c>
      <c r="B154" s="905"/>
      <c r="C154" s="905"/>
      <c r="D154" s="905"/>
      <c r="E154" s="905"/>
      <c r="F154" s="905"/>
      <c r="G154" s="905"/>
      <c r="H154" s="905"/>
      <c r="I154" s="905"/>
      <c r="J154" s="905"/>
      <c r="K154" s="905"/>
      <c r="L154" s="905"/>
      <c r="M154" s="905"/>
      <c r="N154" s="905"/>
      <c r="O154" s="905"/>
      <c r="P154" s="905"/>
      <c r="Q154" s="878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45"/>
    </row>
    <row r="155" spans="1:67" s="100" customFormat="1" ht="21" customHeight="1">
      <c r="A155" s="857" t="s">
        <v>408</v>
      </c>
      <c r="B155" s="905"/>
      <c r="C155" s="906" t="s">
        <v>500</v>
      </c>
      <c r="D155" s="362" t="s">
        <v>298</v>
      </c>
      <c r="E155" s="906" t="s">
        <v>409</v>
      </c>
      <c r="F155" s="906" t="s">
        <v>41</v>
      </c>
      <c r="G155" s="906" t="s">
        <v>410</v>
      </c>
      <c r="H155" s="906" t="s">
        <v>330</v>
      </c>
      <c r="I155" s="906" t="s">
        <v>501</v>
      </c>
      <c r="J155" s="905"/>
      <c r="K155" s="905"/>
      <c r="L155" s="905"/>
      <c r="M155" s="905"/>
      <c r="N155" s="905"/>
      <c r="O155" s="905"/>
      <c r="P155" s="905"/>
      <c r="Q155" s="878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45"/>
    </row>
    <row r="156" spans="1:67" s="100" customFormat="1" ht="21" customHeight="1">
      <c r="A156" s="859" t="s">
        <v>411</v>
      </c>
      <c r="B156" s="905"/>
      <c r="C156" s="906" t="s">
        <v>410</v>
      </c>
      <c r="D156" s="362" t="s">
        <v>298</v>
      </c>
      <c r="E156" s="906" t="s">
        <v>412</v>
      </c>
      <c r="F156" s="906" t="s">
        <v>41</v>
      </c>
      <c r="G156" s="905" t="s">
        <v>556</v>
      </c>
      <c r="H156" s="906" t="s">
        <v>525</v>
      </c>
      <c r="I156" s="906" t="s">
        <v>557</v>
      </c>
      <c r="J156" s="905"/>
      <c r="K156" s="905"/>
      <c r="L156" s="905"/>
      <c r="M156" s="905"/>
      <c r="N156" s="905"/>
      <c r="O156" s="905"/>
      <c r="P156" s="905"/>
      <c r="Q156" s="878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45"/>
    </row>
    <row r="157" spans="1:67" s="100" customFormat="1" ht="21" customHeight="1">
      <c r="A157" s="859" t="s">
        <v>145</v>
      </c>
      <c r="B157" s="905"/>
      <c r="C157" s="905" t="s">
        <v>367</v>
      </c>
      <c r="D157" s="905"/>
      <c r="E157" s="905" t="s">
        <v>502</v>
      </c>
      <c r="F157" s="905"/>
      <c r="G157" s="905"/>
      <c r="H157" s="905"/>
      <c r="I157" s="905"/>
      <c r="J157" s="905"/>
      <c r="K157" s="731">
        <v>0.44</v>
      </c>
      <c r="L157" s="905" t="s">
        <v>413</v>
      </c>
      <c r="M157" s="905"/>
      <c r="N157" s="905"/>
      <c r="O157" s="905"/>
      <c r="P157" s="905"/>
      <c r="Q157" s="878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1"/>
      <c r="AB157" s="321"/>
      <c r="AC157" s="321"/>
      <c r="AD157" s="321"/>
      <c r="AE157" s="321"/>
      <c r="AF157" s="321"/>
      <c r="AG157" s="45"/>
    </row>
    <row r="158" spans="1:67" s="100" customFormat="1" ht="21" customHeight="1">
      <c r="A158" s="859"/>
      <c r="B158" s="905"/>
      <c r="C158" s="905"/>
      <c r="D158" s="905"/>
      <c r="E158" s="905" t="s">
        <v>503</v>
      </c>
      <c r="F158" s="905"/>
      <c r="G158" s="905"/>
      <c r="H158" s="905"/>
      <c r="I158" s="905"/>
      <c r="J158" s="905"/>
      <c r="K158" s="905"/>
      <c r="L158" s="905"/>
      <c r="M158" s="905"/>
      <c r="N158" s="905"/>
      <c r="O158" s="905"/>
      <c r="P158" s="905"/>
      <c r="Q158" s="878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45"/>
    </row>
    <row r="159" spans="1:67" s="100" customFormat="1" ht="21" customHeight="1">
      <c r="A159" s="859"/>
      <c r="B159" s="905"/>
      <c r="C159" s="905"/>
      <c r="D159" s="905"/>
      <c r="E159" s="905" t="s">
        <v>504</v>
      </c>
      <c r="F159" s="905"/>
      <c r="G159" s="905"/>
      <c r="H159" s="905"/>
      <c r="I159" s="905"/>
      <c r="J159" s="905"/>
      <c r="K159" s="905"/>
      <c r="L159" s="905"/>
      <c r="M159" s="905"/>
      <c r="N159" s="905"/>
      <c r="O159" s="905"/>
      <c r="P159" s="905"/>
      <c r="Q159" s="878"/>
      <c r="R159" s="321"/>
      <c r="S159" s="321"/>
      <c r="T159" s="321"/>
      <c r="U159" s="321"/>
      <c r="V159" s="321"/>
      <c r="W159" s="321"/>
      <c r="X159" s="321"/>
      <c r="Y159" s="321"/>
      <c r="Z159" s="321"/>
      <c r="AA159" s="321"/>
      <c r="AB159" s="321"/>
      <c r="AC159" s="321"/>
      <c r="AD159" s="321"/>
      <c r="AE159" s="321"/>
      <c r="AF159" s="321"/>
      <c r="AG159" s="45"/>
    </row>
    <row r="160" spans="1:67" s="100" customFormat="1" ht="21" customHeight="1">
      <c r="A160" s="859"/>
      <c r="B160" s="905"/>
      <c r="C160" s="906" t="s">
        <v>410</v>
      </c>
      <c r="D160" s="362" t="s">
        <v>30</v>
      </c>
      <c r="E160" s="906">
        <v>1</v>
      </c>
      <c r="F160" s="906" t="s">
        <v>343</v>
      </c>
      <c r="G160" s="906">
        <f>K157</f>
        <v>0.44</v>
      </c>
      <c r="H160" s="906" t="s">
        <v>141</v>
      </c>
      <c r="I160" s="906">
        <v>1</v>
      </c>
      <c r="J160" s="906" t="s">
        <v>343</v>
      </c>
      <c r="K160" s="908">
        <f>K90</f>
        <v>10</v>
      </c>
      <c r="L160" s="362" t="s">
        <v>328</v>
      </c>
      <c r="M160" s="941">
        <v>0.04</v>
      </c>
      <c r="N160" s="906" t="s">
        <v>339</v>
      </c>
      <c r="O160" s="906"/>
      <c r="P160" s="906"/>
      <c r="Q160" s="878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45"/>
    </row>
    <row r="161" spans="1:33" s="100" customFormat="1" ht="21" customHeight="1">
      <c r="A161" s="859"/>
      <c r="B161" s="905"/>
      <c r="C161" s="906"/>
      <c r="D161" s="362" t="s">
        <v>298</v>
      </c>
      <c r="E161" s="834">
        <f>(E160/G160)*(I160/K160+M160)</f>
        <v>0.31818181818181823</v>
      </c>
      <c r="F161" s="906" t="s">
        <v>486</v>
      </c>
      <c r="G161" s="906"/>
      <c r="H161" s="906"/>
      <c r="I161" s="906"/>
      <c r="J161" s="906"/>
      <c r="K161" s="906"/>
      <c r="L161" s="906"/>
      <c r="M161" s="906"/>
      <c r="N161" s="906"/>
      <c r="O161" s="906"/>
      <c r="P161" s="906"/>
      <c r="Q161" s="878"/>
      <c r="R161" s="321"/>
      <c r="S161" s="321"/>
      <c r="T161" s="321"/>
      <c r="U161" s="321"/>
      <c r="V161" s="321"/>
      <c r="W161" s="321"/>
      <c r="X161" s="321"/>
      <c r="Y161" s="321"/>
      <c r="Z161" s="321"/>
      <c r="AA161" s="321"/>
      <c r="AB161" s="321"/>
      <c r="AC161" s="321"/>
      <c r="AD161" s="321"/>
      <c r="AE161" s="321"/>
      <c r="AF161" s="321"/>
      <c r="AG161" s="45"/>
    </row>
    <row r="162" spans="1:33" s="100" customFormat="1" ht="21" customHeight="1">
      <c r="A162" s="931" t="s">
        <v>414</v>
      </c>
      <c r="B162" s="905"/>
      <c r="C162" s="906" t="s">
        <v>410</v>
      </c>
      <c r="D162" s="362" t="s">
        <v>298</v>
      </c>
      <c r="E162" s="906" t="s">
        <v>558</v>
      </c>
      <c r="F162" s="362" t="s">
        <v>330</v>
      </c>
      <c r="G162" s="908" t="s">
        <v>561</v>
      </c>
      <c r="H162" s="908" t="s">
        <v>142</v>
      </c>
      <c r="I162" s="906" t="s">
        <v>559</v>
      </c>
      <c r="J162" s="906" t="s">
        <v>525</v>
      </c>
      <c r="K162" s="906" t="s">
        <v>560</v>
      </c>
      <c r="L162" s="905"/>
      <c r="M162" s="905"/>
      <c r="N162" s="905"/>
      <c r="O162" s="905"/>
      <c r="P162" s="905"/>
      <c r="Q162" s="878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45"/>
    </row>
    <row r="163" spans="1:33" s="100" customFormat="1" ht="21" customHeight="1">
      <c r="A163" s="859" t="s">
        <v>415</v>
      </c>
      <c r="B163" s="905"/>
      <c r="C163" s="905" t="s">
        <v>367</v>
      </c>
      <c r="D163" s="498"/>
      <c r="E163" s="905" t="s">
        <v>505</v>
      </c>
      <c r="F163" s="905"/>
      <c r="G163" s="413"/>
      <c r="H163" s="905"/>
      <c r="I163" s="905"/>
      <c r="J163" s="905"/>
      <c r="K163" s="905"/>
      <c r="L163" s="905"/>
      <c r="M163" s="905"/>
      <c r="N163" s="905"/>
      <c r="O163" s="905"/>
      <c r="P163" s="905"/>
      <c r="Q163" s="878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 s="45"/>
    </row>
    <row r="164" spans="1:33" s="100" customFormat="1" ht="21" customHeight="1">
      <c r="A164" s="861" t="s">
        <v>416</v>
      </c>
      <c r="B164" s="905"/>
      <c r="C164" s="905"/>
      <c r="D164" s="498"/>
      <c r="E164" s="905" t="s">
        <v>417</v>
      </c>
      <c r="F164" s="905"/>
      <c r="G164" s="413"/>
      <c r="H164" s="905"/>
      <c r="I164" s="905"/>
      <c r="J164" s="905"/>
      <c r="K164" s="905"/>
      <c r="L164" s="905"/>
      <c r="M164" s="905"/>
      <c r="N164" s="905"/>
      <c r="O164" s="905"/>
      <c r="P164" s="905"/>
      <c r="Q164" s="878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45"/>
    </row>
    <row r="165" spans="1:33" s="100" customFormat="1" ht="21" customHeight="1">
      <c r="A165" s="861"/>
      <c r="B165" s="905"/>
      <c r="C165" s="905"/>
      <c r="D165" s="498"/>
      <c r="E165" s="905" t="s">
        <v>506</v>
      </c>
      <c r="F165" s="905"/>
      <c r="G165" s="413"/>
      <c r="H165" s="905"/>
      <c r="I165" s="905"/>
      <c r="J165" s="905"/>
      <c r="K165" s="905"/>
      <c r="L165" s="905"/>
      <c r="M165" s="905"/>
      <c r="N165" s="905"/>
      <c r="O165" s="905"/>
      <c r="P165" s="905"/>
      <c r="Q165" s="878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45"/>
    </row>
    <row r="166" spans="1:33" s="100" customFormat="1" ht="21" customHeight="1">
      <c r="A166" s="861"/>
      <c r="B166" s="905"/>
      <c r="C166" s="905"/>
      <c r="D166" s="498"/>
      <c r="E166" s="905" t="s">
        <v>418</v>
      </c>
      <c r="F166" s="905"/>
      <c r="G166" s="413"/>
      <c r="H166" s="905"/>
      <c r="I166" s="905"/>
      <c r="J166" s="905"/>
      <c r="K166" s="905"/>
      <c r="L166" s="905"/>
      <c r="M166" s="905"/>
      <c r="N166" s="905"/>
      <c r="O166" s="905"/>
      <c r="P166" s="905"/>
      <c r="Q166" s="878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45"/>
    </row>
    <row r="167" spans="1:33" s="100" customFormat="1" ht="21" customHeight="1">
      <c r="A167" s="861"/>
      <c r="B167" s="905"/>
      <c r="C167" s="906" t="s">
        <v>102</v>
      </c>
      <c r="D167" s="362" t="s">
        <v>30</v>
      </c>
      <c r="E167" s="1420">
        <f>'설계기준(설계치12)'!F7</f>
        <v>218.7</v>
      </c>
      <c r="F167" s="1420"/>
      <c r="G167" s="951" t="s">
        <v>547</v>
      </c>
      <c r="H167" s="952">
        <f>'설계기준(설계치12)'!J7</f>
        <v>6</v>
      </c>
      <c r="I167" s="906" t="s">
        <v>554</v>
      </c>
      <c r="J167" s="918">
        <f>E161</f>
        <v>0.31818181818181823</v>
      </c>
      <c r="K167" s="906" t="s">
        <v>41</v>
      </c>
      <c r="L167" s="1409">
        <f>'설계기준(설계치12)'!K15</f>
        <v>2400</v>
      </c>
      <c r="M167" s="1409"/>
      <c r="N167" s="953"/>
      <c r="O167" s="905"/>
      <c r="P167" s="905"/>
      <c r="Q167" s="954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45"/>
    </row>
    <row r="168" spans="1:33" s="100" customFormat="1" ht="21" customHeight="1">
      <c r="A168" s="861"/>
      <c r="B168" s="905"/>
      <c r="C168" s="905"/>
      <c r="D168" s="362" t="s">
        <v>298</v>
      </c>
      <c r="E168" s="1419">
        <f>(E167-H167)/(J167*L167)</f>
        <v>0.27853571428571422</v>
      </c>
      <c r="F168" s="1260"/>
      <c r="G168" s="499" t="s">
        <v>298</v>
      </c>
      <c r="H168" s="1322">
        <f>E168*24</f>
        <v>6.6848571428571413</v>
      </c>
      <c r="I168" s="1323"/>
      <c r="J168" s="905"/>
      <c r="K168" s="905"/>
      <c r="L168" s="905"/>
      <c r="M168" s="905"/>
      <c r="N168" s="905"/>
      <c r="O168" s="905"/>
      <c r="P168" s="905"/>
      <c r="Q168" s="878"/>
      <c r="R168" s="321"/>
      <c r="S168" s="321"/>
      <c r="T168" s="321"/>
      <c r="U168" s="321"/>
      <c r="V168" s="321"/>
      <c r="W168" s="321"/>
      <c r="X168" s="321"/>
      <c r="Y168" s="321"/>
      <c r="Z168" s="321"/>
      <c r="AA168" s="321"/>
      <c r="AB168" s="321"/>
      <c r="AC168" s="321"/>
      <c r="AD168" s="321"/>
      <c r="AE168" s="321"/>
      <c r="AF168" s="321"/>
      <c r="AG168" s="45"/>
    </row>
    <row r="169" spans="1:33" s="100" customFormat="1" ht="21" customHeight="1">
      <c r="A169" s="863" t="s">
        <v>419</v>
      </c>
      <c r="B169" s="906" t="s">
        <v>507</v>
      </c>
      <c r="C169" s="500" t="s">
        <v>392</v>
      </c>
      <c r="D169" s="501" t="s">
        <v>377</v>
      </c>
      <c r="E169" s="905" t="s">
        <v>330</v>
      </c>
      <c r="F169" s="905" t="s">
        <v>373</v>
      </c>
      <c r="G169" s="905" t="s">
        <v>420</v>
      </c>
      <c r="H169" s="502" t="s">
        <v>347</v>
      </c>
      <c r="I169" s="905" t="s">
        <v>325</v>
      </c>
      <c r="J169" s="410" t="s">
        <v>421</v>
      </c>
      <c r="K169" s="905"/>
      <c r="L169" s="905"/>
      <c r="M169" s="905"/>
      <c r="N169" s="905"/>
      <c r="O169" s="905"/>
      <c r="P169" s="905"/>
      <c r="Q169" s="878"/>
      <c r="R169" s="297"/>
      <c r="S169" s="365"/>
      <c r="T169" s="366"/>
      <c r="U169" s="297"/>
      <c r="V169" s="297"/>
      <c r="W169" s="297"/>
      <c r="X169" s="367"/>
      <c r="Y169" s="297"/>
      <c r="Z169" s="368"/>
      <c r="AA169" s="297"/>
      <c r="AB169" s="297"/>
      <c r="AC169" s="297"/>
      <c r="AD169" s="297"/>
      <c r="AE169" s="297"/>
      <c r="AF169" s="297"/>
      <c r="AG169" s="45"/>
    </row>
    <row r="170" spans="1:33" s="100" customFormat="1" ht="21" customHeight="1">
      <c r="A170" s="863" t="s">
        <v>422</v>
      </c>
      <c r="B170" s="1275" t="s">
        <v>367</v>
      </c>
      <c r="C170" s="1276"/>
      <c r="D170" s="906" t="s">
        <v>423</v>
      </c>
      <c r="E170" s="906" t="s">
        <v>298</v>
      </c>
      <c r="F170" s="1257" t="s">
        <v>424</v>
      </c>
      <c r="G170" s="1257"/>
      <c r="H170" s="1257"/>
      <c r="I170" s="1257"/>
      <c r="J170" s="1257"/>
      <c r="K170" s="1257"/>
      <c r="L170" s="1257"/>
      <c r="M170" s="1257"/>
      <c r="N170" s="1257"/>
      <c r="O170" s="1257"/>
      <c r="P170" s="1257"/>
      <c r="Q170" s="878"/>
      <c r="R170" s="1269"/>
      <c r="S170" s="1269"/>
      <c r="T170" s="301"/>
      <c r="U170" s="301"/>
      <c r="V170" s="1265"/>
      <c r="W170" s="1265"/>
      <c r="X170" s="1265"/>
      <c r="Y170" s="1265"/>
      <c r="Z170" s="1265"/>
      <c r="AA170" s="1265"/>
      <c r="AB170" s="1265"/>
      <c r="AC170" s="1265"/>
      <c r="AD170" s="1265"/>
      <c r="AE170" s="1265"/>
      <c r="AF170" s="1265"/>
      <c r="AG170" s="45"/>
    </row>
    <row r="171" spans="1:33" s="100" customFormat="1" ht="21" customHeight="1">
      <c r="A171" s="957" t="s">
        <v>416</v>
      </c>
      <c r="B171" s="621"/>
      <c r="C171" s="621"/>
      <c r="D171" s="919" t="s">
        <v>373</v>
      </c>
      <c r="E171" s="919" t="s">
        <v>298</v>
      </c>
      <c r="F171" s="1417" t="s">
        <v>425</v>
      </c>
      <c r="G171" s="1417"/>
      <c r="H171" s="1417"/>
      <c r="I171" s="1417"/>
      <c r="J171" s="1417"/>
      <c r="K171" s="1417"/>
      <c r="L171" s="1417"/>
      <c r="M171" s="1417"/>
      <c r="N171" s="1417"/>
      <c r="O171" s="1417"/>
      <c r="P171" s="1417"/>
      <c r="Q171" s="882"/>
      <c r="R171" s="297"/>
      <c r="S171" s="297"/>
      <c r="T171" s="301"/>
      <c r="U171" s="301"/>
      <c r="V171" s="1265"/>
      <c r="W171" s="1265"/>
      <c r="X171" s="1265"/>
      <c r="Y171" s="1265"/>
      <c r="Z171" s="1265"/>
      <c r="AA171" s="1265"/>
      <c r="AB171" s="1265"/>
      <c r="AC171" s="1265"/>
      <c r="AD171" s="1265"/>
      <c r="AE171" s="1265"/>
      <c r="AF171" s="1265"/>
      <c r="AG171" s="45"/>
    </row>
    <row r="172" spans="1:33" s="112" customFormat="1" ht="21" customHeight="1">
      <c r="A172" s="862"/>
      <c r="B172" s="927"/>
      <c r="C172" s="927"/>
      <c r="D172" s="927" t="s">
        <v>347</v>
      </c>
      <c r="E172" s="927" t="s">
        <v>298</v>
      </c>
      <c r="F172" s="1325" t="s">
        <v>508</v>
      </c>
      <c r="G172" s="1325"/>
      <c r="H172" s="1325"/>
      <c r="I172" s="1325"/>
      <c r="J172" s="1325"/>
      <c r="K172" s="1325"/>
      <c r="L172" s="1325"/>
      <c r="M172" s="1325"/>
      <c r="N172" s="1325"/>
      <c r="O172" s="1325"/>
      <c r="P172" s="1325"/>
      <c r="Q172" s="883"/>
      <c r="R172" s="301"/>
      <c r="S172" s="301"/>
      <c r="T172" s="301"/>
      <c r="U172" s="301"/>
      <c r="V172" s="1265"/>
      <c r="W172" s="1265"/>
      <c r="X172" s="1265"/>
      <c r="Y172" s="1265"/>
      <c r="Z172" s="1265"/>
      <c r="AA172" s="1265"/>
      <c r="AB172" s="1265"/>
      <c r="AC172" s="1265"/>
      <c r="AD172" s="1265"/>
      <c r="AE172" s="1265"/>
      <c r="AF172" s="1265"/>
      <c r="AG172" s="46"/>
    </row>
    <row r="173" spans="1:33" s="112" customFormat="1" ht="21" customHeight="1">
      <c r="A173" s="861"/>
      <c r="B173" s="906"/>
      <c r="C173" s="906"/>
      <c r="D173" s="906" t="s">
        <v>421</v>
      </c>
      <c r="E173" s="906" t="s">
        <v>298</v>
      </c>
      <c r="F173" s="904" t="str">
        <f>"질산화 미생물(㎎/ℓ),["&amp;'설계기준(설계치12)'!K15&amp;"×0.1(질산화미생물비율)]"</f>
        <v>질산화 미생물(㎎/ℓ),[2400×0.1(질산화미생물비율)]</v>
      </c>
      <c r="G173" s="904"/>
      <c r="H173" s="904"/>
      <c r="I173" s="904"/>
      <c r="J173" s="904"/>
      <c r="K173" s="904"/>
      <c r="L173" s="906"/>
      <c r="M173" s="906"/>
      <c r="N173" s="906"/>
      <c r="O173" s="906"/>
      <c r="P173" s="906"/>
      <c r="Q173" s="885"/>
      <c r="R173" s="301"/>
      <c r="S173" s="301"/>
      <c r="T173" s="301"/>
      <c r="U173" s="301"/>
      <c r="V173" s="299"/>
      <c r="W173" s="299"/>
      <c r="X173" s="299"/>
      <c r="Y173" s="299"/>
      <c r="Z173" s="299"/>
      <c r="AA173" s="299"/>
      <c r="AB173" s="301"/>
      <c r="AC173" s="301"/>
      <c r="AD173" s="301"/>
      <c r="AE173" s="301"/>
      <c r="AF173" s="301"/>
      <c r="AG173" s="46"/>
    </row>
    <row r="174" spans="1:33" s="112" customFormat="1" ht="21" customHeight="1">
      <c r="A174" s="861"/>
      <c r="B174" s="906" t="s">
        <v>507</v>
      </c>
      <c r="C174" s="906" t="s">
        <v>28</v>
      </c>
      <c r="D174" s="413">
        <f>H113</f>
        <v>49.32</v>
      </c>
      <c r="E174" s="922" t="s">
        <v>547</v>
      </c>
      <c r="F174" s="908">
        <f>M100</f>
        <v>1.5847628327160415</v>
      </c>
      <c r="G174" s="906" t="s">
        <v>420</v>
      </c>
      <c r="H174" s="918">
        <f>O94</f>
        <v>0.75000000000000011</v>
      </c>
      <c r="I174" s="1331">
        <f>'설계기준(설계치12)'!K15</f>
        <v>2400</v>
      </c>
      <c r="J174" s="1331"/>
      <c r="K174" s="947">
        <v>0.08</v>
      </c>
      <c r="L174" s="906" t="s">
        <v>562</v>
      </c>
      <c r="M174" s="381">
        <v>24</v>
      </c>
      <c r="N174" s="906" t="s">
        <v>298</v>
      </c>
      <c r="O174" s="1324">
        <f>(D174-F174)/(H174*I174*K174)*M174</f>
        <v>7.9558728612139902</v>
      </c>
      <c r="P174" s="1326"/>
      <c r="Q174" s="878"/>
      <c r="R174" s="301"/>
      <c r="S174" s="946">
        <f>+H174*K174</f>
        <v>6.0000000000000012E-2</v>
      </c>
      <c r="T174" s="1371"/>
      <c r="U174" s="1371"/>
      <c r="V174" s="301"/>
      <c r="W174" s="335"/>
      <c r="X174" s="1372"/>
      <c r="Y174" s="1372"/>
      <c r="Z174" s="1372"/>
      <c r="AA174" s="301"/>
      <c r="AB174" s="301"/>
      <c r="AC174" s="369"/>
      <c r="AD174" s="301"/>
      <c r="AE174" s="301"/>
      <c r="AF174" s="46"/>
    </row>
    <row r="175" spans="1:33" s="110" customFormat="1" ht="21" customHeight="1">
      <c r="A175" s="864" t="s">
        <v>426</v>
      </c>
      <c r="B175" s="906"/>
      <c r="C175" s="1273">
        <f>'설계기준(설계치12)'!H4</f>
        <v>166.66666666666666</v>
      </c>
      <c r="D175" s="1273"/>
      <c r="E175" s="1274"/>
      <c r="F175" s="906" t="s">
        <v>325</v>
      </c>
      <c r="G175" s="1324">
        <f>MAX(O174,H168)</f>
        <v>7.9558728612139902</v>
      </c>
      <c r="H175" s="1260"/>
      <c r="I175" s="906" t="s">
        <v>298</v>
      </c>
      <c r="J175" s="1330">
        <f>C175*G175</f>
        <v>1325.9788102023317</v>
      </c>
      <c r="K175" s="1330"/>
      <c r="L175" s="906" t="s">
        <v>302</v>
      </c>
      <c r="M175" s="906"/>
      <c r="N175" s="905"/>
      <c r="O175" s="906"/>
      <c r="P175" s="906"/>
      <c r="Q175" s="884"/>
      <c r="R175" s="326"/>
      <c r="S175" s="1345"/>
      <c r="T175" s="1345"/>
      <c r="U175" s="1346"/>
      <c r="V175" s="326"/>
      <c r="W175" s="1365"/>
      <c r="X175" s="1346"/>
      <c r="Y175" s="326"/>
      <c r="Z175" s="1373"/>
      <c r="AA175" s="1373"/>
      <c r="AB175" s="326"/>
      <c r="AC175" s="326"/>
      <c r="AD175" s="325"/>
      <c r="AE175" s="326"/>
      <c r="AF175" s="326"/>
      <c r="AG175" s="46"/>
    </row>
    <row r="176" spans="1:33" s="112" customFormat="1" ht="21" customHeight="1">
      <c r="A176" s="860" t="s">
        <v>427</v>
      </c>
      <c r="B176" s="906"/>
      <c r="C176" s="906"/>
      <c r="D176" s="906"/>
      <c r="E176" s="906"/>
      <c r="F176" s="906"/>
      <c r="G176" s="906"/>
      <c r="H176" s="906"/>
      <c r="I176" s="906"/>
      <c r="J176" s="906"/>
      <c r="K176" s="906"/>
      <c r="L176" s="906"/>
      <c r="M176" s="906"/>
      <c r="N176" s="906"/>
      <c r="O176" s="906"/>
      <c r="P176" s="906"/>
      <c r="Q176" s="884"/>
      <c r="R176" s="301"/>
      <c r="S176" s="301"/>
      <c r="T176" s="301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46"/>
    </row>
    <row r="177" spans="1:33" s="112" customFormat="1" ht="21" customHeight="1">
      <c r="A177" s="931" t="s">
        <v>304</v>
      </c>
      <c r="B177" s="322"/>
      <c r="C177" s="1260" t="s">
        <v>121</v>
      </c>
      <c r="D177" s="1260"/>
      <c r="E177" s="905"/>
      <c r="F177" s="905"/>
      <c r="G177" s="905"/>
      <c r="H177" s="905"/>
      <c r="I177" s="905"/>
      <c r="J177" s="905"/>
      <c r="K177" s="905"/>
      <c r="L177" s="905"/>
      <c r="M177" s="905"/>
      <c r="N177" s="905"/>
      <c r="O177" s="905"/>
      <c r="P177" s="905"/>
      <c r="Q177" s="884"/>
      <c r="R177" s="1269"/>
      <c r="S177" s="1269"/>
      <c r="T177" s="1269"/>
      <c r="U177" s="1269"/>
      <c r="V177" s="1269"/>
      <c r="W177" s="1269"/>
      <c r="X177" s="1269"/>
      <c r="Y177" s="1269"/>
      <c r="Z177" s="1269"/>
      <c r="AA177" s="1269"/>
      <c r="AB177" s="1269"/>
      <c r="AC177" s="1269"/>
      <c r="AD177" s="1269"/>
      <c r="AE177" s="1269"/>
      <c r="AF177" s="1269"/>
      <c r="AG177" s="46"/>
    </row>
    <row r="178" spans="1:33" s="112" customFormat="1" ht="21" customHeight="1">
      <c r="A178" s="931" t="s">
        <v>306</v>
      </c>
      <c r="B178" s="906" t="s">
        <v>307</v>
      </c>
      <c r="C178" s="309">
        <v>7</v>
      </c>
      <c r="D178" s="1091" t="s">
        <v>308</v>
      </c>
      <c r="E178" s="1091" t="s">
        <v>51</v>
      </c>
      <c r="F178" s="1091" t="s">
        <v>309</v>
      </c>
      <c r="G178" s="309">
        <v>6.4</v>
      </c>
      <c r="H178" s="906" t="s">
        <v>308</v>
      </c>
      <c r="I178" s="906" t="s">
        <v>51</v>
      </c>
      <c r="J178" s="1260" t="s">
        <v>428</v>
      </c>
      <c r="K178" s="1260"/>
      <c r="L178" s="309">
        <v>5.8</v>
      </c>
      <c r="M178" s="906" t="s">
        <v>308</v>
      </c>
      <c r="N178" s="906" t="s">
        <v>51</v>
      </c>
      <c r="O178" s="906">
        <v>1</v>
      </c>
      <c r="P178" s="906" t="s">
        <v>429</v>
      </c>
      <c r="Q178" s="884"/>
      <c r="R178" s="310"/>
      <c r="S178" s="311"/>
      <c r="T178" s="299"/>
      <c r="U178" s="301"/>
      <c r="V178" s="310"/>
      <c r="W178" s="311"/>
      <c r="X178" s="299"/>
      <c r="Y178" s="301"/>
      <c r="Z178" s="1269"/>
      <c r="AA178" s="1269"/>
      <c r="AB178" s="301"/>
      <c r="AC178" s="299"/>
      <c r="AD178" s="301"/>
      <c r="AE178" s="301"/>
      <c r="AF178" s="301"/>
      <c r="AG178" s="46"/>
    </row>
    <row r="179" spans="1:33" s="112" customFormat="1" ht="21" hidden="1" customHeight="1">
      <c r="A179" s="931"/>
      <c r="B179" s="906"/>
      <c r="C179" s="309"/>
      <c r="D179" s="1091"/>
      <c r="E179" s="1091"/>
      <c r="F179" s="1091"/>
      <c r="G179" s="309"/>
      <c r="H179" s="906"/>
      <c r="I179" s="906"/>
      <c r="J179" s="1260"/>
      <c r="K179" s="1260"/>
      <c r="L179" s="309"/>
      <c r="M179" s="906"/>
      <c r="N179" s="906"/>
      <c r="O179" s="906"/>
      <c r="P179" s="906"/>
      <c r="Q179" s="884"/>
      <c r="R179" s="707"/>
      <c r="S179" s="706"/>
      <c r="T179" s="704"/>
      <c r="U179" s="705"/>
      <c r="V179" s="707"/>
      <c r="W179" s="706"/>
      <c r="X179" s="704"/>
      <c r="Y179" s="705"/>
      <c r="Z179" s="705"/>
      <c r="AA179" s="705"/>
      <c r="AB179" s="705"/>
      <c r="AC179" s="704"/>
      <c r="AD179" s="705"/>
      <c r="AE179" s="705"/>
      <c r="AF179" s="705"/>
      <c r="AG179" s="708"/>
    </row>
    <row r="180" spans="1:33" s="112" customFormat="1" ht="21" customHeight="1">
      <c r="A180" s="931" t="s">
        <v>312</v>
      </c>
      <c r="B180" s="1101"/>
      <c r="C180" s="1101"/>
      <c r="D180" s="1101"/>
      <c r="E180" s="1101"/>
      <c r="F180" s="1101"/>
      <c r="G180" s="1101"/>
      <c r="H180" s="1091">
        <v>2</v>
      </c>
      <c r="I180" s="1101" t="s">
        <v>313</v>
      </c>
      <c r="J180" s="1260"/>
      <c r="K180" s="1260"/>
      <c r="L180" s="309"/>
      <c r="M180" s="906"/>
      <c r="N180" s="906"/>
      <c r="O180" s="906"/>
      <c r="P180" s="906"/>
      <c r="Q180" s="884"/>
      <c r="R180" s="297"/>
      <c r="S180" s="297"/>
      <c r="T180" s="297"/>
      <c r="U180" s="297"/>
      <c r="V180" s="297"/>
      <c r="W180" s="297"/>
      <c r="X180" s="301"/>
      <c r="Y180" s="297"/>
      <c r="Z180" s="297"/>
      <c r="AA180" s="297"/>
      <c r="AB180" s="297"/>
      <c r="AC180" s="297"/>
      <c r="AD180" s="297"/>
      <c r="AE180" s="301"/>
      <c r="AF180" s="301"/>
      <c r="AG180" s="46"/>
    </row>
    <row r="181" spans="1:33" s="112" customFormat="1" ht="21" customHeight="1">
      <c r="A181" s="931" t="s">
        <v>314</v>
      </c>
      <c r="B181" s="906" t="s">
        <v>127</v>
      </c>
      <c r="C181" s="906" t="s">
        <v>30</v>
      </c>
      <c r="D181" s="1272">
        <f>(C178*G178*L178*O178)+(C179*G179*L179*O179)+(C180*G180*L180*O180)</f>
        <v>259.84000000000003</v>
      </c>
      <c r="E181" s="1272"/>
      <c r="F181" s="1260" t="s">
        <v>128</v>
      </c>
      <c r="G181" s="1260"/>
      <c r="H181" s="906" t="s">
        <v>51</v>
      </c>
      <c r="I181" s="906">
        <v>2</v>
      </c>
      <c r="J181" s="906" t="s">
        <v>837</v>
      </c>
      <c r="K181" s="906" t="s">
        <v>30</v>
      </c>
      <c r="L181" s="1291">
        <f>D181*I181</f>
        <v>519.68000000000006</v>
      </c>
      <c r="M181" s="1291"/>
      <c r="N181" s="905"/>
      <c r="O181" s="906"/>
      <c r="P181" s="906"/>
      <c r="Q181" s="884"/>
      <c r="R181" s="1347">
        <f>IF(+L181/J175&gt;1,1,+L181/J175)</f>
        <v>0.39192179844917874</v>
      </c>
      <c r="S181" s="1347"/>
      <c r="T181" s="1265"/>
      <c r="U181" s="1265"/>
      <c r="V181" s="1269"/>
      <c r="W181" s="1269"/>
      <c r="X181" s="297"/>
      <c r="Y181" s="297"/>
      <c r="Z181" s="297"/>
      <c r="AA181" s="297"/>
      <c r="AB181" s="1302"/>
      <c r="AC181" s="1302"/>
      <c r="AD181" s="297"/>
      <c r="AE181" s="301"/>
      <c r="AF181" s="301"/>
      <c r="AG181" s="46"/>
    </row>
    <row r="182" spans="1:33" s="112" customFormat="1" ht="21" customHeight="1">
      <c r="A182" s="931" t="s">
        <v>430</v>
      </c>
      <c r="B182" s="1291">
        <f>L181</f>
        <v>519.68000000000006</v>
      </c>
      <c r="C182" s="1291"/>
      <c r="D182" s="906" t="s">
        <v>52</v>
      </c>
      <c r="E182" s="1327">
        <f>'설계기준(설계치12)'!C4</f>
        <v>4000</v>
      </c>
      <c r="F182" s="1327"/>
      <c r="G182" s="1328"/>
      <c r="H182" s="906" t="s">
        <v>51</v>
      </c>
      <c r="I182" s="1304">
        <v>24</v>
      </c>
      <c r="J182" s="1304"/>
      <c r="K182" s="906" t="s">
        <v>298</v>
      </c>
      <c r="L182" s="1332">
        <f>B182/E182*I182</f>
        <v>3.11808</v>
      </c>
      <c r="M182" s="1332"/>
      <c r="N182" s="906"/>
      <c r="O182" s="906"/>
      <c r="P182" s="905"/>
      <c r="Q182" s="884"/>
      <c r="R182" s="1362"/>
      <c r="S182" s="1362"/>
      <c r="T182" s="301"/>
      <c r="U182" s="1306"/>
      <c r="V182" s="1269"/>
      <c r="W182" s="1269"/>
      <c r="X182" s="297"/>
      <c r="Y182" s="1348"/>
      <c r="Z182" s="1334"/>
      <c r="AA182" s="301"/>
      <c r="AB182" s="1358"/>
      <c r="AC182" s="1359"/>
      <c r="AD182" s="337"/>
      <c r="AE182" s="337"/>
      <c r="AF182" s="297"/>
      <c r="AG182" s="46"/>
    </row>
    <row r="183" spans="1:33" s="112" customFormat="1" ht="21" customHeight="1">
      <c r="A183" s="1406" t="s">
        <v>431</v>
      </c>
      <c r="B183" s="907"/>
      <c r="C183" s="1329">
        <f>E182</f>
        <v>4000</v>
      </c>
      <c r="D183" s="1329"/>
      <c r="E183" s="906" t="s">
        <v>51</v>
      </c>
      <c r="F183" s="1329">
        <f>'설계기준(설계치12)'!F7</f>
        <v>218.7</v>
      </c>
      <c r="G183" s="1329"/>
      <c r="H183" s="1260" t="s">
        <v>298</v>
      </c>
      <c r="I183" s="1408">
        <f>C183*F183/(C184*F184)</f>
        <v>0.5611145320197044</v>
      </c>
      <c r="J183" s="1408"/>
      <c r="K183" s="1408"/>
      <c r="L183" s="1408"/>
      <c r="M183" s="904"/>
      <c r="N183" s="904"/>
      <c r="O183" s="904"/>
      <c r="P183" s="904"/>
      <c r="Q183" s="884"/>
      <c r="R183" s="1300"/>
      <c r="S183" s="1269"/>
      <c r="T183" s="301"/>
      <c r="U183" s="1300"/>
      <c r="V183" s="1269"/>
      <c r="W183" s="1269"/>
      <c r="X183" s="1368"/>
      <c r="Y183" s="1368"/>
      <c r="Z183" s="1368"/>
      <c r="AA183" s="1368"/>
      <c r="AB183" s="1368"/>
      <c r="AC183" s="299"/>
      <c r="AD183" s="299"/>
      <c r="AE183" s="301"/>
      <c r="AF183" s="301"/>
      <c r="AG183" s="46"/>
    </row>
    <row r="184" spans="1:33" s="112" customFormat="1" ht="21" customHeight="1">
      <c r="A184" s="1406"/>
      <c r="B184" s="907"/>
      <c r="C184" s="1396">
        <f>'설계기준(설계치12)'!K14</f>
        <v>3000</v>
      </c>
      <c r="D184" s="1396"/>
      <c r="E184" s="927" t="s">
        <v>51</v>
      </c>
      <c r="F184" s="1393">
        <f>L181</f>
        <v>519.68000000000006</v>
      </c>
      <c r="G184" s="1393"/>
      <c r="H184" s="1260"/>
      <c r="I184" s="1408"/>
      <c r="J184" s="1408"/>
      <c r="K184" s="1408"/>
      <c r="L184" s="1408"/>
      <c r="M184" s="904"/>
      <c r="N184" s="904"/>
      <c r="O184" s="904"/>
      <c r="P184" s="904"/>
      <c r="Q184" s="884"/>
      <c r="R184" s="1297"/>
      <c r="S184" s="1269"/>
      <c r="T184" s="301"/>
      <c r="U184" s="1316"/>
      <c r="V184" s="1269"/>
      <c r="W184" s="1269"/>
      <c r="X184" s="1368"/>
      <c r="Y184" s="1368"/>
      <c r="Z184" s="1368"/>
      <c r="AA184" s="1368"/>
      <c r="AB184" s="1368"/>
      <c r="AC184" s="299"/>
      <c r="AD184" s="299"/>
      <c r="AE184" s="301"/>
      <c r="AF184" s="301"/>
      <c r="AG184" s="46"/>
    </row>
    <row r="185" spans="1:33" s="112" customFormat="1" ht="21" customHeight="1">
      <c r="A185" s="1406" t="s">
        <v>432</v>
      </c>
      <c r="B185" s="907"/>
      <c r="C185" s="1278">
        <f>'설계기준(설계치12)'!K14</f>
        <v>3000</v>
      </c>
      <c r="D185" s="1278"/>
      <c r="E185" s="906" t="s">
        <v>51</v>
      </c>
      <c r="F185" s="1303">
        <f>L181</f>
        <v>519.68000000000006</v>
      </c>
      <c r="G185" s="1303"/>
      <c r="H185" s="1260" t="s">
        <v>298</v>
      </c>
      <c r="I185" s="1378">
        <f>C185*F185/((C186*F186))</f>
        <v>0.97783464418770949</v>
      </c>
      <c r="J185" s="1378"/>
      <c r="K185" s="1378"/>
      <c r="L185" s="1260" t="str">
        <f>"(생물반응조 SRT : "&amp;R185&amp;"day)"</f>
        <v>(생물반응조 SRT : 2.54day)</v>
      </c>
      <c r="M185" s="1260"/>
      <c r="N185" s="1260"/>
      <c r="O185" s="1260"/>
      <c r="P185" s="1426"/>
      <c r="Q185" s="884"/>
      <c r="R185" s="1407">
        <f>ROUNDUP(C185*E205/C186/F186, 2)</f>
        <v>2.5399999999999996</v>
      </c>
      <c r="S185" s="1407"/>
      <c r="T185" s="301"/>
      <c r="U185" s="1316"/>
      <c r="V185" s="1269"/>
      <c r="W185" s="1269"/>
      <c r="X185" s="1367"/>
      <c r="Y185" s="1269"/>
      <c r="Z185" s="301"/>
      <c r="AA185" s="301"/>
      <c r="AB185" s="301"/>
      <c r="AC185" s="301"/>
      <c r="AD185" s="301"/>
      <c r="AE185" s="301"/>
      <c r="AF185" s="301"/>
      <c r="AG185" s="46"/>
    </row>
    <row r="186" spans="1:33" s="46" customFormat="1" ht="21" customHeight="1">
      <c r="A186" s="1406"/>
      <c r="B186" s="907"/>
      <c r="C186" s="1279">
        <f>물질수지!T37</f>
        <v>199.29750000000001</v>
      </c>
      <c r="D186" s="1279"/>
      <c r="E186" s="927" t="s">
        <v>51</v>
      </c>
      <c r="F186" s="1262">
        <f>J101</f>
        <v>8000</v>
      </c>
      <c r="G186" s="1262"/>
      <c r="H186" s="1260"/>
      <c r="I186" s="1378"/>
      <c r="J186" s="1378"/>
      <c r="K186" s="1378"/>
      <c r="L186" s="1260"/>
      <c r="M186" s="1260"/>
      <c r="N186" s="1260"/>
      <c r="O186" s="1260"/>
      <c r="P186" s="1426"/>
      <c r="Q186" s="884"/>
      <c r="R186" s="1407"/>
      <c r="S186" s="1407"/>
      <c r="T186" s="301"/>
      <c r="U186" s="1369"/>
      <c r="V186" s="1369"/>
      <c r="W186" s="1269"/>
      <c r="X186" s="1269"/>
      <c r="Y186" s="1269"/>
      <c r="Z186" s="370"/>
      <c r="AA186" s="299"/>
      <c r="AB186" s="301"/>
      <c r="AC186" s="301"/>
      <c r="AD186" s="301"/>
      <c r="AE186" s="301"/>
      <c r="AF186" s="301"/>
    </row>
    <row r="187" spans="1:33" s="112" customFormat="1" ht="21" customHeight="1">
      <c r="A187" s="1406" t="s">
        <v>433</v>
      </c>
      <c r="B187" s="907"/>
      <c r="C187" s="1277">
        <f>E182</f>
        <v>4000</v>
      </c>
      <c r="D187" s="1277"/>
      <c r="E187" s="906" t="s">
        <v>51</v>
      </c>
      <c r="F187" s="1277">
        <f>F183</f>
        <v>218.7</v>
      </c>
      <c r="G187" s="1277"/>
      <c r="H187" s="1260" t="s">
        <v>298</v>
      </c>
      <c r="I187" s="1394">
        <f>C187*F187/C188/1000</f>
        <v>1.683343596059113</v>
      </c>
      <c r="J187" s="1394"/>
      <c r="K187" s="1394"/>
      <c r="L187" s="1257" t="str">
        <f>"(생물반응조 : "&amp;R187&amp;"kgBOD/㎥day)"</f>
        <v>(생물반응조 : 0.66kgBOD/㎥day)</v>
      </c>
      <c r="M187" s="1257"/>
      <c r="N187" s="1257"/>
      <c r="O187" s="1257"/>
      <c r="P187" s="1257"/>
      <c r="Q187" s="884"/>
      <c r="R187" s="1407">
        <f>ROUNDUP(C187*F187/(E202+E203+E204)/1000, 2)</f>
        <v>0.66</v>
      </c>
      <c r="S187" s="1407"/>
      <c r="T187" s="301"/>
      <c r="U187" s="1300"/>
      <c r="V187" s="1269"/>
      <c r="W187" s="1269"/>
      <c r="X187" s="1366"/>
      <c r="Y187" s="1366"/>
      <c r="Z187" s="1295"/>
      <c r="AA187" s="1295"/>
      <c r="AB187" s="299"/>
      <c r="AC187" s="299"/>
      <c r="AD187" s="299"/>
      <c r="AE187" s="301"/>
      <c r="AF187" s="301"/>
      <c r="AG187" s="46"/>
    </row>
    <row r="188" spans="1:33" s="112" customFormat="1" ht="21" customHeight="1">
      <c r="A188" s="1406"/>
      <c r="B188" s="907"/>
      <c r="C188" s="1395">
        <f>L181</f>
        <v>519.68000000000006</v>
      </c>
      <c r="D188" s="1395"/>
      <c r="E188" s="1395"/>
      <c r="F188" s="1395"/>
      <c r="G188" s="1395"/>
      <c r="H188" s="1260"/>
      <c r="I188" s="1394"/>
      <c r="J188" s="1394"/>
      <c r="K188" s="1394"/>
      <c r="L188" s="1257"/>
      <c r="M188" s="1257"/>
      <c r="N188" s="1257"/>
      <c r="O188" s="1257"/>
      <c r="P188" s="1257"/>
      <c r="Q188" s="884"/>
      <c r="R188" s="1407"/>
      <c r="S188" s="1407"/>
      <c r="T188" s="299"/>
      <c r="U188" s="299"/>
      <c r="V188" s="299"/>
      <c r="W188" s="1269"/>
      <c r="X188" s="1366"/>
      <c r="Y188" s="1366"/>
      <c r="Z188" s="1295"/>
      <c r="AA188" s="1295"/>
      <c r="AB188" s="299"/>
      <c r="AC188" s="299"/>
      <c r="AD188" s="299"/>
      <c r="AE188" s="301"/>
      <c r="AF188" s="301"/>
      <c r="AG188" s="46"/>
    </row>
    <row r="189" spans="1:33" s="112" customFormat="1" ht="21" customHeight="1">
      <c r="A189" s="931"/>
      <c r="B189" s="918"/>
      <c r="C189" s="906"/>
      <c r="D189" s="906"/>
      <c r="E189" s="906"/>
      <c r="F189" s="906"/>
      <c r="G189" s="906"/>
      <c r="H189" s="484"/>
      <c r="I189" s="484"/>
      <c r="J189" s="904"/>
      <c r="K189" s="904"/>
      <c r="L189" s="904"/>
      <c r="M189" s="904"/>
      <c r="N189" s="904"/>
      <c r="O189" s="904"/>
      <c r="P189" s="904"/>
      <c r="Q189" s="884"/>
      <c r="R189" s="335"/>
      <c r="S189" s="335"/>
      <c r="T189" s="299"/>
      <c r="U189" s="299"/>
      <c r="V189" s="299"/>
      <c r="W189" s="301"/>
      <c r="X189" s="371"/>
      <c r="Y189" s="371"/>
      <c r="Z189" s="297"/>
      <c r="AA189" s="297"/>
      <c r="AB189" s="299"/>
      <c r="AC189" s="299"/>
      <c r="AD189" s="299"/>
      <c r="AE189" s="301"/>
      <c r="AF189" s="301"/>
      <c r="AG189" s="46"/>
    </row>
    <row r="190" spans="1:33" s="112" customFormat="1" ht="21" customHeight="1">
      <c r="A190" s="867"/>
      <c r="B190" s="831"/>
      <c r="C190" s="919"/>
      <c r="D190" s="919"/>
      <c r="E190" s="919"/>
      <c r="F190" s="919"/>
      <c r="G190" s="919"/>
      <c r="H190" s="955"/>
      <c r="I190" s="955"/>
      <c r="J190" s="938"/>
      <c r="K190" s="938"/>
      <c r="L190" s="938"/>
      <c r="M190" s="938"/>
      <c r="N190" s="938"/>
      <c r="O190" s="938"/>
      <c r="P190" s="938"/>
      <c r="Q190" s="882"/>
      <c r="R190" s="335"/>
      <c r="S190" s="335"/>
      <c r="T190" s="299"/>
      <c r="U190" s="299"/>
      <c r="V190" s="299"/>
      <c r="W190" s="301"/>
      <c r="X190" s="371"/>
      <c r="Y190" s="371"/>
      <c r="Z190" s="297"/>
      <c r="AA190" s="297"/>
      <c r="AB190" s="299"/>
      <c r="AC190" s="299"/>
      <c r="AD190" s="299"/>
      <c r="AE190" s="301"/>
      <c r="AF190" s="301"/>
      <c r="AG190" s="46"/>
    </row>
    <row r="191" spans="1:33" s="112" customFormat="1" ht="21" hidden="1" customHeight="1">
      <c r="A191" s="740"/>
      <c r="B191" s="324"/>
      <c r="C191" s="302"/>
      <c r="D191" s="302"/>
      <c r="E191" s="302"/>
      <c r="F191" s="302"/>
      <c r="G191" s="302"/>
      <c r="H191" s="484"/>
      <c r="I191" s="484"/>
      <c r="J191" s="313"/>
      <c r="K191" s="313"/>
      <c r="L191" s="313"/>
      <c r="M191" s="313"/>
      <c r="N191" s="313"/>
      <c r="O191" s="313"/>
      <c r="P191" s="313"/>
      <c r="Q191" s="884"/>
      <c r="R191" s="335"/>
      <c r="S191" s="335"/>
      <c r="T191" s="299"/>
      <c r="U191" s="299"/>
      <c r="V191" s="299"/>
      <c r="W191" s="301"/>
      <c r="X191" s="371"/>
      <c r="Y191" s="371"/>
      <c r="Z191" s="297"/>
      <c r="AA191" s="297"/>
      <c r="AB191" s="299"/>
      <c r="AC191" s="299"/>
      <c r="AD191" s="299"/>
      <c r="AE191" s="301"/>
      <c r="AF191" s="301"/>
      <c r="AG191" s="46"/>
    </row>
    <row r="192" spans="1:33" s="112" customFormat="1" ht="21" hidden="1" customHeight="1">
      <c r="A192" s="740"/>
      <c r="B192" s="324"/>
      <c r="C192" s="302"/>
      <c r="D192" s="302"/>
      <c r="E192" s="302"/>
      <c r="F192" s="302"/>
      <c r="G192" s="302"/>
      <c r="H192" s="484"/>
      <c r="I192" s="484"/>
      <c r="J192" s="313"/>
      <c r="K192" s="313"/>
      <c r="L192" s="313"/>
      <c r="M192" s="313"/>
      <c r="N192" s="313"/>
      <c r="O192" s="313"/>
      <c r="P192" s="313"/>
      <c r="Q192" s="884"/>
      <c r="R192" s="335"/>
      <c r="S192" s="335"/>
      <c r="T192" s="299"/>
      <c r="U192" s="299"/>
      <c r="V192" s="299"/>
      <c r="W192" s="301"/>
      <c r="X192" s="371"/>
      <c r="Y192" s="371"/>
      <c r="Z192" s="297">
        <v>750</v>
      </c>
      <c r="AA192" s="297"/>
      <c r="AB192" s="299"/>
      <c r="AC192" s="299"/>
      <c r="AD192" s="299"/>
      <c r="AE192" s="301"/>
      <c r="AF192" s="301"/>
      <c r="AG192" s="46"/>
    </row>
    <row r="193" spans="1:111" s="112" customFormat="1" ht="21" hidden="1" customHeight="1">
      <c r="A193" s="740"/>
      <c r="B193" s="807"/>
      <c r="C193" s="809"/>
      <c r="D193" s="809"/>
      <c r="E193" s="809"/>
      <c r="F193" s="809"/>
      <c r="G193" s="809"/>
      <c r="H193" s="484"/>
      <c r="I193" s="484"/>
      <c r="J193" s="808"/>
      <c r="K193" s="808"/>
      <c r="L193" s="808"/>
      <c r="M193" s="808"/>
      <c r="N193" s="808"/>
      <c r="O193" s="808"/>
      <c r="P193" s="808"/>
      <c r="Q193" s="884"/>
      <c r="R193" s="335"/>
      <c r="S193" s="335"/>
      <c r="T193" s="299"/>
      <c r="U193" s="299"/>
      <c r="V193" s="299"/>
      <c r="W193" s="301"/>
      <c r="X193" s="371"/>
      <c r="Y193" s="371"/>
      <c r="Z193" s="297">
        <f>Z192/24</f>
        <v>31.25</v>
      </c>
      <c r="AA193" s="297"/>
      <c r="AB193" s="299"/>
      <c r="AC193" s="299"/>
      <c r="AD193" s="299"/>
      <c r="AE193" s="301"/>
      <c r="AF193" s="301"/>
      <c r="AG193" s="46"/>
    </row>
    <row r="194" spans="1:111" s="112" customFormat="1" ht="21" hidden="1" customHeight="1">
      <c r="A194" s="865" t="s">
        <v>434</v>
      </c>
      <c r="B194" s="1260" t="s">
        <v>435</v>
      </c>
      <c r="C194" s="1260"/>
      <c r="D194" s="302"/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884"/>
      <c r="R194" s="1269"/>
      <c r="S194" s="1269"/>
      <c r="T194" s="301"/>
      <c r="U194" s="301"/>
      <c r="V194" s="301"/>
      <c r="W194" s="301"/>
      <c r="X194" s="301"/>
      <c r="Y194" s="301"/>
      <c r="Z194" s="301">
        <f>Z193*2</f>
        <v>62.5</v>
      </c>
      <c r="AA194" s="301"/>
      <c r="AB194" s="301"/>
      <c r="AC194" s="301"/>
      <c r="AD194" s="301"/>
      <c r="AE194" s="301"/>
      <c r="AF194" s="301"/>
      <c r="AG194" s="46"/>
    </row>
    <row r="195" spans="1:111" s="112" customFormat="1" ht="21" hidden="1" customHeight="1">
      <c r="A195" s="865" t="s">
        <v>436</v>
      </c>
      <c r="B195" s="1267" t="s">
        <v>437</v>
      </c>
      <c r="C195" s="1267"/>
      <c r="D195" s="1267"/>
      <c r="E195" s="1266" t="s">
        <v>438</v>
      </c>
      <c r="F195" s="1266"/>
      <c r="G195" s="1266"/>
      <c r="H195" s="1266" t="s">
        <v>439</v>
      </c>
      <c r="I195" s="1266"/>
      <c r="J195" s="1266"/>
      <c r="K195" s="1266" t="s">
        <v>440</v>
      </c>
      <c r="L195" s="1266"/>
      <c r="M195" s="1266"/>
      <c r="N195" s="1266" t="s">
        <v>441</v>
      </c>
      <c r="O195" s="1266"/>
      <c r="P195" s="302"/>
      <c r="Q195" s="884"/>
      <c r="R195" s="1269"/>
      <c r="S195" s="1269"/>
      <c r="T195" s="1269"/>
      <c r="U195" s="1269"/>
      <c r="V195" s="1269"/>
      <c r="W195" s="1269"/>
      <c r="X195" s="1269"/>
      <c r="Y195" s="1269"/>
      <c r="Z195" s="1269"/>
      <c r="AA195" s="1269"/>
      <c r="AB195" s="1269"/>
      <c r="AC195" s="1269"/>
      <c r="AD195" s="1269"/>
      <c r="AE195" s="1269"/>
      <c r="AF195" s="301"/>
      <c r="AG195" s="46"/>
    </row>
    <row r="196" spans="1:111" s="112" customFormat="1" ht="21" hidden="1" customHeight="1">
      <c r="A196" s="859"/>
      <c r="B196" s="1267" t="s">
        <v>442</v>
      </c>
      <c r="C196" s="1267"/>
      <c r="D196" s="1267"/>
      <c r="E196" s="1283">
        <f>J66</f>
        <v>166.66666666666666</v>
      </c>
      <c r="F196" s="1283"/>
      <c r="G196" s="1283"/>
      <c r="H196" s="1283">
        <f>E196/E182*24</f>
        <v>1</v>
      </c>
      <c r="I196" s="1283"/>
      <c r="J196" s="1283"/>
      <c r="K196" s="1290">
        <f>H196/H199</f>
        <v>8.0063878958381754E-2</v>
      </c>
      <c r="L196" s="1290"/>
      <c r="M196" s="1290"/>
      <c r="N196" s="1266"/>
      <c r="O196" s="1266"/>
      <c r="P196" s="302"/>
      <c r="Q196" s="884"/>
      <c r="R196" s="1269"/>
      <c r="S196" s="1269"/>
      <c r="T196" s="1269"/>
      <c r="U196" s="1353"/>
      <c r="V196" s="1353"/>
      <c r="W196" s="1353"/>
      <c r="X196" s="1353"/>
      <c r="Y196" s="1353"/>
      <c r="Z196" s="1353"/>
      <c r="AA196" s="1355"/>
      <c r="AB196" s="1355"/>
      <c r="AC196" s="1355"/>
      <c r="AD196" s="1269"/>
      <c r="AE196" s="1269"/>
      <c r="AF196" s="301"/>
      <c r="AG196" s="46"/>
    </row>
    <row r="197" spans="1:111" s="112" customFormat="1" ht="21" hidden="1" customHeight="1">
      <c r="A197" s="859"/>
      <c r="B197" s="1404" t="s">
        <v>443</v>
      </c>
      <c r="C197" s="1404"/>
      <c r="D197" s="1404"/>
      <c r="E197" s="1403">
        <f>I143</f>
        <v>589.02566915806563</v>
      </c>
      <c r="F197" s="1403"/>
      <c r="G197" s="1403"/>
      <c r="H197" s="1403">
        <f>E197/E182*24</f>
        <v>3.5341540149483937</v>
      </c>
      <c r="I197" s="1403"/>
      <c r="J197" s="1403"/>
      <c r="K197" s="1399">
        <f>H197/H199</f>
        <v>0.28295807927310707</v>
      </c>
      <c r="L197" s="1399"/>
      <c r="M197" s="1399"/>
      <c r="N197" s="1401"/>
      <c r="O197" s="1401"/>
      <c r="P197" s="302"/>
      <c r="Q197" s="884"/>
      <c r="R197" s="1269"/>
      <c r="S197" s="1269"/>
      <c r="T197" s="1269"/>
      <c r="U197" s="1353"/>
      <c r="V197" s="1353"/>
      <c r="W197" s="1353"/>
      <c r="X197" s="1353"/>
      <c r="Y197" s="1353"/>
      <c r="Z197" s="1353"/>
      <c r="AA197" s="1355"/>
      <c r="AB197" s="1355"/>
      <c r="AC197" s="1355"/>
      <c r="AD197" s="1269"/>
      <c r="AE197" s="1269"/>
      <c r="AF197" s="301"/>
      <c r="AG197" s="46"/>
    </row>
    <row r="198" spans="1:111" s="112" customFormat="1" ht="21" hidden="1" customHeight="1">
      <c r="A198" s="859"/>
      <c r="B198" s="1267" t="s">
        <v>444</v>
      </c>
      <c r="C198" s="1267"/>
      <c r="D198" s="1267"/>
      <c r="E198" s="1283">
        <f>J175</f>
        <v>1325.9788102023317</v>
      </c>
      <c r="F198" s="1283"/>
      <c r="G198" s="1283"/>
      <c r="H198" s="1283">
        <f>E198/E182*24</f>
        <v>7.9558728612139902</v>
      </c>
      <c r="I198" s="1283"/>
      <c r="J198" s="1283"/>
      <c r="K198" s="1290">
        <f>H198/H199</f>
        <v>0.63697804176851114</v>
      </c>
      <c r="L198" s="1290"/>
      <c r="M198" s="1290"/>
      <c r="N198" s="1266"/>
      <c r="O198" s="1266"/>
      <c r="P198" s="302"/>
      <c r="Q198" s="884"/>
      <c r="R198" s="1269"/>
      <c r="S198" s="1269"/>
      <c r="T198" s="1269"/>
      <c r="U198" s="1353"/>
      <c r="V198" s="1353"/>
      <c r="W198" s="1353"/>
      <c r="X198" s="1353"/>
      <c r="Y198" s="1353"/>
      <c r="Z198" s="1353"/>
      <c r="AA198" s="1355"/>
      <c r="AB198" s="1355"/>
      <c r="AC198" s="1355"/>
      <c r="AD198" s="1269"/>
      <c r="AE198" s="1269"/>
      <c r="AF198" s="301"/>
      <c r="AG198" s="46"/>
    </row>
    <row r="199" spans="1:111" s="112" customFormat="1" ht="21" hidden="1" customHeight="1">
      <c r="A199" s="815"/>
      <c r="B199" s="1400" t="s">
        <v>445</v>
      </c>
      <c r="C199" s="1400"/>
      <c r="D199" s="1400"/>
      <c r="E199" s="1402">
        <f>SUM(E196:G198)</f>
        <v>2081.671146027064</v>
      </c>
      <c r="F199" s="1402"/>
      <c r="G199" s="1402"/>
      <c r="H199" s="1405">
        <f>SUM(H196:J198)</f>
        <v>12.490026876162384</v>
      </c>
      <c r="I199" s="1405"/>
      <c r="J199" s="1405"/>
      <c r="K199" s="1427">
        <f>SUM(K196:M198)</f>
        <v>1</v>
      </c>
      <c r="L199" s="1427"/>
      <c r="M199" s="1427"/>
      <c r="N199" s="1398"/>
      <c r="O199" s="1398"/>
      <c r="P199" s="826"/>
      <c r="Q199" s="882"/>
      <c r="R199" s="1269"/>
      <c r="S199" s="1269"/>
      <c r="T199" s="1269"/>
      <c r="U199" s="1354"/>
      <c r="V199" s="1354"/>
      <c r="W199" s="1354"/>
      <c r="X199" s="1353"/>
      <c r="Y199" s="1353"/>
      <c r="Z199" s="1353"/>
      <c r="AA199" s="1355"/>
      <c r="AB199" s="1355"/>
      <c r="AC199" s="1355"/>
      <c r="AD199" s="1269"/>
      <c r="AE199" s="1269"/>
      <c r="AF199" s="301"/>
      <c r="AG199" s="46"/>
    </row>
    <row r="200" spans="1:111" s="112" customFormat="1" ht="21" hidden="1" customHeight="1">
      <c r="A200" s="859"/>
      <c r="B200" s="1260" t="s">
        <v>446</v>
      </c>
      <c r="C200" s="1260"/>
      <c r="D200" s="1260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884"/>
      <c r="R200" s="1269"/>
      <c r="S200" s="1269"/>
      <c r="T200" s="1269"/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</row>
    <row r="201" spans="1:111" s="112" customFormat="1" ht="21" hidden="1" customHeight="1">
      <c r="A201" s="859"/>
      <c r="B201" s="1267" t="s">
        <v>437</v>
      </c>
      <c r="C201" s="1267"/>
      <c r="D201" s="1267"/>
      <c r="E201" s="1266" t="s">
        <v>438</v>
      </c>
      <c r="F201" s="1266"/>
      <c r="G201" s="1266"/>
      <c r="H201" s="1266" t="s">
        <v>439</v>
      </c>
      <c r="I201" s="1266"/>
      <c r="J201" s="1266"/>
      <c r="K201" s="1266" t="s">
        <v>440</v>
      </c>
      <c r="L201" s="1266"/>
      <c r="M201" s="1266"/>
      <c r="N201" s="1266" t="s">
        <v>441</v>
      </c>
      <c r="O201" s="1266"/>
      <c r="P201" s="302"/>
      <c r="Q201" s="884"/>
      <c r="R201" s="1269"/>
      <c r="S201" s="1269"/>
      <c r="T201" s="1269"/>
      <c r="U201" s="1269"/>
      <c r="V201" s="1269"/>
      <c r="W201" s="1269"/>
      <c r="X201" s="1269"/>
      <c r="Y201" s="1269"/>
      <c r="Z201" s="1269"/>
      <c r="AA201" s="1269"/>
      <c r="AB201" s="1269"/>
      <c r="AC201" s="1269"/>
      <c r="AD201" s="1269"/>
      <c r="AE201" s="1269"/>
      <c r="AF201" s="301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</row>
    <row r="202" spans="1:111" s="112" customFormat="1" ht="21" hidden="1" customHeight="1">
      <c r="A202" s="859"/>
      <c r="B202" s="1267" t="s">
        <v>442</v>
      </c>
      <c r="C202" s="1267"/>
      <c r="D202" s="1267"/>
      <c r="E202" s="1283">
        <f>L72</f>
        <v>522</v>
      </c>
      <c r="F202" s="1283"/>
      <c r="G202" s="1283"/>
      <c r="H202" s="1283">
        <f>L74</f>
        <v>3.1320000000000001</v>
      </c>
      <c r="I202" s="1283"/>
      <c r="J202" s="1283"/>
      <c r="K202" s="1290">
        <f>H202/H205</f>
        <v>0.38796563308261728</v>
      </c>
      <c r="L202" s="1290"/>
      <c r="M202" s="1290"/>
      <c r="N202" s="1266"/>
      <c r="O202" s="1266"/>
      <c r="P202" s="302"/>
      <c r="Q202" s="884"/>
      <c r="R202" s="1269"/>
      <c r="S202" s="1269"/>
      <c r="T202" s="1269"/>
      <c r="U202" s="1353"/>
      <c r="V202" s="1353"/>
      <c r="W202" s="1353"/>
      <c r="X202" s="1353"/>
      <c r="Y202" s="1353"/>
      <c r="Z202" s="1353"/>
      <c r="AA202" s="1355"/>
      <c r="AB202" s="1355"/>
      <c r="AC202" s="1355"/>
      <c r="AD202" s="1269"/>
      <c r="AE202" s="1269"/>
      <c r="AF202" s="301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</row>
    <row r="203" spans="1:111" s="112" customFormat="1" ht="21" hidden="1" customHeight="1">
      <c r="A203" s="859"/>
      <c r="B203" s="1267" t="s">
        <v>443</v>
      </c>
      <c r="C203" s="1267"/>
      <c r="D203" s="1267"/>
      <c r="E203" s="1283">
        <f>L148</f>
        <v>303.8</v>
      </c>
      <c r="F203" s="1283"/>
      <c r="G203" s="1283"/>
      <c r="H203" s="1283">
        <f>E203/E182*24</f>
        <v>1.8228</v>
      </c>
      <c r="I203" s="1283"/>
      <c r="J203" s="1283"/>
      <c r="K203" s="1290">
        <f>H203/H205</f>
        <v>0.22579302553735467</v>
      </c>
      <c r="L203" s="1290"/>
      <c r="M203" s="1290"/>
      <c r="N203" s="1266"/>
      <c r="O203" s="1266"/>
      <c r="P203" s="302"/>
      <c r="Q203" s="884"/>
      <c r="R203" s="1269"/>
      <c r="S203" s="1269"/>
      <c r="T203" s="1269"/>
      <c r="U203" s="1353"/>
      <c r="V203" s="1353"/>
      <c r="W203" s="1353"/>
      <c r="X203" s="1353"/>
      <c r="Y203" s="1353"/>
      <c r="Z203" s="1353"/>
      <c r="AA203" s="1355"/>
      <c r="AB203" s="1355"/>
      <c r="AC203" s="1355"/>
      <c r="AD203" s="1269"/>
      <c r="AE203" s="1269"/>
      <c r="AF203" s="301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</row>
    <row r="204" spans="1:111" s="112" customFormat="1" ht="21" hidden="1" customHeight="1">
      <c r="A204" s="859"/>
      <c r="B204" s="1267" t="s">
        <v>444</v>
      </c>
      <c r="C204" s="1267"/>
      <c r="D204" s="1267"/>
      <c r="E204" s="1283">
        <f>L181</f>
        <v>519.68000000000006</v>
      </c>
      <c r="F204" s="1283"/>
      <c r="G204" s="1283"/>
      <c r="H204" s="1283">
        <f>E204/E182*24</f>
        <v>3.11808</v>
      </c>
      <c r="I204" s="1283"/>
      <c r="J204" s="1283"/>
      <c r="K204" s="1290">
        <f>H204/H205</f>
        <v>0.38624134138002786</v>
      </c>
      <c r="L204" s="1290"/>
      <c r="M204" s="1290"/>
      <c r="N204" s="1266"/>
      <c r="O204" s="1266"/>
      <c r="P204" s="302"/>
      <c r="Q204" s="884"/>
      <c r="R204" s="1269"/>
      <c r="S204" s="1269"/>
      <c r="T204" s="1269"/>
      <c r="U204" s="1353"/>
      <c r="V204" s="1353"/>
      <c r="W204" s="1353"/>
      <c r="X204" s="1353"/>
      <c r="Y204" s="1353"/>
      <c r="Z204" s="1353"/>
      <c r="AA204" s="1355"/>
      <c r="AB204" s="1355"/>
      <c r="AC204" s="1355"/>
      <c r="AD204" s="1269"/>
      <c r="AE204" s="1269"/>
      <c r="AF204" s="301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</row>
    <row r="205" spans="1:111" s="110" customFormat="1" ht="21" hidden="1" customHeight="1">
      <c r="A205" s="859"/>
      <c r="B205" s="1266" t="s">
        <v>445</v>
      </c>
      <c r="C205" s="1266"/>
      <c r="D205" s="1266"/>
      <c r="E205" s="1289">
        <f>SUM(E202:G204)</f>
        <v>1345.48</v>
      </c>
      <c r="F205" s="1289"/>
      <c r="G205" s="1289"/>
      <c r="H205" s="1283">
        <f>SUM(H202:J204)</f>
        <v>8.0728800000000014</v>
      </c>
      <c r="I205" s="1283"/>
      <c r="J205" s="1283"/>
      <c r="K205" s="1290">
        <f>SUM(K202:M204)</f>
        <v>0.99999999999999978</v>
      </c>
      <c r="L205" s="1290"/>
      <c r="M205" s="1290"/>
      <c r="N205" s="1266"/>
      <c r="O205" s="1266"/>
      <c r="P205" s="308"/>
      <c r="Q205" s="884"/>
      <c r="R205" s="1269"/>
      <c r="S205" s="1269"/>
      <c r="T205" s="1269"/>
      <c r="U205" s="1354"/>
      <c r="V205" s="1354"/>
      <c r="W205" s="1354"/>
      <c r="X205" s="1353"/>
      <c r="Y205" s="1353"/>
      <c r="Z205" s="1353"/>
      <c r="AA205" s="1355"/>
      <c r="AB205" s="1355"/>
      <c r="AC205" s="1355"/>
      <c r="AD205" s="1269"/>
      <c r="AE205" s="1269"/>
      <c r="AF205" s="301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</row>
    <row r="206" spans="1:111" s="46" customFormat="1" ht="21" hidden="1" customHeight="1">
      <c r="A206" s="859"/>
      <c r="B206" s="302"/>
      <c r="C206" s="302"/>
      <c r="D206" s="302"/>
      <c r="E206" s="372"/>
      <c r="F206" s="372"/>
      <c r="G206" s="372"/>
      <c r="H206" s="373"/>
      <c r="I206" s="373"/>
      <c r="J206" s="373"/>
      <c r="K206" s="374"/>
      <c r="L206" s="374"/>
      <c r="M206" s="374"/>
      <c r="N206" s="302"/>
      <c r="O206" s="302"/>
      <c r="P206" s="302"/>
      <c r="Q206" s="884"/>
      <c r="R206" s="301"/>
      <c r="S206" s="301"/>
      <c r="T206" s="301"/>
      <c r="U206" s="375"/>
      <c r="V206" s="375"/>
      <c r="W206" s="375"/>
      <c r="X206" s="376"/>
      <c r="Y206" s="376"/>
      <c r="Z206" s="376"/>
      <c r="AA206" s="377"/>
      <c r="AB206" s="377"/>
      <c r="AC206" s="377"/>
      <c r="AD206" s="301"/>
      <c r="AE206" s="301"/>
      <c r="AF206" s="301"/>
    </row>
    <row r="207" spans="1:111" s="112" customFormat="1" ht="21" hidden="1" customHeight="1">
      <c r="A207" s="866" t="s">
        <v>783</v>
      </c>
      <c r="B207" s="378" t="s">
        <v>56</v>
      </c>
      <c r="C207" s="1268" t="s">
        <v>447</v>
      </c>
      <c r="D207" s="1268"/>
      <c r="E207" s="318"/>
      <c r="F207" s="402">
        <v>20</v>
      </c>
      <c r="G207" s="302" t="s">
        <v>448</v>
      </c>
      <c r="H207" s="402">
        <v>30</v>
      </c>
      <c r="I207" s="1257" t="s">
        <v>449</v>
      </c>
      <c r="J207" s="1257"/>
      <c r="K207" s="1257"/>
      <c r="L207" s="302"/>
      <c r="M207" s="302"/>
      <c r="N207" s="302"/>
      <c r="O207" s="302"/>
      <c r="P207" s="302"/>
      <c r="Q207" s="884"/>
      <c r="R207" s="400"/>
      <c r="S207" s="310"/>
      <c r="T207" s="310"/>
      <c r="U207" s="310"/>
      <c r="V207" s="301"/>
      <c r="W207" s="301"/>
      <c r="X207" s="301"/>
      <c r="Y207" s="1265"/>
      <c r="Z207" s="1265"/>
      <c r="AA207" s="1265"/>
      <c r="AB207" s="301"/>
      <c r="AC207" s="301"/>
      <c r="AD207" s="301"/>
      <c r="AE207" s="301"/>
      <c r="AF207" s="301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</row>
    <row r="208" spans="1:111" s="112" customFormat="1" ht="21" hidden="1" customHeight="1">
      <c r="A208" s="860" t="s">
        <v>450</v>
      </c>
      <c r="B208" s="378" t="s">
        <v>56</v>
      </c>
      <c r="C208" s="1268" t="s">
        <v>451</v>
      </c>
      <c r="D208" s="1268"/>
      <c r="E208" s="318"/>
      <c r="F208" s="403">
        <v>2.5</v>
      </c>
      <c r="G208" s="302" t="s">
        <v>448</v>
      </c>
      <c r="H208" s="403">
        <v>4</v>
      </c>
      <c r="I208" s="302" t="s">
        <v>308</v>
      </c>
      <c r="J208" s="302"/>
      <c r="K208" s="302"/>
      <c r="L208" s="302"/>
      <c r="M208" s="302"/>
      <c r="N208" s="302"/>
      <c r="O208" s="302"/>
      <c r="P208" s="302"/>
      <c r="Q208" s="884"/>
      <c r="R208" s="400"/>
      <c r="S208" s="310"/>
      <c r="T208" s="310"/>
      <c r="U208" s="310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</row>
    <row r="209" spans="1:111" s="112" customFormat="1" ht="21" hidden="1" customHeight="1">
      <c r="A209" s="859"/>
      <c r="B209" s="378" t="s">
        <v>56</v>
      </c>
      <c r="C209" s="1268" t="s">
        <v>452</v>
      </c>
      <c r="D209" s="1268"/>
      <c r="E209" s="318"/>
      <c r="F209" s="402">
        <v>3</v>
      </c>
      <c r="G209" s="302" t="s">
        <v>448</v>
      </c>
      <c r="H209" s="402">
        <v>5</v>
      </c>
      <c r="I209" s="302" t="s">
        <v>301</v>
      </c>
      <c r="J209" s="302"/>
      <c r="K209" s="302"/>
      <c r="L209" s="302"/>
      <c r="M209" s="302"/>
      <c r="N209" s="302"/>
      <c r="O209" s="302"/>
      <c r="P209" s="302"/>
      <c r="Q209" s="884"/>
      <c r="R209" s="400"/>
      <c r="S209" s="310"/>
      <c r="T209" s="310"/>
      <c r="U209" s="310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</row>
    <row r="210" spans="1:111" s="112" customFormat="1" ht="21" hidden="1" customHeight="1">
      <c r="A210" s="859"/>
      <c r="B210" s="378" t="s">
        <v>56</v>
      </c>
      <c r="C210" s="1268" t="s">
        <v>453</v>
      </c>
      <c r="D210" s="1268"/>
      <c r="E210" s="318"/>
      <c r="F210" s="402">
        <v>190</v>
      </c>
      <c r="G210" s="1257" t="s">
        <v>454</v>
      </c>
      <c r="H210" s="1257"/>
      <c r="I210" s="1257"/>
      <c r="J210" s="1257"/>
      <c r="K210" s="302"/>
      <c r="L210" s="302"/>
      <c r="M210" s="302"/>
      <c r="N210" s="302"/>
      <c r="O210" s="302"/>
      <c r="P210" s="302"/>
      <c r="Q210" s="884"/>
      <c r="R210" s="400"/>
      <c r="S210" s="310"/>
      <c r="T210" s="310"/>
      <c r="U210" s="310"/>
      <c r="V210" s="301"/>
      <c r="W210" s="1269"/>
      <c r="X210" s="1269"/>
      <c r="Y210" s="1269"/>
      <c r="Z210" s="1269"/>
      <c r="AA210" s="301"/>
      <c r="AB210" s="301"/>
      <c r="AC210" s="301"/>
      <c r="AD210" s="301"/>
      <c r="AE210" s="301"/>
      <c r="AF210" s="301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</row>
    <row r="211" spans="1:111" s="110" customFormat="1" ht="21" hidden="1" customHeight="1">
      <c r="A211" s="859"/>
      <c r="B211" s="378" t="s">
        <v>56</v>
      </c>
      <c r="C211" s="1268" t="s">
        <v>455</v>
      </c>
      <c r="D211" s="1268"/>
      <c r="E211" s="318"/>
      <c r="F211" s="402">
        <v>95</v>
      </c>
      <c r="G211" s="302" t="s">
        <v>448</v>
      </c>
      <c r="H211" s="402">
        <v>145</v>
      </c>
      <c r="I211" s="1257" t="s">
        <v>456</v>
      </c>
      <c r="J211" s="1257"/>
      <c r="K211" s="1257"/>
      <c r="L211" s="302"/>
      <c r="M211" s="302"/>
      <c r="N211" s="302"/>
      <c r="O211" s="302"/>
      <c r="P211" s="302"/>
      <c r="Q211" s="884"/>
      <c r="R211" s="400"/>
      <c r="S211" s="310"/>
      <c r="T211" s="310"/>
      <c r="U211" s="310"/>
      <c r="V211" s="301"/>
      <c r="W211" s="301"/>
      <c r="X211" s="301"/>
      <c r="Y211" s="1265"/>
      <c r="Z211" s="1265"/>
      <c r="AA211" s="1265"/>
      <c r="AB211" s="301"/>
      <c r="AC211" s="301"/>
      <c r="AD211" s="301"/>
      <c r="AE211" s="301"/>
      <c r="AF211" s="301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</row>
    <row r="212" spans="1:111" s="112" customFormat="1" ht="21" hidden="1" customHeight="1">
      <c r="A212" s="860" t="s">
        <v>457</v>
      </c>
      <c r="B212" s="313"/>
      <c r="C212" s="313"/>
      <c r="D212" s="313"/>
      <c r="E212" s="313"/>
      <c r="F212" s="313"/>
      <c r="G212" s="313"/>
      <c r="H212" s="313"/>
      <c r="I212" s="313"/>
      <c r="J212" s="313"/>
      <c r="K212" s="302"/>
      <c r="L212" s="302"/>
      <c r="M212" s="302"/>
      <c r="N212" s="302"/>
      <c r="O212" s="302"/>
      <c r="P212" s="302"/>
      <c r="Q212" s="884"/>
      <c r="R212" s="299"/>
      <c r="S212" s="299"/>
      <c r="T212" s="299"/>
      <c r="U212" s="299"/>
      <c r="V212" s="299"/>
      <c r="W212" s="299"/>
      <c r="X212" s="299"/>
      <c r="Y212" s="299"/>
      <c r="Z212" s="299"/>
      <c r="AA212" s="301"/>
      <c r="AB212" s="301"/>
      <c r="AC212" s="301"/>
      <c r="AD212" s="301"/>
      <c r="AE212" s="301"/>
      <c r="AF212" s="301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</row>
    <row r="213" spans="1:111" s="112" customFormat="1" ht="21" hidden="1" customHeight="1">
      <c r="A213" s="740" t="s">
        <v>458</v>
      </c>
      <c r="B213" s="1449" t="s">
        <v>515</v>
      </c>
      <c r="C213" s="1450"/>
      <c r="D213" s="1450"/>
      <c r="E213" s="1266" t="s">
        <v>459</v>
      </c>
      <c r="F213" s="1266"/>
      <c r="G213" s="1266"/>
      <c r="H213" s="1266" t="s">
        <v>460</v>
      </c>
      <c r="I213" s="1266"/>
      <c r="J213" s="1266"/>
      <c r="K213" s="1266" t="s">
        <v>461</v>
      </c>
      <c r="L213" s="1266"/>
      <c r="M213" s="1266"/>
      <c r="N213" s="1266" t="s">
        <v>462</v>
      </c>
      <c r="O213" s="1266"/>
      <c r="P213" s="1266"/>
      <c r="Q213" s="884"/>
      <c r="R213" s="1351"/>
      <c r="S213" s="1265"/>
      <c r="T213" s="1265"/>
      <c r="U213" s="1269"/>
      <c r="V213" s="1269"/>
      <c r="W213" s="1269"/>
      <c r="X213" s="1269"/>
      <c r="Y213" s="1269"/>
      <c r="Z213" s="1269"/>
      <c r="AA213" s="1269"/>
      <c r="AB213" s="1269"/>
      <c r="AC213" s="1269"/>
      <c r="AD213" s="1269"/>
      <c r="AE213" s="1269"/>
      <c r="AF213" s="1269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</row>
    <row r="214" spans="1:111" s="112" customFormat="1" ht="21" hidden="1" customHeight="1">
      <c r="A214" s="740"/>
      <c r="B214" s="1266" t="s">
        <v>463</v>
      </c>
      <c r="C214" s="1266"/>
      <c r="D214" s="1266"/>
      <c r="E214" s="1284">
        <f>C187</f>
        <v>4000</v>
      </c>
      <c r="F214" s="1284"/>
      <c r="G214" s="1284"/>
      <c r="H214" s="1284">
        <f>E214/24</f>
        <v>166.66666666666666</v>
      </c>
      <c r="I214" s="1284"/>
      <c r="J214" s="1284"/>
      <c r="K214" s="1284">
        <f>H214/60</f>
        <v>2.7777777777777777</v>
      </c>
      <c r="L214" s="1284"/>
      <c r="M214" s="1284"/>
      <c r="N214" s="1266">
        <f>K214/60</f>
        <v>4.6296296296296294E-2</v>
      </c>
      <c r="O214" s="1266"/>
      <c r="P214" s="1266"/>
      <c r="Q214" s="884"/>
      <c r="R214" s="1269"/>
      <c r="S214" s="1269"/>
      <c r="T214" s="1269"/>
      <c r="U214" s="1300"/>
      <c r="V214" s="1269"/>
      <c r="W214" s="1269"/>
      <c r="X214" s="1316"/>
      <c r="Y214" s="1316"/>
      <c r="Z214" s="1316"/>
      <c r="AA214" s="1316"/>
      <c r="AB214" s="1316"/>
      <c r="AC214" s="1316"/>
      <c r="AD214" s="1269"/>
      <c r="AE214" s="1269"/>
      <c r="AF214" s="1269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</row>
    <row r="215" spans="1:111" s="112" customFormat="1" ht="21" hidden="1" customHeight="1">
      <c r="A215" s="740" t="s">
        <v>464</v>
      </c>
      <c r="B215" s="302" t="s">
        <v>315</v>
      </c>
      <c r="C215" s="302" t="s">
        <v>298</v>
      </c>
      <c r="D215" s="1370">
        <f>H214</f>
        <v>166.66666666666666</v>
      </c>
      <c r="E215" s="1370"/>
      <c r="F215" s="1370"/>
      <c r="G215" s="302" t="s">
        <v>51</v>
      </c>
      <c r="H215" s="404">
        <f>F209</f>
        <v>3</v>
      </c>
      <c r="I215" s="302" t="s">
        <v>448</v>
      </c>
      <c r="J215" s="405">
        <f>H209</f>
        <v>5</v>
      </c>
      <c r="K215" s="302" t="s">
        <v>298</v>
      </c>
      <c r="L215" s="1424">
        <f>D215*H215</f>
        <v>500</v>
      </c>
      <c r="M215" s="1424"/>
      <c r="N215" s="302" t="s">
        <v>448</v>
      </c>
      <c r="O215" s="1425">
        <f>D215*J215</f>
        <v>833.33333333333326</v>
      </c>
      <c r="P215" s="1425"/>
      <c r="Q215" s="884"/>
      <c r="R215" s="301"/>
      <c r="S215" s="301"/>
      <c r="T215" s="1357"/>
      <c r="U215" s="1357"/>
      <c r="V215" s="1269"/>
      <c r="W215" s="301"/>
      <c r="X215" s="379"/>
      <c r="Y215" s="301"/>
      <c r="Z215" s="380"/>
      <c r="AA215" s="301"/>
      <c r="AB215" s="301"/>
      <c r="AC215" s="301"/>
      <c r="AD215" s="301"/>
      <c r="AE215" s="301"/>
      <c r="AF215" s="301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</row>
    <row r="216" spans="1:111" s="112" customFormat="1" ht="21" hidden="1" customHeight="1">
      <c r="A216" s="740" t="s">
        <v>465</v>
      </c>
      <c r="B216" s="302" t="s">
        <v>466</v>
      </c>
      <c r="C216" s="302" t="s">
        <v>298</v>
      </c>
      <c r="D216" s="1327">
        <f>E214</f>
        <v>4000</v>
      </c>
      <c r="E216" s="1327"/>
      <c r="F216" s="1327"/>
      <c r="G216" s="302" t="s">
        <v>52</v>
      </c>
      <c r="H216" s="404">
        <f>F207</f>
        <v>20</v>
      </c>
      <c r="I216" s="302" t="s">
        <v>448</v>
      </c>
      <c r="J216" s="302">
        <v>30</v>
      </c>
      <c r="K216" s="1260" t="s">
        <v>516</v>
      </c>
      <c r="L216" s="1260"/>
      <c r="M216" s="786" t="s">
        <v>830</v>
      </c>
      <c r="N216" s="302"/>
      <c r="O216" s="302"/>
      <c r="P216" s="302"/>
      <c r="Q216" s="884"/>
      <c r="R216" s="301"/>
      <c r="S216" s="301"/>
      <c r="T216" s="1306"/>
      <c r="U216" s="1306"/>
      <c r="V216" s="1269"/>
      <c r="W216" s="301"/>
      <c r="X216" s="379"/>
      <c r="Y216" s="301"/>
      <c r="Z216" s="301"/>
      <c r="AA216" s="1269"/>
      <c r="AB216" s="1269"/>
      <c r="AC216" s="1265"/>
      <c r="AD216" s="1265"/>
      <c r="AE216" s="1265"/>
      <c r="AF216" s="301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</row>
    <row r="217" spans="1:111" s="112" customFormat="1" ht="21" hidden="1" customHeight="1">
      <c r="A217" s="740"/>
      <c r="B217" s="302"/>
      <c r="C217" s="302" t="s">
        <v>298</v>
      </c>
      <c r="D217" s="1424">
        <f>D216/J216</f>
        <v>133.33333333333334</v>
      </c>
      <c r="E217" s="1424"/>
      <c r="F217" s="302" t="s">
        <v>448</v>
      </c>
      <c r="G217" s="1292">
        <f>D216/H216</f>
        <v>200</v>
      </c>
      <c r="H217" s="1292"/>
      <c r="I217" s="302" t="s">
        <v>467</v>
      </c>
      <c r="J217" s="302"/>
      <c r="K217" s="302"/>
      <c r="L217" s="302"/>
      <c r="M217" s="302"/>
      <c r="N217" s="302"/>
      <c r="O217" s="302"/>
      <c r="P217" s="302"/>
      <c r="Q217" s="884"/>
      <c r="R217" s="301"/>
      <c r="S217" s="301"/>
      <c r="T217" s="1352"/>
      <c r="U217" s="1352"/>
      <c r="V217" s="301"/>
      <c r="W217" s="1363"/>
      <c r="X217" s="1363"/>
      <c r="Y217" s="301"/>
      <c r="Z217" s="301"/>
      <c r="AA217" s="301"/>
      <c r="AB217" s="301"/>
      <c r="AC217" s="301"/>
      <c r="AD217" s="301"/>
      <c r="AE217" s="301"/>
      <c r="AF217" s="301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</row>
    <row r="218" spans="1:111" s="112" customFormat="1" ht="21" hidden="1" customHeight="1">
      <c r="A218" s="860" t="s">
        <v>427</v>
      </c>
      <c r="B218" s="302"/>
      <c r="C218" s="302"/>
      <c r="D218" s="302"/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884"/>
      <c r="R218" s="301"/>
      <c r="S218" s="301"/>
      <c r="T218" s="301"/>
      <c r="U218" s="301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</row>
    <row r="219" spans="1:111" s="112" customFormat="1" ht="21" hidden="1" customHeight="1">
      <c r="A219" s="740" t="s">
        <v>304</v>
      </c>
      <c r="B219" s="322"/>
      <c r="C219" s="1260" t="s">
        <v>468</v>
      </c>
      <c r="D219" s="1260"/>
      <c r="E219" s="1260"/>
      <c r="F219" s="1260"/>
      <c r="G219" s="1260"/>
      <c r="H219" s="1260"/>
      <c r="I219" s="1260"/>
      <c r="J219" s="1260"/>
      <c r="K219" s="1260"/>
      <c r="L219" s="1260"/>
      <c r="M219" s="1260"/>
      <c r="N219" s="1260"/>
      <c r="O219" s="1260"/>
      <c r="P219" s="298"/>
      <c r="Q219" s="884"/>
      <c r="R219" s="1269"/>
      <c r="S219" s="1364"/>
      <c r="T219" s="1364"/>
      <c r="U219" s="1364"/>
      <c r="V219" s="1364"/>
      <c r="W219" s="1364"/>
      <c r="X219" s="1364"/>
      <c r="Y219" s="1364"/>
      <c r="Z219" s="1364"/>
      <c r="AA219" s="1364"/>
      <c r="AB219" s="1364"/>
      <c r="AC219" s="1364"/>
      <c r="AD219" s="1364"/>
      <c r="AE219" s="1364"/>
      <c r="AF219" s="1364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</row>
    <row r="220" spans="1:111" s="112" customFormat="1" ht="21" hidden="1" customHeight="1">
      <c r="A220" s="740" t="s">
        <v>306</v>
      </c>
      <c r="B220" s="318"/>
      <c r="C220" s="355"/>
      <c r="D220" s="302"/>
      <c r="E220" s="302" t="s">
        <v>469</v>
      </c>
      <c r="F220" s="518">
        <v>12</v>
      </c>
      <c r="G220" s="302" t="s">
        <v>308</v>
      </c>
      <c r="H220" s="302" t="s">
        <v>51</v>
      </c>
      <c r="I220" s="1260" t="s">
        <v>310</v>
      </c>
      <c r="J220" s="1260"/>
      <c r="K220" s="302" t="s">
        <v>311</v>
      </c>
      <c r="L220" s="519">
        <v>4.0999999999999996</v>
      </c>
      <c r="M220" s="302" t="s">
        <v>308</v>
      </c>
      <c r="N220" s="313"/>
      <c r="O220" s="302"/>
      <c r="P220" s="298"/>
      <c r="Q220" s="884"/>
      <c r="R220" s="301"/>
      <c r="S220" s="301"/>
      <c r="T220" s="311"/>
      <c r="U220" s="301"/>
      <c r="V220" s="301"/>
      <c r="W220" s="1269"/>
      <c r="X220" s="1269"/>
      <c r="Y220" s="301"/>
      <c r="Z220" s="301"/>
      <c r="AA220" s="299"/>
      <c r="AB220" s="301"/>
      <c r="AC220" s="301"/>
      <c r="AD220" s="301"/>
      <c r="AE220" s="301"/>
      <c r="AF220" s="301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</row>
    <row r="221" spans="1:111" s="112" customFormat="1" ht="21" hidden="1" customHeight="1">
      <c r="A221" s="740" t="s">
        <v>312</v>
      </c>
      <c r="B221" s="302"/>
      <c r="C221" s="302"/>
      <c r="D221" s="302"/>
      <c r="E221" s="302"/>
      <c r="F221" s="302"/>
      <c r="G221" s="302">
        <v>4</v>
      </c>
      <c r="H221" s="302" t="s">
        <v>313</v>
      </c>
      <c r="I221" s="302"/>
      <c r="J221" s="302"/>
      <c r="K221" s="302"/>
      <c r="L221" s="302"/>
      <c r="M221" s="302"/>
      <c r="N221" s="302"/>
      <c r="O221" s="302"/>
      <c r="P221" s="302"/>
      <c r="Q221" s="884"/>
      <c r="R221" s="301"/>
      <c r="S221" s="301"/>
      <c r="T221" s="301"/>
      <c r="U221" s="301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</row>
    <row r="222" spans="1:111" s="112" customFormat="1" ht="21" hidden="1" customHeight="1">
      <c r="A222" s="740" t="s">
        <v>314</v>
      </c>
      <c r="B222" s="302"/>
      <c r="C222" s="302" t="s">
        <v>315</v>
      </c>
      <c r="D222" s="302" t="s">
        <v>298</v>
      </c>
      <c r="E222" s="1288">
        <f>ROUND(3.14*F220^2/4*L220,2)</f>
        <v>463.46</v>
      </c>
      <c r="F222" s="1288"/>
      <c r="G222" s="1260" t="s">
        <v>316</v>
      </c>
      <c r="H222" s="1260"/>
      <c r="I222" s="302" t="s">
        <v>51</v>
      </c>
      <c r="J222" s="402">
        <f>G221</f>
        <v>4</v>
      </c>
      <c r="K222" s="302" t="str">
        <f>H221</f>
        <v>계열</v>
      </c>
      <c r="L222" s="302" t="s">
        <v>298</v>
      </c>
      <c r="M222" s="1291">
        <f>E222*J222</f>
        <v>1853.84</v>
      </c>
      <c r="N222" s="1291"/>
      <c r="O222" s="313"/>
      <c r="P222" s="302"/>
      <c r="Q222" s="884"/>
      <c r="R222" s="301"/>
      <c r="S222" s="301"/>
      <c r="T222" s="301"/>
      <c r="U222" s="1356"/>
      <c r="V222" s="1356"/>
      <c r="W222" s="1269"/>
      <c r="X222" s="1269"/>
      <c r="Y222" s="301"/>
      <c r="Z222" s="301"/>
      <c r="AA222" s="301"/>
      <c r="AB222" s="301"/>
      <c r="AC222" s="1362"/>
      <c r="AD222" s="1362"/>
      <c r="AE222" s="299"/>
      <c r="AF222" s="301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</row>
    <row r="223" spans="1:111" s="112" customFormat="1" ht="21" hidden="1" customHeight="1">
      <c r="A223" s="740" t="s">
        <v>470</v>
      </c>
      <c r="B223" s="302"/>
      <c r="C223" s="302" t="s">
        <v>466</v>
      </c>
      <c r="D223" s="302" t="s">
        <v>298</v>
      </c>
      <c r="E223" s="1288">
        <f>ROUND(3.14*F220^2/4,2)</f>
        <v>113.04</v>
      </c>
      <c r="F223" s="1288"/>
      <c r="G223" s="1260" t="s">
        <v>517</v>
      </c>
      <c r="H223" s="1260"/>
      <c r="I223" s="302" t="s">
        <v>51</v>
      </c>
      <c r="J223" s="402">
        <f>G221</f>
        <v>4</v>
      </c>
      <c r="K223" s="302" t="str">
        <f>H221</f>
        <v>계열</v>
      </c>
      <c r="L223" s="302" t="s">
        <v>298</v>
      </c>
      <c r="M223" s="1287">
        <f>E223*J223</f>
        <v>452.16</v>
      </c>
      <c r="N223" s="1287"/>
      <c r="O223" s="313"/>
      <c r="P223" s="302"/>
      <c r="Q223" s="884"/>
      <c r="R223" s="301"/>
      <c r="S223" s="301"/>
      <c r="T223" s="301"/>
      <c r="U223" s="1356"/>
      <c r="V223" s="1356"/>
      <c r="W223" s="1269"/>
      <c r="X223" s="1269"/>
      <c r="Y223" s="301"/>
      <c r="Z223" s="301"/>
      <c r="AA223" s="301"/>
      <c r="AB223" s="301"/>
      <c r="AC223" s="1362"/>
      <c r="AD223" s="1362"/>
      <c r="AE223" s="299"/>
      <c r="AF223" s="301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</row>
    <row r="224" spans="1:111" s="112" customFormat="1" ht="21" hidden="1" customHeight="1">
      <c r="A224" s="860" t="s">
        <v>471</v>
      </c>
      <c r="B224" s="809"/>
      <c r="C224" s="809"/>
      <c r="D224" s="809"/>
      <c r="E224" s="809"/>
      <c r="F224" s="809"/>
      <c r="G224" s="809"/>
      <c r="H224" s="809"/>
      <c r="I224" s="809"/>
      <c r="J224" s="809"/>
      <c r="K224" s="809"/>
      <c r="L224" s="809"/>
      <c r="M224" s="809"/>
      <c r="N224" s="809"/>
      <c r="O224" s="809"/>
      <c r="P224" s="809"/>
      <c r="Q224" s="884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</row>
    <row r="225" spans="1:111" s="112" customFormat="1" ht="21" hidden="1" customHeight="1">
      <c r="A225" s="740" t="s">
        <v>472</v>
      </c>
      <c r="B225" s="1291">
        <f>M222</f>
        <v>1853.84</v>
      </c>
      <c r="C225" s="1291"/>
      <c r="D225" s="302" t="s">
        <v>52</v>
      </c>
      <c r="E225" s="1327">
        <f>E214</f>
        <v>4000</v>
      </c>
      <c r="F225" s="1327"/>
      <c r="G225" s="1327"/>
      <c r="H225" s="302" t="s">
        <v>51</v>
      </c>
      <c r="I225" s="303">
        <v>24</v>
      </c>
      <c r="J225" s="302" t="s">
        <v>298</v>
      </c>
      <c r="K225" s="1324">
        <f>B225/E225*24</f>
        <v>11.12304</v>
      </c>
      <c r="L225" s="1324"/>
      <c r="M225" s="313" t="s">
        <v>473</v>
      </c>
      <c r="N225" s="302"/>
      <c r="O225" s="324"/>
      <c r="P225" s="313"/>
      <c r="Q225" s="884"/>
      <c r="R225" s="1362"/>
      <c r="S225" s="1362"/>
      <c r="T225" s="301"/>
      <c r="U225" s="1306"/>
      <c r="V225" s="1269"/>
      <c r="W225" s="1269"/>
      <c r="X225" s="301"/>
      <c r="Y225" s="369"/>
      <c r="Z225" s="301"/>
      <c r="AA225" s="1307"/>
      <c r="AB225" s="1269"/>
      <c r="AC225" s="301"/>
      <c r="AD225" s="301"/>
      <c r="AE225" s="335"/>
      <c r="AF225" s="299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</row>
    <row r="226" spans="1:111" s="112" customFormat="1" ht="21" hidden="1" customHeight="1">
      <c r="A226" s="740" t="s">
        <v>474</v>
      </c>
      <c r="B226" s="1285">
        <f>E214</f>
        <v>4000</v>
      </c>
      <c r="C226" s="1286"/>
      <c r="D226" s="1260"/>
      <c r="E226" s="302" t="s">
        <v>405</v>
      </c>
      <c r="F226" s="1287">
        <f>M223</f>
        <v>452.16</v>
      </c>
      <c r="G226" s="1287"/>
      <c r="H226" s="383" t="s">
        <v>298</v>
      </c>
      <c r="I226" s="1457">
        <f>B226/F226</f>
        <v>8.8464260438782727</v>
      </c>
      <c r="J226" s="1458"/>
      <c r="K226" s="1458"/>
      <c r="L226" s="324"/>
      <c r="M226" s="313" t="s">
        <v>473</v>
      </c>
      <c r="N226" s="313"/>
      <c r="O226" s="313"/>
      <c r="P226" s="302"/>
      <c r="Q226" s="884"/>
      <c r="R226" s="1306"/>
      <c r="S226" s="1306"/>
      <c r="T226" s="1269"/>
      <c r="U226" s="301"/>
      <c r="V226" s="1360"/>
      <c r="W226" s="1360"/>
      <c r="X226" s="387"/>
      <c r="Y226" s="1361"/>
      <c r="Z226" s="1269"/>
      <c r="AA226" s="1269"/>
      <c r="AB226" s="335"/>
      <c r="AC226" s="299"/>
      <c r="AD226" s="299"/>
      <c r="AE226" s="299"/>
      <c r="AF226" s="301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</row>
    <row r="227" spans="1:111" s="112" customFormat="1" ht="21" hidden="1" customHeight="1">
      <c r="A227" s="740" t="s">
        <v>475</v>
      </c>
      <c r="B227" s="361"/>
      <c r="C227" s="309">
        <v>1</v>
      </c>
      <c r="D227" s="384" t="s">
        <v>448</v>
      </c>
      <c r="E227" s="302">
        <v>1.5</v>
      </c>
      <c r="F227" s="302" t="s">
        <v>308</v>
      </c>
      <c r="G227" s="384"/>
      <c r="H227" s="383"/>
      <c r="I227" s="385"/>
      <c r="J227" s="385"/>
      <c r="K227" s="385"/>
      <c r="L227" s="324"/>
      <c r="M227" s="313"/>
      <c r="N227" s="313"/>
      <c r="O227" s="313"/>
      <c r="P227" s="302"/>
      <c r="Q227" s="884"/>
      <c r="R227" s="363"/>
      <c r="S227" s="363"/>
      <c r="T227" s="301"/>
      <c r="U227" s="301"/>
      <c r="V227" s="386"/>
      <c r="W227" s="386"/>
      <c r="X227" s="387"/>
      <c r="Y227" s="388"/>
      <c r="Z227" s="301"/>
      <c r="AA227" s="301"/>
      <c r="AB227" s="335"/>
      <c r="AC227" s="299"/>
      <c r="AD227" s="299"/>
      <c r="AE227" s="299"/>
      <c r="AF227" s="301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</row>
    <row r="228" spans="1:111" s="112" customFormat="1" ht="21" hidden="1" customHeight="1">
      <c r="A228" s="740"/>
      <c r="B228" s="361"/>
      <c r="C228" s="309"/>
      <c r="D228" s="384"/>
      <c r="E228" s="302"/>
      <c r="F228" s="302"/>
      <c r="G228" s="384"/>
      <c r="H228" s="383"/>
      <c r="I228" s="385"/>
      <c r="J228" s="385"/>
      <c r="K228" s="385"/>
      <c r="L228" s="324"/>
      <c r="M228" s="313"/>
      <c r="N228" s="313"/>
      <c r="O228" s="313"/>
      <c r="P228" s="302"/>
      <c r="Q228" s="884"/>
      <c r="R228" s="363"/>
      <c r="S228" s="363"/>
      <c r="T228" s="301"/>
      <c r="U228" s="301"/>
      <c r="V228" s="386"/>
      <c r="W228" s="386"/>
      <c r="X228" s="387"/>
      <c r="Y228" s="388"/>
      <c r="Z228" s="301"/>
      <c r="AA228" s="301"/>
      <c r="AB228" s="335"/>
      <c r="AC228" s="299"/>
      <c r="AD228" s="299"/>
      <c r="AE228" s="299"/>
      <c r="AF228" s="301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</row>
    <row r="229" spans="1:111" s="112" customFormat="1" ht="21" hidden="1" customHeight="1">
      <c r="A229" s="740"/>
      <c r="B229" s="824"/>
      <c r="C229" s="309"/>
      <c r="D229" s="384"/>
      <c r="E229" s="809"/>
      <c r="F229" s="809"/>
      <c r="G229" s="384"/>
      <c r="H229" s="383"/>
      <c r="I229" s="385"/>
      <c r="J229" s="385"/>
      <c r="K229" s="385"/>
      <c r="L229" s="807"/>
      <c r="M229" s="808"/>
      <c r="N229" s="808"/>
      <c r="O229" s="808"/>
      <c r="P229" s="809"/>
      <c r="Q229" s="884"/>
      <c r="R229" s="811"/>
      <c r="S229" s="811"/>
      <c r="T229" s="812"/>
      <c r="U229" s="812"/>
      <c r="V229" s="801"/>
      <c r="W229" s="801"/>
      <c r="X229" s="387"/>
      <c r="Y229" s="819"/>
      <c r="Z229" s="812"/>
      <c r="AA229" s="812"/>
      <c r="AB229" s="818"/>
      <c r="AC229" s="816"/>
      <c r="AD229" s="816"/>
      <c r="AE229" s="816"/>
      <c r="AF229" s="812"/>
      <c r="AG229" s="814"/>
      <c r="AH229" s="814"/>
      <c r="AI229" s="814"/>
      <c r="AJ229" s="814"/>
      <c r="AK229" s="814"/>
      <c r="AL229" s="814"/>
      <c r="AM229" s="814"/>
      <c r="AN229" s="814"/>
      <c r="AO229" s="814"/>
      <c r="AP229" s="814"/>
      <c r="AQ229" s="814"/>
      <c r="AR229" s="814"/>
      <c r="AS229" s="814"/>
      <c r="AT229" s="814"/>
      <c r="AU229" s="814"/>
    </row>
    <row r="230" spans="1:111" s="112" customFormat="1" ht="21" hidden="1" customHeight="1">
      <c r="A230" s="740"/>
      <c r="B230" s="824"/>
      <c r="C230" s="309"/>
      <c r="D230" s="384"/>
      <c r="E230" s="809"/>
      <c r="F230" s="809"/>
      <c r="G230" s="384"/>
      <c r="H230" s="383"/>
      <c r="I230" s="385"/>
      <c r="J230" s="385"/>
      <c r="K230" s="385"/>
      <c r="L230" s="807"/>
      <c r="M230" s="808"/>
      <c r="N230" s="808"/>
      <c r="O230" s="808"/>
      <c r="P230" s="809"/>
      <c r="Q230" s="884"/>
      <c r="R230" s="811"/>
      <c r="S230" s="811"/>
      <c r="T230" s="812"/>
      <c r="U230" s="812"/>
      <c r="V230" s="801"/>
      <c r="W230" s="801"/>
      <c r="X230" s="387"/>
      <c r="Y230" s="819"/>
      <c r="Z230" s="812"/>
      <c r="AA230" s="812"/>
      <c r="AB230" s="818"/>
      <c r="AC230" s="816"/>
      <c r="AD230" s="816"/>
      <c r="AE230" s="816"/>
      <c r="AF230" s="812"/>
      <c r="AG230" s="814"/>
      <c r="AH230" s="814"/>
      <c r="AI230" s="814"/>
      <c r="AJ230" s="814"/>
      <c r="AK230" s="814"/>
      <c r="AL230" s="814"/>
      <c r="AM230" s="814"/>
      <c r="AN230" s="814"/>
      <c r="AO230" s="814"/>
      <c r="AP230" s="814"/>
      <c r="AQ230" s="814"/>
      <c r="AR230" s="814"/>
      <c r="AS230" s="814"/>
      <c r="AT230" s="814"/>
      <c r="AU230" s="814"/>
    </row>
    <row r="231" spans="1:111" s="112" customFormat="1" ht="21" hidden="1" customHeight="1">
      <c r="A231" s="740"/>
      <c r="B231" s="824"/>
      <c r="C231" s="309"/>
      <c r="D231" s="384"/>
      <c r="E231" s="809"/>
      <c r="F231" s="809"/>
      <c r="G231" s="384"/>
      <c r="H231" s="383"/>
      <c r="I231" s="385"/>
      <c r="J231" s="385"/>
      <c r="K231" s="385"/>
      <c r="L231" s="807"/>
      <c r="M231" s="808"/>
      <c r="N231" s="808"/>
      <c r="O231" s="808"/>
      <c r="P231" s="809"/>
      <c r="Q231" s="884"/>
      <c r="R231" s="811"/>
      <c r="S231" s="811"/>
      <c r="T231" s="812"/>
      <c r="U231" s="812"/>
      <c r="V231" s="801"/>
      <c r="W231" s="801"/>
      <c r="X231" s="387"/>
      <c r="Y231" s="819"/>
      <c r="Z231" s="812"/>
      <c r="AA231" s="812"/>
      <c r="AB231" s="818"/>
      <c r="AC231" s="816"/>
      <c r="AD231" s="816"/>
      <c r="AE231" s="816"/>
      <c r="AF231" s="812"/>
      <c r="AG231" s="814"/>
      <c r="AH231" s="814"/>
      <c r="AI231" s="814"/>
      <c r="AJ231" s="814"/>
      <c r="AK231" s="814"/>
      <c r="AL231" s="814"/>
      <c r="AM231" s="814"/>
      <c r="AN231" s="814"/>
      <c r="AO231" s="814"/>
      <c r="AP231" s="814"/>
      <c r="AQ231" s="814"/>
      <c r="AR231" s="814"/>
      <c r="AS231" s="814"/>
      <c r="AT231" s="814"/>
      <c r="AU231" s="814"/>
    </row>
    <row r="232" spans="1:111" s="112" customFormat="1" ht="21" hidden="1" customHeight="1">
      <c r="A232" s="867"/>
      <c r="B232" s="835"/>
      <c r="C232" s="836"/>
      <c r="D232" s="837"/>
      <c r="E232" s="826"/>
      <c r="F232" s="826"/>
      <c r="G232" s="837"/>
      <c r="H232" s="838"/>
      <c r="I232" s="839"/>
      <c r="J232" s="839"/>
      <c r="K232" s="839"/>
      <c r="L232" s="831"/>
      <c r="M232" s="840"/>
      <c r="N232" s="840"/>
      <c r="O232" s="840"/>
      <c r="P232" s="826"/>
      <c r="Q232" s="882"/>
      <c r="R232" s="811"/>
      <c r="S232" s="811"/>
      <c r="T232" s="812"/>
      <c r="U232" s="812"/>
      <c r="V232" s="801"/>
      <c r="W232" s="801"/>
      <c r="X232" s="387"/>
      <c r="Y232" s="819"/>
      <c r="Z232" s="812"/>
      <c r="AA232" s="812"/>
      <c r="AB232" s="818"/>
      <c r="AC232" s="816"/>
      <c r="AD232" s="816"/>
      <c r="AE232" s="816"/>
      <c r="AF232" s="812"/>
      <c r="AG232" s="814"/>
      <c r="AH232" s="814"/>
      <c r="AI232" s="814"/>
      <c r="AJ232" s="814"/>
      <c r="AK232" s="814"/>
      <c r="AL232" s="814"/>
      <c r="AM232" s="814"/>
      <c r="AN232" s="814"/>
      <c r="AO232" s="814"/>
      <c r="AP232" s="814"/>
      <c r="AQ232" s="814"/>
      <c r="AR232" s="814"/>
      <c r="AS232" s="814"/>
      <c r="AT232" s="814"/>
      <c r="AU232" s="814"/>
    </row>
    <row r="233" spans="1:111" s="471" customFormat="1" ht="20.100000000000001" hidden="1" customHeight="1">
      <c r="A233" s="866" t="s">
        <v>784</v>
      </c>
      <c r="B233" s="382"/>
      <c r="C233" s="309"/>
      <c r="D233" s="384"/>
      <c r="E233" s="302"/>
      <c r="F233" s="302"/>
      <c r="G233" s="384"/>
      <c r="H233" s="383"/>
      <c r="I233" s="385"/>
      <c r="J233" s="385"/>
      <c r="K233" s="385"/>
      <c r="L233" s="324"/>
      <c r="M233" s="313"/>
      <c r="N233" s="313"/>
      <c r="O233" s="313"/>
      <c r="P233" s="724"/>
      <c r="Q233" s="859"/>
      <c r="R233" s="469"/>
      <c r="S233" s="474"/>
      <c r="T233" s="472"/>
      <c r="U233" s="472"/>
      <c r="V233" s="475"/>
      <c r="W233" s="475"/>
      <c r="X233" s="476"/>
      <c r="Y233" s="477"/>
      <c r="Z233" s="472"/>
      <c r="AA233" s="478"/>
      <c r="AB233" s="479"/>
      <c r="AC233" s="480"/>
      <c r="AD233" s="480"/>
      <c r="AE233" s="480"/>
      <c r="AF233" s="473"/>
      <c r="AG233" s="473"/>
    </row>
    <row r="234" spans="1:111" s="471" customFormat="1" ht="20.100000000000001" hidden="1" customHeight="1">
      <c r="A234" s="740" t="s">
        <v>0</v>
      </c>
      <c r="B234" s="322"/>
      <c r="C234" s="298"/>
      <c r="D234" s="298"/>
      <c r="E234" s="298"/>
      <c r="F234" s="298"/>
      <c r="G234" s="298"/>
      <c r="H234" s="298"/>
      <c r="I234" s="298"/>
      <c r="J234" s="298"/>
      <c r="K234" s="298"/>
      <c r="L234" s="298"/>
      <c r="M234" s="298"/>
      <c r="N234" s="298"/>
      <c r="O234" s="298"/>
      <c r="P234" s="725"/>
      <c r="Q234" s="739"/>
      <c r="R234" s="467"/>
      <c r="S234" s="474"/>
      <c r="T234" s="472"/>
      <c r="U234" s="472"/>
      <c r="V234" s="475"/>
      <c r="W234" s="475"/>
      <c r="X234" s="476"/>
      <c r="Y234" s="477"/>
      <c r="Z234" s="472"/>
      <c r="AA234" s="478"/>
      <c r="AB234" s="479"/>
      <c r="AC234" s="480"/>
      <c r="AD234" s="480"/>
      <c r="AE234" s="480"/>
      <c r="AF234" s="473"/>
      <c r="AG234" s="473"/>
    </row>
    <row r="235" spans="1:111" s="471" customFormat="1" ht="20.100000000000001" hidden="1" customHeight="1">
      <c r="A235" s="868" t="s">
        <v>53</v>
      </c>
      <c r="B235" s="1293" t="s">
        <v>69</v>
      </c>
      <c r="C235" s="1257"/>
      <c r="D235" s="1257"/>
      <c r="E235" s="1257"/>
      <c r="F235" s="497">
        <v>3</v>
      </c>
      <c r="G235" s="1257" t="s">
        <v>570</v>
      </c>
      <c r="H235" s="1257"/>
      <c r="I235" s="298"/>
      <c r="J235" s="298"/>
      <c r="K235" s="298"/>
      <c r="L235" s="298"/>
      <c r="M235" s="298"/>
      <c r="N235" s="298"/>
      <c r="O235" s="298"/>
      <c r="P235" s="725"/>
      <c r="Q235" s="739"/>
      <c r="R235" s="467"/>
      <c r="S235" s="474"/>
      <c r="T235" s="472"/>
      <c r="U235" s="472"/>
      <c r="V235" s="475"/>
      <c r="W235" s="475"/>
      <c r="X235" s="476"/>
      <c r="Y235" s="477"/>
      <c r="Z235" s="472"/>
      <c r="AA235" s="478"/>
      <c r="AB235" s="479"/>
      <c r="AC235" s="480"/>
      <c r="AD235" s="480"/>
      <c r="AE235" s="480"/>
      <c r="AF235" s="473"/>
      <c r="AG235" s="473"/>
    </row>
    <row r="236" spans="1:111" s="471" customFormat="1" ht="20.100000000000001" hidden="1" customHeight="1">
      <c r="A236" s="740" t="s">
        <v>151</v>
      </c>
      <c r="B236" s="322"/>
      <c r="C236" s="313" t="s">
        <v>571</v>
      </c>
      <c r="D236" s="298"/>
      <c r="E236" s="313"/>
      <c r="F236" s="313"/>
      <c r="G236" s="313"/>
      <c r="H236" s="313"/>
      <c r="I236" s="525"/>
      <c r="J236" s="525"/>
      <c r="K236" s="525"/>
      <c r="L236" s="525"/>
      <c r="M236" s="302" t="s">
        <v>152</v>
      </c>
      <c r="N236" s="46"/>
      <c r="O236" s="1303">
        <f>O237+O243</f>
        <v>702.16823301520981</v>
      </c>
      <c r="P236" s="1452"/>
      <c r="Q236" s="886"/>
      <c r="R236" s="466"/>
      <c r="S236" s="470"/>
      <c r="T236" s="470"/>
      <c r="U236" s="472"/>
      <c r="V236" s="475"/>
      <c r="W236" s="475"/>
      <c r="X236" s="476"/>
      <c r="Y236" s="477"/>
      <c r="Z236" s="472"/>
      <c r="AA236" s="478"/>
      <c r="AB236" s="479"/>
      <c r="AC236" s="480"/>
      <c r="AD236" s="480"/>
      <c r="AE236" s="480"/>
      <c r="AF236" s="473"/>
      <c r="AG236" s="473"/>
    </row>
    <row r="237" spans="1:111" s="471" customFormat="1" ht="20.100000000000001" hidden="1" customHeight="1">
      <c r="A237" s="1280" t="s">
        <v>572</v>
      </c>
      <c r="B237" s="1281" t="s">
        <v>153</v>
      </c>
      <c r="C237" s="1260"/>
      <c r="D237" s="1260"/>
      <c r="E237" s="1260" t="s">
        <v>573</v>
      </c>
      <c r="F237" s="1260"/>
      <c r="G237" s="1260"/>
      <c r="H237" s="1260"/>
      <c r="I237" s="302"/>
      <c r="J237" s="298"/>
      <c r="K237" s="302"/>
      <c r="L237" s="302"/>
      <c r="M237" s="313"/>
      <c r="N237" s="46"/>
      <c r="O237" s="1303">
        <f>O239*'설계기준(설계치12)'!C4*('설계기준(설계치12)'!F9-'설계기준(설계치12)'!J9)/1000/(1+O241*O242)</f>
        <v>364.92023301520976</v>
      </c>
      <c r="P237" s="1452"/>
      <c r="Q237" s="886"/>
      <c r="R237" s="466"/>
      <c r="S237" s="474"/>
      <c r="T237" s="472"/>
      <c r="U237" s="472"/>
      <c r="V237" s="475"/>
      <c r="W237" s="475"/>
      <c r="X237" s="476"/>
      <c r="Y237" s="477"/>
      <c r="Z237" s="472"/>
      <c r="AA237" s="478"/>
      <c r="AB237" s="479"/>
      <c r="AC237" s="480"/>
      <c r="AD237" s="480"/>
      <c r="AE237" s="480"/>
      <c r="AF237" s="473"/>
      <c r="AG237" s="473"/>
    </row>
    <row r="238" spans="1:111" s="471" customFormat="1" ht="20.100000000000001" hidden="1" customHeight="1">
      <c r="A238" s="1280"/>
      <c r="B238" s="1281"/>
      <c r="C238" s="1260"/>
      <c r="D238" s="1260"/>
      <c r="E238" s="1282" t="s">
        <v>154</v>
      </c>
      <c r="F238" s="1282"/>
      <c r="G238" s="1282"/>
      <c r="H238" s="1282"/>
      <c r="I238" s="302"/>
      <c r="J238" s="298"/>
      <c r="K238" s="302"/>
      <c r="L238" s="302"/>
      <c r="M238" s="298"/>
      <c r="N238" s="46"/>
      <c r="O238" s="1303"/>
      <c r="P238" s="1452"/>
      <c r="Q238" s="886"/>
      <c r="R238" s="466"/>
      <c r="S238" s="474"/>
      <c r="T238" s="472"/>
      <c r="U238" s="472"/>
      <c r="V238" s="475"/>
      <c r="W238" s="475"/>
      <c r="X238" s="476"/>
      <c r="Y238" s="477"/>
      <c r="Z238" s="472"/>
      <c r="AA238" s="478"/>
      <c r="AB238" s="479"/>
      <c r="AC238" s="480"/>
      <c r="AD238" s="480"/>
      <c r="AE238" s="480"/>
      <c r="AF238" s="473"/>
      <c r="AG238" s="473"/>
    </row>
    <row r="239" spans="1:111" s="471" customFormat="1" ht="20.100000000000001" hidden="1" customHeight="1">
      <c r="A239" s="869"/>
      <c r="B239" s="322"/>
      <c r="C239" s="527" t="s">
        <v>155</v>
      </c>
      <c r="D239" s="302" t="s">
        <v>156</v>
      </c>
      <c r="E239" s="313" t="s">
        <v>147</v>
      </c>
      <c r="F239" s="298"/>
      <c r="G239" s="298"/>
      <c r="H239" s="313"/>
      <c r="I239" s="313"/>
      <c r="J239" s="313"/>
      <c r="K239" s="313"/>
      <c r="L239" s="313"/>
      <c r="M239" s="528" t="s">
        <v>574</v>
      </c>
      <c r="N239" s="46"/>
      <c r="O239" s="1453">
        <f>K157</f>
        <v>0.44</v>
      </c>
      <c r="P239" s="1454"/>
      <c r="Q239" s="887"/>
      <c r="R239" s="466"/>
      <c r="S239" s="474"/>
      <c r="T239" s="470"/>
      <c r="U239" s="470"/>
      <c r="V239" s="475"/>
      <c r="W239" s="475"/>
      <c r="X239" s="476"/>
      <c r="Y239" s="477"/>
      <c r="Z239" s="472"/>
      <c r="AA239" s="478"/>
      <c r="AB239" s="479"/>
      <c r="AC239" s="480"/>
      <c r="AD239" s="480"/>
      <c r="AE239" s="480"/>
      <c r="AF239" s="473"/>
      <c r="AG239" s="473"/>
    </row>
    <row r="240" spans="1:111" s="471" customFormat="1" ht="20.100000000000001" hidden="1" customHeight="1">
      <c r="A240" s="869"/>
      <c r="B240" s="322"/>
      <c r="C240" s="302" t="s">
        <v>148</v>
      </c>
      <c r="D240" s="527" t="s">
        <v>156</v>
      </c>
      <c r="E240" s="313" t="s">
        <v>575</v>
      </c>
      <c r="F240" s="298"/>
      <c r="G240" s="298"/>
      <c r="H240" s="313"/>
      <c r="I240" s="313"/>
      <c r="J240" s="313"/>
      <c r="K240" s="313"/>
      <c r="L240" s="313"/>
      <c r="M240" s="313"/>
      <c r="N240" s="46"/>
      <c r="O240" s="298"/>
      <c r="P240" s="725"/>
      <c r="Q240" s="860"/>
      <c r="R240" s="468"/>
      <c r="S240" s="474"/>
      <c r="T240" s="470"/>
      <c r="U240" s="470"/>
      <c r="V240" s="475"/>
      <c r="W240" s="475"/>
      <c r="X240" s="476"/>
      <c r="Y240" s="477"/>
      <c r="Z240" s="472"/>
      <c r="AA240" s="478"/>
      <c r="AB240" s="479"/>
      <c r="AC240" s="480"/>
      <c r="AD240" s="480"/>
      <c r="AE240" s="480"/>
      <c r="AF240" s="473"/>
      <c r="AG240" s="473"/>
    </row>
    <row r="241" spans="1:33" s="471" customFormat="1" ht="20.100000000000001" hidden="1" customHeight="1">
      <c r="A241" s="869"/>
      <c r="B241" s="322"/>
      <c r="C241" s="302" t="s">
        <v>157</v>
      </c>
      <c r="D241" s="527" t="s">
        <v>156</v>
      </c>
      <c r="E241" s="313" t="s">
        <v>158</v>
      </c>
      <c r="F241" s="298"/>
      <c r="G241" s="298"/>
      <c r="H241" s="313"/>
      <c r="I241" s="313"/>
      <c r="J241" s="313"/>
      <c r="K241" s="313"/>
      <c r="L241" s="313"/>
      <c r="M241" s="298" t="s">
        <v>594</v>
      </c>
      <c r="N241" s="46"/>
      <c r="O241" s="1435">
        <v>5.0999999999999997E-2</v>
      </c>
      <c r="P241" s="1436"/>
      <c r="Q241" s="888"/>
      <c r="R241" s="466"/>
      <c r="S241" s="474"/>
      <c r="T241" s="470"/>
      <c r="U241" s="470"/>
      <c r="V241" s="475"/>
      <c r="W241" s="475"/>
      <c r="X241" s="476"/>
      <c r="Y241" s="477"/>
      <c r="Z241" s="472"/>
      <c r="AA241" s="478"/>
      <c r="AB241" s="479"/>
      <c r="AC241" s="480"/>
      <c r="AD241" s="480"/>
      <c r="AE241" s="480"/>
      <c r="AF241" s="473"/>
      <c r="AG241" s="473"/>
    </row>
    <row r="242" spans="1:33" s="471" customFormat="1" ht="20.100000000000001" hidden="1" customHeight="1">
      <c r="A242" s="869"/>
      <c r="B242" s="322"/>
      <c r="C242" s="302" t="s">
        <v>149</v>
      </c>
      <c r="D242" s="527" t="s">
        <v>156</v>
      </c>
      <c r="E242" s="530" t="s">
        <v>150</v>
      </c>
      <c r="F242" s="298"/>
      <c r="G242" s="298"/>
      <c r="H242" s="302"/>
      <c r="I242" s="298"/>
      <c r="J242" s="302"/>
      <c r="K242" s="302"/>
      <c r="L242" s="298"/>
      <c r="M242" s="298"/>
      <c r="N242" s="313"/>
      <c r="O242" s="1318">
        <f>R185</f>
        <v>2.5399999999999996</v>
      </c>
      <c r="P242" s="1437"/>
      <c r="Q242" s="889"/>
      <c r="R242" s="466"/>
      <c r="S242" s="474"/>
      <c r="T242" s="472"/>
      <c r="U242" s="470"/>
      <c r="V242" s="470"/>
      <c r="W242" s="475"/>
      <c r="X242" s="476"/>
      <c r="Y242" s="477"/>
      <c r="Z242" s="472"/>
      <c r="AA242" s="478"/>
      <c r="AB242" s="479"/>
      <c r="AC242" s="480"/>
      <c r="AD242" s="480"/>
      <c r="AE242" s="480"/>
      <c r="AF242" s="473"/>
      <c r="AG242" s="473"/>
    </row>
    <row r="243" spans="1:33" s="471" customFormat="1" ht="20.100000000000001" hidden="1" customHeight="1">
      <c r="A243" s="869" t="s">
        <v>567</v>
      </c>
      <c r="B243" s="322" t="s">
        <v>576</v>
      </c>
      <c r="C243" s="298"/>
      <c r="D243" s="298"/>
      <c r="E243" s="313"/>
      <c r="F243" s="527"/>
      <c r="G243" s="352"/>
      <c r="H243" s="302"/>
      <c r="I243" s="298"/>
      <c r="J243" s="302"/>
      <c r="K243" s="527"/>
      <c r="L243" s="529"/>
      <c r="M243" s="529"/>
      <c r="N243" s="302"/>
      <c r="O243" s="1455">
        <f>('설계기준(설계치12)'!F9-'설계기준(설계치12)'!J9)*(O245+O246*O249)*'설계기준(설계치12)'!C4/1000</f>
        <v>337.24799999999999</v>
      </c>
      <c r="P243" s="1456"/>
      <c r="Q243" s="890"/>
      <c r="R243" s="466"/>
      <c r="S243" s="474"/>
      <c r="T243" s="472"/>
      <c r="U243" s="472"/>
      <c r="V243" s="475"/>
      <c r="W243" s="475"/>
      <c r="X243" s="476"/>
      <c r="Y243" s="477"/>
      <c r="Z243" s="472"/>
      <c r="AA243" s="478"/>
      <c r="AB243" s="479"/>
      <c r="AC243" s="480"/>
      <c r="AD243" s="480"/>
      <c r="AE243" s="480"/>
      <c r="AF243" s="473"/>
      <c r="AG243" s="473"/>
    </row>
    <row r="244" spans="1:33" s="471" customFormat="1" ht="20.100000000000001" hidden="1" customHeight="1">
      <c r="A244" s="739"/>
      <c r="B244" s="322"/>
      <c r="C244" s="313" t="s">
        <v>86</v>
      </c>
      <c r="D244" s="298"/>
      <c r="E244" s="298"/>
      <c r="F244" s="527"/>
      <c r="G244" s="352"/>
      <c r="H244" s="302"/>
      <c r="I244" s="298"/>
      <c r="J244" s="302"/>
      <c r="K244" s="527"/>
      <c r="L244" s="529"/>
      <c r="M244" s="529"/>
      <c r="N244" s="302"/>
      <c r="O244" s="298"/>
      <c r="P244" s="725"/>
      <c r="Q244" s="891"/>
      <c r="R244" s="481"/>
      <c r="S244" s="474"/>
      <c r="T244" s="472"/>
      <c r="U244" s="472"/>
      <c r="V244" s="475"/>
      <c r="W244" s="475"/>
      <c r="X244" s="476"/>
      <c r="Y244" s="477"/>
      <c r="Z244" s="472"/>
      <c r="AA244" s="478"/>
      <c r="AB244" s="479"/>
      <c r="AC244" s="480"/>
      <c r="AD244" s="480"/>
      <c r="AE244" s="480"/>
      <c r="AF244" s="473"/>
      <c r="AG244" s="473"/>
    </row>
    <row r="245" spans="1:33" s="471" customFormat="1" ht="20.100000000000001" hidden="1" customHeight="1">
      <c r="A245" s="739"/>
      <c r="B245" s="322"/>
      <c r="C245" s="313" t="s">
        <v>568</v>
      </c>
      <c r="D245" s="298"/>
      <c r="E245" s="298"/>
      <c r="F245" s="527"/>
      <c r="G245" s="352"/>
      <c r="H245" s="302"/>
      <c r="I245" s="298"/>
      <c r="J245" s="302"/>
      <c r="K245" s="527"/>
      <c r="L245" s="529"/>
      <c r="M245" s="529"/>
      <c r="N245" s="302"/>
      <c r="O245" s="1435">
        <v>0.2</v>
      </c>
      <c r="P245" s="1436"/>
      <c r="Q245" s="888"/>
      <c r="R245" s="466"/>
      <c r="S245" s="474"/>
      <c r="T245" s="470"/>
      <c r="U245" s="470"/>
      <c r="V245" s="470"/>
      <c r="W245" s="475"/>
      <c r="X245" s="476"/>
      <c r="Y245" s="477"/>
      <c r="Z245" s="472"/>
      <c r="AA245" s="478"/>
      <c r="AB245" s="479"/>
      <c r="AC245" s="480"/>
      <c r="AD245" s="480"/>
      <c r="AE245" s="480"/>
      <c r="AF245" s="473"/>
      <c r="AG245" s="473"/>
    </row>
    <row r="246" spans="1:33" s="471" customFormat="1" ht="20.100000000000001" hidden="1" customHeight="1">
      <c r="A246" s="739"/>
      <c r="B246" s="322"/>
      <c r="C246" s="313" t="s">
        <v>569</v>
      </c>
      <c r="D246" s="298"/>
      <c r="E246" s="298"/>
      <c r="F246" s="527"/>
      <c r="G246" s="352"/>
      <c r="H246" s="302"/>
      <c r="I246" s="298"/>
      <c r="J246" s="302"/>
      <c r="K246" s="527"/>
      <c r="L246" s="529"/>
      <c r="M246" s="529"/>
      <c r="N246" s="302"/>
      <c r="O246" s="1318">
        <f>1-O245</f>
        <v>0.8</v>
      </c>
      <c r="P246" s="1437"/>
      <c r="Q246" s="889"/>
      <c r="R246" s="466"/>
      <c r="S246" s="474"/>
      <c r="T246" s="472"/>
      <c r="U246" s="472"/>
      <c r="V246" s="475"/>
      <c r="W246" s="475"/>
      <c r="X246" s="476"/>
      <c r="Y246" s="477"/>
      <c r="Z246" s="472"/>
      <c r="AA246" s="478"/>
      <c r="AB246" s="479"/>
      <c r="AC246" s="480"/>
      <c r="AD246" s="480"/>
      <c r="AE246" s="480"/>
      <c r="AF246" s="473"/>
      <c r="AG246" s="473"/>
    </row>
    <row r="247" spans="1:33" s="471" customFormat="1" ht="20.100000000000001" hidden="1" customHeight="1">
      <c r="A247" s="739"/>
      <c r="B247" s="322"/>
      <c r="C247" s="313" t="s">
        <v>87</v>
      </c>
      <c r="D247" s="298"/>
      <c r="E247" s="298"/>
      <c r="F247" s="527"/>
      <c r="G247" s="352"/>
      <c r="H247" s="302"/>
      <c r="I247" s="298"/>
      <c r="J247" s="302"/>
      <c r="K247" s="527"/>
      <c r="L247" s="529"/>
      <c r="M247" s="529"/>
      <c r="N247" s="302"/>
      <c r="O247" s="298"/>
      <c r="P247" s="724"/>
      <c r="Q247" s="892"/>
      <c r="R247" s="482"/>
      <c r="S247" s="474"/>
      <c r="T247" s="472"/>
      <c r="U247" s="472"/>
      <c r="V247" s="475"/>
      <c r="W247" s="475"/>
      <c r="X247" s="476"/>
      <c r="Y247" s="477"/>
      <c r="Z247" s="472"/>
      <c r="AA247" s="478"/>
      <c r="AB247" s="479"/>
      <c r="AC247" s="480"/>
      <c r="AD247" s="480"/>
      <c r="AE247" s="480"/>
      <c r="AF247" s="473"/>
      <c r="AG247" s="473"/>
    </row>
    <row r="248" spans="1:33" s="471" customFormat="1" ht="20.100000000000001" hidden="1" customHeight="1">
      <c r="A248" s="739"/>
      <c r="B248" s="322"/>
      <c r="C248" s="313" t="s">
        <v>159</v>
      </c>
      <c r="D248" s="298"/>
      <c r="E248" s="298"/>
      <c r="F248" s="527"/>
      <c r="G248" s="352"/>
      <c r="H248" s="302"/>
      <c r="I248" s="298"/>
      <c r="J248" s="302"/>
      <c r="K248" s="527"/>
      <c r="L248" s="529"/>
      <c r="M248" s="529"/>
      <c r="N248" s="302"/>
      <c r="O248" s="1435">
        <v>0.8</v>
      </c>
      <c r="P248" s="1436"/>
      <c r="Q248" s="888"/>
      <c r="R248" s="466"/>
      <c r="S248" s="474"/>
      <c r="T248" s="470"/>
      <c r="U248" s="470"/>
      <c r="V248" s="475"/>
      <c r="W248" s="475"/>
      <c r="X248" s="476"/>
      <c r="Y248" s="477"/>
      <c r="Z248" s="472"/>
      <c r="AA248" s="478"/>
      <c r="AB248" s="479"/>
      <c r="AC248" s="480"/>
      <c r="AD248" s="480"/>
      <c r="AE248" s="480"/>
      <c r="AF248" s="473"/>
      <c r="AG248" s="473"/>
    </row>
    <row r="249" spans="1:33" s="471" customFormat="1" ht="20.100000000000001" hidden="1" customHeight="1">
      <c r="A249" s="739"/>
      <c r="B249" s="322"/>
      <c r="C249" s="313" t="s">
        <v>160</v>
      </c>
      <c r="D249" s="298"/>
      <c r="E249" s="298"/>
      <c r="F249" s="527"/>
      <c r="G249" s="352"/>
      <c r="H249" s="302"/>
      <c r="I249" s="298"/>
      <c r="J249" s="302"/>
      <c r="K249" s="527"/>
      <c r="L249" s="529"/>
      <c r="M249" s="529"/>
      <c r="N249" s="302"/>
      <c r="O249" s="1318">
        <f>1-O248</f>
        <v>0.19999999999999996</v>
      </c>
      <c r="P249" s="1437"/>
      <c r="Q249" s="889"/>
      <c r="R249" s="466"/>
      <c r="S249" s="474"/>
      <c r="T249" s="470"/>
      <c r="U249" s="470"/>
      <c r="V249" s="475"/>
      <c r="W249" s="475"/>
      <c r="X249" s="476"/>
      <c r="Y249" s="477"/>
      <c r="Z249" s="472"/>
      <c r="AA249" s="478"/>
      <c r="AB249" s="479"/>
      <c r="AC249" s="480"/>
      <c r="AD249" s="480"/>
      <c r="AE249" s="480"/>
      <c r="AF249" s="473"/>
      <c r="AG249" s="473"/>
    </row>
    <row r="250" spans="1:33" s="471" customFormat="1" ht="20.100000000000001" hidden="1" customHeight="1">
      <c r="A250" s="868" t="s">
        <v>161</v>
      </c>
      <c r="B250" s="300" t="str">
        <f>"함수율("&amp;물질수지!T43&amp;")%인 경우"</f>
        <v>함수율(99.2)%인 경우</v>
      </c>
      <c r="C250" s="313"/>
      <c r="D250" s="313"/>
      <c r="E250" s="313"/>
      <c r="F250" s="313"/>
      <c r="G250" s="313"/>
      <c r="H250" s="302"/>
      <c r="I250" s="302"/>
      <c r="J250" s="302"/>
      <c r="K250" s="302"/>
      <c r="L250" s="302"/>
      <c r="M250" s="302"/>
      <c r="N250" s="302"/>
      <c r="O250" s="302"/>
      <c r="P250" s="724"/>
      <c r="Q250" s="859"/>
      <c r="R250" s="466"/>
      <c r="S250" s="474"/>
      <c r="T250" s="472"/>
      <c r="U250" s="472"/>
      <c r="V250" s="475"/>
      <c r="W250" s="475"/>
      <c r="X250" s="476"/>
      <c r="Y250" s="477"/>
      <c r="Z250" s="472"/>
      <c r="AA250" s="478"/>
      <c r="AB250" s="479"/>
      <c r="AC250" s="480"/>
      <c r="AD250" s="480"/>
      <c r="AE250" s="480"/>
      <c r="AF250" s="473"/>
      <c r="AG250" s="473"/>
    </row>
    <row r="251" spans="1:33" s="471" customFormat="1" ht="20.100000000000001" hidden="1" customHeight="1">
      <c r="A251" s="859"/>
      <c r="B251" s="308"/>
      <c r="C251" s="1438">
        <f>O236</f>
        <v>702.16823301520981</v>
      </c>
      <c r="D251" s="1439"/>
      <c r="E251" s="1260" t="s">
        <v>140</v>
      </c>
      <c r="F251" s="1260"/>
      <c r="G251" s="302" t="s">
        <v>51</v>
      </c>
      <c r="H251" s="302">
        <v>100</v>
      </c>
      <c r="I251" s="302" t="s">
        <v>162</v>
      </c>
      <c r="J251" s="302">
        <v>100</v>
      </c>
      <c r="K251" s="302" t="s">
        <v>163</v>
      </c>
      <c r="L251" s="302">
        <v>99.2</v>
      </c>
      <c r="M251" s="302" t="s">
        <v>164</v>
      </c>
      <c r="N251" s="1440">
        <v>1000</v>
      </c>
      <c r="O251" s="1440"/>
      <c r="P251" s="724"/>
      <c r="Q251" s="859"/>
      <c r="R251" s="466"/>
      <c r="S251" s="474"/>
      <c r="T251" s="472"/>
      <c r="U251" s="472"/>
      <c r="V251" s="475"/>
      <c r="W251" s="475"/>
      <c r="X251" s="476"/>
      <c r="Y251" s="477"/>
      <c r="Z251" s="472"/>
      <c r="AA251" s="478"/>
      <c r="AB251" s="479"/>
      <c r="AC251" s="480"/>
      <c r="AD251" s="480"/>
      <c r="AE251" s="480"/>
      <c r="AF251" s="473"/>
      <c r="AG251" s="473"/>
    </row>
    <row r="252" spans="1:33" s="471" customFormat="1" ht="20.100000000000001" hidden="1" customHeight="1">
      <c r="A252" s="859"/>
      <c r="B252" s="308"/>
      <c r="C252" s="302" t="s">
        <v>152</v>
      </c>
      <c r="D252" s="1451">
        <f>C251*H251/(J251-L251)/N251</f>
        <v>87.771029126901539</v>
      </c>
      <c r="E252" s="1451"/>
      <c r="F252" s="1257" t="s">
        <v>165</v>
      </c>
      <c r="G252" s="1257"/>
      <c r="H252" s="302"/>
      <c r="I252" s="302"/>
      <c r="J252" s="302"/>
      <c r="K252" s="302"/>
      <c r="L252" s="302"/>
      <c r="M252" s="302"/>
      <c r="N252" s="302"/>
      <c r="O252" s="302"/>
      <c r="P252" s="724"/>
      <c r="Q252" s="859"/>
      <c r="R252" s="466"/>
      <c r="S252" s="474"/>
      <c r="T252" s="472"/>
      <c r="U252" s="472"/>
      <c r="V252" s="475"/>
      <c r="W252" s="475"/>
      <c r="X252" s="476"/>
      <c r="Y252" s="477"/>
      <c r="Z252" s="472"/>
      <c r="AA252" s="478"/>
      <c r="AB252" s="479"/>
      <c r="AC252" s="480"/>
      <c r="AD252" s="480"/>
      <c r="AE252" s="480"/>
      <c r="AF252" s="473"/>
      <c r="AG252" s="473"/>
    </row>
    <row r="253" spans="1:33" s="471" customFormat="1" ht="20.100000000000001" hidden="1" customHeight="1">
      <c r="A253" s="859"/>
      <c r="B253" s="308"/>
      <c r="C253" s="302"/>
      <c r="D253" s="536"/>
      <c r="E253" s="536"/>
      <c r="F253" s="313"/>
      <c r="G253" s="313"/>
      <c r="H253" s="302"/>
      <c r="I253" s="302"/>
      <c r="J253" s="302"/>
      <c r="K253" s="302"/>
      <c r="L253" s="302"/>
      <c r="M253" s="302"/>
      <c r="N253" s="302"/>
      <c r="O253" s="302"/>
      <c r="P253" s="724"/>
      <c r="Q253" s="859"/>
      <c r="R253" s="466"/>
      <c r="S253" s="474"/>
      <c r="T253" s="472"/>
      <c r="U253" s="472"/>
      <c r="V253" s="475"/>
      <c r="W253" s="475"/>
      <c r="X253" s="476"/>
      <c r="Y253" s="477"/>
      <c r="Z253" s="472"/>
      <c r="AA253" s="478"/>
      <c r="AB253" s="479"/>
      <c r="AC253" s="480"/>
      <c r="AD253" s="480"/>
      <c r="AE253" s="480"/>
      <c r="AF253" s="473"/>
      <c r="AG253" s="473"/>
    </row>
    <row r="254" spans="1:33" s="471" customFormat="1" ht="20.100000000000001" hidden="1" customHeight="1">
      <c r="A254" s="866" t="s">
        <v>785</v>
      </c>
      <c r="B254" s="382"/>
      <c r="C254" s="361"/>
      <c r="D254" s="302"/>
      <c r="E254" s="302"/>
      <c r="F254" s="558"/>
      <c r="G254" s="558"/>
      <c r="H254" s="383"/>
      <c r="I254" s="559"/>
      <c r="J254" s="302"/>
      <c r="K254" s="302"/>
      <c r="L254" s="324"/>
      <c r="M254" s="313"/>
      <c r="N254" s="313"/>
      <c r="O254" s="313"/>
      <c r="P254" s="724"/>
      <c r="Q254" s="859"/>
      <c r="R254" s="466"/>
      <c r="S254" s="474"/>
      <c r="T254" s="472"/>
      <c r="U254" s="472"/>
      <c r="V254" s="475"/>
      <c r="W254" s="475"/>
      <c r="X254" s="476"/>
      <c r="Y254" s="477"/>
      <c r="Z254" s="472"/>
      <c r="AA254" s="478"/>
      <c r="AB254" s="479"/>
      <c r="AC254" s="480"/>
      <c r="AD254" s="480"/>
      <c r="AE254" s="480"/>
      <c r="AF254" s="473"/>
      <c r="AG254" s="473"/>
    </row>
    <row r="255" spans="1:33" s="471" customFormat="1" ht="20.100000000000001" hidden="1" customHeight="1">
      <c r="A255" s="739" t="s">
        <v>595</v>
      </c>
      <c r="B255" s="1431" t="s">
        <v>596</v>
      </c>
      <c r="C255" s="1447"/>
      <c r="D255" s="1447"/>
      <c r="E255" s="1447"/>
      <c r="F255" s="1447"/>
      <c r="G255" s="1447"/>
      <c r="H255" s="1447"/>
      <c r="I255" s="1447"/>
      <c r="J255" s="1447"/>
      <c r="K255" s="1447"/>
      <c r="L255" s="1447"/>
      <c r="M255" s="1447"/>
      <c r="N255" s="1447"/>
      <c r="O255" s="1447"/>
      <c r="P255" s="1448"/>
      <c r="Q255" s="859"/>
      <c r="R255" s="466"/>
      <c r="S255" s="474"/>
      <c r="T255" s="472"/>
      <c r="U255" s="472"/>
      <c r="V255" s="475"/>
      <c r="W255" s="475"/>
      <c r="X255" s="476"/>
      <c r="Y255" s="477"/>
      <c r="Z255" s="472"/>
      <c r="AA255" s="478"/>
      <c r="AB255" s="479"/>
      <c r="AC255" s="480"/>
      <c r="AD255" s="480"/>
      <c r="AE255" s="480"/>
      <c r="AF255" s="473"/>
      <c r="AG255" s="473"/>
    </row>
    <row r="256" spans="1:33" s="471" customFormat="1" ht="20.100000000000001" hidden="1" customHeight="1">
      <c r="A256" s="739" t="s">
        <v>597</v>
      </c>
      <c r="B256" s="253" t="str">
        <f>"체류시간 : 유입유량의 "&amp;R256&amp;"시간 정도"</f>
        <v>체류시간 : 유입유량의 3시간 정도</v>
      </c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859"/>
      <c r="R256" s="466">
        <v>3</v>
      </c>
      <c r="S256" s="474"/>
      <c r="T256" s="472"/>
      <c r="U256" s="472"/>
      <c r="V256" s="475"/>
      <c r="W256" s="475"/>
      <c r="X256" s="476"/>
      <c r="Y256" s="477"/>
      <c r="Z256" s="472"/>
      <c r="AA256" s="478"/>
      <c r="AB256" s="479"/>
      <c r="AC256" s="480"/>
      <c r="AD256" s="480"/>
      <c r="AE256" s="480"/>
      <c r="AF256" s="473"/>
      <c r="AG256" s="473"/>
    </row>
    <row r="257" spans="1:33" s="471" customFormat="1" ht="20.100000000000001" hidden="1" customHeight="1">
      <c r="A257" s="739" t="s">
        <v>598</v>
      </c>
      <c r="B257" s="1444" t="s">
        <v>599</v>
      </c>
      <c r="C257" s="1445"/>
      <c r="D257" s="1445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859"/>
      <c r="R257" s="466"/>
      <c r="S257" s="474"/>
      <c r="T257" s="472"/>
      <c r="U257" s="472"/>
      <c r="V257" s="475"/>
      <c r="W257" s="475"/>
      <c r="X257" s="476"/>
      <c r="Y257" s="477"/>
      <c r="Z257" s="472"/>
      <c r="AA257" s="478"/>
      <c r="AB257" s="479"/>
      <c r="AC257" s="480"/>
      <c r="AD257" s="480"/>
      <c r="AE257" s="480"/>
      <c r="AF257" s="473"/>
      <c r="AG257" s="473"/>
    </row>
    <row r="258" spans="1:33" s="471" customFormat="1" ht="20.100000000000001" hidden="1" customHeight="1">
      <c r="A258" s="740"/>
      <c r="B258" s="382"/>
      <c r="C258" s="1327">
        <f>물질수지!T7</f>
        <v>12185.125776698724</v>
      </c>
      <c r="D258" s="1327"/>
      <c r="E258" s="1327"/>
      <c r="F258" s="138" t="s">
        <v>51</v>
      </c>
      <c r="G258" s="389">
        <f>R256</f>
        <v>3</v>
      </c>
      <c r="H258" s="138" t="s">
        <v>600</v>
      </c>
      <c r="I258" s="1430">
        <f>C258*G258/24</f>
        <v>1523.1407220873405</v>
      </c>
      <c r="J258" s="1430"/>
      <c r="K258" s="302"/>
      <c r="L258" s="324"/>
      <c r="M258" s="313"/>
      <c r="N258" s="313"/>
      <c r="O258" s="313"/>
      <c r="P258" s="724"/>
      <c r="Q258" s="859"/>
      <c r="R258" s="466"/>
      <c r="S258" s="474"/>
      <c r="T258" s="472"/>
      <c r="U258" s="472"/>
      <c r="V258" s="475"/>
      <c r="W258" s="475"/>
      <c r="X258" s="476"/>
      <c r="Y258" s="477"/>
      <c r="Z258" s="472"/>
      <c r="AA258" s="478"/>
      <c r="AB258" s="479"/>
      <c r="AC258" s="480"/>
      <c r="AD258" s="480"/>
      <c r="AE258" s="480"/>
      <c r="AF258" s="473"/>
      <c r="AG258" s="473"/>
    </row>
    <row r="259" spans="1:33" s="471" customFormat="1" ht="20.100000000000001" hidden="1" customHeight="1">
      <c r="A259" s="739" t="s">
        <v>601</v>
      </c>
      <c r="B259" s="253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859"/>
      <c r="R259" s="466"/>
      <c r="S259" s="474"/>
      <c r="T259" s="472"/>
      <c r="U259" s="472"/>
      <c r="V259" s="475"/>
      <c r="W259" s="475"/>
      <c r="X259" s="476"/>
      <c r="Y259" s="477"/>
      <c r="Z259" s="472"/>
      <c r="AA259" s="478"/>
      <c r="AB259" s="479"/>
      <c r="AC259" s="480"/>
      <c r="AD259" s="480"/>
      <c r="AE259" s="480"/>
      <c r="AF259" s="473"/>
      <c r="AG259" s="473"/>
    </row>
    <row r="260" spans="1:33" s="471" customFormat="1" ht="20.100000000000001" hidden="1" customHeight="1">
      <c r="A260" s="740" t="s">
        <v>602</v>
      </c>
      <c r="B260" s="253"/>
      <c r="C260" s="1250" t="s">
        <v>603</v>
      </c>
      <c r="D260" s="1250"/>
      <c r="E260" s="1250"/>
      <c r="F260" s="1250"/>
      <c r="G260" s="1250"/>
      <c r="H260" s="1250"/>
      <c r="I260" s="1250"/>
      <c r="J260" s="1250"/>
      <c r="K260" s="1250"/>
      <c r="L260" s="1250"/>
      <c r="M260" s="1250"/>
      <c r="N260" s="1250"/>
      <c r="O260" s="1250"/>
      <c r="P260" s="250"/>
      <c r="Q260" s="859"/>
      <c r="R260" s="466"/>
      <c r="S260" s="474"/>
      <c r="T260" s="472"/>
      <c r="U260" s="472"/>
      <c r="V260" s="475"/>
      <c r="W260" s="475"/>
      <c r="X260" s="476"/>
      <c r="Y260" s="477"/>
      <c r="Z260" s="472"/>
      <c r="AA260" s="478"/>
      <c r="AB260" s="479"/>
      <c r="AC260" s="480"/>
      <c r="AD260" s="480"/>
      <c r="AE260" s="480"/>
      <c r="AF260" s="473"/>
      <c r="AG260" s="473"/>
    </row>
    <row r="261" spans="1:33" s="471" customFormat="1" ht="20.100000000000001" hidden="1" customHeight="1">
      <c r="A261" s="740" t="s">
        <v>604</v>
      </c>
      <c r="B261" s="255" t="s">
        <v>583</v>
      </c>
      <c r="C261" s="309">
        <v>12.7</v>
      </c>
      <c r="D261" s="138" t="s">
        <v>605</v>
      </c>
      <c r="E261" s="138" t="s">
        <v>51</v>
      </c>
      <c r="F261" s="138" t="s">
        <v>584</v>
      </c>
      <c r="G261" s="309">
        <v>17.2</v>
      </c>
      <c r="H261" s="138" t="s">
        <v>605</v>
      </c>
      <c r="I261" s="138" t="s">
        <v>51</v>
      </c>
      <c r="J261" s="1250" t="s">
        <v>606</v>
      </c>
      <c r="K261" s="1250"/>
      <c r="L261" s="138" t="s">
        <v>607</v>
      </c>
      <c r="M261" s="407">
        <v>3.5</v>
      </c>
      <c r="N261" s="138" t="s">
        <v>605</v>
      </c>
      <c r="O261" s="138"/>
      <c r="P261" s="250"/>
      <c r="Q261" s="859"/>
      <c r="R261" s="466"/>
      <c r="S261" s="474"/>
      <c r="T261" s="472"/>
      <c r="U261" s="472"/>
      <c r="V261" s="475"/>
      <c r="W261" s="475"/>
      <c r="X261" s="476"/>
      <c r="Y261" s="477"/>
      <c r="Z261" s="472"/>
      <c r="AA261" s="478"/>
      <c r="AB261" s="479"/>
      <c r="AC261" s="480"/>
      <c r="AD261" s="480"/>
      <c r="AE261" s="480"/>
      <c r="AF261" s="473"/>
      <c r="AG261" s="473"/>
    </row>
    <row r="262" spans="1:33" s="471" customFormat="1" ht="20.100000000000001" hidden="1" customHeight="1">
      <c r="A262" s="740" t="s">
        <v>608</v>
      </c>
      <c r="B262" s="253"/>
      <c r="C262" s="250"/>
      <c r="D262" s="250"/>
      <c r="E262" s="250"/>
      <c r="F262" s="250"/>
      <c r="G262" s="250"/>
      <c r="H262" s="802">
        <v>2</v>
      </c>
      <c r="I262" s="250" t="s">
        <v>113</v>
      </c>
      <c r="J262" s="250"/>
      <c r="K262" s="250"/>
      <c r="L262" s="250"/>
      <c r="M262" s="250"/>
      <c r="N262" s="250"/>
      <c r="O262" s="250"/>
      <c r="P262" s="250"/>
      <c r="Q262" s="859"/>
      <c r="R262" s="466"/>
      <c r="S262" s="474"/>
      <c r="T262" s="472"/>
      <c r="U262" s="472"/>
      <c r="V262" s="475"/>
      <c r="W262" s="475"/>
      <c r="X262" s="476"/>
      <c r="Y262" s="477"/>
      <c r="Z262" s="472"/>
      <c r="AA262" s="478"/>
      <c r="AB262" s="479"/>
      <c r="AC262" s="480"/>
      <c r="AD262" s="480"/>
      <c r="AE262" s="480"/>
      <c r="AF262" s="473"/>
      <c r="AG262" s="473"/>
    </row>
    <row r="263" spans="1:33" s="471" customFormat="1" ht="20.100000000000001" hidden="1" customHeight="1">
      <c r="A263" s="740" t="s">
        <v>610</v>
      </c>
      <c r="B263" s="810" t="s">
        <v>611</v>
      </c>
      <c r="C263" s="802" t="s">
        <v>600</v>
      </c>
      <c r="D263" s="1430">
        <f>C261*G261*M261</f>
        <v>764.53999999999985</v>
      </c>
      <c r="E263" s="1430"/>
      <c r="F263" s="802" t="s">
        <v>51</v>
      </c>
      <c r="G263" s="802">
        <f>H262</f>
        <v>2</v>
      </c>
      <c r="H263" s="802" t="s">
        <v>609</v>
      </c>
      <c r="I263" s="802" t="s">
        <v>600</v>
      </c>
      <c r="J263" s="1291">
        <f>D263*G263</f>
        <v>1529.0799999999997</v>
      </c>
      <c r="K263" s="1291"/>
      <c r="L263" s="250"/>
      <c r="M263" s="250"/>
      <c r="N263" s="250"/>
      <c r="O263" s="250"/>
      <c r="P263" s="250"/>
      <c r="Q263" s="859"/>
      <c r="R263" s="466"/>
      <c r="S263" s="474"/>
      <c r="T263" s="472"/>
      <c r="U263" s="472"/>
      <c r="V263" s="475"/>
      <c r="W263" s="475"/>
      <c r="X263" s="476"/>
      <c r="Y263" s="477"/>
      <c r="Z263" s="472"/>
      <c r="AA263" s="478"/>
      <c r="AB263" s="479"/>
      <c r="AC263" s="480"/>
      <c r="AD263" s="480"/>
      <c r="AE263" s="480"/>
      <c r="AF263" s="473"/>
      <c r="AG263" s="473"/>
    </row>
    <row r="264" spans="1:33" s="471" customFormat="1" ht="20.100000000000001" hidden="1" customHeight="1">
      <c r="A264" s="739" t="s">
        <v>612</v>
      </c>
      <c r="B264" s="253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313"/>
      <c r="P264" s="724"/>
      <c r="Q264" s="859"/>
      <c r="R264" s="466"/>
      <c r="S264" s="474"/>
      <c r="T264" s="472"/>
      <c r="U264" s="472"/>
      <c r="V264" s="475"/>
      <c r="W264" s="475"/>
      <c r="X264" s="476"/>
      <c r="Y264" s="477"/>
      <c r="Z264" s="472"/>
      <c r="AA264" s="478"/>
      <c r="AB264" s="479"/>
      <c r="AC264" s="480"/>
      <c r="AD264" s="480"/>
      <c r="AE264" s="480"/>
      <c r="AF264" s="473"/>
      <c r="AG264" s="473"/>
    </row>
    <row r="265" spans="1:33" s="471" customFormat="1" ht="20.100000000000001" hidden="1" customHeight="1">
      <c r="A265" s="740" t="s">
        <v>613</v>
      </c>
      <c r="B265" s="253"/>
      <c r="C265" s="1291">
        <f>J263</f>
        <v>1529.0799999999997</v>
      </c>
      <c r="D265" s="1291"/>
      <c r="E265" s="138" t="s">
        <v>52</v>
      </c>
      <c r="F265" s="1327">
        <f>C258</f>
        <v>12185.125776698724</v>
      </c>
      <c r="G265" s="1327"/>
      <c r="H265" s="1327"/>
      <c r="I265" s="138" t="s">
        <v>51</v>
      </c>
      <c r="J265" s="1304">
        <v>24</v>
      </c>
      <c r="K265" s="1304"/>
      <c r="L265" s="138" t="s">
        <v>600</v>
      </c>
      <c r="M265" s="1332">
        <f>C265/F265*J265</f>
        <v>3.0116980876944579</v>
      </c>
      <c r="N265" s="1332"/>
      <c r="O265" s="313"/>
      <c r="P265" s="724"/>
      <c r="Q265" s="859"/>
      <c r="R265" s="466"/>
      <c r="S265" s="474"/>
      <c r="T265" s="472"/>
      <c r="U265" s="472"/>
      <c r="V265" s="475"/>
      <c r="W265" s="475"/>
      <c r="X265" s="476"/>
      <c r="Y265" s="477"/>
      <c r="Z265" s="472"/>
      <c r="AA265" s="478"/>
      <c r="AB265" s="479"/>
      <c r="AC265" s="480"/>
      <c r="AD265" s="480"/>
      <c r="AE265" s="480"/>
      <c r="AF265" s="473"/>
      <c r="AG265" s="473"/>
    </row>
    <row r="266" spans="1:33" s="471" customFormat="1" ht="20.100000000000001" hidden="1" customHeight="1">
      <c r="A266" s="740"/>
      <c r="B266" s="253"/>
      <c r="C266" s="803"/>
      <c r="D266" s="803"/>
      <c r="E266" s="802"/>
      <c r="F266" s="806"/>
      <c r="G266" s="806"/>
      <c r="H266" s="806"/>
      <c r="I266" s="802"/>
      <c r="J266" s="804"/>
      <c r="K266" s="804"/>
      <c r="L266" s="802"/>
      <c r="M266" s="805"/>
      <c r="N266" s="805"/>
      <c r="O266" s="808"/>
      <c r="P266" s="809"/>
      <c r="Q266" s="859"/>
      <c r="R266" s="825"/>
      <c r="S266" s="474"/>
      <c r="T266" s="472"/>
      <c r="U266" s="472"/>
      <c r="V266" s="475"/>
      <c r="W266" s="475"/>
      <c r="X266" s="476"/>
      <c r="Y266" s="477"/>
      <c r="Z266" s="472"/>
      <c r="AA266" s="478"/>
      <c r="AB266" s="479"/>
      <c r="AC266" s="480"/>
      <c r="AD266" s="480"/>
      <c r="AE266" s="480"/>
      <c r="AF266" s="473"/>
      <c r="AG266" s="473"/>
    </row>
    <row r="267" spans="1:33" s="471" customFormat="1" ht="20.100000000000001" hidden="1" customHeight="1">
      <c r="A267" s="867"/>
      <c r="B267" s="841"/>
      <c r="C267" s="842"/>
      <c r="D267" s="842"/>
      <c r="E267" s="843"/>
      <c r="F267" s="844"/>
      <c r="G267" s="844"/>
      <c r="H267" s="844"/>
      <c r="I267" s="843"/>
      <c r="J267" s="845"/>
      <c r="K267" s="845"/>
      <c r="L267" s="843"/>
      <c r="M267" s="846"/>
      <c r="N267" s="846"/>
      <c r="O267" s="840"/>
      <c r="P267" s="826"/>
      <c r="Q267" s="815"/>
      <c r="R267" s="466"/>
      <c r="S267" s="474"/>
      <c r="T267" s="472"/>
      <c r="U267" s="472"/>
      <c r="V267" s="475"/>
      <c r="W267" s="475"/>
      <c r="X267" s="476"/>
      <c r="Y267" s="477"/>
      <c r="Z267" s="472"/>
      <c r="AA267" s="478"/>
      <c r="AB267" s="479"/>
      <c r="AC267" s="480"/>
      <c r="AD267" s="480"/>
      <c r="AE267" s="480"/>
      <c r="AF267" s="473"/>
      <c r="AG267" s="473"/>
    </row>
    <row r="268" spans="1:33" s="112" customFormat="1" ht="21" hidden="1" customHeight="1">
      <c r="A268" s="870" t="s">
        <v>786</v>
      </c>
      <c r="B268" s="847"/>
      <c r="C268" s="848"/>
      <c r="D268" s="848"/>
      <c r="E268" s="849"/>
      <c r="F268" s="850"/>
      <c r="G268" s="850"/>
      <c r="H268" s="850"/>
      <c r="I268" s="849"/>
      <c r="J268" s="851"/>
      <c r="K268" s="848"/>
      <c r="L268" s="849"/>
      <c r="M268" s="852"/>
      <c r="N268" s="852"/>
      <c r="O268" s="853"/>
      <c r="P268" s="832"/>
      <c r="Q268" s="893"/>
      <c r="R268" s="390"/>
      <c r="S268" s="363"/>
      <c r="T268" s="301"/>
      <c r="U268" s="301"/>
      <c r="V268" s="386"/>
      <c r="W268" s="386"/>
      <c r="X268" s="387"/>
      <c r="Y268" s="388"/>
      <c r="Z268" s="301"/>
      <c r="AA268" s="301"/>
      <c r="AB268" s="335"/>
      <c r="AC268" s="299"/>
      <c r="AD268" s="299"/>
      <c r="AE268" s="299"/>
      <c r="AF268" s="301"/>
      <c r="AG268" s="46"/>
    </row>
    <row r="269" spans="1:33" s="112" customFormat="1" ht="21" hidden="1" customHeight="1">
      <c r="A269" s="871" t="s">
        <v>476</v>
      </c>
      <c r="B269" s="1431" t="s">
        <v>580</v>
      </c>
      <c r="C269" s="1432"/>
      <c r="D269" s="1432"/>
      <c r="E269" s="1432"/>
      <c r="F269" s="1432"/>
      <c r="G269" s="1432"/>
      <c r="H269" s="1432"/>
      <c r="I269" s="1432"/>
      <c r="J269" s="1432"/>
      <c r="K269" s="1432"/>
      <c r="L269" s="1432"/>
      <c r="M269" s="1432"/>
      <c r="N269" s="1432"/>
      <c r="O269" s="1432"/>
      <c r="P269" s="1433"/>
      <c r="Q269" s="894"/>
      <c r="R269" s="390"/>
      <c r="S269" s="363"/>
      <c r="T269" s="301"/>
      <c r="U269" s="301"/>
      <c r="V269" s="386"/>
      <c r="W269" s="386"/>
      <c r="X269" s="387"/>
      <c r="Y269" s="388"/>
      <c r="Z269" s="301"/>
      <c r="AA269" s="301"/>
      <c r="AB269" s="335"/>
      <c r="AC269" s="299"/>
      <c r="AD269" s="299"/>
      <c r="AE269" s="299"/>
      <c r="AF269" s="301"/>
      <c r="AG269" s="46"/>
    </row>
    <row r="270" spans="1:33" s="112" customFormat="1" ht="21" hidden="1" customHeight="1">
      <c r="A270" s="871" t="s">
        <v>481</v>
      </c>
      <c r="B270" s="1431" t="str">
        <f>"체류시간 : 유입유량의 "&amp;R270&amp;"시간 정도"</f>
        <v>체류시간 : 유입유량의 1시간 정도</v>
      </c>
      <c r="C270" s="1432"/>
      <c r="D270" s="1432"/>
      <c r="E270" s="1432"/>
      <c r="F270" s="1432"/>
      <c r="G270" s="1432"/>
      <c r="H270" s="406"/>
      <c r="I270" s="250"/>
      <c r="J270" s="250"/>
      <c r="K270" s="250"/>
      <c r="L270" s="250"/>
      <c r="M270" s="250"/>
      <c r="N270" s="250"/>
      <c r="O270" s="250"/>
      <c r="P270" s="250"/>
      <c r="Q270" s="894"/>
      <c r="R270" s="390">
        <v>1</v>
      </c>
      <c r="S270" s="363"/>
      <c r="T270" s="301"/>
      <c r="U270" s="301"/>
      <c r="V270" s="386"/>
      <c r="W270" s="386"/>
      <c r="X270" s="387"/>
      <c r="Y270" s="388"/>
      <c r="Z270" s="301"/>
      <c r="AA270" s="301"/>
      <c r="AB270" s="335"/>
      <c r="AC270" s="299"/>
      <c r="AD270" s="299"/>
      <c r="AE270" s="299"/>
      <c r="AF270" s="301"/>
      <c r="AG270" s="46"/>
    </row>
    <row r="271" spans="1:33" s="112" customFormat="1" ht="21" hidden="1" customHeight="1">
      <c r="A271" s="739" t="s">
        <v>477</v>
      </c>
      <c r="B271" s="1444" t="s">
        <v>300</v>
      </c>
      <c r="C271" s="1445"/>
      <c r="D271" s="1445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894"/>
      <c r="R271" s="390"/>
      <c r="S271" s="363"/>
      <c r="T271" s="301"/>
      <c r="U271" s="301"/>
      <c r="V271" s="386"/>
      <c r="W271" s="386"/>
      <c r="X271" s="387"/>
      <c r="Y271" s="388"/>
      <c r="Z271" s="301"/>
      <c r="AA271" s="301"/>
      <c r="AB271" s="335"/>
      <c r="AC271" s="299"/>
      <c r="AD271" s="299"/>
      <c r="AE271" s="299"/>
      <c r="AF271" s="301"/>
      <c r="AG271" s="46"/>
    </row>
    <row r="272" spans="1:33" s="112" customFormat="1" ht="21" hidden="1" customHeight="1">
      <c r="A272" s="740"/>
      <c r="B272" s="382"/>
      <c r="C272" s="1327">
        <f>물질수지!Z7</f>
        <v>11792.426695</v>
      </c>
      <c r="D272" s="1327"/>
      <c r="E272" s="1327"/>
      <c r="F272" s="138" t="s">
        <v>51</v>
      </c>
      <c r="G272" s="389">
        <f>R270</f>
        <v>1</v>
      </c>
      <c r="H272" s="138" t="s">
        <v>298</v>
      </c>
      <c r="I272" s="1430">
        <f>C272*G272/24</f>
        <v>491.35111229166665</v>
      </c>
      <c r="J272" s="1430"/>
      <c r="K272" s="302"/>
      <c r="L272" s="324"/>
      <c r="M272" s="313"/>
      <c r="N272" s="313"/>
      <c r="O272" s="313"/>
      <c r="P272" s="724"/>
      <c r="Q272" s="894"/>
      <c r="R272" s="390"/>
      <c r="S272" s="363"/>
      <c r="T272" s="301"/>
      <c r="U272" s="301"/>
      <c r="V272" s="386"/>
      <c r="W272" s="386"/>
      <c r="X272" s="387"/>
      <c r="Y272" s="388"/>
      <c r="Z272" s="301"/>
      <c r="AA272" s="301"/>
      <c r="AB272" s="335"/>
      <c r="AC272" s="299"/>
      <c r="AD272" s="299"/>
      <c r="AE272" s="299"/>
      <c r="AF272" s="301"/>
      <c r="AG272" s="46"/>
    </row>
    <row r="273" spans="1:33" s="112" customFormat="1" ht="21" hidden="1" customHeight="1">
      <c r="A273" s="739" t="s">
        <v>478</v>
      </c>
      <c r="B273" s="253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894"/>
      <c r="R273" s="390"/>
      <c r="S273" s="363"/>
      <c r="T273" s="301"/>
      <c r="U273" s="301"/>
      <c r="V273" s="386"/>
      <c r="W273" s="386"/>
      <c r="X273" s="387"/>
      <c r="Y273" s="388"/>
      <c r="Z273" s="301"/>
      <c r="AA273" s="301"/>
      <c r="AB273" s="335"/>
      <c r="AC273" s="299"/>
      <c r="AD273" s="299"/>
      <c r="AE273" s="299"/>
      <c r="AF273" s="301"/>
      <c r="AG273" s="46"/>
    </row>
    <row r="274" spans="1:33" s="112" customFormat="1" ht="21" hidden="1" customHeight="1">
      <c r="A274" s="740" t="s">
        <v>304</v>
      </c>
      <c r="B274" s="1428" t="s">
        <v>305</v>
      </c>
      <c r="C274" s="1250"/>
      <c r="D274" s="1250"/>
      <c r="E274" s="1250"/>
      <c r="F274" s="1250"/>
      <c r="G274" s="1250"/>
      <c r="H274" s="1250"/>
      <c r="I274" s="1250"/>
      <c r="J274" s="1250"/>
      <c r="K274" s="1250"/>
      <c r="L274" s="1250"/>
      <c r="M274" s="1250"/>
      <c r="N274" s="1250"/>
      <c r="O274" s="1250"/>
      <c r="P274" s="1429"/>
      <c r="Q274" s="894"/>
      <c r="R274" s="390"/>
      <c r="S274" s="363"/>
      <c r="T274" s="301"/>
      <c r="U274" s="301"/>
      <c r="V274" s="386"/>
      <c r="W274" s="386"/>
      <c r="X274" s="387"/>
      <c r="Y274" s="388"/>
      <c r="Z274" s="301"/>
      <c r="AA274" s="301"/>
      <c r="AB274" s="335"/>
      <c r="AC274" s="299"/>
      <c r="AD274" s="299"/>
      <c r="AE274" s="299"/>
      <c r="AF274" s="301"/>
      <c r="AG274" s="46"/>
    </row>
    <row r="275" spans="1:33" s="112" customFormat="1" ht="21" hidden="1" customHeight="1">
      <c r="A275" s="740" t="s">
        <v>306</v>
      </c>
      <c r="B275" s="255" t="s">
        <v>307</v>
      </c>
      <c r="C275" s="309">
        <f>C261</f>
        <v>12.7</v>
      </c>
      <c r="D275" s="138" t="s">
        <v>308</v>
      </c>
      <c r="E275" s="138" t="s">
        <v>51</v>
      </c>
      <c r="F275" s="138" t="s">
        <v>309</v>
      </c>
      <c r="G275" s="309">
        <v>4.4000000000000004</v>
      </c>
      <c r="H275" s="138" t="s">
        <v>308</v>
      </c>
      <c r="I275" s="138" t="s">
        <v>51</v>
      </c>
      <c r="J275" s="1250" t="s">
        <v>310</v>
      </c>
      <c r="K275" s="1250"/>
      <c r="L275" s="138" t="s">
        <v>311</v>
      </c>
      <c r="M275" s="407">
        <v>4.5</v>
      </c>
      <c r="N275" s="138" t="s">
        <v>308</v>
      </c>
      <c r="O275" s="138"/>
      <c r="P275" s="250"/>
      <c r="Q275" s="894"/>
      <c r="R275" s="390"/>
      <c r="S275" s="363"/>
      <c r="T275" s="301"/>
      <c r="U275" s="301"/>
      <c r="V275" s="386"/>
      <c r="W275" s="386"/>
      <c r="X275" s="387"/>
      <c r="Y275" s="388"/>
      <c r="Z275" s="301"/>
      <c r="AA275" s="301"/>
      <c r="AB275" s="335"/>
      <c r="AC275" s="299"/>
      <c r="AD275" s="299"/>
      <c r="AE275" s="299"/>
      <c r="AF275" s="301"/>
      <c r="AG275" s="46"/>
    </row>
    <row r="276" spans="1:33" s="112" customFormat="1" ht="21" hidden="1" customHeight="1">
      <c r="A276" s="740" t="s">
        <v>479</v>
      </c>
      <c r="B276" s="253"/>
      <c r="C276" s="250"/>
      <c r="D276" s="250"/>
      <c r="E276" s="250"/>
      <c r="F276" s="250"/>
      <c r="G276" s="250"/>
      <c r="H276" s="138">
        <v>2</v>
      </c>
      <c r="I276" s="250" t="s">
        <v>113</v>
      </c>
      <c r="J276" s="250"/>
      <c r="K276" s="250"/>
      <c r="L276" s="250"/>
      <c r="M276" s="250"/>
      <c r="N276" s="250"/>
      <c r="O276" s="250"/>
      <c r="P276" s="250"/>
      <c r="Q276" s="894"/>
      <c r="R276" s="390"/>
      <c r="S276" s="363"/>
      <c r="T276" s="700">
        <f>G287+G275+G261+0.8</f>
        <v>28.400000000000002</v>
      </c>
      <c r="U276" s="301"/>
      <c r="V276" s="386"/>
      <c r="W276" s="386"/>
      <c r="X276" s="387"/>
      <c r="Y276" s="388"/>
      <c r="Z276" s="301"/>
      <c r="AA276" s="301"/>
      <c r="AB276" s="335"/>
      <c r="AC276" s="299"/>
      <c r="AD276" s="299"/>
      <c r="AE276" s="299"/>
      <c r="AF276" s="301"/>
      <c r="AG276" s="46"/>
    </row>
    <row r="277" spans="1:33" s="112" customFormat="1" ht="21" hidden="1" customHeight="1">
      <c r="A277" s="740" t="s">
        <v>314</v>
      </c>
      <c r="B277" s="255" t="s">
        <v>315</v>
      </c>
      <c r="C277" s="138" t="s">
        <v>298</v>
      </c>
      <c r="D277" s="1430">
        <f>C275*G275*M275</f>
        <v>251.46</v>
      </c>
      <c r="E277" s="1430"/>
      <c r="F277" s="138" t="s">
        <v>51</v>
      </c>
      <c r="G277" s="138">
        <f>H276</f>
        <v>2</v>
      </c>
      <c r="H277" s="138" t="s">
        <v>429</v>
      </c>
      <c r="I277" s="138" t="s">
        <v>298</v>
      </c>
      <c r="J277" s="1430">
        <f>D277*G277</f>
        <v>502.92</v>
      </c>
      <c r="K277" s="1430"/>
      <c r="L277" s="250"/>
      <c r="M277" s="250"/>
      <c r="N277" s="250"/>
      <c r="O277" s="250"/>
      <c r="P277" s="250"/>
      <c r="Q277" s="894"/>
      <c r="R277" s="390"/>
      <c r="S277" s="363"/>
      <c r="T277" s="301">
        <v>28.4</v>
      </c>
      <c r="U277" s="301"/>
      <c r="V277" s="386"/>
      <c r="W277" s="386"/>
      <c r="X277" s="387"/>
      <c r="Y277" s="388"/>
      <c r="Z277" s="301"/>
      <c r="AA277" s="301"/>
      <c r="AB277" s="335"/>
      <c r="AC277" s="299"/>
      <c r="AD277" s="299"/>
      <c r="AE277" s="299"/>
      <c r="AF277" s="301"/>
      <c r="AG277" s="46"/>
    </row>
    <row r="278" spans="1:33" s="112" customFormat="1" ht="21" hidden="1" customHeight="1">
      <c r="A278" s="739" t="s">
        <v>480</v>
      </c>
      <c r="B278" s="253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313"/>
      <c r="P278" s="724"/>
      <c r="Q278" s="894"/>
      <c r="R278" s="390"/>
      <c r="S278" s="363"/>
      <c r="T278" s="301"/>
      <c r="U278" s="301"/>
      <c r="V278" s="386"/>
      <c r="W278" s="386"/>
      <c r="X278" s="387"/>
      <c r="Y278" s="388"/>
      <c r="Z278" s="301"/>
      <c r="AA278" s="301"/>
      <c r="AB278" s="335"/>
      <c r="AC278" s="299"/>
      <c r="AD278" s="299"/>
      <c r="AE278" s="299"/>
      <c r="AF278" s="301"/>
      <c r="AG278" s="46"/>
    </row>
    <row r="279" spans="1:33" s="112" customFormat="1" ht="21" hidden="1" customHeight="1">
      <c r="A279" s="740" t="s">
        <v>318</v>
      </c>
      <c r="B279" s="253"/>
      <c r="C279" s="1446">
        <f>J277</f>
        <v>502.92</v>
      </c>
      <c r="D279" s="1446"/>
      <c r="E279" s="138" t="s">
        <v>52</v>
      </c>
      <c r="F279" s="1327">
        <f>C272</f>
        <v>11792.426695</v>
      </c>
      <c r="G279" s="1327"/>
      <c r="H279" s="1327"/>
      <c r="I279" s="138" t="s">
        <v>51</v>
      </c>
      <c r="J279" s="1304">
        <v>24</v>
      </c>
      <c r="K279" s="1304"/>
      <c r="L279" s="138" t="s">
        <v>298</v>
      </c>
      <c r="M279" s="1332">
        <f>C279/F279*J279</f>
        <v>1.0235450524460521</v>
      </c>
      <c r="N279" s="1332"/>
      <c r="O279" s="313"/>
      <c r="P279" s="724"/>
      <c r="Q279" s="894"/>
      <c r="R279" s="390"/>
      <c r="S279" s="363"/>
      <c r="T279" s="301"/>
      <c r="U279" s="301"/>
      <c r="V279" s="386"/>
      <c r="W279" s="386"/>
      <c r="X279" s="387"/>
      <c r="Y279" s="388"/>
      <c r="Z279" s="301"/>
      <c r="AA279" s="301"/>
      <c r="AB279" s="335"/>
      <c r="AC279" s="299"/>
      <c r="AD279" s="299"/>
      <c r="AE279" s="299"/>
      <c r="AF279" s="301"/>
      <c r="AG279" s="46"/>
    </row>
    <row r="280" spans="1:33" s="112" customFormat="1" ht="21" hidden="1" customHeight="1">
      <c r="A280" s="740"/>
      <c r="B280" s="250"/>
      <c r="C280" s="672"/>
      <c r="D280" s="672"/>
      <c r="E280" s="667"/>
      <c r="F280" s="670"/>
      <c r="G280" s="670"/>
      <c r="H280" s="670"/>
      <c r="I280" s="667"/>
      <c r="J280" s="668"/>
      <c r="K280" s="668"/>
      <c r="L280" s="667"/>
      <c r="M280" s="669"/>
      <c r="N280" s="669"/>
      <c r="O280" s="673"/>
      <c r="P280" s="671"/>
      <c r="Q280" s="894"/>
      <c r="R280" s="680"/>
      <c r="S280" s="674"/>
      <c r="T280" s="675"/>
      <c r="U280" s="675"/>
      <c r="V280" s="666"/>
      <c r="W280" s="666"/>
      <c r="X280" s="387"/>
      <c r="Y280" s="679"/>
      <c r="Z280" s="675"/>
      <c r="AA280" s="675"/>
      <c r="AB280" s="678"/>
      <c r="AC280" s="677"/>
      <c r="AD280" s="677"/>
      <c r="AE280" s="677"/>
      <c r="AF280" s="675"/>
      <c r="AG280" s="676"/>
    </row>
    <row r="281" spans="1:33" s="112" customFormat="1" ht="21" hidden="1" customHeight="1">
      <c r="A281" s="738" t="s">
        <v>787</v>
      </c>
      <c r="B281" s="360"/>
      <c r="C281" s="360"/>
      <c r="D281" s="302"/>
      <c r="E281" s="361"/>
      <c r="F281" s="302"/>
      <c r="G281" s="302"/>
      <c r="H281" s="302"/>
      <c r="I281" s="381"/>
      <c r="J281" s="302"/>
      <c r="K281" s="391"/>
      <c r="L281" s="391"/>
      <c r="M281" s="313"/>
      <c r="N281" s="302"/>
      <c r="O281" s="324"/>
      <c r="P281" s="313"/>
      <c r="Q281" s="884"/>
      <c r="R281" s="390"/>
      <c r="S281" s="363"/>
      <c r="T281" s="301"/>
      <c r="U281" s="301"/>
      <c r="V281" s="386"/>
      <c r="W281" s="386"/>
      <c r="X281" s="387"/>
      <c r="Y281" s="388"/>
      <c r="Z281" s="301"/>
      <c r="AA281" s="301"/>
      <c r="AB281" s="335"/>
      <c r="AC281" s="299"/>
      <c r="AD281" s="299"/>
      <c r="AE281" s="299"/>
      <c r="AF281" s="301"/>
      <c r="AG281" s="46"/>
    </row>
    <row r="282" spans="1:33" s="112" customFormat="1" ht="21" hidden="1" customHeight="1">
      <c r="A282" s="860" t="s">
        <v>172</v>
      </c>
      <c r="B282" s="1432" t="s">
        <v>762</v>
      </c>
      <c r="C282" s="1445"/>
      <c r="D282" s="1445"/>
      <c r="E282" s="1445"/>
      <c r="F282" s="1445"/>
      <c r="G282" s="1445"/>
      <c r="H282" s="1445"/>
      <c r="I282" s="1445"/>
      <c r="J282" s="1445"/>
      <c r="K282" s="1445"/>
      <c r="L282" s="1445"/>
      <c r="M282" s="1445"/>
      <c r="N282" s="1445"/>
      <c r="O282" s="1445"/>
      <c r="P282" s="1445"/>
      <c r="Q282" s="878"/>
      <c r="R282" s="390"/>
      <c r="S282" s="363"/>
      <c r="T282" s="301"/>
      <c r="U282" s="301"/>
      <c r="V282" s="1360"/>
      <c r="W282" s="1360"/>
      <c r="X282" s="387"/>
      <c r="Y282" s="388"/>
      <c r="Z282" s="301"/>
      <c r="AA282" s="301"/>
      <c r="AB282" s="335"/>
      <c r="AC282" s="299"/>
      <c r="AD282" s="299"/>
      <c r="AE282" s="299"/>
      <c r="AF282" s="301"/>
      <c r="AG282" s="46"/>
    </row>
    <row r="283" spans="1:33" s="112" customFormat="1" ht="21" hidden="1" customHeight="1">
      <c r="A283" s="739" t="s">
        <v>407</v>
      </c>
      <c r="B283" s="1293" t="s">
        <v>173</v>
      </c>
      <c r="C283" s="1257"/>
      <c r="D283" s="1257"/>
      <c r="E283" s="298"/>
      <c r="F283" s="298"/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878"/>
      <c r="R283" s="390"/>
      <c r="S283" s="363"/>
      <c r="T283" s="301"/>
      <c r="U283" s="301"/>
      <c r="V283" s="386"/>
      <c r="W283" s="386"/>
      <c r="X283" s="387"/>
      <c r="Y283" s="388"/>
      <c r="Z283" s="301"/>
      <c r="AA283" s="301"/>
      <c r="AB283" s="335"/>
      <c r="AC283" s="299"/>
      <c r="AD283" s="299"/>
      <c r="AE283" s="299"/>
      <c r="AF283" s="301"/>
      <c r="AG283" s="46"/>
    </row>
    <row r="284" spans="1:33" s="112" customFormat="1" ht="21" hidden="1" customHeight="1">
      <c r="A284" s="739"/>
      <c r="B284" s="298"/>
      <c r="C284" s="1434">
        <f>물질수지!O48</f>
        <v>199.29750000000001</v>
      </c>
      <c r="D284" s="1434"/>
      <c r="E284" s="1434"/>
      <c r="F284" s="302" t="s">
        <v>51</v>
      </c>
      <c r="G284" s="531">
        <v>3</v>
      </c>
      <c r="H284" s="302" t="s">
        <v>152</v>
      </c>
      <c r="I284" s="1330">
        <f>C284*G284</f>
        <v>597.89250000000004</v>
      </c>
      <c r="J284" s="1260"/>
      <c r="K284" s="302" t="s">
        <v>174</v>
      </c>
      <c r="L284" s="298"/>
      <c r="M284" s="298"/>
      <c r="N284" s="298"/>
      <c r="O284" s="298"/>
      <c r="P284" s="298"/>
      <c r="Q284" s="878"/>
      <c r="R284" s="390"/>
      <c r="S284" s="363"/>
      <c r="T284" s="301"/>
      <c r="U284" s="301"/>
      <c r="V284" s="386"/>
      <c r="W284" s="386"/>
      <c r="X284" s="387"/>
      <c r="Y284" s="388"/>
      <c r="Z284" s="301"/>
      <c r="AA284" s="301"/>
      <c r="AB284" s="335"/>
      <c r="AC284" s="299"/>
      <c r="AD284" s="299"/>
      <c r="AE284" s="299"/>
      <c r="AF284" s="301"/>
      <c r="AG284" s="46"/>
    </row>
    <row r="285" spans="1:33" s="112" customFormat="1" ht="21" hidden="1" customHeight="1">
      <c r="A285" s="739" t="s">
        <v>427</v>
      </c>
      <c r="B285" s="298"/>
      <c r="C285" s="1260" t="s">
        <v>121</v>
      </c>
      <c r="D285" s="1260"/>
      <c r="E285" s="1260"/>
      <c r="F285" s="1260"/>
      <c r="G285" s="1260"/>
      <c r="H285" s="1260"/>
      <c r="I285" s="1260"/>
      <c r="J285" s="1260"/>
      <c r="K285" s="1260"/>
      <c r="L285" s="1260"/>
      <c r="M285" s="1260"/>
      <c r="N285" s="1260"/>
      <c r="O285" s="298"/>
      <c r="P285" s="298"/>
      <c r="Q285" s="878"/>
      <c r="R285" s="390"/>
      <c r="S285" s="363"/>
      <c r="T285" s="301"/>
      <c r="U285" s="301"/>
      <c r="V285" s="386"/>
      <c r="W285" s="386"/>
      <c r="X285" s="387"/>
      <c r="Y285" s="388"/>
      <c r="Z285" s="301"/>
      <c r="AA285" s="301"/>
      <c r="AB285" s="335"/>
      <c r="AC285" s="299"/>
      <c r="AD285" s="299"/>
      <c r="AE285" s="299"/>
      <c r="AF285" s="301"/>
      <c r="AG285" s="46"/>
    </row>
    <row r="286" spans="1:33" s="112" customFormat="1" ht="21" hidden="1" customHeight="1">
      <c r="A286" s="740" t="s">
        <v>175</v>
      </c>
      <c r="B286" s="322"/>
      <c r="C286" s="298"/>
      <c r="D286" s="298"/>
      <c r="E286" s="298"/>
      <c r="F286" s="298"/>
      <c r="G286" s="298"/>
      <c r="H286" s="298"/>
      <c r="I286" s="298"/>
      <c r="J286" s="298"/>
      <c r="K286" s="298"/>
      <c r="L286" s="298"/>
      <c r="M286" s="298"/>
      <c r="N286" s="298"/>
      <c r="O286" s="298"/>
      <c r="P286" s="725"/>
      <c r="Q286" s="878"/>
      <c r="R286" s="390"/>
      <c r="S286" s="363"/>
      <c r="T286" s="301"/>
      <c r="U286" s="301"/>
      <c r="V286" s="386"/>
      <c r="W286" s="386"/>
      <c r="X286" s="387"/>
      <c r="Y286" s="388"/>
      <c r="Z286" s="301"/>
      <c r="AA286" s="301"/>
      <c r="AB286" s="335"/>
      <c r="AC286" s="299"/>
      <c r="AD286" s="299"/>
      <c r="AE286" s="299"/>
      <c r="AF286" s="301"/>
      <c r="AG286" s="46"/>
    </row>
    <row r="287" spans="1:33" s="112" customFormat="1" ht="21" hidden="1" customHeight="1">
      <c r="A287" s="740" t="s">
        <v>176</v>
      </c>
      <c r="B287" s="302" t="s">
        <v>177</v>
      </c>
      <c r="C287" s="309">
        <f>C275</f>
        <v>12.7</v>
      </c>
      <c r="D287" s="302" t="s">
        <v>178</v>
      </c>
      <c r="E287" s="302" t="s">
        <v>51</v>
      </c>
      <c r="F287" s="302" t="s">
        <v>179</v>
      </c>
      <c r="G287" s="309">
        <v>6</v>
      </c>
      <c r="H287" s="302" t="s">
        <v>178</v>
      </c>
      <c r="I287" s="302" t="s">
        <v>51</v>
      </c>
      <c r="J287" s="1260" t="s">
        <v>180</v>
      </c>
      <c r="K287" s="1260"/>
      <c r="L287" s="302" t="s">
        <v>181</v>
      </c>
      <c r="M287" s="309">
        <v>4.5</v>
      </c>
      <c r="N287" s="302" t="s">
        <v>178</v>
      </c>
      <c r="O287" s="302"/>
      <c r="P287" s="298"/>
      <c r="Q287" s="878"/>
      <c r="R287" s="390"/>
      <c r="S287" s="363"/>
      <c r="T287" s="301"/>
      <c r="U287" s="301"/>
      <c r="V287" s="386"/>
      <c r="W287" s="386"/>
      <c r="X287" s="387"/>
      <c r="Y287" s="388"/>
      <c r="Z287" s="301"/>
      <c r="AA287" s="301"/>
      <c r="AB287" s="335"/>
      <c r="AC287" s="299"/>
      <c r="AD287" s="299"/>
      <c r="AE287" s="299"/>
      <c r="AF287" s="301"/>
      <c r="AG287" s="46"/>
    </row>
    <row r="288" spans="1:33" s="112" customFormat="1" ht="21" hidden="1" customHeight="1">
      <c r="A288" s="740" t="s">
        <v>182</v>
      </c>
      <c r="B288" s="298"/>
      <c r="C288" s="298"/>
      <c r="D288" s="298"/>
      <c r="E288" s="298"/>
      <c r="F288" s="298"/>
      <c r="G288" s="298"/>
      <c r="H288" s="302">
        <v>2</v>
      </c>
      <c r="I288" s="785" t="s">
        <v>829</v>
      </c>
      <c r="J288" s="298"/>
      <c r="K288" s="298"/>
      <c r="L288" s="298"/>
      <c r="M288" s="298"/>
      <c r="N288" s="298"/>
      <c r="O288" s="298"/>
      <c r="P288" s="298"/>
      <c r="Q288" s="878"/>
      <c r="R288" s="390"/>
      <c r="S288" s="363"/>
      <c r="T288" s="301"/>
      <c r="U288" s="301"/>
      <c r="V288" s="386"/>
      <c r="W288" s="386"/>
      <c r="X288" s="387"/>
      <c r="Y288" s="388"/>
      <c r="Z288" s="301"/>
      <c r="AA288" s="301"/>
      <c r="AB288" s="335"/>
      <c r="AC288" s="299"/>
      <c r="AD288" s="299"/>
      <c r="AE288" s="299"/>
      <c r="AF288" s="301"/>
      <c r="AG288" s="46"/>
    </row>
    <row r="289" spans="1:33" s="112" customFormat="1" ht="21" hidden="1" customHeight="1">
      <c r="A289" s="740" t="s">
        <v>183</v>
      </c>
      <c r="B289" s="302" t="s">
        <v>184</v>
      </c>
      <c r="C289" s="302" t="s">
        <v>152</v>
      </c>
      <c r="D289" s="1260">
        <f>C287*G287*M287</f>
        <v>342.9</v>
      </c>
      <c r="E289" s="1260"/>
      <c r="F289" s="1260" t="s">
        <v>185</v>
      </c>
      <c r="G289" s="1260"/>
      <c r="H289" s="302" t="s">
        <v>51</v>
      </c>
      <c r="I289" s="302">
        <f>H288</f>
        <v>2</v>
      </c>
      <c r="J289" s="302" t="s">
        <v>186</v>
      </c>
      <c r="K289" s="302" t="s">
        <v>152</v>
      </c>
      <c r="L289" s="1291">
        <f>D289*I289</f>
        <v>685.8</v>
      </c>
      <c r="M289" s="1291"/>
      <c r="N289" s="298"/>
      <c r="O289" s="298"/>
      <c r="P289" s="298"/>
      <c r="Q289" s="878"/>
      <c r="R289" s="390"/>
      <c r="S289" s="363"/>
      <c r="T289" s="301"/>
      <c r="U289" s="301"/>
      <c r="V289" s="386"/>
      <c r="W289" s="386"/>
      <c r="X289" s="387"/>
      <c r="Y289" s="388"/>
      <c r="Z289" s="301"/>
      <c r="AA289" s="301"/>
      <c r="AB289" s="335"/>
      <c r="AC289" s="299"/>
      <c r="AD289" s="299"/>
      <c r="AE289" s="299"/>
      <c r="AF289" s="301"/>
      <c r="AG289" s="46"/>
    </row>
    <row r="290" spans="1:33" s="112" customFormat="1" ht="21" hidden="1" customHeight="1">
      <c r="A290" s="739" t="s">
        <v>482</v>
      </c>
      <c r="B290" s="298"/>
      <c r="C290" s="298"/>
      <c r="D290" s="298"/>
      <c r="E290" s="298"/>
      <c r="F290" s="298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878"/>
      <c r="R290" s="390"/>
      <c r="S290" s="363"/>
      <c r="T290" s="301"/>
      <c r="U290" s="301"/>
      <c r="V290" s="386"/>
      <c r="W290" s="386"/>
      <c r="X290" s="387"/>
      <c r="Y290" s="388"/>
      <c r="Z290" s="301"/>
      <c r="AA290" s="301"/>
      <c r="AB290" s="335"/>
      <c r="AC290" s="299"/>
      <c r="AD290" s="299"/>
      <c r="AE290" s="299"/>
      <c r="AF290" s="301"/>
      <c r="AG290" s="46"/>
    </row>
    <row r="291" spans="1:33" s="112" customFormat="1" ht="21" hidden="1" customHeight="1">
      <c r="A291" s="867" t="s">
        <v>187</v>
      </c>
      <c r="B291" s="1442">
        <f>L289</f>
        <v>685.8</v>
      </c>
      <c r="C291" s="1442"/>
      <c r="D291" s="826" t="s">
        <v>52</v>
      </c>
      <c r="E291" s="1441">
        <f>C284</f>
        <v>199.29750000000001</v>
      </c>
      <c r="F291" s="1441"/>
      <c r="G291" s="1441"/>
      <c r="H291" s="826" t="s">
        <v>152</v>
      </c>
      <c r="I291" s="1443">
        <f>B291/E291</f>
        <v>3.4410868174462794</v>
      </c>
      <c r="J291" s="1443"/>
      <c r="K291" s="621"/>
      <c r="L291" s="621"/>
      <c r="M291" s="621"/>
      <c r="N291" s="621"/>
      <c r="O291" s="621"/>
      <c r="P291" s="621"/>
      <c r="Q291" s="879"/>
      <c r="R291" s="390"/>
      <c r="S291" s="363"/>
      <c r="T291" s="301"/>
      <c r="U291" s="301"/>
      <c r="V291" s="386"/>
      <c r="W291" s="386"/>
      <c r="X291" s="387"/>
      <c r="Y291" s="388"/>
      <c r="Z291" s="301"/>
      <c r="AA291" s="301"/>
      <c r="AB291" s="335"/>
      <c r="AC291" s="299"/>
      <c r="AD291" s="299"/>
      <c r="AE291" s="299"/>
      <c r="AF291" s="301"/>
      <c r="AG291" s="46"/>
    </row>
    <row r="292" spans="1:33" ht="21.95" customHeight="1">
      <c r="A292" s="322"/>
      <c r="B292" s="392"/>
      <c r="C292" s="392"/>
      <c r="D292" s="392"/>
      <c r="E292" s="392"/>
      <c r="F292" s="392"/>
      <c r="G292" s="392"/>
      <c r="H292" s="392"/>
      <c r="I292" s="392"/>
      <c r="J292" s="392"/>
      <c r="K292" s="392"/>
      <c r="L292" s="392"/>
      <c r="M292" s="392"/>
      <c r="N292" s="392"/>
      <c r="O292" s="392"/>
      <c r="P292" s="392"/>
      <c r="Q292" s="878"/>
      <c r="R292" s="321"/>
      <c r="S292" s="321"/>
      <c r="T292" s="321"/>
      <c r="U292" s="321"/>
      <c r="V292" s="321"/>
      <c r="W292" s="321"/>
      <c r="X292" s="321"/>
      <c r="Y292" s="321"/>
      <c r="Z292" s="321"/>
      <c r="AA292" s="321"/>
      <c r="AB292" s="321"/>
      <c r="AC292" s="321"/>
      <c r="AD292" s="321"/>
      <c r="AE292" s="321"/>
      <c r="AF292" s="321"/>
    </row>
    <row r="293" spans="1:33" ht="21.95" customHeight="1">
      <c r="A293" s="322"/>
      <c r="B293" s="392"/>
      <c r="C293" s="392"/>
      <c r="D293" s="392"/>
      <c r="E293" s="392"/>
      <c r="F293" s="392"/>
      <c r="G293" s="392"/>
      <c r="H293" s="392"/>
      <c r="I293" s="392"/>
      <c r="J293" s="392"/>
      <c r="K293" s="392"/>
      <c r="L293" s="392"/>
      <c r="M293" s="392"/>
      <c r="N293" s="392"/>
      <c r="O293" s="392"/>
      <c r="P293" s="392"/>
      <c r="Q293" s="878"/>
      <c r="R293" s="321"/>
      <c r="S293" s="321"/>
      <c r="T293" s="321"/>
      <c r="U293" s="321"/>
      <c r="V293" s="321"/>
      <c r="W293" s="321"/>
      <c r="X293" s="321"/>
      <c r="Y293" s="321"/>
      <c r="Z293" s="321"/>
      <c r="AA293" s="321"/>
      <c r="AB293" s="321"/>
      <c r="AC293" s="321"/>
      <c r="AD293" s="321"/>
      <c r="AE293" s="321"/>
      <c r="AF293" s="321"/>
    </row>
    <row r="294" spans="1:33" ht="21.95" customHeight="1">
      <c r="A294" s="322"/>
      <c r="B294" s="392"/>
      <c r="C294" s="392"/>
      <c r="D294" s="392"/>
      <c r="E294" s="392"/>
      <c r="F294" s="662"/>
      <c r="G294" s="392"/>
      <c r="H294" s="392"/>
      <c r="I294" s="392"/>
      <c r="J294" s="392"/>
      <c r="K294" s="392"/>
      <c r="L294" s="392"/>
      <c r="M294" s="392"/>
      <c r="N294" s="392"/>
      <c r="O294" s="392"/>
      <c r="P294" s="392"/>
      <c r="Q294" s="878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</row>
    <row r="295" spans="1:33" ht="21.95" customHeight="1">
      <c r="A295" s="322"/>
      <c r="B295" s="392"/>
      <c r="C295" s="392"/>
      <c r="D295" s="392"/>
      <c r="E295" s="392"/>
      <c r="F295" s="392"/>
      <c r="G295" s="392"/>
      <c r="H295" s="392"/>
      <c r="I295" s="662"/>
      <c r="J295" s="392"/>
      <c r="K295" s="392"/>
      <c r="L295" s="392"/>
      <c r="M295" s="392"/>
      <c r="N295" s="392"/>
      <c r="O295" s="392"/>
      <c r="P295" s="392"/>
      <c r="Q295" s="878"/>
      <c r="R295" s="321"/>
      <c r="S295" s="321"/>
      <c r="T295" s="321"/>
      <c r="U295" s="321"/>
      <c r="V295" s="321"/>
      <c r="W295" s="321"/>
      <c r="X295" s="321"/>
      <c r="Y295" s="321"/>
      <c r="Z295" s="321"/>
      <c r="AA295" s="321"/>
      <c r="AB295" s="321"/>
      <c r="AC295" s="321"/>
      <c r="AD295" s="321"/>
      <c r="AE295" s="321"/>
      <c r="AF295" s="321"/>
    </row>
    <row r="296" spans="1:33" ht="21.95" customHeight="1">
      <c r="A296" s="322"/>
      <c r="B296" s="392"/>
      <c r="C296" s="392"/>
      <c r="D296" s="392"/>
      <c r="E296" s="392"/>
      <c r="F296" s="392"/>
      <c r="G296" s="392"/>
      <c r="H296" s="392"/>
      <c r="I296" s="392"/>
      <c r="J296" s="392"/>
      <c r="K296" s="392"/>
      <c r="L296" s="392"/>
      <c r="M296" s="392"/>
      <c r="N296" s="392"/>
      <c r="O296" s="392"/>
      <c r="P296" s="392"/>
      <c r="Q296" s="878"/>
      <c r="R296" s="321"/>
      <c r="S296" s="321"/>
      <c r="T296" s="321"/>
      <c r="U296" s="321"/>
      <c r="V296" s="321"/>
      <c r="W296" s="321"/>
      <c r="X296" s="321"/>
      <c r="Y296" s="321"/>
      <c r="Z296" s="321"/>
      <c r="AA296" s="321"/>
      <c r="AB296" s="321"/>
      <c r="AC296" s="321"/>
      <c r="AD296" s="321"/>
      <c r="AE296" s="321"/>
      <c r="AF296" s="321"/>
    </row>
    <row r="297" spans="1:33" ht="21.95" customHeight="1">
      <c r="A297" s="322"/>
      <c r="B297" s="392"/>
      <c r="C297" s="392"/>
      <c r="D297" s="392"/>
      <c r="E297" s="392"/>
      <c r="F297" s="392"/>
      <c r="G297" s="392"/>
      <c r="H297" s="392"/>
      <c r="I297" s="392"/>
      <c r="J297" s="392"/>
      <c r="K297" s="392"/>
      <c r="L297" s="392"/>
      <c r="M297" s="392"/>
      <c r="N297" s="392"/>
      <c r="O297" s="392"/>
      <c r="P297" s="392"/>
      <c r="Q297" s="878"/>
      <c r="R297" s="321"/>
      <c r="S297" s="321"/>
      <c r="T297" s="321"/>
      <c r="U297" s="321"/>
      <c r="V297" s="321"/>
      <c r="W297" s="321"/>
      <c r="X297" s="321"/>
      <c r="Y297" s="321"/>
      <c r="Z297" s="321"/>
      <c r="AA297" s="321"/>
      <c r="AB297" s="321"/>
      <c r="AC297" s="321"/>
      <c r="AD297" s="321"/>
      <c r="AE297" s="321"/>
      <c r="AF297" s="321"/>
    </row>
    <row r="298" spans="1:33" ht="21.95" customHeight="1">
      <c r="A298" s="322"/>
      <c r="B298" s="392"/>
      <c r="C298" s="392"/>
      <c r="D298" s="392"/>
      <c r="E298" s="392"/>
      <c r="F298" s="392"/>
      <c r="G298" s="392"/>
      <c r="H298" s="392"/>
      <c r="I298" s="392"/>
      <c r="J298" s="392"/>
      <c r="K298" s="392"/>
      <c r="L298" s="392"/>
      <c r="M298" s="392"/>
      <c r="N298" s="392"/>
      <c r="O298" s="392"/>
      <c r="P298" s="392"/>
      <c r="Q298" s="878"/>
      <c r="R298" s="321"/>
      <c r="S298" s="321"/>
      <c r="T298" s="321"/>
      <c r="U298" s="321"/>
      <c r="V298" s="321"/>
      <c r="W298" s="321"/>
      <c r="X298" s="321"/>
      <c r="Y298" s="321"/>
      <c r="Z298" s="321"/>
      <c r="AA298" s="321"/>
      <c r="AB298" s="321"/>
      <c r="AC298" s="321"/>
      <c r="AD298" s="321"/>
      <c r="AE298" s="321"/>
      <c r="AF298" s="321"/>
    </row>
    <row r="299" spans="1:33" ht="21.95" customHeight="1">
      <c r="A299" s="322"/>
      <c r="B299" s="392"/>
      <c r="C299" s="392"/>
      <c r="D299" s="392"/>
      <c r="E299" s="392"/>
      <c r="F299" s="392"/>
      <c r="G299" s="392"/>
      <c r="H299" s="392"/>
      <c r="I299" s="392"/>
      <c r="J299" s="392"/>
      <c r="K299" s="392"/>
      <c r="L299" s="392"/>
      <c r="M299" s="392"/>
      <c r="N299" s="392"/>
      <c r="O299" s="392"/>
      <c r="P299" s="392"/>
      <c r="Q299" s="878"/>
      <c r="R299" s="321"/>
      <c r="S299" s="321"/>
      <c r="T299" s="321"/>
      <c r="U299" s="321"/>
      <c r="V299" s="321"/>
      <c r="W299" s="321"/>
      <c r="X299" s="321"/>
      <c r="Y299" s="321"/>
      <c r="Z299" s="321"/>
      <c r="AA299" s="321"/>
      <c r="AB299" s="321"/>
      <c r="AC299" s="321"/>
      <c r="AD299" s="321"/>
      <c r="AE299" s="321"/>
      <c r="AF299" s="321"/>
    </row>
    <row r="300" spans="1:33" ht="21.95" customHeight="1">
      <c r="A300" s="322"/>
      <c r="B300" s="392"/>
      <c r="C300" s="392"/>
      <c r="D300" s="392"/>
      <c r="E300" s="392"/>
      <c r="F300" s="392"/>
      <c r="G300" s="392"/>
      <c r="H300" s="392"/>
      <c r="I300" s="392"/>
      <c r="J300" s="392"/>
      <c r="K300" s="392"/>
      <c r="L300" s="392"/>
      <c r="M300" s="392"/>
      <c r="N300" s="392"/>
      <c r="O300" s="392"/>
      <c r="P300" s="392"/>
      <c r="Q300" s="878"/>
      <c r="R300" s="321"/>
      <c r="S300" s="321"/>
      <c r="T300" s="321"/>
      <c r="U300" s="321"/>
      <c r="V300" s="321"/>
      <c r="W300" s="321"/>
      <c r="X300" s="321"/>
      <c r="Y300" s="321"/>
      <c r="Z300" s="321"/>
      <c r="AA300" s="321"/>
      <c r="AB300" s="321"/>
      <c r="AC300" s="321"/>
      <c r="AD300" s="321"/>
      <c r="AE300" s="321"/>
      <c r="AF300" s="321"/>
    </row>
    <row r="301" spans="1:33" ht="21.95" customHeight="1">
      <c r="A301" s="322"/>
      <c r="B301" s="392"/>
      <c r="C301" s="392"/>
      <c r="D301" s="392"/>
      <c r="E301" s="392"/>
      <c r="F301" s="392"/>
      <c r="G301" s="392"/>
      <c r="H301" s="392"/>
      <c r="I301" s="392"/>
      <c r="J301" s="392"/>
      <c r="K301" s="392"/>
      <c r="L301" s="392"/>
      <c r="M301" s="392"/>
      <c r="N301" s="392"/>
      <c r="O301" s="392"/>
      <c r="P301" s="392"/>
      <c r="Q301" s="878"/>
      <c r="R301" s="321"/>
      <c r="S301" s="321"/>
      <c r="T301" s="321"/>
      <c r="U301" s="321"/>
      <c r="V301" s="321"/>
      <c r="W301" s="321"/>
      <c r="X301" s="321"/>
      <c r="Y301" s="321"/>
      <c r="Z301" s="321"/>
      <c r="AA301" s="321"/>
      <c r="AB301" s="321"/>
      <c r="AC301" s="321"/>
      <c r="AD301" s="321"/>
      <c r="AE301" s="321"/>
      <c r="AF301" s="321"/>
    </row>
    <row r="302" spans="1:33" ht="21.95" customHeight="1">
      <c r="A302" s="322"/>
      <c r="B302" s="392"/>
      <c r="C302" s="392"/>
      <c r="D302" s="392"/>
      <c r="E302" s="392"/>
      <c r="F302" s="392"/>
      <c r="G302" s="392"/>
      <c r="H302" s="392"/>
      <c r="I302" s="392"/>
      <c r="J302" s="392"/>
      <c r="K302" s="392"/>
      <c r="L302" s="392"/>
      <c r="M302" s="392"/>
      <c r="N302" s="392"/>
      <c r="O302" s="392"/>
      <c r="P302" s="392"/>
      <c r="Q302" s="878"/>
      <c r="R302" s="321"/>
      <c r="S302" s="321"/>
      <c r="T302" s="321"/>
      <c r="U302" s="321"/>
      <c r="V302" s="321"/>
      <c r="W302" s="321"/>
      <c r="X302" s="321"/>
      <c r="Y302" s="321"/>
      <c r="Z302" s="321"/>
      <c r="AA302" s="321"/>
      <c r="AB302" s="321"/>
      <c r="AC302" s="321"/>
      <c r="AD302" s="321"/>
      <c r="AE302" s="321"/>
      <c r="AF302" s="321"/>
    </row>
    <row r="303" spans="1:33" ht="21.95" customHeight="1">
      <c r="A303" s="322"/>
      <c r="B303" s="392"/>
      <c r="C303" s="392"/>
      <c r="D303" s="392"/>
      <c r="E303" s="392"/>
      <c r="F303" s="392"/>
      <c r="G303" s="392"/>
      <c r="H303" s="392"/>
      <c r="I303" s="392"/>
      <c r="J303" s="392"/>
      <c r="K303" s="392"/>
      <c r="L303" s="392"/>
      <c r="M303" s="392"/>
      <c r="N303" s="392"/>
      <c r="O303" s="392"/>
      <c r="P303" s="392"/>
      <c r="Q303" s="878"/>
      <c r="R303" s="321"/>
      <c r="S303" s="321"/>
      <c r="T303" s="321"/>
      <c r="U303" s="321"/>
      <c r="V303" s="321"/>
      <c r="W303" s="321"/>
      <c r="X303" s="321"/>
      <c r="Y303" s="321"/>
      <c r="Z303" s="321"/>
      <c r="AA303" s="321"/>
      <c r="AB303" s="321"/>
      <c r="AC303" s="321"/>
      <c r="AD303" s="321"/>
      <c r="AE303" s="321"/>
      <c r="AF303" s="321"/>
    </row>
    <row r="304" spans="1:33" ht="21.95" customHeight="1">
      <c r="A304" s="322"/>
      <c r="B304" s="392"/>
      <c r="C304" s="392"/>
      <c r="D304" s="392"/>
      <c r="E304" s="392"/>
      <c r="F304" s="392"/>
      <c r="G304" s="392"/>
      <c r="H304" s="392"/>
      <c r="I304" s="392"/>
      <c r="J304" s="392"/>
      <c r="K304" s="392"/>
      <c r="L304" s="392"/>
      <c r="M304" s="392"/>
      <c r="N304" s="392"/>
      <c r="O304" s="392"/>
      <c r="P304" s="392"/>
      <c r="Q304" s="878"/>
      <c r="R304" s="321"/>
      <c r="S304" s="321"/>
      <c r="T304" s="321"/>
      <c r="U304" s="321"/>
      <c r="V304" s="321"/>
      <c r="W304" s="321"/>
      <c r="X304" s="321"/>
      <c r="Y304" s="321"/>
      <c r="Z304" s="321"/>
      <c r="AA304" s="321"/>
      <c r="AB304" s="321"/>
      <c r="AC304" s="321"/>
      <c r="AD304" s="321"/>
      <c r="AE304" s="321"/>
      <c r="AF304" s="321"/>
    </row>
    <row r="305" spans="1:33" ht="21.95" customHeight="1">
      <c r="A305" s="322"/>
      <c r="B305" s="392"/>
      <c r="C305" s="392"/>
      <c r="D305" s="392"/>
      <c r="E305" s="392"/>
      <c r="F305" s="392"/>
      <c r="G305" s="392"/>
      <c r="H305" s="392"/>
      <c r="I305" s="392"/>
      <c r="J305" s="392"/>
      <c r="K305" s="392"/>
      <c r="L305" s="392"/>
      <c r="M305" s="392"/>
      <c r="N305" s="392"/>
      <c r="O305" s="392"/>
      <c r="P305" s="392"/>
      <c r="Q305" s="878"/>
      <c r="R305" s="321"/>
      <c r="S305" s="321"/>
      <c r="T305" s="321"/>
      <c r="U305" s="321"/>
      <c r="V305" s="321"/>
      <c r="W305" s="321"/>
      <c r="X305" s="321"/>
      <c r="Y305" s="321"/>
      <c r="Z305" s="321"/>
      <c r="AA305" s="321"/>
      <c r="AB305" s="321"/>
      <c r="AC305" s="321"/>
      <c r="AD305" s="321"/>
      <c r="AE305" s="321"/>
      <c r="AF305" s="321"/>
    </row>
    <row r="306" spans="1:33" ht="21.95" customHeight="1">
      <c r="A306" s="322"/>
      <c r="B306" s="392"/>
      <c r="C306" s="392"/>
      <c r="D306" s="392"/>
      <c r="E306" s="392"/>
      <c r="F306" s="392"/>
      <c r="G306" s="392"/>
      <c r="H306" s="392"/>
      <c r="I306" s="392"/>
      <c r="J306" s="392"/>
      <c r="K306" s="392"/>
      <c r="L306" s="392"/>
      <c r="M306" s="392"/>
      <c r="N306" s="392"/>
      <c r="O306" s="392"/>
      <c r="P306" s="392"/>
      <c r="Q306" s="878"/>
      <c r="R306" s="321"/>
      <c r="S306" s="321"/>
      <c r="T306" s="321"/>
      <c r="U306" s="321"/>
      <c r="V306" s="321"/>
      <c r="W306" s="321"/>
      <c r="X306" s="321"/>
      <c r="Y306" s="321"/>
      <c r="Z306" s="321"/>
      <c r="AA306" s="321"/>
      <c r="AB306" s="321"/>
      <c r="AC306" s="321"/>
      <c r="AD306" s="321"/>
      <c r="AE306" s="321"/>
      <c r="AF306" s="321"/>
    </row>
    <row r="307" spans="1:33" ht="21.95" customHeight="1">
      <c r="A307" s="322"/>
      <c r="B307" s="392"/>
      <c r="C307" s="392"/>
      <c r="D307" s="392"/>
      <c r="E307" s="392"/>
      <c r="F307" s="392"/>
      <c r="G307" s="392"/>
      <c r="H307" s="392"/>
      <c r="I307" s="392"/>
      <c r="J307" s="392"/>
      <c r="K307" s="392"/>
      <c r="L307" s="392"/>
      <c r="M307" s="392"/>
      <c r="N307" s="392"/>
      <c r="O307" s="392"/>
      <c r="P307" s="392"/>
      <c r="Q307" s="878"/>
      <c r="R307" s="321"/>
      <c r="S307" s="321"/>
      <c r="T307" s="321"/>
      <c r="U307" s="321"/>
      <c r="V307" s="321"/>
      <c r="W307" s="321"/>
      <c r="X307" s="321"/>
      <c r="Y307" s="321"/>
      <c r="Z307" s="321"/>
      <c r="AA307" s="321"/>
      <c r="AB307" s="321"/>
      <c r="AC307" s="321"/>
      <c r="AD307" s="321"/>
      <c r="AE307" s="321"/>
      <c r="AF307" s="321"/>
    </row>
    <row r="308" spans="1:33" ht="21.95" customHeight="1">
      <c r="A308" s="322"/>
      <c r="B308" s="392"/>
      <c r="C308" s="392"/>
      <c r="D308" s="392"/>
      <c r="E308" s="392"/>
      <c r="F308" s="392"/>
      <c r="G308" s="392"/>
      <c r="H308" s="392"/>
      <c r="I308" s="392"/>
      <c r="J308" s="392"/>
      <c r="K308" s="392"/>
      <c r="L308" s="392"/>
      <c r="M308" s="392"/>
      <c r="N308" s="392"/>
      <c r="O308" s="392"/>
      <c r="P308" s="392"/>
      <c r="Q308" s="878"/>
      <c r="R308" s="321"/>
      <c r="S308" s="321"/>
      <c r="T308" s="321"/>
      <c r="U308" s="321"/>
      <c r="V308" s="321"/>
      <c r="W308" s="321"/>
      <c r="X308" s="321"/>
      <c r="Y308" s="321"/>
      <c r="Z308" s="321"/>
      <c r="AA308" s="321"/>
      <c r="AB308" s="321"/>
      <c r="AC308" s="321"/>
      <c r="AD308" s="321"/>
      <c r="AE308" s="321"/>
      <c r="AF308" s="321"/>
    </row>
    <row r="309" spans="1:33" ht="21.95" customHeight="1">
      <c r="A309" s="322"/>
      <c r="B309" s="392"/>
      <c r="C309" s="392"/>
      <c r="D309" s="392"/>
      <c r="E309" s="392"/>
      <c r="F309" s="392"/>
      <c r="G309" s="392"/>
      <c r="H309" s="392"/>
      <c r="I309" s="392"/>
      <c r="J309" s="392"/>
      <c r="K309" s="392"/>
      <c r="L309" s="392"/>
      <c r="M309" s="392"/>
      <c r="N309" s="392"/>
      <c r="O309" s="392"/>
      <c r="P309" s="392"/>
      <c r="Q309" s="878"/>
      <c r="R309" s="321"/>
      <c r="S309" s="321"/>
      <c r="T309" s="321"/>
      <c r="U309" s="321"/>
      <c r="V309" s="321"/>
      <c r="W309" s="321"/>
      <c r="X309" s="321"/>
      <c r="Y309" s="321"/>
      <c r="Z309" s="321"/>
      <c r="AA309" s="321"/>
      <c r="AB309" s="321"/>
      <c r="AC309" s="321"/>
      <c r="AD309" s="321"/>
      <c r="AE309" s="321"/>
      <c r="AF309" s="321"/>
    </row>
    <row r="310" spans="1:33" ht="21.95" customHeight="1">
      <c r="A310" s="322"/>
      <c r="B310" s="392"/>
      <c r="C310" s="392"/>
      <c r="D310" s="392"/>
      <c r="E310" s="392"/>
      <c r="F310" s="392"/>
      <c r="G310" s="392"/>
      <c r="H310" s="392"/>
      <c r="I310" s="392"/>
      <c r="J310" s="392"/>
      <c r="K310" s="392"/>
      <c r="L310" s="392"/>
      <c r="M310" s="392"/>
      <c r="N310" s="392"/>
      <c r="O310" s="392"/>
      <c r="P310" s="392"/>
      <c r="Q310" s="878"/>
      <c r="R310" s="321"/>
      <c r="S310" s="321"/>
      <c r="T310" s="321"/>
      <c r="U310" s="321"/>
      <c r="V310" s="321"/>
      <c r="W310" s="321"/>
      <c r="X310" s="321"/>
      <c r="Y310" s="321"/>
      <c r="Z310" s="321"/>
      <c r="AA310" s="321"/>
      <c r="AB310" s="321"/>
      <c r="AC310" s="321"/>
      <c r="AD310" s="321"/>
      <c r="AE310" s="321"/>
      <c r="AF310" s="321"/>
    </row>
    <row r="311" spans="1:33" ht="21.95" customHeight="1">
      <c r="A311" s="322"/>
      <c r="B311" s="392"/>
      <c r="C311" s="392"/>
      <c r="D311" s="392"/>
      <c r="E311" s="392"/>
      <c r="F311" s="392"/>
      <c r="G311" s="392"/>
      <c r="H311" s="392"/>
      <c r="I311" s="392"/>
      <c r="J311" s="392"/>
      <c r="K311" s="392"/>
      <c r="L311" s="392"/>
      <c r="M311" s="392"/>
      <c r="N311" s="392"/>
      <c r="O311" s="392"/>
      <c r="P311" s="392"/>
      <c r="Q311" s="878"/>
      <c r="R311" s="321"/>
      <c r="S311" s="321"/>
      <c r="T311" s="321"/>
      <c r="U311" s="321"/>
      <c r="V311" s="321"/>
      <c r="W311" s="321"/>
      <c r="X311" s="321"/>
      <c r="Y311" s="321"/>
      <c r="Z311" s="321"/>
      <c r="AA311" s="321"/>
      <c r="AB311" s="321"/>
      <c r="AC311" s="321"/>
      <c r="AD311" s="321"/>
      <c r="AE311" s="321"/>
      <c r="AF311" s="321"/>
    </row>
    <row r="312" spans="1:33" ht="21.95" customHeight="1">
      <c r="A312" s="322"/>
      <c r="B312" s="392"/>
      <c r="C312" s="392"/>
      <c r="D312" s="392"/>
      <c r="E312" s="392"/>
      <c r="F312" s="392"/>
      <c r="G312" s="392"/>
      <c r="H312" s="392"/>
      <c r="I312" s="392"/>
      <c r="J312" s="392"/>
      <c r="K312" s="392"/>
      <c r="L312" s="392"/>
      <c r="M312" s="392"/>
      <c r="N312" s="392"/>
      <c r="O312" s="392"/>
      <c r="P312" s="392"/>
      <c r="Q312" s="878"/>
      <c r="R312" s="321"/>
      <c r="S312" s="321"/>
      <c r="T312" s="321"/>
      <c r="U312" s="321"/>
      <c r="V312" s="321"/>
      <c r="W312" s="321"/>
      <c r="X312" s="321"/>
      <c r="Y312" s="321"/>
      <c r="Z312" s="321"/>
      <c r="AA312" s="321"/>
      <c r="AB312" s="321"/>
      <c r="AC312" s="321"/>
      <c r="AD312" s="321"/>
      <c r="AE312" s="321"/>
      <c r="AF312" s="321"/>
    </row>
    <row r="313" spans="1:33" ht="21.95" customHeight="1">
      <c r="A313" s="322"/>
      <c r="B313" s="392"/>
      <c r="C313" s="392"/>
      <c r="D313" s="392"/>
      <c r="E313" s="392"/>
      <c r="F313" s="392"/>
      <c r="G313" s="392"/>
      <c r="H313" s="392"/>
      <c r="I313" s="392"/>
      <c r="J313" s="392"/>
      <c r="K313" s="392"/>
      <c r="L313" s="392"/>
      <c r="M313" s="392"/>
      <c r="N313" s="392"/>
      <c r="O313" s="392"/>
      <c r="P313" s="392"/>
      <c r="Q313" s="878"/>
      <c r="R313" s="321"/>
      <c r="S313" s="321"/>
      <c r="T313" s="321"/>
      <c r="U313" s="321"/>
      <c r="V313" s="321"/>
      <c r="W313" s="321"/>
      <c r="X313" s="321"/>
      <c r="Y313" s="321"/>
      <c r="Z313" s="321"/>
      <c r="AA313" s="321"/>
      <c r="AB313" s="321"/>
      <c r="AC313" s="321"/>
      <c r="AD313" s="321"/>
      <c r="AE313" s="321"/>
      <c r="AF313" s="321"/>
    </row>
    <row r="314" spans="1:33" s="112" customFormat="1" ht="21.95" customHeight="1">
      <c r="A314" s="813"/>
      <c r="B314" s="393"/>
      <c r="C314" s="393"/>
      <c r="D314" s="302"/>
      <c r="E314" s="394"/>
      <c r="F314" s="394"/>
      <c r="G314" s="394"/>
      <c r="H314" s="302"/>
      <c r="I314" s="395"/>
      <c r="J314" s="395"/>
      <c r="K314" s="298"/>
      <c r="L314" s="298"/>
      <c r="M314" s="298"/>
      <c r="N314" s="298"/>
      <c r="O314" s="298"/>
      <c r="P314" s="298"/>
      <c r="Q314" s="878"/>
      <c r="R314" s="363"/>
      <c r="S314" s="363"/>
      <c r="T314" s="301"/>
      <c r="U314" s="301"/>
      <c r="V314" s="386"/>
      <c r="W314" s="386"/>
      <c r="X314" s="387"/>
      <c r="Y314" s="388"/>
      <c r="Z314" s="301"/>
      <c r="AA314" s="301"/>
      <c r="AB314" s="335"/>
      <c r="AC314" s="299"/>
      <c r="AD314" s="299"/>
      <c r="AE314" s="299"/>
      <c r="AF314" s="301"/>
      <c r="AG314" s="46"/>
    </row>
    <row r="315" spans="1:33" s="112" customFormat="1" ht="21.95" customHeight="1">
      <c r="A315" s="813"/>
      <c r="B315" s="393"/>
      <c r="C315" s="393"/>
      <c r="D315" s="302"/>
      <c r="E315" s="394"/>
      <c r="F315" s="394"/>
      <c r="G315" s="394"/>
      <c r="H315" s="302"/>
      <c r="I315" s="395"/>
      <c r="J315" s="395"/>
      <c r="K315" s="298"/>
      <c r="L315" s="298"/>
      <c r="M315" s="298"/>
      <c r="N315" s="298"/>
      <c r="O315" s="298"/>
      <c r="P315" s="298"/>
      <c r="Q315" s="884"/>
      <c r="R315" s="363"/>
      <c r="S315" s="363"/>
      <c r="T315" s="301"/>
      <c r="U315" s="301"/>
      <c r="V315" s="386"/>
      <c r="W315" s="386"/>
      <c r="X315" s="387"/>
      <c r="Y315" s="388"/>
      <c r="Z315" s="301"/>
      <c r="AA315" s="301"/>
      <c r="AB315" s="335"/>
      <c r="AC315" s="299"/>
      <c r="AD315" s="299"/>
      <c r="AE315" s="299"/>
      <c r="AF315" s="301"/>
      <c r="AG315" s="46"/>
    </row>
    <row r="316" spans="1:33" s="112" customFormat="1" ht="21.95" customHeight="1">
      <c r="A316" s="823"/>
      <c r="B316" s="302"/>
      <c r="C316" s="302"/>
      <c r="D316" s="302"/>
      <c r="E316" s="302"/>
      <c r="F316" s="302"/>
      <c r="G316" s="302"/>
      <c r="H316" s="302"/>
      <c r="I316" s="302"/>
      <c r="J316" s="302"/>
      <c r="K316" s="302"/>
      <c r="L316" s="302"/>
      <c r="M316" s="302"/>
      <c r="N316" s="302"/>
      <c r="O316" s="302"/>
      <c r="P316" s="302"/>
      <c r="Q316" s="884"/>
      <c r="R316" s="363"/>
      <c r="S316" s="363"/>
      <c r="T316" s="301"/>
      <c r="U316" s="301"/>
      <c r="V316" s="386"/>
      <c r="W316" s="386"/>
      <c r="X316" s="387"/>
      <c r="Y316" s="388"/>
      <c r="Z316" s="301"/>
      <c r="AA316" s="301"/>
      <c r="AB316" s="335"/>
      <c r="AC316" s="299"/>
      <c r="AD316" s="299"/>
      <c r="AE316" s="299"/>
      <c r="AF316" s="301"/>
      <c r="AG316" s="46"/>
    </row>
    <row r="317" spans="1:33" s="112" customFormat="1" ht="21.95" customHeight="1">
      <c r="A317" s="823"/>
      <c r="B317" s="302"/>
      <c r="C317" s="302"/>
      <c r="D317" s="302"/>
      <c r="E317" s="302"/>
      <c r="F317" s="302"/>
      <c r="G317" s="302"/>
      <c r="H317" s="302"/>
      <c r="I317" s="302"/>
      <c r="J317" s="302"/>
      <c r="K317" s="302"/>
      <c r="L317" s="302"/>
      <c r="M317" s="302"/>
      <c r="N317" s="302"/>
      <c r="O317" s="302"/>
      <c r="P317" s="302"/>
      <c r="Q317" s="884"/>
      <c r="R317" s="363"/>
      <c r="S317" s="363"/>
      <c r="T317" s="301"/>
      <c r="U317" s="301"/>
      <c r="V317" s="386"/>
      <c r="W317" s="386"/>
      <c r="X317" s="387"/>
      <c r="Y317" s="388"/>
      <c r="Z317" s="301"/>
      <c r="AA317" s="301"/>
      <c r="AB317" s="335"/>
      <c r="AC317" s="299"/>
      <c r="AD317" s="299"/>
      <c r="AE317" s="299"/>
      <c r="AF317" s="301"/>
      <c r="AG317" s="46"/>
    </row>
    <row r="318" spans="1:33" s="112" customFormat="1" ht="21.95" customHeight="1">
      <c r="A318" s="823"/>
      <c r="B318" s="302"/>
      <c r="C318" s="302"/>
      <c r="D318" s="302"/>
      <c r="E318" s="302"/>
      <c r="F318" s="302"/>
      <c r="G318" s="302"/>
      <c r="H318" s="302"/>
      <c r="I318" s="302"/>
      <c r="J318" s="302"/>
      <c r="K318" s="302"/>
      <c r="L318" s="302"/>
      <c r="M318" s="302"/>
      <c r="N318" s="302"/>
      <c r="O318" s="302"/>
      <c r="P318" s="302"/>
      <c r="Q318" s="884"/>
      <c r="R318" s="363"/>
      <c r="S318" s="363"/>
      <c r="T318" s="301"/>
      <c r="U318" s="301"/>
      <c r="V318" s="386"/>
      <c r="W318" s="386"/>
      <c r="X318" s="387"/>
      <c r="Y318" s="388"/>
      <c r="Z318" s="301"/>
      <c r="AA318" s="301"/>
      <c r="AB318" s="335"/>
      <c r="AC318" s="299"/>
      <c r="AD318" s="299"/>
      <c r="AE318" s="299"/>
      <c r="AF318" s="301"/>
      <c r="AG318" s="46"/>
    </row>
    <row r="319" spans="1:33" s="112" customFormat="1" ht="21.95" customHeight="1">
      <c r="A319" s="823"/>
      <c r="B319" s="302"/>
      <c r="C319" s="302"/>
      <c r="D319" s="302"/>
      <c r="E319" s="302"/>
      <c r="F319" s="302"/>
      <c r="G319" s="302"/>
      <c r="H319" s="302"/>
      <c r="I319" s="302"/>
      <c r="J319" s="302"/>
      <c r="K319" s="302"/>
      <c r="L319" s="302"/>
      <c r="M319" s="302"/>
      <c r="N319" s="302"/>
      <c r="O319" s="302"/>
      <c r="P319" s="302"/>
      <c r="Q319" s="884"/>
      <c r="R319" s="396"/>
      <c r="S319" s="363"/>
      <c r="T319" s="301"/>
      <c r="U319" s="301"/>
      <c r="V319" s="386"/>
      <c r="W319" s="386"/>
      <c r="X319" s="387"/>
      <c r="Y319" s="388"/>
      <c r="Z319" s="301"/>
      <c r="AA319" s="301"/>
      <c r="AB319" s="335"/>
      <c r="AC319" s="299"/>
      <c r="AD319" s="299"/>
      <c r="AE319" s="299"/>
      <c r="AF319" s="301"/>
      <c r="AG319" s="46"/>
    </row>
    <row r="320" spans="1:33" s="112" customFormat="1" ht="21.95" customHeight="1">
      <c r="A320" s="823"/>
      <c r="B320" s="302"/>
      <c r="C320" s="302"/>
      <c r="D320" s="302"/>
      <c r="E320" s="302"/>
      <c r="F320" s="302"/>
      <c r="G320" s="302"/>
      <c r="H320" s="302"/>
      <c r="I320" s="302"/>
      <c r="J320" s="302"/>
      <c r="K320" s="302"/>
      <c r="L320" s="302"/>
      <c r="M320" s="302"/>
      <c r="N320" s="302"/>
      <c r="O320" s="302"/>
      <c r="P320" s="302"/>
      <c r="Q320" s="884"/>
      <c r="R320" s="363"/>
      <c r="S320" s="363"/>
      <c r="T320" s="301"/>
      <c r="U320" s="301"/>
      <c r="V320" s="386"/>
      <c r="W320" s="386"/>
      <c r="X320" s="387"/>
      <c r="Y320" s="388"/>
      <c r="Z320" s="301"/>
      <c r="AA320" s="301"/>
      <c r="AB320" s="335"/>
      <c r="AC320" s="299"/>
      <c r="AD320" s="299"/>
      <c r="AE320" s="299"/>
      <c r="AF320" s="301"/>
      <c r="AG320" s="46"/>
    </row>
    <row r="321" spans="1:33" s="112" customFormat="1" ht="21.95" customHeight="1">
      <c r="A321" s="823"/>
      <c r="B321" s="302"/>
      <c r="C321" s="302"/>
      <c r="D321" s="302"/>
      <c r="E321" s="302"/>
      <c r="F321" s="302"/>
      <c r="G321" s="302"/>
      <c r="H321" s="302"/>
      <c r="I321" s="302"/>
      <c r="J321" s="302"/>
      <c r="K321" s="302"/>
      <c r="L321" s="302"/>
      <c r="M321" s="302"/>
      <c r="N321" s="302"/>
      <c r="O321" s="302"/>
      <c r="P321" s="302"/>
      <c r="Q321" s="884"/>
      <c r="R321" s="363"/>
      <c r="S321" s="363"/>
      <c r="T321" s="301"/>
      <c r="U321" s="301"/>
      <c r="V321" s="386"/>
      <c r="W321" s="386"/>
      <c r="X321" s="387"/>
      <c r="Y321" s="388"/>
      <c r="Z321" s="301"/>
      <c r="AA321" s="301"/>
      <c r="AB321" s="335"/>
      <c r="AC321" s="299"/>
      <c r="AD321" s="299"/>
      <c r="AE321" s="299"/>
      <c r="AF321" s="301"/>
      <c r="AG321" s="46"/>
    </row>
    <row r="322" spans="1:33" s="112" customFormat="1" ht="21.95" customHeight="1">
      <c r="A322" s="823"/>
      <c r="B322" s="302"/>
      <c r="C322" s="302"/>
      <c r="D322" s="302"/>
      <c r="E322" s="302"/>
      <c r="F322" s="302"/>
      <c r="G322" s="302"/>
      <c r="H322" s="302"/>
      <c r="I322" s="302"/>
      <c r="J322" s="302"/>
      <c r="K322" s="302"/>
      <c r="L322" s="302"/>
      <c r="M322" s="302"/>
      <c r="N322" s="302"/>
      <c r="O322" s="302"/>
      <c r="P322" s="302"/>
      <c r="Q322" s="884"/>
      <c r="R322" s="363"/>
      <c r="S322" s="363"/>
      <c r="T322" s="301"/>
      <c r="U322" s="301"/>
      <c r="V322" s="386"/>
      <c r="W322" s="386"/>
      <c r="X322" s="387"/>
      <c r="Y322" s="388"/>
      <c r="Z322" s="301"/>
      <c r="AA322" s="301"/>
      <c r="AB322" s="335"/>
      <c r="AC322" s="299"/>
      <c r="AD322" s="299"/>
      <c r="AE322" s="299"/>
      <c r="AF322" s="301"/>
      <c r="AG322" s="46"/>
    </row>
    <row r="323" spans="1:33" s="112" customFormat="1" ht="21.95" customHeight="1">
      <c r="A323" s="823"/>
      <c r="B323" s="302"/>
      <c r="C323" s="302"/>
      <c r="D323" s="302"/>
      <c r="E323" s="302"/>
      <c r="F323" s="302"/>
      <c r="G323" s="302"/>
      <c r="H323" s="302"/>
      <c r="I323" s="302"/>
      <c r="J323" s="302"/>
      <c r="K323" s="302"/>
      <c r="L323" s="302"/>
      <c r="M323" s="302"/>
      <c r="N323" s="302"/>
      <c r="O323" s="302"/>
      <c r="P323" s="302"/>
      <c r="Q323" s="884"/>
      <c r="R323" s="363"/>
      <c r="S323" s="363"/>
      <c r="T323" s="301"/>
      <c r="U323" s="301"/>
      <c r="V323" s="386"/>
      <c r="W323" s="386"/>
      <c r="X323" s="387"/>
      <c r="Y323" s="388"/>
      <c r="Z323" s="301"/>
      <c r="AA323" s="301"/>
      <c r="AB323" s="335"/>
      <c r="AC323" s="299"/>
      <c r="AD323" s="299"/>
      <c r="AE323" s="299"/>
      <c r="AF323" s="301"/>
      <c r="AG323" s="46"/>
    </row>
    <row r="324" spans="1:33" s="112" customFormat="1" ht="21.95" customHeight="1">
      <c r="A324" s="823"/>
      <c r="B324" s="302"/>
      <c r="C324" s="302"/>
      <c r="D324" s="302"/>
      <c r="E324" s="302"/>
      <c r="F324" s="302"/>
      <c r="G324" s="302"/>
      <c r="H324" s="302"/>
      <c r="I324" s="302"/>
      <c r="J324" s="302"/>
      <c r="K324" s="302"/>
      <c r="L324" s="302"/>
      <c r="M324" s="302"/>
      <c r="N324" s="302"/>
      <c r="O324" s="302"/>
      <c r="P324" s="302"/>
      <c r="Q324" s="884"/>
      <c r="R324" s="363"/>
      <c r="S324" s="363"/>
      <c r="T324" s="301"/>
      <c r="U324" s="301"/>
      <c r="V324" s="386"/>
      <c r="W324" s="386"/>
      <c r="X324" s="387"/>
      <c r="Y324" s="388"/>
      <c r="Z324" s="301"/>
      <c r="AA324" s="301"/>
      <c r="AB324" s="335"/>
      <c r="AC324" s="299"/>
      <c r="AD324" s="299"/>
      <c r="AE324" s="299"/>
      <c r="AF324" s="301"/>
      <c r="AG324" s="46"/>
    </row>
    <row r="325" spans="1:33" s="112" customFormat="1" ht="21.95" customHeight="1">
      <c r="A325" s="823"/>
      <c r="B325" s="302"/>
      <c r="C325" s="302"/>
      <c r="D325" s="302"/>
      <c r="E325" s="302"/>
      <c r="F325" s="302"/>
      <c r="G325" s="302"/>
      <c r="H325" s="302"/>
      <c r="I325" s="302"/>
      <c r="J325" s="302"/>
      <c r="K325" s="302"/>
      <c r="L325" s="302"/>
      <c r="M325" s="302"/>
      <c r="N325" s="302"/>
      <c r="O325" s="302"/>
      <c r="P325" s="302"/>
      <c r="Q325" s="884"/>
      <c r="R325" s="363"/>
      <c r="S325" s="363"/>
      <c r="T325" s="301"/>
      <c r="U325" s="301"/>
      <c r="V325" s="386"/>
      <c r="W325" s="386"/>
      <c r="X325" s="387"/>
      <c r="Y325" s="388"/>
      <c r="Z325" s="301"/>
      <c r="AA325" s="301"/>
      <c r="AB325" s="335"/>
      <c r="AC325" s="299"/>
      <c r="AD325" s="299"/>
      <c r="AE325" s="299"/>
      <c r="AF325" s="301"/>
      <c r="AG325" s="46"/>
    </row>
    <row r="326" spans="1:33" s="112" customFormat="1" ht="21.95" customHeight="1">
      <c r="A326" s="823"/>
      <c r="B326" s="302"/>
      <c r="C326" s="302"/>
      <c r="D326" s="302"/>
      <c r="E326" s="302"/>
      <c r="F326" s="302"/>
      <c r="G326" s="302"/>
      <c r="H326" s="302"/>
      <c r="I326" s="302"/>
      <c r="J326" s="302"/>
      <c r="K326" s="302"/>
      <c r="L326" s="302"/>
      <c r="M326" s="302"/>
      <c r="N326" s="302"/>
      <c r="O326" s="302"/>
      <c r="P326" s="302"/>
      <c r="Q326" s="884"/>
      <c r="R326" s="363"/>
      <c r="S326" s="363"/>
      <c r="T326" s="301"/>
      <c r="U326" s="301"/>
      <c r="V326" s="386"/>
      <c r="W326" s="386"/>
      <c r="X326" s="387"/>
      <c r="Y326" s="388"/>
      <c r="Z326" s="301"/>
      <c r="AA326" s="301"/>
      <c r="AB326" s="335"/>
      <c r="AC326" s="299"/>
      <c r="AD326" s="299"/>
      <c r="AE326" s="299"/>
      <c r="AF326" s="301"/>
      <c r="AG326" s="46"/>
    </row>
    <row r="327" spans="1:33" s="112" customFormat="1" ht="21.95" customHeight="1">
      <c r="A327" s="823"/>
      <c r="B327" s="302"/>
      <c r="C327" s="302"/>
      <c r="D327" s="302"/>
      <c r="E327" s="302"/>
      <c r="F327" s="302"/>
      <c r="G327" s="302"/>
      <c r="H327" s="302"/>
      <c r="I327" s="302"/>
      <c r="J327" s="302"/>
      <c r="K327" s="302"/>
      <c r="L327" s="302"/>
      <c r="M327" s="302"/>
      <c r="N327" s="302"/>
      <c r="O327" s="302"/>
      <c r="P327" s="302"/>
      <c r="Q327" s="884"/>
      <c r="R327" s="363"/>
      <c r="S327" s="363"/>
      <c r="T327" s="301"/>
      <c r="U327" s="301"/>
      <c r="V327" s="386"/>
      <c r="W327" s="386"/>
      <c r="X327" s="387"/>
      <c r="Y327" s="388"/>
      <c r="Z327" s="301"/>
      <c r="AA327" s="301"/>
      <c r="AB327" s="335"/>
      <c r="AC327" s="299"/>
      <c r="AD327" s="299"/>
      <c r="AE327" s="299"/>
      <c r="AF327" s="301"/>
      <c r="AG327" s="46"/>
    </row>
    <row r="328" spans="1:33" s="112" customFormat="1" ht="21.95" customHeight="1">
      <c r="A328" s="823"/>
      <c r="B328" s="302"/>
      <c r="C328" s="302"/>
      <c r="D328" s="302"/>
      <c r="E328" s="302"/>
      <c r="F328" s="302"/>
      <c r="G328" s="302"/>
      <c r="H328" s="302"/>
      <c r="I328" s="302"/>
      <c r="J328" s="302"/>
      <c r="K328" s="302"/>
      <c r="L328" s="302"/>
      <c r="M328" s="302"/>
      <c r="N328" s="302"/>
      <c r="O328" s="302"/>
      <c r="P328" s="302"/>
      <c r="Q328" s="884"/>
      <c r="R328" s="363"/>
      <c r="S328" s="363"/>
      <c r="T328" s="301"/>
      <c r="U328" s="301"/>
      <c r="V328" s="386"/>
      <c r="W328" s="386"/>
      <c r="X328" s="387"/>
      <c r="Y328" s="388"/>
      <c r="Z328" s="301"/>
      <c r="AA328" s="301"/>
      <c r="AB328" s="335"/>
      <c r="AC328" s="299"/>
      <c r="AD328" s="299"/>
      <c r="AE328" s="299"/>
      <c r="AF328" s="301"/>
      <c r="AG328" s="46"/>
    </row>
    <row r="329" spans="1:33" s="112" customFormat="1" ht="21.95" customHeight="1">
      <c r="A329" s="823"/>
      <c r="B329" s="302"/>
      <c r="C329" s="302"/>
      <c r="D329" s="302"/>
      <c r="E329" s="302"/>
      <c r="F329" s="302"/>
      <c r="G329" s="302"/>
      <c r="H329" s="302"/>
      <c r="I329" s="302"/>
      <c r="J329" s="302"/>
      <c r="K329" s="302"/>
      <c r="L329" s="302"/>
      <c r="M329" s="302"/>
      <c r="N329" s="302"/>
      <c r="O329" s="302"/>
      <c r="P329" s="302"/>
      <c r="Q329" s="884"/>
      <c r="R329" s="363"/>
      <c r="S329" s="363"/>
      <c r="T329" s="301"/>
      <c r="U329" s="301"/>
      <c r="V329" s="386"/>
      <c r="W329" s="386"/>
      <c r="X329" s="387"/>
      <c r="Y329" s="388"/>
      <c r="Z329" s="301"/>
      <c r="AA329" s="301"/>
      <c r="AB329" s="335"/>
      <c r="AC329" s="299"/>
      <c r="AD329" s="299"/>
      <c r="AE329" s="299"/>
      <c r="AF329" s="301"/>
      <c r="AG329" s="46"/>
    </row>
    <row r="330" spans="1:33" s="112" customFormat="1" ht="21.95" customHeight="1">
      <c r="A330" s="823"/>
      <c r="B330" s="302"/>
      <c r="C330" s="302"/>
      <c r="D330" s="302"/>
      <c r="E330" s="302"/>
      <c r="F330" s="302"/>
      <c r="G330" s="302"/>
      <c r="H330" s="302"/>
      <c r="I330" s="302"/>
      <c r="J330" s="302"/>
      <c r="K330" s="302"/>
      <c r="L330" s="302"/>
      <c r="M330" s="302"/>
      <c r="N330" s="302"/>
      <c r="O330" s="302"/>
      <c r="P330" s="302"/>
      <c r="Q330" s="884"/>
      <c r="R330" s="363"/>
      <c r="S330" s="363"/>
      <c r="T330" s="301"/>
      <c r="U330" s="301"/>
      <c r="V330" s="386"/>
      <c r="W330" s="386"/>
      <c r="X330" s="387"/>
      <c r="Y330" s="388"/>
      <c r="Z330" s="301"/>
      <c r="AA330" s="301"/>
      <c r="AB330" s="335"/>
      <c r="AC330" s="299"/>
      <c r="AD330" s="299"/>
      <c r="AE330" s="299"/>
      <c r="AF330" s="301"/>
      <c r="AG330" s="46"/>
    </row>
    <row r="331" spans="1:33" s="112" customFormat="1" ht="21.95" customHeight="1">
      <c r="A331" s="823"/>
      <c r="B331" s="302"/>
      <c r="C331" s="302"/>
      <c r="D331" s="302"/>
      <c r="E331" s="302"/>
      <c r="F331" s="302"/>
      <c r="G331" s="302"/>
      <c r="H331" s="302"/>
      <c r="I331" s="302"/>
      <c r="J331" s="302"/>
      <c r="K331" s="302"/>
      <c r="L331" s="302"/>
      <c r="M331" s="302"/>
      <c r="N331" s="302"/>
      <c r="O331" s="302"/>
      <c r="P331" s="302"/>
      <c r="Q331" s="884"/>
      <c r="R331" s="363"/>
      <c r="S331" s="363"/>
      <c r="T331" s="301"/>
      <c r="U331" s="301"/>
      <c r="V331" s="386"/>
      <c r="W331" s="386"/>
      <c r="X331" s="387"/>
      <c r="Y331" s="388"/>
      <c r="Z331" s="301"/>
      <c r="AA331" s="301"/>
      <c r="AB331" s="335"/>
      <c r="AC331" s="299"/>
      <c r="AD331" s="299"/>
      <c r="AE331" s="299"/>
      <c r="AF331" s="301"/>
      <c r="AG331" s="46"/>
    </row>
    <row r="332" spans="1:33" s="112" customFormat="1" ht="21.95" customHeight="1">
      <c r="A332" s="823"/>
      <c r="B332" s="302"/>
      <c r="C332" s="302"/>
      <c r="D332" s="302"/>
      <c r="E332" s="302"/>
      <c r="F332" s="302"/>
      <c r="G332" s="302"/>
      <c r="H332" s="302"/>
      <c r="I332" s="302"/>
      <c r="J332" s="302"/>
      <c r="K332" s="302"/>
      <c r="L332" s="302"/>
      <c r="M332" s="302"/>
      <c r="N332" s="302"/>
      <c r="O332" s="302"/>
      <c r="P332" s="302"/>
      <c r="Q332" s="884"/>
      <c r="R332" s="396"/>
      <c r="S332" s="363"/>
      <c r="T332" s="301"/>
      <c r="U332" s="301"/>
      <c r="V332" s="386"/>
      <c r="W332" s="386"/>
      <c r="X332" s="387"/>
      <c r="Y332" s="388"/>
      <c r="Z332" s="301"/>
      <c r="AA332" s="301"/>
      <c r="AB332" s="335"/>
      <c r="AC332" s="299"/>
      <c r="AD332" s="299"/>
      <c r="AE332" s="299"/>
      <c r="AF332" s="301"/>
      <c r="AG332" s="46"/>
    </row>
    <row r="333" spans="1:33" s="112" customFormat="1" ht="21.95" customHeight="1">
      <c r="A333" s="823"/>
      <c r="B333" s="302"/>
      <c r="C333" s="302"/>
      <c r="D333" s="302"/>
      <c r="E333" s="302"/>
      <c r="F333" s="302"/>
      <c r="G333" s="302"/>
      <c r="H333" s="302"/>
      <c r="I333" s="302"/>
      <c r="J333" s="302"/>
      <c r="K333" s="302"/>
      <c r="L333" s="302"/>
      <c r="M333" s="302"/>
      <c r="N333" s="302"/>
      <c r="O333" s="302"/>
      <c r="P333" s="302"/>
      <c r="Q333" s="884"/>
      <c r="R333" s="363"/>
      <c r="S333" s="363"/>
      <c r="T333" s="301"/>
      <c r="U333" s="301"/>
      <c r="V333" s="386"/>
      <c r="W333" s="386"/>
      <c r="X333" s="387"/>
      <c r="Y333" s="388"/>
      <c r="Z333" s="301"/>
      <c r="AA333" s="301"/>
      <c r="AB333" s="335"/>
      <c r="AC333" s="299"/>
      <c r="AD333" s="299"/>
      <c r="AE333" s="299"/>
      <c r="AF333" s="301"/>
      <c r="AG333" s="46"/>
    </row>
    <row r="334" spans="1:33" s="112" customFormat="1" ht="21.95" customHeight="1">
      <c r="A334" s="823"/>
      <c r="B334" s="302"/>
      <c r="C334" s="302"/>
      <c r="D334" s="302"/>
      <c r="E334" s="302"/>
      <c r="F334" s="302"/>
      <c r="G334" s="302"/>
      <c r="H334" s="302"/>
      <c r="I334" s="302"/>
      <c r="J334" s="302"/>
      <c r="K334" s="302"/>
      <c r="L334" s="302"/>
      <c r="M334" s="302"/>
      <c r="N334" s="302"/>
      <c r="O334" s="302"/>
      <c r="P334" s="302"/>
      <c r="Q334" s="884"/>
      <c r="R334" s="363"/>
      <c r="S334" s="363"/>
      <c r="T334" s="301"/>
      <c r="U334" s="301"/>
      <c r="V334" s="386"/>
      <c r="W334" s="386"/>
      <c r="X334" s="387"/>
      <c r="Y334" s="388"/>
      <c r="Z334" s="301"/>
      <c r="AA334" s="301"/>
      <c r="AB334" s="335"/>
      <c r="AC334" s="299"/>
      <c r="AD334" s="299"/>
      <c r="AE334" s="299"/>
      <c r="AF334" s="301"/>
      <c r="AG334" s="46"/>
    </row>
    <row r="335" spans="1:33" s="112" customFormat="1" ht="21.95" customHeight="1">
      <c r="A335" s="823"/>
      <c r="B335" s="302"/>
      <c r="C335" s="302"/>
      <c r="D335" s="302"/>
      <c r="E335" s="302"/>
      <c r="F335" s="302"/>
      <c r="G335" s="302"/>
      <c r="H335" s="302"/>
      <c r="I335" s="302"/>
      <c r="J335" s="302"/>
      <c r="K335" s="302"/>
      <c r="L335" s="302"/>
      <c r="M335" s="302"/>
      <c r="N335" s="302"/>
      <c r="O335" s="302"/>
      <c r="P335" s="302"/>
      <c r="Q335" s="895"/>
      <c r="R335" s="363"/>
      <c r="S335" s="363"/>
      <c r="T335" s="301"/>
      <c r="U335" s="301"/>
      <c r="V335" s="386"/>
      <c r="W335" s="386"/>
      <c r="X335" s="387"/>
      <c r="Y335" s="388"/>
      <c r="Z335" s="301"/>
      <c r="AA335" s="301"/>
      <c r="AB335" s="335"/>
      <c r="AC335" s="299"/>
      <c r="AD335" s="299"/>
      <c r="AE335" s="299"/>
      <c r="AF335" s="301"/>
      <c r="AG335" s="46"/>
    </row>
    <row r="336" spans="1:33" s="112" customFormat="1" ht="21.95" customHeight="1">
      <c r="A336" s="872"/>
      <c r="B336" s="408"/>
      <c r="C336" s="408"/>
      <c r="D336" s="408"/>
      <c r="E336" s="408"/>
      <c r="F336" s="408"/>
      <c r="G336" s="408"/>
      <c r="H336" s="408"/>
      <c r="I336" s="408"/>
      <c r="J336" s="408"/>
      <c r="K336" s="408"/>
      <c r="L336" s="408"/>
      <c r="M336" s="408"/>
      <c r="N336" s="408"/>
      <c r="O336" s="408"/>
      <c r="P336" s="408"/>
      <c r="Q336" s="895"/>
      <c r="R336" s="115"/>
      <c r="S336" s="115"/>
      <c r="T336" s="113"/>
      <c r="U336" s="46"/>
      <c r="V336" s="117"/>
      <c r="W336" s="117"/>
      <c r="X336" s="118"/>
      <c r="Y336" s="119"/>
      <c r="Z336" s="113"/>
      <c r="AA336" s="113"/>
      <c r="AB336" s="111"/>
      <c r="AC336" s="19"/>
      <c r="AD336" s="19"/>
      <c r="AE336" s="19"/>
      <c r="AF336" s="46"/>
      <c r="AG336" s="46"/>
    </row>
    <row r="337" spans="1:33" s="112" customFormat="1" ht="21.95" customHeight="1">
      <c r="A337" s="872"/>
      <c r="B337" s="408"/>
      <c r="C337" s="408"/>
      <c r="D337" s="408"/>
      <c r="E337" s="408"/>
      <c r="F337" s="408"/>
      <c r="G337" s="408"/>
      <c r="H337" s="408"/>
      <c r="I337" s="408"/>
      <c r="J337" s="408"/>
      <c r="K337" s="408"/>
      <c r="L337" s="408"/>
      <c r="M337" s="408"/>
      <c r="N337" s="408"/>
      <c r="O337" s="408"/>
      <c r="P337" s="408"/>
      <c r="Q337" s="895"/>
      <c r="R337" s="115"/>
      <c r="S337" s="115"/>
      <c r="T337" s="113"/>
      <c r="U337" s="46"/>
      <c r="V337" s="117"/>
      <c r="W337" s="117"/>
      <c r="X337" s="118"/>
      <c r="Y337" s="119"/>
      <c r="Z337" s="113"/>
      <c r="AA337" s="113"/>
      <c r="AB337" s="111"/>
      <c r="AC337" s="19"/>
      <c r="AD337" s="19"/>
      <c r="AE337" s="19"/>
      <c r="AF337" s="46"/>
      <c r="AG337" s="46"/>
    </row>
    <row r="338" spans="1:33" s="112" customFormat="1" ht="21.95" customHeight="1">
      <c r="A338" s="872"/>
      <c r="B338" s="408"/>
      <c r="C338" s="408"/>
      <c r="D338" s="408"/>
      <c r="E338" s="408"/>
      <c r="F338" s="408"/>
      <c r="G338" s="408"/>
      <c r="H338" s="408"/>
      <c r="I338" s="408"/>
      <c r="J338" s="408"/>
      <c r="K338" s="408"/>
      <c r="L338" s="408"/>
      <c r="M338" s="408"/>
      <c r="N338" s="408"/>
      <c r="O338" s="408"/>
      <c r="P338" s="408"/>
      <c r="Q338" s="895"/>
      <c r="R338" s="115"/>
      <c r="S338" s="115"/>
      <c r="T338" s="113"/>
      <c r="U338" s="46"/>
      <c r="V338" s="117"/>
      <c r="W338" s="117"/>
      <c r="X338" s="118"/>
      <c r="Y338" s="119"/>
      <c r="Z338" s="113"/>
      <c r="AA338" s="113"/>
      <c r="AB338" s="111"/>
      <c r="AC338" s="19"/>
      <c r="AD338" s="19"/>
      <c r="AE338" s="19"/>
      <c r="AF338" s="46"/>
      <c r="AG338" s="46"/>
    </row>
    <row r="339" spans="1:33" s="112" customFormat="1" ht="21.95" customHeight="1">
      <c r="A339" s="872"/>
      <c r="B339" s="408"/>
      <c r="C339" s="408"/>
      <c r="D339" s="408"/>
      <c r="E339" s="408"/>
      <c r="F339" s="408"/>
      <c r="G339" s="408"/>
      <c r="H339" s="408"/>
      <c r="I339" s="408"/>
      <c r="J339" s="408"/>
      <c r="K339" s="408"/>
      <c r="L339" s="408"/>
      <c r="M339" s="408"/>
      <c r="N339" s="408"/>
      <c r="O339" s="408"/>
      <c r="P339" s="408"/>
      <c r="Q339" s="895"/>
      <c r="R339" s="115"/>
      <c r="S339" s="115"/>
      <c r="T339" s="113"/>
      <c r="U339" s="46"/>
      <c r="V339" s="117"/>
      <c r="W339" s="117"/>
      <c r="X339" s="118"/>
      <c r="Y339" s="119"/>
      <c r="Z339" s="113"/>
      <c r="AA339" s="113"/>
      <c r="AB339" s="111"/>
      <c r="AC339" s="19"/>
      <c r="AD339" s="19"/>
      <c r="AE339" s="19"/>
      <c r="AF339" s="46"/>
      <c r="AG339" s="46"/>
    </row>
    <row r="340" spans="1:33" s="112" customFormat="1" ht="21.95" customHeight="1">
      <c r="A340" s="872"/>
      <c r="B340" s="408"/>
      <c r="C340" s="408"/>
      <c r="D340" s="408"/>
      <c r="E340" s="408"/>
      <c r="F340" s="408"/>
      <c r="G340" s="408"/>
      <c r="H340" s="408"/>
      <c r="I340" s="408"/>
      <c r="J340" s="408"/>
      <c r="K340" s="408"/>
      <c r="L340" s="408"/>
      <c r="M340" s="408"/>
      <c r="N340" s="408"/>
      <c r="O340" s="408"/>
      <c r="P340" s="408"/>
      <c r="Q340" s="895"/>
      <c r="R340" s="115"/>
      <c r="S340" s="115"/>
      <c r="T340" s="113"/>
      <c r="U340" s="46"/>
      <c r="V340" s="117"/>
      <c r="W340" s="117"/>
      <c r="X340" s="118"/>
      <c r="Y340" s="119"/>
      <c r="Z340" s="113"/>
      <c r="AA340" s="113"/>
      <c r="AB340" s="111"/>
      <c r="AC340" s="19"/>
      <c r="AD340" s="19"/>
      <c r="AE340" s="19"/>
      <c r="AF340" s="46"/>
      <c r="AG340" s="46"/>
    </row>
    <row r="341" spans="1:33" s="112" customFormat="1" ht="21.95" customHeight="1">
      <c r="A341" s="872"/>
      <c r="B341" s="408"/>
      <c r="C341" s="408"/>
      <c r="D341" s="408"/>
      <c r="E341" s="408"/>
      <c r="F341" s="408"/>
      <c r="G341" s="408"/>
      <c r="H341" s="408"/>
      <c r="I341" s="408"/>
      <c r="J341" s="408"/>
      <c r="K341" s="408"/>
      <c r="L341" s="408"/>
      <c r="M341" s="408"/>
      <c r="N341" s="408"/>
      <c r="O341" s="408"/>
      <c r="P341" s="408"/>
      <c r="Q341" s="895"/>
      <c r="R341" s="115"/>
      <c r="S341" s="115"/>
      <c r="T341" s="113"/>
      <c r="U341" s="46"/>
      <c r="V341" s="117"/>
      <c r="W341" s="117"/>
      <c r="X341" s="118"/>
      <c r="Y341" s="119"/>
      <c r="Z341" s="113"/>
      <c r="AA341" s="113"/>
      <c r="AB341" s="111"/>
      <c r="AC341" s="19"/>
      <c r="AD341" s="19"/>
      <c r="AE341" s="19"/>
      <c r="AF341" s="46"/>
      <c r="AG341" s="46"/>
    </row>
    <row r="342" spans="1:33" s="112" customFormat="1" ht="21.95" customHeight="1">
      <c r="A342" s="872"/>
      <c r="B342" s="408"/>
      <c r="C342" s="408"/>
      <c r="D342" s="408"/>
      <c r="E342" s="408"/>
      <c r="F342" s="408"/>
      <c r="G342" s="408"/>
      <c r="H342" s="408"/>
      <c r="I342" s="408"/>
      <c r="J342" s="408"/>
      <c r="K342" s="408"/>
      <c r="L342" s="408"/>
      <c r="M342" s="408"/>
      <c r="N342" s="408"/>
      <c r="O342" s="408"/>
      <c r="P342" s="408"/>
      <c r="Q342" s="895"/>
      <c r="R342" s="114"/>
      <c r="S342" s="114"/>
      <c r="T342" s="46"/>
      <c r="U342" s="115"/>
      <c r="V342" s="113"/>
      <c r="W342" s="113"/>
      <c r="X342" s="46"/>
      <c r="Y342" s="116"/>
      <c r="Z342" s="46"/>
      <c r="AA342" s="109"/>
      <c r="AB342" s="113"/>
      <c r="AC342" s="46"/>
      <c r="AD342" s="46"/>
      <c r="AE342" s="111"/>
      <c r="AF342" s="19"/>
      <c r="AG342" s="46"/>
    </row>
    <row r="343" spans="1:33" s="112" customFormat="1" ht="21.95" customHeight="1">
      <c r="A343" s="872"/>
      <c r="B343" s="408"/>
      <c r="C343" s="408"/>
      <c r="D343" s="408"/>
      <c r="E343" s="408"/>
      <c r="F343" s="408"/>
      <c r="G343" s="408"/>
      <c r="H343" s="408"/>
      <c r="I343" s="408"/>
      <c r="J343" s="408"/>
      <c r="K343" s="408"/>
      <c r="L343" s="408"/>
      <c r="M343" s="408"/>
      <c r="N343" s="408"/>
      <c r="O343" s="408"/>
      <c r="P343" s="408"/>
      <c r="Q343" s="42"/>
      <c r="R343" s="114"/>
      <c r="S343" s="114"/>
      <c r="T343" s="46"/>
      <c r="U343" s="115"/>
      <c r="V343" s="113"/>
      <c r="W343" s="113"/>
      <c r="X343" s="46"/>
      <c r="Y343" s="116"/>
      <c r="Z343" s="46"/>
      <c r="AA343" s="109"/>
      <c r="AB343" s="113"/>
      <c r="AC343" s="46"/>
      <c r="AD343" s="46"/>
      <c r="AE343" s="111"/>
      <c r="AF343" s="19"/>
      <c r="AG343" s="46"/>
    </row>
    <row r="344" spans="1:33" s="100" customFormat="1" ht="21.95" customHeight="1">
      <c r="A344" s="873"/>
      <c r="B344" s="409"/>
      <c r="C344" s="409"/>
      <c r="D344" s="409"/>
      <c r="E344" s="409"/>
      <c r="F344" s="409"/>
      <c r="G344" s="409"/>
      <c r="H344" s="409"/>
      <c r="I344" s="409"/>
      <c r="J344" s="409"/>
      <c r="K344" s="409"/>
      <c r="L344" s="409"/>
      <c r="M344" s="409"/>
      <c r="N344" s="409"/>
      <c r="O344" s="409"/>
      <c r="P344" s="409"/>
      <c r="Q344" s="42"/>
      <c r="R344" s="1411"/>
      <c r="S344" s="1411"/>
      <c r="T344" s="1411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102"/>
      <c r="AG344" s="42"/>
    </row>
    <row r="345" spans="1:33" s="100" customFormat="1" ht="21.95" customHeight="1">
      <c r="A345" s="873"/>
      <c r="B345" s="409"/>
      <c r="C345" s="409"/>
      <c r="D345" s="409"/>
      <c r="E345" s="409"/>
      <c r="F345" s="409"/>
      <c r="G345" s="409"/>
      <c r="H345" s="409"/>
      <c r="I345" s="409"/>
      <c r="J345" s="409"/>
      <c r="K345" s="409"/>
      <c r="L345" s="409"/>
      <c r="M345" s="409"/>
      <c r="N345" s="409"/>
      <c r="O345" s="409"/>
      <c r="P345" s="409"/>
      <c r="Q345" s="42"/>
      <c r="R345" s="45"/>
      <c r="S345" s="1415"/>
      <c r="T345" s="1415"/>
      <c r="U345" s="1415"/>
      <c r="V345" s="46"/>
      <c r="W345" s="103"/>
      <c r="X345" s="46"/>
      <c r="Y345" s="1412"/>
      <c r="Z345" s="1412"/>
      <c r="AA345" s="45"/>
      <c r="AB345" s="45"/>
      <c r="AC345" s="45"/>
      <c r="AD345" s="45"/>
      <c r="AE345" s="45"/>
      <c r="AF345" s="102"/>
      <c r="AG345" s="42"/>
    </row>
    <row r="346" spans="1:33" s="100" customFormat="1" ht="21.95" customHeight="1">
      <c r="A346" s="873"/>
      <c r="B346" s="409"/>
      <c r="C346" s="409"/>
      <c r="D346" s="409"/>
      <c r="E346" s="409"/>
      <c r="F346" s="409"/>
      <c r="G346" s="409"/>
      <c r="H346" s="409"/>
      <c r="I346" s="409"/>
      <c r="J346" s="409"/>
      <c r="K346" s="409"/>
      <c r="L346" s="409"/>
      <c r="M346" s="409"/>
      <c r="N346" s="409"/>
      <c r="O346" s="409"/>
      <c r="P346" s="409"/>
      <c r="Q346" s="42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102"/>
      <c r="AG346" s="42"/>
    </row>
    <row r="347" spans="1:33" s="100" customFormat="1" ht="21.95" customHeight="1">
      <c r="A347" s="737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2"/>
      <c r="R347" s="1264"/>
      <c r="S347" s="1264"/>
      <c r="T347" s="1264"/>
      <c r="U347" s="1264"/>
      <c r="V347" s="1264"/>
      <c r="W347" s="1264"/>
      <c r="X347" s="1264"/>
      <c r="Y347" s="1264"/>
      <c r="Z347" s="1264"/>
      <c r="AA347" s="1264"/>
      <c r="AB347" s="1264"/>
      <c r="AC347" s="1264"/>
      <c r="AD347" s="1264"/>
      <c r="AE347" s="1264"/>
      <c r="AF347" s="1413"/>
      <c r="AG347" s="42"/>
    </row>
    <row r="348" spans="1:33" s="100" customFormat="1" ht="24.75" customHeight="1">
      <c r="A348" s="737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2"/>
      <c r="R348" s="105"/>
      <c r="S348" s="104"/>
      <c r="T348" s="19"/>
      <c r="U348" s="46"/>
      <c r="V348" s="105"/>
      <c r="W348" s="104"/>
      <c r="X348" s="19"/>
      <c r="Y348" s="46"/>
      <c r="Z348" s="1264"/>
      <c r="AA348" s="1264"/>
      <c r="AB348" s="105"/>
      <c r="AC348" s="46"/>
      <c r="AD348" s="19"/>
      <c r="AE348" s="46"/>
      <c r="AF348" s="102"/>
      <c r="AG348" s="42"/>
    </row>
    <row r="349" spans="1:33" s="100" customFormat="1" ht="24.75" customHeight="1">
      <c r="A349" s="737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2"/>
      <c r="R349" s="45"/>
      <c r="S349" s="45"/>
      <c r="T349" s="45"/>
      <c r="U349" s="45"/>
      <c r="V349" s="45"/>
      <c r="W349" s="45"/>
      <c r="X349" s="46"/>
      <c r="Y349" s="45"/>
      <c r="Z349" s="45"/>
      <c r="AA349" s="45"/>
      <c r="AB349" s="45"/>
      <c r="AC349" s="45"/>
      <c r="AD349" s="45"/>
      <c r="AE349" s="45"/>
      <c r="AF349" s="102"/>
      <c r="AG349" s="42"/>
    </row>
    <row r="350" spans="1:33" s="100" customFormat="1" ht="24.75" customHeight="1">
      <c r="A350" s="737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2"/>
      <c r="R350" s="46"/>
      <c r="S350" s="46"/>
      <c r="T350" s="1264"/>
      <c r="U350" s="1264"/>
      <c r="V350" s="1264"/>
      <c r="W350" s="1264"/>
      <c r="X350" s="46"/>
      <c r="Y350" s="46"/>
      <c r="Z350" s="45"/>
      <c r="AA350" s="46"/>
      <c r="AB350" s="1411"/>
      <c r="AC350" s="1411"/>
      <c r="AD350" s="45"/>
      <c r="AE350" s="45"/>
      <c r="AF350" s="102"/>
      <c r="AG350" s="42"/>
    </row>
    <row r="351" spans="1:33" s="100" customFormat="1" ht="24.75" customHeight="1">
      <c r="A351" s="737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2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102"/>
      <c r="AG351" s="42"/>
    </row>
    <row r="352" spans="1:33" s="100" customFormat="1" ht="24.75" customHeight="1">
      <c r="A352" s="737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2"/>
      <c r="R352" s="1264"/>
      <c r="S352" s="1264"/>
      <c r="T352" s="46"/>
      <c r="U352" s="1416"/>
      <c r="V352" s="1416"/>
      <c r="W352" s="1416"/>
      <c r="X352" s="46"/>
      <c r="Y352" s="1414"/>
      <c r="Z352" s="1414"/>
      <c r="AA352" s="46"/>
      <c r="AB352" s="1410"/>
      <c r="AC352" s="1410"/>
      <c r="AD352" s="45"/>
      <c r="AE352" s="45"/>
      <c r="AF352" s="102"/>
      <c r="AG352" s="42"/>
    </row>
    <row r="353" spans="1:33" s="100" customFormat="1" ht="24.75" customHeight="1">
      <c r="A353" s="874"/>
      <c r="B353" s="106"/>
      <c r="C353" s="106"/>
      <c r="D353" s="46"/>
      <c r="E353" s="120"/>
      <c r="F353" s="120"/>
      <c r="G353" s="121"/>
      <c r="H353" s="46"/>
      <c r="I353" s="122"/>
      <c r="J353" s="122"/>
      <c r="K353" s="45"/>
      <c r="L353" s="45"/>
      <c r="M353" s="45"/>
      <c r="N353" s="45"/>
      <c r="O353" s="45"/>
      <c r="P353" s="45"/>
      <c r="Q353" s="875"/>
      <c r="R353" s="46"/>
      <c r="S353" s="46"/>
      <c r="T353" s="46"/>
      <c r="U353" s="107"/>
      <c r="V353" s="107"/>
      <c r="W353" s="107"/>
      <c r="X353" s="46"/>
      <c r="Y353" s="108"/>
      <c r="Z353" s="108"/>
      <c r="AA353" s="46"/>
      <c r="AB353" s="109"/>
      <c r="AC353" s="109"/>
      <c r="AD353" s="45"/>
      <c r="AE353" s="45"/>
      <c r="AF353" s="45"/>
      <c r="AG353" s="45"/>
    </row>
  </sheetData>
  <mergeCells count="605">
    <mergeCell ref="V282:W282"/>
    <mergeCell ref="J261:K261"/>
    <mergeCell ref="D263:E263"/>
    <mergeCell ref="J263:K263"/>
    <mergeCell ref="C265:D265"/>
    <mergeCell ref="J265:K265"/>
    <mergeCell ref="B282:P282"/>
    <mergeCell ref="I272:J272"/>
    <mergeCell ref="M265:N265"/>
    <mergeCell ref="F265:H265"/>
    <mergeCell ref="D217:E217"/>
    <mergeCell ref="B255:P255"/>
    <mergeCell ref="B257:D257"/>
    <mergeCell ref="C258:E258"/>
    <mergeCell ref="I258:J258"/>
    <mergeCell ref="B213:D213"/>
    <mergeCell ref="C207:D207"/>
    <mergeCell ref="C208:D208"/>
    <mergeCell ref="E223:F223"/>
    <mergeCell ref="D215:F215"/>
    <mergeCell ref="B214:D214"/>
    <mergeCell ref="O248:P248"/>
    <mergeCell ref="O249:P249"/>
    <mergeCell ref="D252:E252"/>
    <mergeCell ref="F252:G252"/>
    <mergeCell ref="O236:P236"/>
    <mergeCell ref="O237:P238"/>
    <mergeCell ref="O239:P239"/>
    <mergeCell ref="O241:P241"/>
    <mergeCell ref="O242:P242"/>
    <mergeCell ref="O243:P243"/>
    <mergeCell ref="G235:H235"/>
    <mergeCell ref="G223:H223"/>
    <mergeCell ref="I226:K226"/>
    <mergeCell ref="E291:G291"/>
    <mergeCell ref="B270:G270"/>
    <mergeCell ref="B291:C291"/>
    <mergeCell ref="J279:K279"/>
    <mergeCell ref="I291:J291"/>
    <mergeCell ref="C272:E272"/>
    <mergeCell ref="B271:D271"/>
    <mergeCell ref="C285:N285"/>
    <mergeCell ref="C279:D279"/>
    <mergeCell ref="F279:H279"/>
    <mergeCell ref="R344:T344"/>
    <mergeCell ref="M223:N223"/>
    <mergeCell ref="E225:G225"/>
    <mergeCell ref="M222:N222"/>
    <mergeCell ref="B274:P274"/>
    <mergeCell ref="M279:N279"/>
    <mergeCell ref="J275:K275"/>
    <mergeCell ref="B283:D283"/>
    <mergeCell ref="F289:G289"/>
    <mergeCell ref="D289:E289"/>
    <mergeCell ref="L289:M289"/>
    <mergeCell ref="D277:E277"/>
    <mergeCell ref="J277:K277"/>
    <mergeCell ref="B269:P269"/>
    <mergeCell ref="K225:L225"/>
    <mergeCell ref="I284:J284"/>
    <mergeCell ref="C284:E284"/>
    <mergeCell ref="R226:T226"/>
    <mergeCell ref="J287:K287"/>
    <mergeCell ref="O245:P245"/>
    <mergeCell ref="O246:P246"/>
    <mergeCell ref="C251:D251"/>
    <mergeCell ref="E251:F251"/>
    <mergeCell ref="N251:O251"/>
    <mergeCell ref="B205:D205"/>
    <mergeCell ref="L215:M215"/>
    <mergeCell ref="B182:C182"/>
    <mergeCell ref="E202:G202"/>
    <mergeCell ref="K202:M202"/>
    <mergeCell ref="N213:P213"/>
    <mergeCell ref="O215:P215"/>
    <mergeCell ref="D216:F216"/>
    <mergeCell ref="N205:O205"/>
    <mergeCell ref="N214:P214"/>
    <mergeCell ref="N204:O204"/>
    <mergeCell ref="N202:O202"/>
    <mergeCell ref="H202:J202"/>
    <mergeCell ref="K204:M204"/>
    <mergeCell ref="K203:M203"/>
    <mergeCell ref="E196:G196"/>
    <mergeCell ref="L185:P186"/>
    <mergeCell ref="H183:H184"/>
    <mergeCell ref="K196:M196"/>
    <mergeCell ref="K199:M199"/>
    <mergeCell ref="H185:H186"/>
    <mergeCell ref="I185:K186"/>
    <mergeCell ref="H196:J196"/>
    <mergeCell ref="K102:K103"/>
    <mergeCell ref="F171:P171"/>
    <mergeCell ref="J146:K146"/>
    <mergeCell ref="L150:M150"/>
    <mergeCell ref="F170:P170"/>
    <mergeCell ref="C116:F116"/>
    <mergeCell ref="H113:I113"/>
    <mergeCell ref="M116:N116"/>
    <mergeCell ref="E168:F168"/>
    <mergeCell ref="F127:G127"/>
    <mergeCell ref="H134:I134"/>
    <mergeCell ref="C126:E126"/>
    <mergeCell ref="E150:G150"/>
    <mergeCell ref="C132:D132"/>
    <mergeCell ref="E167:F167"/>
    <mergeCell ref="G123:J123"/>
    <mergeCell ref="I128:J128"/>
    <mergeCell ref="N124:O124"/>
    <mergeCell ref="H139:I139"/>
    <mergeCell ref="H132:P132"/>
    <mergeCell ref="L128:M128"/>
    <mergeCell ref="M118:O118"/>
    <mergeCell ref="B125:K125"/>
    <mergeCell ref="B124:E124"/>
    <mergeCell ref="L148:M148"/>
    <mergeCell ref="B150:C150"/>
    <mergeCell ref="I150:J150"/>
    <mergeCell ref="L167:M167"/>
    <mergeCell ref="AB352:AC352"/>
    <mergeCell ref="V350:W350"/>
    <mergeCell ref="AB350:AC350"/>
    <mergeCell ref="Y345:Z345"/>
    <mergeCell ref="R347:AF347"/>
    <mergeCell ref="Z348:AA348"/>
    <mergeCell ref="T350:U350"/>
    <mergeCell ref="Y352:Z352"/>
    <mergeCell ref="S345:U345"/>
    <mergeCell ref="R352:S352"/>
    <mergeCell ref="U352:W352"/>
    <mergeCell ref="AD203:AE203"/>
    <mergeCell ref="U199:W199"/>
    <mergeCell ref="U203:W203"/>
    <mergeCell ref="AD201:AE201"/>
    <mergeCell ref="AD199:AE199"/>
    <mergeCell ref="U202:W202"/>
    <mergeCell ref="N203:O203"/>
    <mergeCell ref="N201:O201"/>
    <mergeCell ref="K216:L216"/>
    <mergeCell ref="A183:A184"/>
    <mergeCell ref="A187:A188"/>
    <mergeCell ref="A185:A186"/>
    <mergeCell ref="R183:S183"/>
    <mergeCell ref="R185:S186"/>
    <mergeCell ref="U197:W197"/>
    <mergeCell ref="U183:V183"/>
    <mergeCell ref="I183:L184"/>
    <mergeCell ref="F183:G183"/>
    <mergeCell ref="F184:G184"/>
    <mergeCell ref="R196:T196"/>
    <mergeCell ref="R195:T195"/>
    <mergeCell ref="R187:S188"/>
    <mergeCell ref="L187:P188"/>
    <mergeCell ref="R194:S194"/>
    <mergeCell ref="N196:O196"/>
    <mergeCell ref="U195:W195"/>
    <mergeCell ref="U196:W196"/>
    <mergeCell ref="N195:O195"/>
    <mergeCell ref="N199:O199"/>
    <mergeCell ref="H198:J198"/>
    <mergeCell ref="K197:M197"/>
    <mergeCell ref="B199:D199"/>
    <mergeCell ref="B201:D201"/>
    <mergeCell ref="E198:G198"/>
    <mergeCell ref="B198:D198"/>
    <mergeCell ref="N197:O197"/>
    <mergeCell ref="E199:G199"/>
    <mergeCell ref="E201:G201"/>
    <mergeCell ref="B200:D200"/>
    <mergeCell ref="E197:G197"/>
    <mergeCell ref="B197:D197"/>
    <mergeCell ref="H201:J201"/>
    <mergeCell ref="K201:M201"/>
    <mergeCell ref="K198:M198"/>
    <mergeCell ref="H199:J199"/>
    <mergeCell ref="H197:J197"/>
    <mergeCell ref="N198:O198"/>
    <mergeCell ref="H117:I117"/>
    <mergeCell ref="C106:D107"/>
    <mergeCell ref="C114:F114"/>
    <mergeCell ref="C115:F115"/>
    <mergeCell ref="H116:I116"/>
    <mergeCell ref="F107:I107"/>
    <mergeCell ref="B117:E117"/>
    <mergeCell ref="B203:D203"/>
    <mergeCell ref="B202:D202"/>
    <mergeCell ref="H187:H188"/>
    <mergeCell ref="E195:G195"/>
    <mergeCell ref="I187:K188"/>
    <mergeCell ref="C188:G188"/>
    <mergeCell ref="F187:G187"/>
    <mergeCell ref="J111:J112"/>
    <mergeCell ref="C184:D184"/>
    <mergeCell ref="J179:K179"/>
    <mergeCell ref="J106:J107"/>
    <mergeCell ref="E106:E107"/>
    <mergeCell ref="E138:F138"/>
    <mergeCell ref="C135:D135"/>
    <mergeCell ref="G121:J121"/>
    <mergeCell ref="F129:G129"/>
    <mergeCell ref="F128:G128"/>
    <mergeCell ref="I102:J103"/>
    <mergeCell ref="F103:G103"/>
    <mergeCell ref="K104:K105"/>
    <mergeCell ref="F104:J104"/>
    <mergeCell ref="I74:J74"/>
    <mergeCell ref="I111:I112"/>
    <mergeCell ref="H114:I114"/>
    <mergeCell ref="C118:F118"/>
    <mergeCell ref="B113:E113"/>
    <mergeCell ref="K111:K112"/>
    <mergeCell ref="C111:D112"/>
    <mergeCell ref="K106:K107"/>
    <mergeCell ref="I105:J105"/>
    <mergeCell ref="C89:H89"/>
    <mergeCell ref="C103:D103"/>
    <mergeCell ref="H102:H103"/>
    <mergeCell ref="F102:G102"/>
    <mergeCell ref="C102:D102"/>
    <mergeCell ref="E101:F101"/>
    <mergeCell ref="F105:G105"/>
    <mergeCell ref="H106:I106"/>
    <mergeCell ref="H118:I118"/>
    <mergeCell ref="F112:H112"/>
    <mergeCell ref="H98:I98"/>
    <mergeCell ref="L72:M72"/>
    <mergeCell ref="D80:F80"/>
    <mergeCell ref="I88:J88"/>
    <mergeCell ref="H90:I90"/>
    <mergeCell ref="J101:K101"/>
    <mergeCell ref="J70:K70"/>
    <mergeCell ref="F72:G72"/>
    <mergeCell ref="E104:E105"/>
    <mergeCell ref="B2:P2"/>
    <mergeCell ref="B33:D33"/>
    <mergeCell ref="L41:M41"/>
    <mergeCell ref="L39:M39"/>
    <mergeCell ref="J37:K37"/>
    <mergeCell ref="D39:E39"/>
    <mergeCell ref="F39:G39"/>
    <mergeCell ref="I34:J34"/>
    <mergeCell ref="B30:P30"/>
    <mergeCell ref="B31:P31"/>
    <mergeCell ref="B41:C41"/>
    <mergeCell ref="E41:G41"/>
    <mergeCell ref="I41:J41"/>
    <mergeCell ref="B32:L32"/>
    <mergeCell ref="C18:M18"/>
    <mergeCell ref="C19:E19"/>
    <mergeCell ref="D20:F20"/>
    <mergeCell ref="J20:K20"/>
    <mergeCell ref="K23:L23"/>
    <mergeCell ref="Y182:Z182"/>
    <mergeCell ref="L53:M53"/>
    <mergeCell ref="I55:J55"/>
    <mergeCell ref="L55:M55"/>
    <mergeCell ref="C34:E34"/>
    <mergeCell ref="B55:C55"/>
    <mergeCell ref="R47:T47"/>
    <mergeCell ref="J51:K51"/>
    <mergeCell ref="R33:T33"/>
    <mergeCell ref="C50:D50"/>
    <mergeCell ref="I48:J48"/>
    <mergeCell ref="C48:E48"/>
    <mergeCell ref="R41:S41"/>
    <mergeCell ref="V53:W53"/>
    <mergeCell ref="D53:E53"/>
    <mergeCell ref="F53:G53"/>
    <mergeCell ref="B47:D47"/>
    <mergeCell ref="U41:W41"/>
    <mergeCell ref="G101:I101"/>
    <mergeCell ref="C101:D101"/>
    <mergeCell ref="B74:C74"/>
    <mergeCell ref="D72:E72"/>
    <mergeCell ref="E74:G74"/>
    <mergeCell ref="L74:M74"/>
    <mergeCell ref="AD202:AE202"/>
    <mergeCell ref="C66:E66"/>
    <mergeCell ref="C69:D69"/>
    <mergeCell ref="E55:G55"/>
    <mergeCell ref="H57:I57"/>
    <mergeCell ref="B65:D65"/>
    <mergeCell ref="J66:K66"/>
    <mergeCell ref="AD196:AE196"/>
    <mergeCell ref="AD197:AE197"/>
    <mergeCell ref="U187:V187"/>
    <mergeCell ref="AB181:AC181"/>
    <mergeCell ref="R184:S184"/>
    <mergeCell ref="V171:AF171"/>
    <mergeCell ref="AE141:AF141"/>
    <mergeCell ref="S143:U143"/>
    <mergeCell ref="V170:AF170"/>
    <mergeCell ref="U150:W150"/>
    <mergeCell ref="T174:U174"/>
    <mergeCell ref="X174:Z174"/>
    <mergeCell ref="R177:AF177"/>
    <mergeCell ref="Z175:AA175"/>
    <mergeCell ref="U213:W213"/>
    <mergeCell ref="AD205:AE205"/>
    <mergeCell ref="V181:W181"/>
    <mergeCell ref="X195:Z195"/>
    <mergeCell ref="X187:AA188"/>
    <mergeCell ref="W187:W188"/>
    <mergeCell ref="AD204:AE204"/>
    <mergeCell ref="X199:Z199"/>
    <mergeCell ref="X196:Z196"/>
    <mergeCell ref="AA198:AC198"/>
    <mergeCell ref="AD195:AE195"/>
    <mergeCell ref="U184:V184"/>
    <mergeCell ref="W185:W186"/>
    <mergeCell ref="W183:W184"/>
    <mergeCell ref="T181:U181"/>
    <mergeCell ref="AD198:AE198"/>
    <mergeCell ref="X185:Y186"/>
    <mergeCell ref="X183:AB184"/>
    <mergeCell ref="U185:V185"/>
    <mergeCell ref="U186:V186"/>
    <mergeCell ref="X203:Z203"/>
    <mergeCell ref="AA203:AC203"/>
    <mergeCell ref="U201:W201"/>
    <mergeCell ref="R197:T197"/>
    <mergeCell ref="AB182:AC182"/>
    <mergeCell ref="X204:Z204"/>
    <mergeCell ref="V226:W226"/>
    <mergeCell ref="U204:W204"/>
    <mergeCell ref="U222:V222"/>
    <mergeCell ref="W222:X222"/>
    <mergeCell ref="AD213:AF213"/>
    <mergeCell ref="Y226:AA226"/>
    <mergeCell ref="R225:S225"/>
    <mergeCell ref="W217:X217"/>
    <mergeCell ref="R219:AF219"/>
    <mergeCell ref="W220:X220"/>
    <mergeCell ref="AC222:AD222"/>
    <mergeCell ref="AC223:AD223"/>
    <mergeCell ref="AA225:AB225"/>
    <mergeCell ref="W223:X223"/>
    <mergeCell ref="T216:V216"/>
    <mergeCell ref="AA216:AB216"/>
    <mergeCell ref="R214:T214"/>
    <mergeCell ref="U214:W214"/>
    <mergeCell ref="X214:Z214"/>
    <mergeCell ref="AA214:AC214"/>
    <mergeCell ref="AC216:AE216"/>
    <mergeCell ref="AD214:AF214"/>
    <mergeCell ref="R213:T213"/>
    <mergeCell ref="AB150:AC150"/>
    <mergeCell ref="U225:W225"/>
    <mergeCell ref="R202:T202"/>
    <mergeCell ref="R205:T205"/>
    <mergeCell ref="R203:T203"/>
    <mergeCell ref="T217:U217"/>
    <mergeCell ref="X197:Z197"/>
    <mergeCell ref="X198:Z198"/>
    <mergeCell ref="X201:Z201"/>
    <mergeCell ref="X213:Z213"/>
    <mergeCell ref="Y207:AA207"/>
    <mergeCell ref="W210:Z210"/>
    <mergeCell ref="AA213:AC213"/>
    <mergeCell ref="Y211:AA211"/>
    <mergeCell ref="U205:W205"/>
    <mergeCell ref="X205:Z205"/>
    <mergeCell ref="AA205:AC205"/>
    <mergeCell ref="U223:V223"/>
    <mergeCell ref="T215:V215"/>
    <mergeCell ref="AA204:AC204"/>
    <mergeCell ref="AA201:AC201"/>
    <mergeCell ref="R198:T198"/>
    <mergeCell ref="R201:T201"/>
    <mergeCell ref="R204:T204"/>
    <mergeCell ref="Y141:Z141"/>
    <mergeCell ref="U138:V138"/>
    <mergeCell ref="S175:U175"/>
    <mergeCell ref="R181:S181"/>
    <mergeCell ref="X139:Y139"/>
    <mergeCell ref="X134:Z134"/>
    <mergeCell ref="R170:S170"/>
    <mergeCell ref="Y150:Z150"/>
    <mergeCell ref="U140:V140"/>
    <mergeCell ref="T148:U148"/>
    <mergeCell ref="V148:W148"/>
    <mergeCell ref="R182:S182"/>
    <mergeCell ref="Z178:AA178"/>
    <mergeCell ref="W175:X175"/>
    <mergeCell ref="R199:T199"/>
    <mergeCell ref="X202:Z202"/>
    <mergeCell ref="R200:T200"/>
    <mergeCell ref="AA195:AC195"/>
    <mergeCell ref="AA197:AC197"/>
    <mergeCell ref="AA202:AC202"/>
    <mergeCell ref="AA196:AC196"/>
    <mergeCell ref="AA199:AC199"/>
    <mergeCell ref="U198:W198"/>
    <mergeCell ref="L181:M181"/>
    <mergeCell ref="AA124:AB124"/>
    <mergeCell ref="X132:AF132"/>
    <mergeCell ref="AD124:AF124"/>
    <mergeCell ref="AC111:AD112"/>
    <mergeCell ref="Z111:Z112"/>
    <mergeCell ref="AA111:AA112"/>
    <mergeCell ref="Y114:AA114"/>
    <mergeCell ref="R124:U124"/>
    <mergeCell ref="W122:Z122"/>
    <mergeCell ref="Y118:AA118"/>
    <mergeCell ref="S120:T120"/>
    <mergeCell ref="S116:U116"/>
    <mergeCell ref="W124:Y124"/>
    <mergeCell ref="AB111:AB112"/>
    <mergeCell ref="W117:X117"/>
    <mergeCell ref="Y115:AA115"/>
    <mergeCell ref="W116:Y116"/>
    <mergeCell ref="S118:W118"/>
    <mergeCell ref="W120:AC120"/>
    <mergeCell ref="W121:AA121"/>
    <mergeCell ref="AB121:AD121"/>
    <mergeCell ref="S121:T121"/>
    <mergeCell ref="S135:T135"/>
    <mergeCell ref="C104:D105"/>
    <mergeCell ref="G120:J120"/>
    <mergeCell ref="E111:E112"/>
    <mergeCell ref="S104:T105"/>
    <mergeCell ref="S106:T107"/>
    <mergeCell ref="B195:D195"/>
    <mergeCell ref="F181:G181"/>
    <mergeCell ref="B194:C194"/>
    <mergeCell ref="C177:D177"/>
    <mergeCell ref="H168:I168"/>
    <mergeCell ref="K195:M195"/>
    <mergeCell ref="J178:K178"/>
    <mergeCell ref="G175:H175"/>
    <mergeCell ref="F172:P172"/>
    <mergeCell ref="O174:P174"/>
    <mergeCell ref="E182:G182"/>
    <mergeCell ref="C183:D183"/>
    <mergeCell ref="D181:E181"/>
    <mergeCell ref="J175:K175"/>
    <mergeCell ref="I174:J174"/>
    <mergeCell ref="H195:J195"/>
    <mergeCell ref="L182:M182"/>
    <mergeCell ref="C138:D138"/>
    <mergeCell ref="C143:D143"/>
    <mergeCell ref="F136:G136"/>
    <mergeCell ref="H140:I140"/>
    <mergeCell ref="E139:F139"/>
    <mergeCell ref="K140:L140"/>
    <mergeCell ref="H136:I136"/>
    <mergeCell ref="H133:I133"/>
    <mergeCell ref="I143:J143"/>
    <mergeCell ref="S138:T138"/>
    <mergeCell ref="K124:L124"/>
    <mergeCell ref="H124:I124"/>
    <mergeCell ref="Z37:AA37"/>
    <mergeCell ref="V39:W39"/>
    <mergeCell ref="Z106:Z107"/>
    <mergeCell ref="S102:T102"/>
    <mergeCell ref="L104:M105"/>
    <mergeCell ref="R55:S55"/>
    <mergeCell ref="U55:W55"/>
    <mergeCell ref="R46:X46"/>
    <mergeCell ref="T39:U39"/>
    <mergeCell ref="T72:U72"/>
    <mergeCell ref="S66:U66"/>
    <mergeCell ref="R50:AF50"/>
    <mergeCell ref="Z51:AA51"/>
    <mergeCell ref="Z70:AA70"/>
    <mergeCell ref="AB39:AC39"/>
    <mergeCell ref="AB41:AC41"/>
    <mergeCell ref="X57:Y57"/>
    <mergeCell ref="T53:U53"/>
    <mergeCell ref="Y48:Z48"/>
    <mergeCell ref="S48:U48"/>
    <mergeCell ref="Y41:Z41"/>
    <mergeCell ref="AD74:AE74"/>
    <mergeCell ref="R65:T65"/>
    <mergeCell ref="S103:T103"/>
    <mergeCell ref="AC33:AD33"/>
    <mergeCell ref="X106:Y106"/>
    <mergeCell ref="U106:U107"/>
    <mergeCell ref="AB74:AC74"/>
    <mergeCell ref="AB53:AC53"/>
    <mergeCell ref="AB55:AC55"/>
    <mergeCell ref="Y55:Z55"/>
    <mergeCell ref="V104:Z104"/>
    <mergeCell ref="U104:U105"/>
    <mergeCell ref="V107:Y107"/>
    <mergeCell ref="Y34:Z34"/>
    <mergeCell ref="AB104:AC105"/>
    <mergeCell ref="AA104:AA105"/>
    <mergeCell ref="AA106:AA107"/>
    <mergeCell ref="Y105:Z105"/>
    <mergeCell ref="AA102:AA103"/>
    <mergeCell ref="Z81:AA81"/>
    <mergeCell ref="R69:AF69"/>
    <mergeCell ref="AB72:AC72"/>
    <mergeCell ref="X102:X103"/>
    <mergeCell ref="V66:W66"/>
    <mergeCell ref="R74:S74"/>
    <mergeCell ref="AA101:AC101"/>
    <mergeCell ref="Y66:Z66"/>
    <mergeCell ref="G222:H222"/>
    <mergeCell ref="E203:G203"/>
    <mergeCell ref="H203:J203"/>
    <mergeCell ref="K213:M213"/>
    <mergeCell ref="H213:J213"/>
    <mergeCell ref="S114:W114"/>
    <mergeCell ref="X111:Y111"/>
    <mergeCell ref="X113:Z113"/>
    <mergeCell ref="V112:Y112"/>
    <mergeCell ref="S111:T112"/>
    <mergeCell ref="F185:G185"/>
    <mergeCell ref="I182:J182"/>
    <mergeCell ref="S115:W115"/>
    <mergeCell ref="W123:Z123"/>
    <mergeCell ref="V172:AF172"/>
    <mergeCell ref="X133:Y133"/>
    <mergeCell ref="X136:Y136"/>
    <mergeCell ref="V136:W136"/>
    <mergeCell ref="R150:S150"/>
    <mergeCell ref="S144:U144"/>
    <mergeCell ref="S145:U145"/>
    <mergeCell ref="U182:W182"/>
    <mergeCell ref="Z146:AA146"/>
    <mergeCell ref="AB148:AC148"/>
    <mergeCell ref="T101:V101"/>
    <mergeCell ref="X101:Z101"/>
    <mergeCell ref="V105:W105"/>
    <mergeCell ref="V102:W102"/>
    <mergeCell ref="V72:W72"/>
    <mergeCell ref="U74:W74"/>
    <mergeCell ref="R101:S101"/>
    <mergeCell ref="Y102:Z103"/>
    <mergeCell ref="Y74:Z74"/>
    <mergeCell ref="V103:W103"/>
    <mergeCell ref="A237:A238"/>
    <mergeCell ref="B237:D238"/>
    <mergeCell ref="E237:H237"/>
    <mergeCell ref="E238:H238"/>
    <mergeCell ref="H204:J204"/>
    <mergeCell ref="H205:J205"/>
    <mergeCell ref="E214:G214"/>
    <mergeCell ref="H214:J214"/>
    <mergeCell ref="E204:G204"/>
    <mergeCell ref="B226:D226"/>
    <mergeCell ref="F226:G226"/>
    <mergeCell ref="I220:J220"/>
    <mergeCell ref="E222:F222"/>
    <mergeCell ref="C210:D210"/>
    <mergeCell ref="E205:G205"/>
    <mergeCell ref="I211:K211"/>
    <mergeCell ref="G210:J210"/>
    <mergeCell ref="K205:M205"/>
    <mergeCell ref="C209:D209"/>
    <mergeCell ref="B225:C225"/>
    <mergeCell ref="G217:H217"/>
    <mergeCell ref="B235:E235"/>
    <mergeCell ref="C219:O219"/>
    <mergeCell ref="K214:M214"/>
    <mergeCell ref="U22:W22"/>
    <mergeCell ref="U23:W23"/>
    <mergeCell ref="R32:X32"/>
    <mergeCell ref="E25:F25"/>
    <mergeCell ref="G25:H25"/>
    <mergeCell ref="I207:K207"/>
    <mergeCell ref="E213:G213"/>
    <mergeCell ref="B204:D204"/>
    <mergeCell ref="C211:D211"/>
    <mergeCell ref="W79:X79"/>
    <mergeCell ref="L111:M112"/>
    <mergeCell ref="H115:I115"/>
    <mergeCell ref="G122:J122"/>
    <mergeCell ref="U111:U112"/>
    <mergeCell ref="D148:E148"/>
    <mergeCell ref="F148:G148"/>
    <mergeCell ref="C145:N145"/>
    <mergeCell ref="B196:D196"/>
    <mergeCell ref="C175:E175"/>
    <mergeCell ref="B170:C170"/>
    <mergeCell ref="C187:D187"/>
    <mergeCell ref="C185:D185"/>
    <mergeCell ref="C186:D186"/>
    <mergeCell ref="J180:K180"/>
    <mergeCell ref="C260:O260"/>
    <mergeCell ref="C14:D14"/>
    <mergeCell ref="F14:H14"/>
    <mergeCell ref="J14:K14"/>
    <mergeCell ref="M14:N14"/>
    <mergeCell ref="C4:O4"/>
    <mergeCell ref="C5:M5"/>
    <mergeCell ref="C6:E6"/>
    <mergeCell ref="D7:F7"/>
    <mergeCell ref="J7:K7"/>
    <mergeCell ref="C9:O9"/>
    <mergeCell ref="K10:L10"/>
    <mergeCell ref="E12:F12"/>
    <mergeCell ref="G12:H12"/>
    <mergeCell ref="M12:N12"/>
    <mergeCell ref="M25:N25"/>
    <mergeCell ref="C27:D27"/>
    <mergeCell ref="F27:H27"/>
    <mergeCell ref="J27:K27"/>
    <mergeCell ref="M27:N27"/>
    <mergeCell ref="C22:O22"/>
    <mergeCell ref="C17:O17"/>
    <mergeCell ref="C36:O36"/>
    <mergeCell ref="F186:G186"/>
  </mergeCells>
  <phoneticPr fontId="2" type="noConversion"/>
  <printOptions horizontalCentered="1"/>
  <pageMargins left="0.39370078740157483" right="0.39370078740157483" top="0.98425196850393704" bottom="0.59055118110236227" header="0.39370078740157483" footer="0.3937007874015748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"/>
  <sheetViews>
    <sheetView tabSelected="1" view="pageBreakPreview" zoomScaleSheetLayoutView="100" workbookViewId="0">
      <selection activeCell="A2" sqref="A2"/>
    </sheetView>
  </sheetViews>
  <sheetFormatPr defaultRowHeight="18.75" customHeight="1"/>
  <cols>
    <col min="1" max="1" width="12.77734375" style="1" customWidth="1"/>
    <col min="2" max="2" width="4.77734375" style="1" customWidth="1"/>
    <col min="3" max="16" width="3.77734375" style="1" customWidth="1"/>
    <col min="17" max="17" width="8.77734375" style="1" customWidth="1"/>
    <col min="18" max="20" width="4" style="1" customWidth="1"/>
    <col min="21" max="36" width="4.77734375" style="1" customWidth="1"/>
    <col min="37" max="16384" width="8.88671875" style="1"/>
  </cols>
  <sheetData>
    <row r="1" spans="1:29" ht="24" customHeight="1">
      <c r="A1" s="1074" t="s">
        <v>932</v>
      </c>
      <c r="B1" s="1074"/>
      <c r="C1" s="1074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29" s="2" customFormat="1" ht="24" customHeight="1" thickBot="1">
      <c r="A2" s="270" t="s">
        <v>924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29" s="2" customFormat="1" ht="24.75" customHeight="1">
      <c r="A3" s="282" t="s">
        <v>270</v>
      </c>
      <c r="B3" s="1244" t="s">
        <v>271</v>
      </c>
      <c r="C3" s="1244"/>
      <c r="D3" s="1244"/>
      <c r="E3" s="1244"/>
      <c r="F3" s="1244"/>
      <c r="G3" s="1244"/>
      <c r="H3" s="1244"/>
      <c r="I3" s="1244"/>
      <c r="J3" s="1244"/>
      <c r="K3" s="1244"/>
      <c r="L3" s="1244"/>
      <c r="M3" s="1244"/>
      <c r="N3" s="1244"/>
      <c r="O3" s="1244"/>
      <c r="P3" s="1245"/>
      <c r="Q3" s="283" t="s">
        <v>49</v>
      </c>
    </row>
    <row r="4" spans="1:29" s="2" customFormat="1" ht="24.75" customHeight="1">
      <c r="A4" s="284" t="s">
        <v>273</v>
      </c>
      <c r="B4" s="272"/>
      <c r="C4" s="1247">
        <v>4000</v>
      </c>
      <c r="D4" s="1247"/>
      <c r="E4" s="1248" t="s">
        <v>44</v>
      </c>
      <c r="F4" s="1248"/>
      <c r="G4" s="1077" t="s">
        <v>30</v>
      </c>
      <c r="H4" s="1247">
        <f>C4/24</f>
        <v>166.66666666666666</v>
      </c>
      <c r="I4" s="1247"/>
      <c r="J4" s="1248" t="s">
        <v>276</v>
      </c>
      <c r="K4" s="1248"/>
      <c r="L4" s="1077" t="s">
        <v>30</v>
      </c>
      <c r="M4" s="1247">
        <f>H4/60</f>
        <v>2.7777777777777777</v>
      </c>
      <c r="N4" s="1247"/>
      <c r="O4" s="1248" t="s">
        <v>277</v>
      </c>
      <c r="P4" s="1248"/>
      <c r="Q4" s="285"/>
    </row>
    <row r="5" spans="1:29" s="2" customFormat="1" ht="24.75" customHeight="1">
      <c r="A5" s="284" t="s">
        <v>278</v>
      </c>
      <c r="B5" s="272"/>
      <c r="C5" s="274"/>
      <c r="D5" s="274"/>
      <c r="E5" s="275"/>
      <c r="F5" s="275"/>
      <c r="G5" s="276"/>
      <c r="H5" s="276"/>
      <c r="I5" s="274"/>
      <c r="J5" s="274"/>
      <c r="K5" s="1249" t="s">
        <v>279</v>
      </c>
      <c r="L5" s="1249"/>
      <c r="M5" s="1249"/>
      <c r="N5" s="1249"/>
      <c r="O5" s="277"/>
      <c r="P5" s="274"/>
      <c r="Q5" s="285"/>
    </row>
    <row r="6" spans="1:29" s="2" customFormat="1" ht="24.75" customHeight="1">
      <c r="A6" s="284"/>
      <c r="B6" s="272"/>
      <c r="C6" s="1243" t="s">
        <v>270</v>
      </c>
      <c r="D6" s="1243"/>
      <c r="E6" s="1243"/>
      <c r="F6" s="1246" t="s">
        <v>280</v>
      </c>
      <c r="G6" s="1246"/>
      <c r="H6" s="1246"/>
      <c r="I6" s="1246"/>
      <c r="J6" s="1243" t="s">
        <v>281</v>
      </c>
      <c r="K6" s="1243"/>
      <c r="L6" s="1243"/>
      <c r="M6" s="1243"/>
      <c r="N6" s="1243" t="s">
        <v>49</v>
      </c>
      <c r="O6" s="1243"/>
      <c r="P6" s="1243"/>
      <c r="Q6" s="285"/>
    </row>
    <row r="7" spans="1:29" s="2" customFormat="1" ht="24.75" customHeight="1">
      <c r="A7" s="284"/>
      <c r="B7" s="272"/>
      <c r="C7" s="1243" t="s">
        <v>282</v>
      </c>
      <c r="D7" s="1243"/>
      <c r="E7" s="1243"/>
      <c r="F7" s="1242">
        <v>218.7</v>
      </c>
      <c r="G7" s="1242"/>
      <c r="H7" s="1242"/>
      <c r="I7" s="1242"/>
      <c r="J7" s="1242">
        <v>6</v>
      </c>
      <c r="K7" s="1242"/>
      <c r="L7" s="1242"/>
      <c r="M7" s="1242"/>
      <c r="N7" s="1243" t="s">
        <v>283</v>
      </c>
      <c r="O7" s="1243"/>
      <c r="P7" s="1243"/>
      <c r="Q7" s="285"/>
    </row>
    <row r="8" spans="1:29" s="2" customFormat="1" ht="24.75" customHeight="1">
      <c r="A8" s="284"/>
      <c r="B8" s="272"/>
      <c r="C8" s="1243" t="s">
        <v>236</v>
      </c>
      <c r="D8" s="1243"/>
      <c r="E8" s="1243"/>
      <c r="F8" s="1242">
        <v>146.4</v>
      </c>
      <c r="G8" s="1242"/>
      <c r="H8" s="1242"/>
      <c r="I8" s="1242"/>
      <c r="J8" s="1242">
        <v>10</v>
      </c>
      <c r="K8" s="1242"/>
      <c r="L8" s="1242"/>
      <c r="M8" s="1242"/>
      <c r="N8" s="1243"/>
      <c r="O8" s="1243"/>
      <c r="P8" s="1243"/>
      <c r="Q8" s="285"/>
      <c r="AC8" s="2" t="s">
        <v>138</v>
      </c>
    </row>
    <row r="9" spans="1:29" s="2" customFormat="1" ht="24.75" customHeight="1">
      <c r="A9" s="284"/>
      <c r="B9" s="272"/>
      <c r="C9" s="1243" t="s">
        <v>285</v>
      </c>
      <c r="D9" s="1243"/>
      <c r="E9" s="1243"/>
      <c r="F9" s="1242">
        <v>240.2</v>
      </c>
      <c r="G9" s="1242"/>
      <c r="H9" s="1242"/>
      <c r="I9" s="1242"/>
      <c r="J9" s="1242">
        <v>6</v>
      </c>
      <c r="K9" s="1242"/>
      <c r="L9" s="1242"/>
      <c r="M9" s="1242"/>
      <c r="N9" s="1243"/>
      <c r="O9" s="1243"/>
      <c r="P9" s="1243"/>
      <c r="Q9" s="285"/>
      <c r="AC9" s="14">
        <v>7</v>
      </c>
    </row>
    <row r="10" spans="1:29" s="2" customFormat="1" ht="24.75" customHeight="1">
      <c r="A10" s="284"/>
      <c r="B10" s="272"/>
      <c r="C10" s="1243" t="s">
        <v>286</v>
      </c>
      <c r="D10" s="1243"/>
      <c r="E10" s="1243"/>
      <c r="F10" s="1242">
        <v>59.954999999999998</v>
      </c>
      <c r="G10" s="1242"/>
      <c r="H10" s="1242"/>
      <c r="I10" s="1242"/>
      <c r="J10" s="1242">
        <v>20</v>
      </c>
      <c r="K10" s="1242"/>
      <c r="L10" s="1242"/>
      <c r="M10" s="1242"/>
      <c r="N10" s="1243"/>
      <c r="O10" s="1243"/>
      <c r="P10" s="1243"/>
      <c r="Q10" s="286"/>
      <c r="V10" s="13"/>
      <c r="AC10" s="14">
        <v>28</v>
      </c>
    </row>
    <row r="11" spans="1:29" s="2" customFormat="1" ht="24.75" customHeight="1">
      <c r="A11" s="284"/>
      <c r="B11" s="272"/>
      <c r="C11" s="1243" t="s">
        <v>287</v>
      </c>
      <c r="D11" s="1243"/>
      <c r="E11" s="1243"/>
      <c r="F11" s="1242">
        <v>6.89</v>
      </c>
      <c r="G11" s="1242"/>
      <c r="H11" s="1242"/>
      <c r="I11" s="1242"/>
      <c r="J11" s="1242">
        <v>0.3</v>
      </c>
      <c r="K11" s="1242"/>
      <c r="L11" s="1242"/>
      <c r="M11" s="1242"/>
      <c r="N11" s="1243"/>
      <c r="O11" s="1243"/>
      <c r="P11" s="1243"/>
      <c r="Q11" s="286"/>
      <c r="S11" s="2">
        <f>ROUNDDOWN(F8/F11, -0.4)</f>
        <v>21</v>
      </c>
      <c r="AC11" s="14">
        <v>7</v>
      </c>
    </row>
    <row r="12" spans="1:29" s="2" customFormat="1" ht="24.75" customHeight="1">
      <c r="A12" s="284" t="s">
        <v>288</v>
      </c>
      <c r="B12" s="272"/>
      <c r="C12" s="278">
        <v>20</v>
      </c>
      <c r="D12" s="1077" t="s">
        <v>289</v>
      </c>
      <c r="E12" s="1077"/>
      <c r="F12" s="275"/>
      <c r="G12" s="275"/>
      <c r="H12" s="275"/>
      <c r="I12" s="275"/>
      <c r="J12" s="279"/>
      <c r="K12" s="279"/>
      <c r="L12" s="279"/>
      <c r="M12" s="279"/>
      <c r="N12" s="1077"/>
      <c r="O12" s="1077"/>
      <c r="P12" s="1077"/>
      <c r="Q12" s="286"/>
      <c r="AC12" s="14">
        <v>14</v>
      </c>
    </row>
    <row r="13" spans="1:29" s="2" customFormat="1" ht="24.75" customHeight="1">
      <c r="A13" s="284" t="s">
        <v>290</v>
      </c>
      <c r="B13" s="272" t="s">
        <v>291</v>
      </c>
      <c r="C13" s="1233">
        <v>0.15</v>
      </c>
      <c r="D13" s="1233"/>
      <c r="E13" s="280" t="s">
        <v>292</v>
      </c>
      <c r="F13" s="1233">
        <v>0.5</v>
      </c>
      <c r="G13" s="1233"/>
      <c r="H13" s="275"/>
      <c r="I13" s="1239" t="s">
        <v>293</v>
      </c>
      <c r="J13" s="1239"/>
      <c r="K13" s="1241">
        <f>물질수지!L20</f>
        <v>1.6265217450739531</v>
      </c>
      <c r="L13" s="1241"/>
      <c r="M13" s="1077"/>
      <c r="N13" s="1077"/>
      <c r="O13" s="277"/>
      <c r="P13" s="274"/>
      <c r="Q13" s="286"/>
      <c r="AC13" s="14">
        <v>1.4</v>
      </c>
    </row>
    <row r="14" spans="1:29" s="2" customFormat="1" ht="24.75" customHeight="1">
      <c r="A14" s="284" t="s">
        <v>294</v>
      </c>
      <c r="B14" s="272" t="s">
        <v>291</v>
      </c>
      <c r="C14" s="1234">
        <v>2000</v>
      </c>
      <c r="D14" s="1234"/>
      <c r="E14" s="280" t="s">
        <v>292</v>
      </c>
      <c r="F14" s="1234">
        <v>5000</v>
      </c>
      <c r="G14" s="1234"/>
      <c r="H14" s="281" t="s">
        <v>295</v>
      </c>
      <c r="I14" s="1239" t="s">
        <v>293</v>
      </c>
      <c r="J14" s="1239"/>
      <c r="K14" s="1236">
        <v>3000</v>
      </c>
      <c r="L14" s="1236"/>
      <c r="M14" s="1077"/>
      <c r="N14" s="1077"/>
      <c r="O14" s="277"/>
      <c r="P14" s="274"/>
      <c r="Q14" s="286"/>
    </row>
    <row r="15" spans="1:29" s="2" customFormat="1" ht="24.75" customHeight="1">
      <c r="A15" s="284" t="s">
        <v>296</v>
      </c>
      <c r="B15" s="272" t="s">
        <v>291</v>
      </c>
      <c r="C15" s="1234">
        <v>1500</v>
      </c>
      <c r="D15" s="1234"/>
      <c r="E15" s="280" t="s">
        <v>292</v>
      </c>
      <c r="F15" s="1234">
        <v>3500</v>
      </c>
      <c r="G15" s="1234"/>
      <c r="H15" s="281" t="s">
        <v>295</v>
      </c>
      <c r="I15" s="1239" t="s">
        <v>293</v>
      </c>
      <c r="J15" s="1239"/>
      <c r="K15" s="1237">
        <f>K14*0.8</f>
        <v>2400</v>
      </c>
      <c r="L15" s="1237"/>
      <c r="M15" s="1077"/>
      <c r="N15" s="1077"/>
      <c r="O15" s="277"/>
      <c r="P15" s="274"/>
      <c r="Q15" s="286"/>
    </row>
    <row r="16" spans="1:29" s="2" customFormat="1" ht="24.75" customHeight="1" thickBot="1">
      <c r="A16" s="287" t="s">
        <v>297</v>
      </c>
      <c r="B16" s="288" t="s">
        <v>291</v>
      </c>
      <c r="C16" s="1235">
        <v>6</v>
      </c>
      <c r="D16" s="1235"/>
      <c r="E16" s="289" t="s">
        <v>292</v>
      </c>
      <c r="F16" s="1235">
        <v>8</v>
      </c>
      <c r="G16" s="1235"/>
      <c r="H16" s="290"/>
      <c r="I16" s="1238" t="s">
        <v>293</v>
      </c>
      <c r="J16" s="1238"/>
      <c r="K16" s="1240">
        <v>7</v>
      </c>
      <c r="L16" s="1240"/>
      <c r="M16" s="291"/>
      <c r="N16" s="291"/>
      <c r="O16" s="292"/>
      <c r="P16" s="293"/>
      <c r="Q16" s="294"/>
    </row>
    <row r="242" spans="3:7" ht="18.75" customHeight="1">
      <c r="C242" s="1">
        <f>Q221</f>
        <v>0</v>
      </c>
    </row>
    <row r="243" spans="3:7" ht="18.75" customHeight="1">
      <c r="D243" s="1" t="e">
        <f>C242*H242/(J242-L242)/N242</f>
        <v>#DIV/0!</v>
      </c>
    </row>
    <row r="256" spans="3:7" ht="18.75" customHeight="1">
      <c r="C256" s="1">
        <v>9.6999999999999993</v>
      </c>
      <c r="G256" s="1">
        <v>3</v>
      </c>
    </row>
  </sheetData>
  <mergeCells count="48">
    <mergeCell ref="C15:D15"/>
    <mergeCell ref="F15:G15"/>
    <mergeCell ref="I15:J15"/>
    <mergeCell ref="K15:L15"/>
    <mergeCell ref="C16:D16"/>
    <mergeCell ref="F16:G16"/>
    <mergeCell ref="I16:J16"/>
    <mergeCell ref="K16:L16"/>
    <mergeCell ref="C13:D13"/>
    <mergeCell ref="F13:G13"/>
    <mergeCell ref="I13:J13"/>
    <mergeCell ref="K13:L13"/>
    <mergeCell ref="C14:D14"/>
    <mergeCell ref="F14:G14"/>
    <mergeCell ref="I14:J14"/>
    <mergeCell ref="K14:L14"/>
    <mergeCell ref="C10:E10"/>
    <mergeCell ref="F10:I10"/>
    <mergeCell ref="J10:M10"/>
    <mergeCell ref="N10:P10"/>
    <mergeCell ref="C11:E11"/>
    <mergeCell ref="F11:I11"/>
    <mergeCell ref="J11:M11"/>
    <mergeCell ref="N11:P11"/>
    <mergeCell ref="C8:E8"/>
    <mergeCell ref="F8:I8"/>
    <mergeCell ref="J8:M8"/>
    <mergeCell ref="N8:P8"/>
    <mergeCell ref="C9:E9"/>
    <mergeCell ref="F9:I9"/>
    <mergeCell ref="J9:M9"/>
    <mergeCell ref="N9:P9"/>
    <mergeCell ref="K5:N5"/>
    <mergeCell ref="C6:E6"/>
    <mergeCell ref="F6:I6"/>
    <mergeCell ref="J6:M6"/>
    <mergeCell ref="N6:P6"/>
    <mergeCell ref="C7:E7"/>
    <mergeCell ref="F7:I7"/>
    <mergeCell ref="J7:M7"/>
    <mergeCell ref="N7:P7"/>
    <mergeCell ref="B3:P3"/>
    <mergeCell ref="C4:D4"/>
    <mergeCell ref="E4:F4"/>
    <mergeCell ref="H4:I4"/>
    <mergeCell ref="J4:K4"/>
    <mergeCell ref="M4:N4"/>
    <mergeCell ref="O4:P4"/>
  </mergeCells>
  <phoneticPr fontId="2" type="noConversion"/>
  <printOptions horizontalCentered="1"/>
  <pageMargins left="0.39370078740157483" right="0.39370078740157483" top="0.78740157480314965" bottom="0.59055118110236227" header="0.39370078740157483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53"/>
  <sheetViews>
    <sheetView view="pageBreakPreview" topLeftCell="A168" zoomScale="115" zoomScaleSheetLayoutView="115" workbookViewId="0">
      <selection activeCell="C143" sqref="C143:D143"/>
    </sheetView>
  </sheetViews>
  <sheetFormatPr defaultRowHeight="18.75" customHeight="1"/>
  <cols>
    <col min="1" max="1" width="12.77734375" style="736" customWidth="1"/>
    <col min="2" max="2" width="4.77734375" style="99" customWidth="1"/>
    <col min="3" max="5" width="4.109375" style="99" customWidth="1"/>
    <col min="6" max="6" width="3.77734375" style="99" customWidth="1"/>
    <col min="7" max="7" width="4.44140625" style="99" customWidth="1"/>
    <col min="8" max="16" width="4.109375" style="99" customWidth="1"/>
    <col min="17" max="17" width="7.77734375" style="875" customWidth="1"/>
    <col min="18" max="25" width="3.77734375" style="99" customWidth="1"/>
    <col min="26" max="26" width="7.33203125" style="99" customWidth="1"/>
    <col min="27" max="33" width="3.77734375" style="99" customWidth="1"/>
    <col min="34" max="36" width="4" style="99" customWidth="1"/>
    <col min="37" max="52" width="4.77734375" style="99" customWidth="1"/>
    <col min="53" max="16384" width="8.88671875" style="99"/>
  </cols>
  <sheetData>
    <row r="1" spans="1:33" ht="30" customHeight="1">
      <c r="A1" s="898" t="s">
        <v>933</v>
      </c>
      <c r="B1" s="899"/>
      <c r="C1" s="899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1"/>
      <c r="R1" s="98"/>
      <c r="S1" s="98"/>
    </row>
    <row r="2" spans="1:33" s="100" customFormat="1" ht="21" customHeight="1">
      <c r="A2" s="949" t="s">
        <v>37</v>
      </c>
      <c r="B2" s="1381" t="s">
        <v>135</v>
      </c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950" t="s">
        <v>49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1111"/>
    </row>
    <row r="3" spans="1:33" s="100" customFormat="1" ht="21" hidden="1" customHeight="1">
      <c r="A3" s="738" t="s">
        <v>832</v>
      </c>
      <c r="B3" s="1079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876"/>
      <c r="R3" s="734"/>
      <c r="S3" s="734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1111"/>
    </row>
    <row r="4" spans="1:33" s="100" customFormat="1" ht="21" hidden="1" customHeight="1">
      <c r="A4" s="739" t="s">
        <v>114</v>
      </c>
      <c r="B4" s="1079"/>
      <c r="C4" s="1256" t="s">
        <v>822</v>
      </c>
      <c r="D4" s="1256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101"/>
      <c r="Q4" s="876"/>
      <c r="R4" s="734"/>
      <c r="S4" s="734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1111"/>
    </row>
    <row r="5" spans="1:33" s="100" customFormat="1" ht="21" hidden="1" customHeight="1">
      <c r="A5" s="739" t="s">
        <v>780</v>
      </c>
      <c r="B5" s="1079"/>
      <c r="C5" s="1257" t="s">
        <v>788</v>
      </c>
      <c r="D5" s="1257"/>
      <c r="E5" s="1257"/>
      <c r="F5" s="1257"/>
      <c r="G5" s="1257"/>
      <c r="H5" s="1257"/>
      <c r="I5" s="1257"/>
      <c r="J5" s="1257"/>
      <c r="K5" s="1257"/>
      <c r="L5" s="1257"/>
      <c r="M5" s="1257"/>
      <c r="N5" s="1101"/>
      <c r="O5" s="1101"/>
      <c r="P5" s="1101"/>
      <c r="Q5" s="876"/>
      <c r="R5" s="734"/>
      <c r="S5" s="734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1111"/>
    </row>
    <row r="6" spans="1:33" s="100" customFormat="1" ht="21" hidden="1" customHeight="1">
      <c r="A6" s="739" t="s">
        <v>116</v>
      </c>
      <c r="B6" s="1079"/>
      <c r="C6" s="1257" t="s">
        <v>300</v>
      </c>
      <c r="D6" s="1257"/>
      <c r="E6" s="1257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876"/>
      <c r="R6" s="734"/>
      <c r="S6" s="73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1111"/>
    </row>
    <row r="7" spans="1:33" s="100" customFormat="1" ht="21" hidden="1" customHeight="1">
      <c r="A7" s="739"/>
      <c r="B7" s="1079"/>
      <c r="C7" s="1101"/>
      <c r="D7" s="1252">
        <f>'설계기준(설계치12)'!H4</f>
        <v>166.66666666666666</v>
      </c>
      <c r="E7" s="1252"/>
      <c r="F7" s="1253"/>
      <c r="G7" s="1091" t="s">
        <v>51</v>
      </c>
      <c r="H7" s="535">
        <v>0.5</v>
      </c>
      <c r="I7" s="1091" t="s">
        <v>30</v>
      </c>
      <c r="J7" s="1258">
        <f>D7*H7</f>
        <v>83.333333333333329</v>
      </c>
      <c r="K7" s="1259"/>
      <c r="L7" s="1101" t="s">
        <v>118</v>
      </c>
      <c r="M7" s="1101"/>
      <c r="N7" s="1101"/>
      <c r="O7" s="1101"/>
      <c r="P7" s="1101"/>
      <c r="Q7" s="876"/>
      <c r="R7" s="734"/>
      <c r="S7" s="734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1111"/>
    </row>
    <row r="8" spans="1:33" s="100" customFormat="1" ht="21" hidden="1" customHeight="1">
      <c r="A8" s="739" t="s">
        <v>119</v>
      </c>
      <c r="B8" s="1079"/>
      <c r="C8" s="1101"/>
      <c r="D8" s="1101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1101"/>
      <c r="Q8" s="876"/>
      <c r="R8" s="734"/>
      <c r="S8" s="734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1111"/>
    </row>
    <row r="9" spans="1:33" s="100" customFormat="1" ht="21" hidden="1" customHeight="1">
      <c r="A9" s="1116" t="s">
        <v>120</v>
      </c>
      <c r="B9" s="1079"/>
      <c r="C9" s="1260" t="s">
        <v>121</v>
      </c>
      <c r="D9" s="1260"/>
      <c r="E9" s="1260"/>
      <c r="F9" s="1260"/>
      <c r="G9" s="1260"/>
      <c r="H9" s="1260"/>
      <c r="I9" s="1260"/>
      <c r="J9" s="1260"/>
      <c r="K9" s="1260"/>
      <c r="L9" s="1260"/>
      <c r="M9" s="1260"/>
      <c r="N9" s="1260"/>
      <c r="O9" s="1260"/>
      <c r="P9" s="1101"/>
      <c r="Q9" s="876"/>
      <c r="R9" s="734"/>
      <c r="S9" s="73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1111"/>
    </row>
    <row r="10" spans="1:33" s="100" customFormat="1" ht="21" hidden="1" customHeight="1">
      <c r="A10" s="1116"/>
      <c r="B10" s="1079"/>
      <c r="C10" s="1154" t="s">
        <v>106</v>
      </c>
      <c r="D10" s="1089">
        <v>7.5</v>
      </c>
      <c r="E10" s="1088" t="s">
        <v>308</v>
      </c>
      <c r="F10" s="1091" t="s">
        <v>51</v>
      </c>
      <c r="G10" s="1154" t="s">
        <v>309</v>
      </c>
      <c r="H10" s="1089">
        <v>6</v>
      </c>
      <c r="I10" s="1088" t="s">
        <v>308</v>
      </c>
      <c r="J10" s="1091" t="s">
        <v>51</v>
      </c>
      <c r="K10" s="1260" t="s">
        <v>606</v>
      </c>
      <c r="L10" s="1260"/>
      <c r="M10" s="1154" t="s">
        <v>607</v>
      </c>
      <c r="N10" s="741">
        <v>3</v>
      </c>
      <c r="O10" s="1088" t="s">
        <v>308</v>
      </c>
      <c r="P10" s="1101"/>
      <c r="Q10" s="876"/>
      <c r="R10" s="734"/>
      <c r="S10" s="73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1111"/>
    </row>
    <row r="11" spans="1:33" s="100" customFormat="1" ht="21" hidden="1" customHeight="1">
      <c r="A11" s="1116" t="s">
        <v>125</v>
      </c>
      <c r="B11" s="1079"/>
      <c r="C11" s="1101"/>
      <c r="D11" s="1101"/>
      <c r="E11" s="1101"/>
      <c r="F11" s="1101"/>
      <c r="G11" s="1101"/>
      <c r="H11" s="1101"/>
      <c r="I11" s="1091">
        <v>1</v>
      </c>
      <c r="J11" s="1101" t="s">
        <v>609</v>
      </c>
      <c r="K11" s="1091">
        <v>2</v>
      </c>
      <c r="L11" s="1101" t="s">
        <v>113</v>
      </c>
      <c r="M11" s="1101"/>
      <c r="N11" s="1101"/>
      <c r="O11" s="1101"/>
      <c r="P11" s="1101"/>
      <c r="Q11" s="876"/>
      <c r="R11" s="734"/>
      <c r="S11" s="73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1111"/>
    </row>
    <row r="12" spans="1:33" s="100" customFormat="1" ht="21" hidden="1" customHeight="1">
      <c r="A12" s="1116" t="s">
        <v>126</v>
      </c>
      <c r="B12" s="1079"/>
      <c r="C12" s="1091" t="s">
        <v>127</v>
      </c>
      <c r="D12" s="1091" t="s">
        <v>30</v>
      </c>
      <c r="E12" s="1260">
        <f>D10*H10*N10</f>
        <v>135</v>
      </c>
      <c r="F12" s="1260"/>
      <c r="G12" s="1260" t="s">
        <v>128</v>
      </c>
      <c r="H12" s="1260"/>
      <c r="I12" s="1091" t="s">
        <v>51</v>
      </c>
      <c r="J12" s="1091">
        <f>I11*K11</f>
        <v>2</v>
      </c>
      <c r="K12" s="1101" t="s">
        <v>609</v>
      </c>
      <c r="L12" s="1091" t="s">
        <v>30</v>
      </c>
      <c r="M12" s="1261">
        <f>E12*J12</f>
        <v>270</v>
      </c>
      <c r="N12" s="1257"/>
      <c r="O12" s="1101"/>
      <c r="P12" s="1101"/>
      <c r="Q12" s="876"/>
      <c r="R12" s="734"/>
      <c r="S12" s="73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1111"/>
    </row>
    <row r="13" spans="1:33" s="100" customFormat="1" ht="21" hidden="1" customHeight="1">
      <c r="A13" s="739" t="s">
        <v>129</v>
      </c>
      <c r="B13" s="1079"/>
      <c r="C13" s="1101"/>
      <c r="D13" s="1101"/>
      <c r="E13" s="1101"/>
      <c r="F13" s="1101"/>
      <c r="G13" s="1101"/>
      <c r="H13" s="1101"/>
      <c r="I13" s="1101"/>
      <c r="J13" s="1101"/>
      <c r="K13" s="1101"/>
      <c r="L13" s="1101"/>
      <c r="M13" s="1101"/>
      <c r="N13" s="1101"/>
      <c r="O13" s="1101"/>
      <c r="P13" s="1101"/>
      <c r="Q13" s="876"/>
      <c r="R13" s="734"/>
      <c r="S13" s="73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1111"/>
    </row>
    <row r="14" spans="1:33" s="100" customFormat="1" ht="21" hidden="1" customHeight="1">
      <c r="A14" s="1116" t="s">
        <v>318</v>
      </c>
      <c r="B14" s="1079"/>
      <c r="C14" s="1251">
        <f>M12</f>
        <v>270</v>
      </c>
      <c r="D14" s="1251"/>
      <c r="E14" s="1091" t="s">
        <v>52</v>
      </c>
      <c r="F14" s="1252">
        <f>D7</f>
        <v>166.66666666666666</v>
      </c>
      <c r="G14" s="1252"/>
      <c r="H14" s="1253"/>
      <c r="I14" s="1091" t="s">
        <v>30</v>
      </c>
      <c r="J14" s="1254">
        <f>C14/F14</f>
        <v>1.62</v>
      </c>
      <c r="K14" s="1254"/>
      <c r="L14" s="1091"/>
      <c r="M14" s="1255"/>
      <c r="N14" s="1255"/>
      <c r="O14" s="1101"/>
      <c r="P14" s="1101"/>
      <c r="Q14" s="876"/>
      <c r="R14" s="734"/>
      <c r="S14" s="73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1111"/>
    </row>
    <row r="15" spans="1:33" s="100" customFormat="1" ht="21" hidden="1" customHeight="1">
      <c r="A15" s="738"/>
      <c r="B15" s="1079"/>
      <c r="C15" s="1101"/>
      <c r="D15" s="1101"/>
      <c r="E15" s="1101"/>
      <c r="F15" s="1101"/>
      <c r="G15" s="1101"/>
      <c r="H15" s="1101"/>
      <c r="I15" s="1101"/>
      <c r="J15" s="1101"/>
      <c r="K15" s="1101"/>
      <c r="L15" s="1101"/>
      <c r="M15" s="1101"/>
      <c r="N15" s="1101"/>
      <c r="O15" s="1101"/>
      <c r="P15" s="1101"/>
      <c r="Q15" s="876"/>
      <c r="R15" s="734"/>
      <c r="S15" s="73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1111"/>
    </row>
    <row r="16" spans="1:33" s="100" customFormat="1" ht="21" hidden="1" customHeight="1">
      <c r="A16" s="738" t="s">
        <v>781</v>
      </c>
      <c r="B16" s="1079"/>
      <c r="C16" s="1101"/>
      <c r="D16" s="1101"/>
      <c r="E16" s="1101"/>
      <c r="F16" s="1101"/>
      <c r="G16" s="1101"/>
      <c r="H16" s="1101"/>
      <c r="I16" s="1101"/>
      <c r="J16" s="1101"/>
      <c r="K16" s="1101"/>
      <c r="L16" s="1101"/>
      <c r="M16" s="1101"/>
      <c r="N16" s="1101"/>
      <c r="O16" s="1101"/>
      <c r="P16" s="1101"/>
      <c r="Q16" s="876"/>
      <c r="R16" s="734"/>
      <c r="S16" s="73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1111"/>
    </row>
    <row r="17" spans="1:33" s="100" customFormat="1" ht="21" hidden="1" customHeight="1">
      <c r="A17" s="739" t="s">
        <v>114</v>
      </c>
      <c r="B17" s="1079"/>
      <c r="C17" s="1256" t="s">
        <v>779</v>
      </c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1101"/>
      <c r="Q17" s="876"/>
      <c r="R17" s="734"/>
      <c r="S17" s="73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1111"/>
    </row>
    <row r="18" spans="1:33" s="100" customFormat="1" ht="21" hidden="1" customHeight="1">
      <c r="A18" s="739" t="s">
        <v>780</v>
      </c>
      <c r="B18" s="1079"/>
      <c r="C18" s="1257" t="s">
        <v>820</v>
      </c>
      <c r="D18" s="1257"/>
      <c r="E18" s="1257"/>
      <c r="F18" s="1257"/>
      <c r="G18" s="1257"/>
      <c r="H18" s="1257"/>
      <c r="I18" s="1257"/>
      <c r="J18" s="1257"/>
      <c r="K18" s="1257"/>
      <c r="L18" s="1257"/>
      <c r="M18" s="1257"/>
      <c r="N18" s="1101"/>
      <c r="O18" s="1101"/>
      <c r="P18" s="1101"/>
      <c r="Q18" s="876"/>
      <c r="R18" s="734"/>
      <c r="S18" s="73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1111"/>
    </row>
    <row r="19" spans="1:33" s="100" customFormat="1" ht="21" hidden="1" customHeight="1">
      <c r="A19" s="739" t="s">
        <v>116</v>
      </c>
      <c r="B19" s="1079"/>
      <c r="C19" s="1257" t="s">
        <v>300</v>
      </c>
      <c r="D19" s="1257"/>
      <c r="E19" s="1257"/>
      <c r="F19" s="1101"/>
      <c r="G19" s="1101"/>
      <c r="H19" s="1101"/>
      <c r="I19" s="1101"/>
      <c r="J19" s="1101"/>
      <c r="K19" s="1101"/>
      <c r="L19" s="1101"/>
      <c r="M19" s="1101"/>
      <c r="N19" s="1101"/>
      <c r="O19" s="1101"/>
      <c r="P19" s="1101"/>
      <c r="Q19" s="876"/>
      <c r="R19" s="734"/>
      <c r="S19" s="734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1111"/>
    </row>
    <row r="20" spans="1:33" s="100" customFormat="1" ht="21" hidden="1" customHeight="1">
      <c r="A20" s="739"/>
      <c r="B20" s="1079"/>
      <c r="C20" s="1101"/>
      <c r="D20" s="1252">
        <f>'설계기준(설계치12)'!H4</f>
        <v>166.66666666666666</v>
      </c>
      <c r="E20" s="1252"/>
      <c r="F20" s="1253"/>
      <c r="G20" s="1091" t="s">
        <v>51</v>
      </c>
      <c r="H20" s="303">
        <v>2</v>
      </c>
      <c r="I20" s="1091" t="s">
        <v>30</v>
      </c>
      <c r="J20" s="1258">
        <f>D20*H20</f>
        <v>333.33333333333331</v>
      </c>
      <c r="K20" s="1259"/>
      <c r="L20" s="1101" t="s">
        <v>118</v>
      </c>
      <c r="M20" s="1101"/>
      <c r="N20" s="1101"/>
      <c r="O20" s="1101"/>
      <c r="P20" s="1101"/>
      <c r="Q20" s="876"/>
      <c r="R20" s="734"/>
      <c r="S20" s="734"/>
      <c r="T20" s="45"/>
      <c r="U20" s="45"/>
      <c r="V20" s="45"/>
      <c r="W20" s="45"/>
      <c r="X20" s="45"/>
      <c r="Y20" s="45"/>
      <c r="Z20" s="45">
        <f>69*26</f>
        <v>1794</v>
      </c>
      <c r="AA20" s="45"/>
      <c r="AB20" s="45"/>
      <c r="AC20" s="45"/>
      <c r="AD20" s="45"/>
      <c r="AE20" s="45"/>
      <c r="AF20" s="45"/>
      <c r="AG20" s="1111"/>
    </row>
    <row r="21" spans="1:33" s="100" customFormat="1" ht="21" hidden="1" customHeight="1">
      <c r="A21" s="739" t="s">
        <v>119</v>
      </c>
      <c r="B21" s="1079"/>
      <c r="C21" s="1101"/>
      <c r="D21" s="1101"/>
      <c r="E21" s="1101"/>
      <c r="F21" s="1101"/>
      <c r="G21" s="1101"/>
      <c r="H21" s="1101"/>
      <c r="I21" s="1101"/>
      <c r="J21" s="1101"/>
      <c r="K21" s="1101"/>
      <c r="L21" s="1101"/>
      <c r="M21" s="1101"/>
      <c r="N21" s="1101"/>
      <c r="O21" s="1101"/>
      <c r="P21" s="1101"/>
      <c r="Q21" s="876"/>
      <c r="R21" s="734"/>
      <c r="S21" s="73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1111"/>
    </row>
    <row r="22" spans="1:33" s="100" customFormat="1" ht="21" hidden="1" customHeight="1">
      <c r="A22" s="1116" t="s">
        <v>120</v>
      </c>
      <c r="B22" s="1079"/>
      <c r="C22" s="1260" t="s">
        <v>121</v>
      </c>
      <c r="D22" s="1260"/>
      <c r="E22" s="1260"/>
      <c r="F22" s="1260"/>
      <c r="G22" s="1260"/>
      <c r="H22" s="1260"/>
      <c r="I22" s="1260"/>
      <c r="J22" s="1260"/>
      <c r="K22" s="1260"/>
      <c r="L22" s="1260"/>
      <c r="M22" s="1260"/>
      <c r="N22" s="1260"/>
      <c r="O22" s="1260"/>
      <c r="P22" s="1101"/>
      <c r="Q22" s="876"/>
      <c r="R22" s="734"/>
      <c r="S22" s="734"/>
      <c r="T22" s="45"/>
      <c r="U22" s="1263">
        <f>H23+G37+0.4</f>
        <v>28.4</v>
      </c>
      <c r="V22" s="1263"/>
      <c r="W22" s="1263"/>
      <c r="X22" s="45"/>
      <c r="Y22" s="45"/>
      <c r="Z22" s="45"/>
      <c r="AA22" s="45"/>
      <c r="AB22" s="45"/>
      <c r="AC22" s="45"/>
      <c r="AD22" s="45"/>
      <c r="AE22" s="45"/>
      <c r="AF22" s="45"/>
      <c r="AG22" s="1111"/>
    </row>
    <row r="23" spans="1:33" s="100" customFormat="1" ht="21" hidden="1" customHeight="1">
      <c r="A23" s="1116"/>
      <c r="B23" s="1079"/>
      <c r="C23" s="1154" t="s">
        <v>106</v>
      </c>
      <c r="D23" s="1089">
        <v>28.8</v>
      </c>
      <c r="E23" s="1088" t="s">
        <v>308</v>
      </c>
      <c r="F23" s="1091" t="s">
        <v>51</v>
      </c>
      <c r="G23" s="1154" t="s">
        <v>309</v>
      </c>
      <c r="H23" s="1089">
        <v>4</v>
      </c>
      <c r="I23" s="1088" t="s">
        <v>308</v>
      </c>
      <c r="J23" s="1091" t="s">
        <v>51</v>
      </c>
      <c r="K23" s="1260" t="s">
        <v>606</v>
      </c>
      <c r="L23" s="1260"/>
      <c r="M23" s="1154" t="s">
        <v>607</v>
      </c>
      <c r="N23" s="741">
        <v>4.5</v>
      </c>
      <c r="O23" s="1088" t="s">
        <v>308</v>
      </c>
      <c r="P23" s="1091"/>
      <c r="Q23" s="876"/>
      <c r="R23" s="734"/>
      <c r="S23" s="734"/>
      <c r="T23" s="45"/>
      <c r="U23" s="1264">
        <v>28.4</v>
      </c>
      <c r="V23" s="1264"/>
      <c r="W23" s="1264"/>
      <c r="X23" s="45"/>
      <c r="Y23" s="45"/>
      <c r="Z23" s="45"/>
      <c r="AA23" s="45"/>
      <c r="AB23" s="45"/>
      <c r="AC23" s="45"/>
      <c r="AD23" s="45"/>
      <c r="AE23" s="45"/>
      <c r="AF23" s="45"/>
      <c r="AG23" s="1111"/>
    </row>
    <row r="24" spans="1:33" s="100" customFormat="1" ht="21" hidden="1" customHeight="1">
      <c r="A24" s="1116" t="s">
        <v>125</v>
      </c>
      <c r="B24" s="1079"/>
      <c r="C24" s="1101"/>
      <c r="D24" s="1101"/>
      <c r="E24" s="1101"/>
      <c r="F24" s="1101"/>
      <c r="G24" s="1101"/>
      <c r="H24" s="1101"/>
      <c r="I24" s="1091">
        <v>2</v>
      </c>
      <c r="J24" s="1101" t="s">
        <v>113</v>
      </c>
      <c r="K24" s="1091"/>
      <c r="L24" s="1101"/>
      <c r="M24" s="1101"/>
      <c r="N24" s="1101"/>
      <c r="O24" s="1101"/>
      <c r="P24" s="1101"/>
      <c r="Q24" s="876"/>
      <c r="R24" s="734"/>
      <c r="S24" s="73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1111"/>
    </row>
    <row r="25" spans="1:33" s="100" customFormat="1" ht="21" hidden="1" customHeight="1">
      <c r="A25" s="1116" t="s">
        <v>126</v>
      </c>
      <c r="B25" s="1079"/>
      <c r="C25" s="1091" t="s">
        <v>127</v>
      </c>
      <c r="D25" s="1091" t="s">
        <v>30</v>
      </c>
      <c r="E25" s="1260">
        <f>D23*H23*N23</f>
        <v>518.4</v>
      </c>
      <c r="F25" s="1260"/>
      <c r="G25" s="1260" t="s">
        <v>128</v>
      </c>
      <c r="H25" s="1260"/>
      <c r="I25" s="1091" t="s">
        <v>51</v>
      </c>
      <c r="J25" s="1091">
        <f>I24</f>
        <v>2</v>
      </c>
      <c r="K25" s="1101" t="s">
        <v>113</v>
      </c>
      <c r="L25" s="1091" t="s">
        <v>30</v>
      </c>
      <c r="M25" s="1261">
        <f>E25*J25</f>
        <v>1036.8</v>
      </c>
      <c r="N25" s="1257"/>
      <c r="O25" s="1101"/>
      <c r="P25" s="1101"/>
      <c r="Q25" s="876"/>
      <c r="R25" s="734"/>
      <c r="S25" s="734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1111"/>
    </row>
    <row r="26" spans="1:33" s="100" customFormat="1" ht="21" hidden="1" customHeight="1">
      <c r="A26" s="739" t="s">
        <v>129</v>
      </c>
      <c r="B26" s="1079"/>
      <c r="C26" s="1101"/>
      <c r="D26" s="1101"/>
      <c r="E26" s="1101"/>
      <c r="F26" s="1101"/>
      <c r="G26" s="1101"/>
      <c r="H26" s="1101"/>
      <c r="I26" s="1101"/>
      <c r="J26" s="1101"/>
      <c r="K26" s="1101"/>
      <c r="L26" s="1101"/>
      <c r="M26" s="1101"/>
      <c r="N26" s="1101"/>
      <c r="O26" s="1101"/>
      <c r="P26" s="1101"/>
      <c r="Q26" s="876"/>
      <c r="R26" s="734"/>
      <c r="S26" s="734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1111"/>
    </row>
    <row r="27" spans="1:33" s="100" customFormat="1" ht="21" hidden="1" customHeight="1">
      <c r="A27" s="1116" t="s">
        <v>318</v>
      </c>
      <c r="B27" s="1079"/>
      <c r="C27" s="1251">
        <f>M25</f>
        <v>1036.8</v>
      </c>
      <c r="D27" s="1251"/>
      <c r="E27" s="1091" t="s">
        <v>52</v>
      </c>
      <c r="F27" s="1252">
        <f>D20</f>
        <v>166.66666666666666</v>
      </c>
      <c r="G27" s="1252"/>
      <c r="H27" s="1253"/>
      <c r="I27" s="1091" t="s">
        <v>30</v>
      </c>
      <c r="J27" s="1254">
        <f>C27/F27</f>
        <v>6.2207999999999997</v>
      </c>
      <c r="K27" s="1254"/>
      <c r="L27" s="1091"/>
      <c r="M27" s="1255"/>
      <c r="N27" s="1255"/>
      <c r="O27" s="1101"/>
      <c r="P27" s="1101"/>
      <c r="Q27" s="876"/>
      <c r="R27" s="734"/>
      <c r="S27" s="73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1111"/>
    </row>
    <row r="28" spans="1:33" s="100" customFormat="1" ht="21" hidden="1" customHeight="1">
      <c r="A28" s="732"/>
      <c r="B28" s="732"/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87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1111"/>
    </row>
    <row r="29" spans="1:33" s="100" customFormat="1" ht="21" hidden="1" customHeight="1">
      <c r="A29" s="854" t="s">
        <v>782</v>
      </c>
      <c r="B29" s="322"/>
      <c r="C29" s="1101"/>
      <c r="D29" s="1101"/>
      <c r="E29" s="1101"/>
      <c r="F29" s="1101"/>
      <c r="G29" s="1101"/>
      <c r="H29" s="1101"/>
      <c r="I29" s="1101"/>
      <c r="J29" s="1101"/>
      <c r="K29" s="1101"/>
      <c r="L29" s="1101"/>
      <c r="M29" s="1101"/>
      <c r="N29" s="1101"/>
      <c r="O29" s="1101"/>
      <c r="P29" s="1101"/>
      <c r="Q29" s="878"/>
      <c r="R29" s="1132"/>
      <c r="S29" s="1132"/>
      <c r="T29" s="1132"/>
      <c r="U29" s="1132"/>
      <c r="V29" s="1132"/>
      <c r="W29" s="1132"/>
      <c r="X29" s="1132"/>
      <c r="Y29" s="1132"/>
      <c r="Z29" s="1132"/>
      <c r="AA29" s="1132"/>
      <c r="AB29" s="1132"/>
      <c r="AC29" s="1132"/>
      <c r="AD29" s="1132"/>
      <c r="AE29" s="1132"/>
      <c r="AF29" s="1132"/>
      <c r="AG29" s="45"/>
    </row>
    <row r="30" spans="1:33" s="100" customFormat="1" ht="21" hidden="1" customHeight="1">
      <c r="A30" s="322" t="s">
        <v>114</v>
      </c>
      <c r="B30" s="1384" t="s">
        <v>509</v>
      </c>
      <c r="C30" s="1259"/>
      <c r="D30" s="1259"/>
      <c r="E30" s="1259"/>
      <c r="F30" s="1259"/>
      <c r="G30" s="1259"/>
      <c r="H30" s="1259"/>
      <c r="I30" s="1259"/>
      <c r="J30" s="1259"/>
      <c r="K30" s="1259"/>
      <c r="L30" s="1259"/>
      <c r="M30" s="1259"/>
      <c r="N30" s="1259"/>
      <c r="O30" s="1259"/>
      <c r="P30" s="1385"/>
      <c r="Q30" s="878"/>
      <c r="R30" s="1127"/>
      <c r="S30" s="1127"/>
      <c r="T30" s="1127"/>
      <c r="U30" s="1127"/>
      <c r="V30" s="1127"/>
      <c r="W30" s="1127"/>
      <c r="X30" s="1127"/>
      <c r="Y30" s="1127"/>
      <c r="Z30" s="1127"/>
      <c r="AA30" s="1127"/>
      <c r="AB30" s="1127"/>
      <c r="AC30" s="1127"/>
      <c r="AD30" s="1127"/>
      <c r="AE30" s="1127"/>
      <c r="AF30" s="1127"/>
      <c r="AG30" s="45"/>
    </row>
    <row r="31" spans="1:33" s="100" customFormat="1" ht="21" hidden="1" customHeight="1">
      <c r="A31" s="322"/>
      <c r="B31" s="1384" t="s">
        <v>510</v>
      </c>
      <c r="C31" s="1386"/>
      <c r="D31" s="1386"/>
      <c r="E31" s="1386"/>
      <c r="F31" s="1386"/>
      <c r="G31" s="1386"/>
      <c r="H31" s="1386"/>
      <c r="I31" s="1386"/>
      <c r="J31" s="1386"/>
      <c r="K31" s="1386"/>
      <c r="L31" s="1386"/>
      <c r="M31" s="1386"/>
      <c r="N31" s="1386"/>
      <c r="O31" s="1386"/>
      <c r="P31" s="1387"/>
      <c r="Q31" s="878"/>
      <c r="R31" s="1127"/>
      <c r="S31" s="1127"/>
      <c r="T31" s="1127"/>
      <c r="U31" s="1127"/>
      <c r="V31" s="1127"/>
      <c r="W31" s="1127"/>
      <c r="X31" s="1127"/>
      <c r="Y31" s="1127"/>
      <c r="Z31" s="1127"/>
      <c r="AA31" s="1127"/>
      <c r="AB31" s="1127"/>
      <c r="AC31" s="1127"/>
      <c r="AD31" s="1127"/>
      <c r="AE31" s="1127"/>
      <c r="AF31" s="1127"/>
      <c r="AG31" s="45"/>
    </row>
    <row r="32" spans="1:33" s="100" customFormat="1" ht="21" hidden="1" customHeight="1">
      <c r="A32" s="322" t="s">
        <v>115</v>
      </c>
      <c r="B32" s="1293" t="s">
        <v>821</v>
      </c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101" t="s">
        <v>25</v>
      </c>
      <c r="N32" s="1101"/>
      <c r="O32" s="1101"/>
      <c r="P32" s="1101"/>
      <c r="Q32" s="878"/>
      <c r="R32" s="1265"/>
      <c r="S32" s="1265"/>
      <c r="T32" s="1265"/>
      <c r="U32" s="1265"/>
      <c r="V32" s="1265"/>
      <c r="W32" s="1265"/>
      <c r="X32" s="1265"/>
      <c r="Y32" s="1132"/>
      <c r="Z32" s="1132"/>
      <c r="AA32" s="1132"/>
      <c r="AB32" s="1132"/>
      <c r="AC32" s="1132"/>
      <c r="AD32" s="1132"/>
      <c r="AE32" s="1132"/>
      <c r="AF32" s="1132"/>
      <c r="AG32" s="45"/>
    </row>
    <row r="33" spans="1:33" s="100" customFormat="1" ht="21" hidden="1" customHeight="1">
      <c r="A33" s="322" t="s">
        <v>116</v>
      </c>
      <c r="B33" s="1293" t="s">
        <v>117</v>
      </c>
      <c r="C33" s="1257"/>
      <c r="D33" s="1257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878"/>
      <c r="R33" s="1265"/>
      <c r="S33" s="1265"/>
      <c r="T33" s="1265"/>
      <c r="U33" s="1132"/>
      <c r="V33" s="1132"/>
      <c r="W33" s="1132"/>
      <c r="X33" s="1132"/>
      <c r="Y33" s="1132"/>
      <c r="Z33" s="1132"/>
      <c r="AA33" s="1132"/>
      <c r="AB33" s="1132"/>
      <c r="AC33" s="1269" t="s">
        <v>138</v>
      </c>
      <c r="AD33" s="1269"/>
      <c r="AE33" s="1132"/>
      <c r="AF33" s="1132"/>
      <c r="AG33" s="45"/>
    </row>
    <row r="34" spans="1:33" s="100" customFormat="1" ht="21" hidden="1" customHeight="1">
      <c r="A34" s="896"/>
      <c r="B34" s="896"/>
      <c r="C34" s="1374">
        <f>'설계기준(설계치12)'!C4</f>
        <v>4000</v>
      </c>
      <c r="D34" s="1374"/>
      <c r="E34" s="1375"/>
      <c r="F34" s="1121" t="s">
        <v>41</v>
      </c>
      <c r="G34" s="897">
        <v>12</v>
      </c>
      <c r="H34" s="1121" t="s">
        <v>30</v>
      </c>
      <c r="I34" s="1383">
        <f>C34*G34/24</f>
        <v>2000</v>
      </c>
      <c r="J34" s="1383"/>
      <c r="K34" s="1123" t="s">
        <v>118</v>
      </c>
      <c r="L34" s="1123"/>
      <c r="M34" s="1123"/>
      <c r="N34" s="1123"/>
      <c r="O34" s="1123"/>
      <c r="P34" s="1123"/>
      <c r="Q34" s="879"/>
      <c r="R34" s="1132"/>
      <c r="S34" s="304"/>
      <c r="T34" s="304"/>
      <c r="U34" s="304"/>
      <c r="V34" s="1099"/>
      <c r="W34" s="305"/>
      <c r="X34" s="1099"/>
      <c r="Y34" s="1308"/>
      <c r="Z34" s="1308"/>
      <c r="AA34" s="1132"/>
      <c r="AB34" s="1132"/>
      <c r="AC34" s="307">
        <v>7</v>
      </c>
      <c r="AD34" s="1132"/>
      <c r="AE34" s="1132"/>
      <c r="AF34" s="1132"/>
      <c r="AG34" s="45"/>
    </row>
    <row r="35" spans="1:33" s="100" customFormat="1" ht="21" hidden="1" customHeight="1">
      <c r="A35" s="322" t="s">
        <v>119</v>
      </c>
      <c r="B35" s="322"/>
      <c r="C35" s="1101"/>
      <c r="D35" s="1101"/>
      <c r="E35" s="1101"/>
      <c r="F35" s="1101"/>
      <c r="G35" s="1101"/>
      <c r="H35" s="1101"/>
      <c r="I35" s="1101"/>
      <c r="J35" s="1101"/>
      <c r="K35" s="1101"/>
      <c r="L35" s="1101"/>
      <c r="M35" s="1101"/>
      <c r="N35" s="1101"/>
      <c r="O35" s="1101"/>
      <c r="P35" s="1101"/>
      <c r="Q35" s="878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32"/>
      <c r="AC35" s="307">
        <v>28</v>
      </c>
      <c r="AD35" s="1132"/>
      <c r="AE35" s="1132"/>
      <c r="AF35" s="1132"/>
      <c r="AG35" s="45"/>
    </row>
    <row r="36" spans="1:33" s="100" customFormat="1" ht="21" hidden="1" customHeight="1">
      <c r="A36" s="1108" t="s">
        <v>120</v>
      </c>
      <c r="B36" s="322"/>
      <c r="C36" s="1260" t="s">
        <v>121</v>
      </c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1101"/>
      <c r="Q36" s="878"/>
      <c r="R36" s="1132"/>
      <c r="S36" s="1132"/>
      <c r="T36" s="1132"/>
      <c r="U36" s="1132"/>
      <c r="V36" s="1132"/>
      <c r="W36" s="1132"/>
      <c r="X36" s="1132"/>
      <c r="Y36" s="1132"/>
      <c r="Z36" s="1132"/>
      <c r="AA36" s="1132"/>
      <c r="AB36" s="1132"/>
      <c r="AC36" s="307"/>
      <c r="AD36" s="1132"/>
      <c r="AE36" s="1132"/>
      <c r="AF36" s="1132"/>
      <c r="AG36" s="45"/>
    </row>
    <row r="37" spans="1:33" s="100" customFormat="1" ht="21" hidden="1" customHeight="1">
      <c r="A37" s="1108" t="s">
        <v>122</v>
      </c>
      <c r="B37" s="1149" t="s">
        <v>106</v>
      </c>
      <c r="C37" s="309">
        <f>D23</f>
        <v>28.8</v>
      </c>
      <c r="D37" s="1091" t="s">
        <v>36</v>
      </c>
      <c r="E37" s="1091" t="s">
        <v>51</v>
      </c>
      <c r="F37" s="1091" t="s">
        <v>108</v>
      </c>
      <c r="G37" s="309">
        <v>24</v>
      </c>
      <c r="H37" s="1091" t="s">
        <v>36</v>
      </c>
      <c r="I37" s="1091" t="s">
        <v>51</v>
      </c>
      <c r="J37" s="1260" t="s">
        <v>123</v>
      </c>
      <c r="K37" s="1260"/>
      <c r="L37" s="1091" t="s">
        <v>124</v>
      </c>
      <c r="M37" s="309">
        <v>4.5</v>
      </c>
      <c r="N37" s="1091" t="s">
        <v>36</v>
      </c>
      <c r="O37" s="1091"/>
      <c r="P37" s="1091"/>
      <c r="Q37" s="878"/>
      <c r="R37" s="1147"/>
      <c r="S37" s="1129"/>
      <c r="T37" s="1127"/>
      <c r="U37" s="1099"/>
      <c r="V37" s="1147"/>
      <c r="W37" s="1129"/>
      <c r="X37" s="1127"/>
      <c r="Y37" s="1099"/>
      <c r="Z37" s="1269"/>
      <c r="AA37" s="1269"/>
      <c r="AB37" s="1147"/>
      <c r="AC37" s="307">
        <v>14</v>
      </c>
      <c r="AD37" s="1127"/>
      <c r="AE37" s="1099"/>
      <c r="AF37" s="1132"/>
      <c r="AG37" s="45"/>
    </row>
    <row r="38" spans="1:33" s="100" customFormat="1" ht="21" hidden="1" customHeight="1">
      <c r="A38" s="1108" t="s">
        <v>125</v>
      </c>
      <c r="B38" s="322"/>
      <c r="C38" s="1101"/>
      <c r="D38" s="1101"/>
      <c r="E38" s="1101"/>
      <c r="F38" s="1101"/>
      <c r="G38" s="1101"/>
      <c r="H38" s="1091">
        <v>2</v>
      </c>
      <c r="I38" s="1091" t="s">
        <v>113</v>
      </c>
      <c r="J38" s="1101"/>
      <c r="K38" s="1101"/>
      <c r="L38" s="1101"/>
      <c r="M38" s="1101"/>
      <c r="N38" s="1101"/>
      <c r="O38" s="1101"/>
      <c r="P38" s="1101"/>
      <c r="Q38" s="878"/>
      <c r="R38" s="1132"/>
      <c r="S38" s="1132"/>
      <c r="T38" s="1132"/>
      <c r="U38" s="1132"/>
      <c r="V38" s="1132"/>
      <c r="W38" s="1132"/>
      <c r="X38" s="1099"/>
      <c r="Y38" s="1132"/>
      <c r="Z38" s="1132"/>
      <c r="AA38" s="1132"/>
      <c r="AB38" s="1132"/>
      <c r="AC38" s="312">
        <v>1.4</v>
      </c>
      <c r="AD38" s="1132"/>
      <c r="AE38" s="1132"/>
      <c r="AF38" s="1132"/>
      <c r="AG38" s="45"/>
    </row>
    <row r="39" spans="1:33" s="100" customFormat="1" ht="21" hidden="1" customHeight="1">
      <c r="A39" s="1108" t="s">
        <v>126</v>
      </c>
      <c r="B39" s="1149" t="s">
        <v>127</v>
      </c>
      <c r="C39" s="1091" t="s">
        <v>30</v>
      </c>
      <c r="D39" s="1272">
        <f>ROUND(C37*G37*M37,2)</f>
        <v>3110.4</v>
      </c>
      <c r="E39" s="1272"/>
      <c r="F39" s="1260" t="s">
        <v>128</v>
      </c>
      <c r="G39" s="1260"/>
      <c r="H39" s="1091" t="s">
        <v>41</v>
      </c>
      <c r="I39" s="1091">
        <f>H38</f>
        <v>2</v>
      </c>
      <c r="J39" s="1101" t="str">
        <f>I38</f>
        <v>계열</v>
      </c>
      <c r="K39" s="1091" t="s">
        <v>30</v>
      </c>
      <c r="L39" s="1291">
        <f>D39*I39</f>
        <v>6220.8</v>
      </c>
      <c r="M39" s="1291"/>
      <c r="N39" s="1101"/>
      <c r="O39" s="1101"/>
      <c r="P39" s="1101"/>
      <c r="Q39" s="878"/>
      <c r="R39" s="1099"/>
      <c r="S39" s="1099"/>
      <c r="T39" s="1269"/>
      <c r="U39" s="1269"/>
      <c r="V39" s="1269"/>
      <c r="W39" s="1269"/>
      <c r="X39" s="1099"/>
      <c r="Y39" s="1099"/>
      <c r="Z39" s="1132"/>
      <c r="AA39" s="1099"/>
      <c r="AB39" s="1265"/>
      <c r="AC39" s="1265"/>
      <c r="AD39" s="1132"/>
      <c r="AE39" s="1132"/>
      <c r="AF39" s="1132"/>
      <c r="AG39" s="45"/>
    </row>
    <row r="40" spans="1:33" s="100" customFormat="1" ht="21" hidden="1" customHeight="1">
      <c r="A40" s="322" t="s">
        <v>129</v>
      </c>
      <c r="B40" s="322"/>
      <c r="C40" s="1101"/>
      <c r="D40" s="1101"/>
      <c r="E40" s="1101"/>
      <c r="F40" s="1101"/>
      <c r="G40" s="1101"/>
      <c r="H40" s="1101"/>
      <c r="I40" s="1101"/>
      <c r="J40" s="1101"/>
      <c r="K40" s="1101"/>
      <c r="L40" s="1101"/>
      <c r="M40" s="1101"/>
      <c r="N40" s="1101"/>
      <c r="O40" s="1101"/>
      <c r="P40" s="1101"/>
      <c r="Q40" s="878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32"/>
      <c r="AC40" s="1132"/>
      <c r="AD40" s="1132"/>
      <c r="AE40" s="1132"/>
      <c r="AF40" s="1132"/>
      <c r="AG40" s="45"/>
    </row>
    <row r="41" spans="1:33" s="100" customFormat="1" ht="21" hidden="1" customHeight="1">
      <c r="A41" s="1108" t="s">
        <v>130</v>
      </c>
      <c r="B41" s="1388">
        <f>L39</f>
        <v>6220.8</v>
      </c>
      <c r="C41" s="1291"/>
      <c r="D41" s="1091" t="s">
        <v>52</v>
      </c>
      <c r="E41" s="1327">
        <f>C34</f>
        <v>4000</v>
      </c>
      <c r="F41" s="1327"/>
      <c r="G41" s="1328"/>
      <c r="H41" s="1091" t="s">
        <v>51</v>
      </c>
      <c r="I41" s="1304">
        <v>24</v>
      </c>
      <c r="J41" s="1304"/>
      <c r="K41" s="1091" t="s">
        <v>30</v>
      </c>
      <c r="L41" s="1332">
        <f>B41/E41*I41</f>
        <v>37.324800000000003</v>
      </c>
      <c r="M41" s="1332"/>
      <c r="N41" s="1101"/>
      <c r="O41" s="1101"/>
      <c r="P41" s="1101"/>
      <c r="Q41" s="878"/>
      <c r="R41" s="1269"/>
      <c r="S41" s="1269"/>
      <c r="T41" s="1099"/>
      <c r="U41" s="1298"/>
      <c r="V41" s="1298"/>
      <c r="W41" s="1298"/>
      <c r="X41" s="1099"/>
      <c r="Y41" s="1299"/>
      <c r="Z41" s="1299"/>
      <c r="AA41" s="1099"/>
      <c r="AB41" s="1307"/>
      <c r="AC41" s="1307"/>
      <c r="AD41" s="1132"/>
      <c r="AE41" s="1132"/>
      <c r="AF41" s="1132"/>
      <c r="AG41" s="45"/>
    </row>
    <row r="42" spans="1:33" s="100" customFormat="1" ht="21" hidden="1" customHeight="1">
      <c r="A42" s="1108"/>
      <c r="B42" s="1125"/>
      <c r="C42" s="1080"/>
      <c r="D42" s="1091"/>
      <c r="E42" s="1084"/>
      <c r="F42" s="1084"/>
      <c r="G42" s="1104"/>
      <c r="H42" s="1091"/>
      <c r="I42" s="1081"/>
      <c r="J42" s="1081"/>
      <c r="K42" s="1091"/>
      <c r="L42" s="1083"/>
      <c r="M42" s="1083"/>
      <c r="N42" s="1101"/>
      <c r="O42" s="1101"/>
      <c r="P42" s="1101"/>
      <c r="Q42" s="878"/>
      <c r="R42" s="1099"/>
      <c r="S42" s="1099"/>
      <c r="T42" s="1099"/>
      <c r="U42" s="1128"/>
      <c r="V42" s="1128"/>
      <c r="W42" s="1128"/>
      <c r="X42" s="1099"/>
      <c r="Y42" s="1145"/>
      <c r="Z42" s="1145"/>
      <c r="AA42" s="1099"/>
      <c r="AB42" s="1131"/>
      <c r="AC42" s="1131"/>
      <c r="AD42" s="1132"/>
      <c r="AE42" s="1132"/>
      <c r="AF42" s="1132"/>
      <c r="AG42" s="45"/>
    </row>
    <row r="43" spans="1:33" s="100" customFormat="1" ht="21" hidden="1" customHeight="1">
      <c r="A43" s="854" t="s">
        <v>834</v>
      </c>
      <c r="B43" s="322"/>
      <c r="C43" s="1101"/>
      <c r="D43" s="1101"/>
      <c r="E43" s="1101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878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45"/>
    </row>
    <row r="44" spans="1:33" s="100" customFormat="1" ht="21" hidden="1" customHeight="1">
      <c r="A44" s="322" t="s">
        <v>114</v>
      </c>
      <c r="B44" s="1096" t="s">
        <v>511</v>
      </c>
      <c r="C44" s="1088"/>
      <c r="D44" s="1088"/>
      <c r="E44" s="1088"/>
      <c r="F44" s="1088"/>
      <c r="G44" s="1088"/>
      <c r="H44" s="1088"/>
      <c r="I44" s="1088"/>
      <c r="J44" s="1088"/>
      <c r="K44" s="1088"/>
      <c r="L44" s="1088"/>
      <c r="M44" s="1088"/>
      <c r="N44" s="1088"/>
      <c r="O44" s="1088"/>
      <c r="P44" s="1088"/>
      <c r="Q44" s="878"/>
      <c r="R44" s="1127"/>
      <c r="S44" s="1127"/>
      <c r="T44" s="1127"/>
      <c r="U44" s="1127"/>
      <c r="V44" s="1127"/>
      <c r="W44" s="1127"/>
      <c r="X44" s="1127"/>
      <c r="Y44" s="1127"/>
      <c r="Z44" s="1127"/>
      <c r="AA44" s="1127"/>
      <c r="AB44" s="1127"/>
      <c r="AC44" s="1127"/>
      <c r="AD44" s="1127"/>
      <c r="AE44" s="1127"/>
      <c r="AF44" s="1127"/>
      <c r="AG44" s="45"/>
    </row>
    <row r="45" spans="1:33" s="100" customFormat="1" ht="21" hidden="1" customHeight="1">
      <c r="A45" s="322"/>
      <c r="B45" s="1096" t="s">
        <v>512</v>
      </c>
      <c r="C45" s="1088"/>
      <c r="D45" s="1088"/>
      <c r="E45" s="1088"/>
      <c r="F45" s="1088"/>
      <c r="G45" s="1088"/>
      <c r="H45" s="1088"/>
      <c r="I45" s="1088"/>
      <c r="J45" s="1088"/>
      <c r="K45" s="1088"/>
      <c r="L45" s="1088"/>
      <c r="M45" s="1088"/>
      <c r="N45" s="1088"/>
      <c r="O45" s="1088"/>
      <c r="P45" s="1088"/>
      <c r="Q45" s="878"/>
      <c r="R45" s="1127"/>
      <c r="S45" s="1127"/>
      <c r="T45" s="1127"/>
      <c r="U45" s="1127"/>
      <c r="V45" s="1127"/>
      <c r="W45" s="1127"/>
      <c r="X45" s="1127"/>
      <c r="Y45" s="1127"/>
      <c r="Z45" s="1127"/>
      <c r="AA45" s="1127"/>
      <c r="AB45" s="1127"/>
      <c r="AC45" s="1127"/>
      <c r="AD45" s="1127"/>
      <c r="AE45" s="1127"/>
      <c r="AF45" s="1127"/>
      <c r="AG45" s="45"/>
    </row>
    <row r="46" spans="1:33" s="100" customFormat="1" ht="21" hidden="1" customHeight="1">
      <c r="A46" s="322" t="s">
        <v>115</v>
      </c>
      <c r="B46" s="322" t="s">
        <v>828</v>
      </c>
      <c r="C46" s="1101"/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878"/>
      <c r="R46" s="1265"/>
      <c r="S46" s="1265"/>
      <c r="T46" s="1265"/>
      <c r="U46" s="1265"/>
      <c r="V46" s="1265"/>
      <c r="W46" s="1265"/>
      <c r="X46" s="1265"/>
      <c r="Y46" s="1132"/>
      <c r="Z46" s="1132"/>
      <c r="AA46" s="1132"/>
      <c r="AB46" s="1132"/>
      <c r="AC46" s="1132"/>
      <c r="AD46" s="1132"/>
      <c r="AE46" s="1132"/>
      <c r="AF46" s="1132"/>
      <c r="AG46" s="45"/>
    </row>
    <row r="47" spans="1:33" s="100" customFormat="1" ht="21" hidden="1" customHeight="1">
      <c r="A47" s="322" t="s">
        <v>116</v>
      </c>
      <c r="B47" s="1293" t="s">
        <v>117</v>
      </c>
      <c r="C47" s="1257"/>
      <c r="D47" s="1257"/>
      <c r="E47" s="1101"/>
      <c r="F47" s="1101"/>
      <c r="G47" s="1101"/>
      <c r="H47" s="1101"/>
      <c r="I47" s="1101"/>
      <c r="J47" s="1101"/>
      <c r="K47" s="1101"/>
      <c r="L47" s="1101"/>
      <c r="M47" s="1101"/>
      <c r="N47" s="1101"/>
      <c r="O47" s="1101"/>
      <c r="P47" s="1101"/>
      <c r="Q47" s="878"/>
      <c r="R47" s="1265"/>
      <c r="S47" s="1265"/>
      <c r="T47" s="1265"/>
      <c r="U47" s="1132"/>
      <c r="V47" s="1132"/>
      <c r="W47" s="1132"/>
      <c r="X47" s="1132"/>
      <c r="Y47" s="1132"/>
      <c r="Z47" s="1132"/>
      <c r="AA47" s="1132"/>
      <c r="AB47" s="1132"/>
      <c r="AC47" s="1132"/>
      <c r="AD47" s="1132"/>
      <c r="AE47" s="1132"/>
      <c r="AF47" s="1132"/>
      <c r="AG47" s="45"/>
    </row>
    <row r="48" spans="1:33" s="100" customFormat="1" ht="21" hidden="1" customHeight="1">
      <c r="A48" s="739"/>
      <c r="B48" s="1101"/>
      <c r="C48" s="1376">
        <f>'설계기준(설계치12)'!C4</f>
        <v>4000</v>
      </c>
      <c r="D48" s="1376"/>
      <c r="E48" s="1377"/>
      <c r="F48" s="1091" t="s">
        <v>51</v>
      </c>
      <c r="G48" s="682">
        <v>3</v>
      </c>
      <c r="H48" s="1091" t="s">
        <v>30</v>
      </c>
      <c r="I48" s="1291">
        <f>C48*G48/100</f>
        <v>120</v>
      </c>
      <c r="J48" s="1291"/>
      <c r="K48" s="1101" t="s">
        <v>118</v>
      </c>
      <c r="L48" s="1101"/>
      <c r="M48" s="1101"/>
      <c r="N48" s="1101"/>
      <c r="O48" s="1101"/>
      <c r="P48" s="1101"/>
      <c r="Q48" s="878"/>
      <c r="R48" s="1132"/>
      <c r="S48" s="1315"/>
      <c r="T48" s="1315"/>
      <c r="U48" s="1315"/>
      <c r="V48" s="1099"/>
      <c r="W48" s="305"/>
      <c r="X48" s="1099"/>
      <c r="Y48" s="1308"/>
      <c r="Z48" s="1308"/>
      <c r="AA48" s="1132"/>
      <c r="AB48" s="1132"/>
      <c r="AC48" s="1132"/>
      <c r="AD48" s="1132"/>
      <c r="AE48" s="1132"/>
      <c r="AF48" s="1132"/>
      <c r="AG48" s="45"/>
    </row>
    <row r="49" spans="1:35" s="100" customFormat="1" ht="21" hidden="1" customHeight="1">
      <c r="A49" s="739" t="s">
        <v>119</v>
      </c>
      <c r="B49" s="1101"/>
      <c r="C49" s="1101"/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878"/>
      <c r="R49" s="1132"/>
      <c r="S49" s="1132"/>
      <c r="T49" s="1132"/>
      <c r="U49" s="1132"/>
      <c r="V49" s="1132"/>
      <c r="W49" s="1132"/>
      <c r="X49" s="1132"/>
      <c r="Y49" s="1132"/>
      <c r="Z49" s="1132"/>
      <c r="AA49" s="1132"/>
      <c r="AB49" s="1132"/>
      <c r="AC49" s="1132"/>
      <c r="AD49" s="1132"/>
      <c r="AE49" s="1132"/>
      <c r="AF49" s="1132"/>
      <c r="AG49" s="45"/>
    </row>
    <row r="50" spans="1:35" s="100" customFormat="1" ht="21" hidden="1" customHeight="1">
      <c r="A50" s="1116" t="s">
        <v>120</v>
      </c>
      <c r="B50" s="322"/>
      <c r="C50" s="1260" t="s">
        <v>121</v>
      </c>
      <c r="D50" s="1260"/>
      <c r="E50" s="1101"/>
      <c r="F50" s="1101"/>
      <c r="G50" s="1101"/>
      <c r="H50" s="1101"/>
      <c r="I50" s="1101"/>
      <c r="J50" s="1101"/>
      <c r="K50" s="1101"/>
      <c r="L50" s="1101"/>
      <c r="M50" s="1101"/>
      <c r="N50" s="1101"/>
      <c r="O50" s="1101"/>
      <c r="P50" s="1101"/>
      <c r="Q50" s="878"/>
      <c r="R50" s="1269"/>
      <c r="S50" s="1269"/>
      <c r="T50" s="1269"/>
      <c r="U50" s="1269"/>
      <c r="V50" s="1269"/>
      <c r="W50" s="1269"/>
      <c r="X50" s="1269"/>
      <c r="Y50" s="1269"/>
      <c r="Z50" s="1269"/>
      <c r="AA50" s="1269"/>
      <c r="AB50" s="1269"/>
      <c r="AC50" s="1269"/>
      <c r="AD50" s="1269"/>
      <c r="AE50" s="1269"/>
      <c r="AF50" s="1269"/>
      <c r="AG50" s="45"/>
    </row>
    <row r="51" spans="1:35" s="100" customFormat="1" ht="21" hidden="1" customHeight="1">
      <c r="A51" s="1116" t="s">
        <v>122</v>
      </c>
      <c r="B51" s="1091" t="s">
        <v>106</v>
      </c>
      <c r="C51" s="309">
        <v>4.2</v>
      </c>
      <c r="D51" s="1091" t="s">
        <v>36</v>
      </c>
      <c r="E51" s="1091" t="s">
        <v>51</v>
      </c>
      <c r="F51" s="1091" t="s">
        <v>108</v>
      </c>
      <c r="G51" s="309">
        <v>5</v>
      </c>
      <c r="H51" s="1091" t="s">
        <v>36</v>
      </c>
      <c r="I51" s="1091" t="s">
        <v>51</v>
      </c>
      <c r="J51" s="1260" t="s">
        <v>123</v>
      </c>
      <c r="K51" s="1260"/>
      <c r="L51" s="1091" t="s">
        <v>124</v>
      </c>
      <c r="M51" s="309">
        <v>4.5</v>
      </c>
      <c r="N51" s="1091" t="s">
        <v>36</v>
      </c>
      <c r="O51" s="1091"/>
      <c r="P51" s="1101"/>
      <c r="Q51" s="878"/>
      <c r="R51" s="1147"/>
      <c r="S51" s="1129"/>
      <c r="T51" s="1127"/>
      <c r="U51" s="1099"/>
      <c r="V51" s="1147"/>
      <c r="W51" s="1129"/>
      <c r="X51" s="1127"/>
      <c r="Y51" s="1099"/>
      <c r="Z51" s="1269"/>
      <c r="AA51" s="1269"/>
      <c r="AB51" s="1147"/>
      <c r="AC51" s="1099"/>
      <c r="AD51" s="1127"/>
      <c r="AE51" s="1099"/>
      <c r="AF51" s="1132"/>
      <c r="AG51" s="45"/>
    </row>
    <row r="52" spans="1:35" s="100" customFormat="1" ht="21" hidden="1" customHeight="1">
      <c r="A52" s="1116" t="s">
        <v>131</v>
      </c>
      <c r="B52" s="1101"/>
      <c r="C52" s="1101"/>
      <c r="D52" s="1101"/>
      <c r="E52" s="1101"/>
      <c r="F52" s="1091"/>
      <c r="G52" s="1091"/>
      <c r="H52" s="1091">
        <v>4</v>
      </c>
      <c r="I52" s="1091" t="s">
        <v>113</v>
      </c>
      <c r="J52" s="1101"/>
      <c r="K52" s="1101"/>
      <c r="L52" s="1101"/>
      <c r="M52" s="1101"/>
      <c r="N52" s="1101"/>
      <c r="O52" s="1101"/>
      <c r="P52" s="1101"/>
      <c r="Q52" s="878"/>
      <c r="R52" s="1132"/>
      <c r="S52" s="1132"/>
      <c r="T52" s="1132"/>
      <c r="U52" s="1132"/>
      <c r="V52" s="1132"/>
      <c r="W52" s="1132"/>
      <c r="X52" s="1099"/>
      <c r="Y52" s="1132"/>
      <c r="Z52" s="1132"/>
      <c r="AA52" s="1132"/>
      <c r="AB52" s="1132"/>
      <c r="AC52" s="1132"/>
      <c r="AD52" s="1132"/>
      <c r="AE52" s="1132"/>
      <c r="AF52" s="1132"/>
      <c r="AG52" s="45"/>
    </row>
    <row r="53" spans="1:35" s="100" customFormat="1" ht="21" hidden="1" customHeight="1">
      <c r="A53" s="1116" t="s">
        <v>126</v>
      </c>
      <c r="B53" s="1091" t="s">
        <v>127</v>
      </c>
      <c r="C53" s="1091" t="s">
        <v>30</v>
      </c>
      <c r="D53" s="1272">
        <f>ROUND(C51*G51*M51,2)</f>
        <v>94.5</v>
      </c>
      <c r="E53" s="1272"/>
      <c r="F53" s="1260" t="s">
        <v>128</v>
      </c>
      <c r="G53" s="1260"/>
      <c r="H53" s="1091" t="s">
        <v>51</v>
      </c>
      <c r="I53" s="1091">
        <f>H52</f>
        <v>4</v>
      </c>
      <c r="J53" s="1091" t="str">
        <f>I52</f>
        <v>계열</v>
      </c>
      <c r="K53" s="1091" t="s">
        <v>30</v>
      </c>
      <c r="L53" s="1291">
        <f>D53*I53</f>
        <v>378</v>
      </c>
      <c r="M53" s="1291"/>
      <c r="N53" s="1101"/>
      <c r="O53" s="1101"/>
      <c r="P53" s="1101"/>
      <c r="Q53" s="878"/>
      <c r="R53" s="1099"/>
      <c r="S53" s="1099"/>
      <c r="T53" s="1269"/>
      <c r="U53" s="1269"/>
      <c r="V53" s="1269"/>
      <c r="W53" s="1269"/>
      <c r="X53" s="1099"/>
      <c r="Y53" s="1099"/>
      <c r="Z53" s="1132"/>
      <c r="AA53" s="1099"/>
      <c r="AB53" s="1265"/>
      <c r="AC53" s="1265"/>
      <c r="AD53" s="1132"/>
      <c r="AE53" s="1132"/>
      <c r="AF53" s="1132"/>
      <c r="AG53" s="45"/>
    </row>
    <row r="54" spans="1:35" s="100" customFormat="1" ht="21" hidden="1" customHeight="1">
      <c r="A54" s="739" t="s">
        <v>129</v>
      </c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878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2"/>
      <c r="AG54" s="45"/>
    </row>
    <row r="55" spans="1:35" s="100" customFormat="1" ht="21" hidden="1" customHeight="1">
      <c r="A55" s="1116" t="s">
        <v>130</v>
      </c>
      <c r="B55" s="1291">
        <f>L53</f>
        <v>378</v>
      </c>
      <c r="C55" s="1291"/>
      <c r="D55" s="1091" t="s">
        <v>52</v>
      </c>
      <c r="E55" s="1327">
        <f>'설계기준(설계치12)'!C4</f>
        <v>4000</v>
      </c>
      <c r="F55" s="1327"/>
      <c r="G55" s="1328"/>
      <c r="H55" s="1091" t="s">
        <v>51</v>
      </c>
      <c r="I55" s="1304">
        <v>24</v>
      </c>
      <c r="J55" s="1304"/>
      <c r="K55" s="1091" t="s">
        <v>30</v>
      </c>
      <c r="L55" s="1332">
        <f>B55/E55*I55</f>
        <v>2.2679999999999998</v>
      </c>
      <c r="M55" s="1332"/>
      <c r="N55" s="1101"/>
      <c r="O55" s="1101"/>
      <c r="P55" s="1101"/>
      <c r="Q55" s="878"/>
      <c r="R55" s="1269"/>
      <c r="S55" s="1269"/>
      <c r="T55" s="1099"/>
      <c r="U55" s="1298"/>
      <c r="V55" s="1298"/>
      <c r="W55" s="1298"/>
      <c r="X55" s="1099"/>
      <c r="Y55" s="1299"/>
      <c r="Z55" s="1299"/>
      <c r="AA55" s="1099"/>
      <c r="AB55" s="1307"/>
      <c r="AC55" s="1307"/>
      <c r="AD55" s="1132"/>
      <c r="AE55" s="1132"/>
      <c r="AF55" s="1132"/>
      <c r="AG55" s="45"/>
    </row>
    <row r="56" spans="1:35" s="100" customFormat="1" ht="21" hidden="1" customHeight="1">
      <c r="A56" s="739" t="s">
        <v>132</v>
      </c>
      <c r="B56" s="1101"/>
      <c r="C56" s="1101"/>
      <c r="D56" s="1101"/>
      <c r="E56" s="1101"/>
      <c r="F56" s="1101"/>
      <c r="G56" s="1101"/>
      <c r="H56" s="1101"/>
      <c r="I56" s="1101"/>
      <c r="J56" s="1101"/>
      <c r="K56" s="1101"/>
      <c r="L56" s="1101"/>
      <c r="M56" s="1101"/>
      <c r="N56" s="1101"/>
      <c r="O56" s="1101"/>
      <c r="P56" s="1101"/>
      <c r="Q56" s="878"/>
      <c r="R56" s="1132"/>
      <c r="S56" s="1132"/>
      <c r="T56" s="1132"/>
      <c r="U56" s="1132"/>
      <c r="V56" s="1132"/>
      <c r="W56" s="1132"/>
      <c r="X56" s="1132"/>
      <c r="Y56" s="1132"/>
      <c r="Z56" s="1132"/>
      <c r="AA56" s="1132"/>
      <c r="AB56" s="1132"/>
      <c r="AC56" s="1132"/>
      <c r="AD56" s="1132"/>
      <c r="AE56" s="1132"/>
      <c r="AF56" s="1132"/>
      <c r="AG56" s="45"/>
    </row>
    <row r="57" spans="1:35" s="100" customFormat="1" ht="21" hidden="1" customHeight="1">
      <c r="A57" s="1116" t="s">
        <v>835</v>
      </c>
      <c r="B57" s="1101"/>
      <c r="C57" s="1101"/>
      <c r="D57" s="1101"/>
      <c r="E57" s="1091" t="s">
        <v>226</v>
      </c>
      <c r="F57" s="1091" t="e">
        <f>#REF!</f>
        <v>#REF!</v>
      </c>
      <c r="G57" s="1091" t="s">
        <v>51</v>
      </c>
      <c r="H57" s="1278" t="e">
        <f>#REF!</f>
        <v>#REF!</v>
      </c>
      <c r="I57" s="1278"/>
      <c r="J57" s="1091" t="s">
        <v>124</v>
      </c>
      <c r="K57" s="1091" t="s">
        <v>51</v>
      </c>
      <c r="L57" s="1091" t="e">
        <f>#REF!</f>
        <v>#REF!</v>
      </c>
      <c r="M57" s="1091" t="s">
        <v>99</v>
      </c>
      <c r="N57" s="1101"/>
      <c r="O57" s="1101"/>
      <c r="P57" s="1101"/>
      <c r="Q57" s="878"/>
      <c r="R57" s="1132"/>
      <c r="S57" s="1132"/>
      <c r="T57" s="1132"/>
      <c r="U57" s="1147"/>
      <c r="V57" s="1127"/>
      <c r="W57" s="1099"/>
      <c r="X57" s="1314"/>
      <c r="Y57" s="1314"/>
      <c r="Z57" s="1132"/>
      <c r="AA57" s="1099"/>
      <c r="AB57" s="1099"/>
      <c r="AC57" s="1132"/>
      <c r="AD57" s="1132"/>
      <c r="AE57" s="1132"/>
      <c r="AF57" s="1132"/>
      <c r="AG57" s="45"/>
    </row>
    <row r="58" spans="1:35" s="100" customFormat="1" ht="21" hidden="1" customHeight="1">
      <c r="A58" s="1108"/>
      <c r="B58" s="322"/>
      <c r="C58" s="1101"/>
      <c r="D58" s="1101"/>
      <c r="E58" s="1091"/>
      <c r="F58" s="1091"/>
      <c r="G58" s="1091"/>
      <c r="H58" s="1120"/>
      <c r="I58" s="1120"/>
      <c r="J58" s="1091"/>
      <c r="K58" s="1091"/>
      <c r="L58" s="1091"/>
      <c r="M58" s="1091"/>
      <c r="N58" s="1101"/>
      <c r="O58" s="1101"/>
      <c r="P58" s="1101"/>
      <c r="Q58" s="878"/>
      <c r="R58" s="1132"/>
      <c r="S58" s="1132"/>
      <c r="T58" s="1132"/>
      <c r="U58" s="1147"/>
      <c r="V58" s="1127"/>
      <c r="W58" s="1099"/>
      <c r="X58" s="1142"/>
      <c r="Y58" s="1142"/>
      <c r="Z58" s="1132"/>
      <c r="AA58" s="1099"/>
      <c r="AB58" s="1099"/>
      <c r="AC58" s="1132"/>
      <c r="AD58" s="1132"/>
      <c r="AE58" s="1132"/>
      <c r="AF58" s="1132"/>
      <c r="AG58" s="45"/>
    </row>
    <row r="59" spans="1:35" s="100" customFormat="1" ht="21" customHeight="1">
      <c r="A59" s="939" t="s">
        <v>836</v>
      </c>
      <c r="B59" s="939"/>
      <c r="C59" s="940"/>
      <c r="D59" s="940"/>
      <c r="E59" s="940"/>
      <c r="F59" s="940"/>
      <c r="G59" s="940"/>
      <c r="H59" s="1101"/>
      <c r="I59" s="1101"/>
      <c r="J59" s="1101"/>
      <c r="K59" s="1101"/>
      <c r="L59" s="1101"/>
      <c r="M59" s="1101"/>
      <c r="N59" s="1101"/>
      <c r="O59" s="1101"/>
      <c r="P59" s="1101"/>
      <c r="Q59" s="878"/>
      <c r="R59" s="1132"/>
      <c r="S59" s="1132"/>
      <c r="T59" s="1132"/>
      <c r="U59" s="1132"/>
      <c r="V59" s="1132"/>
      <c r="W59" s="1132"/>
      <c r="X59" s="1132"/>
      <c r="Y59" s="1132"/>
      <c r="Z59" s="1132"/>
      <c r="AA59" s="1132"/>
      <c r="AB59" s="1132"/>
      <c r="AC59" s="1132"/>
      <c r="AD59" s="1132"/>
      <c r="AE59" s="1132"/>
      <c r="AF59" s="1132"/>
      <c r="AG59" s="45"/>
    </row>
    <row r="60" spans="1:35" s="100" customFormat="1" ht="21" hidden="1" customHeight="1">
      <c r="A60" s="854" t="s">
        <v>133</v>
      </c>
      <c r="B60" s="322"/>
      <c r="C60" s="1101"/>
      <c r="D60" s="1101"/>
      <c r="E60" s="1101"/>
      <c r="F60" s="1101"/>
      <c r="G60" s="1101"/>
      <c r="H60" s="1101"/>
      <c r="I60" s="1101"/>
      <c r="J60" s="1101"/>
      <c r="K60" s="1101"/>
      <c r="L60" s="1101"/>
      <c r="M60" s="1101"/>
      <c r="N60" s="1101"/>
      <c r="O60" s="1101"/>
      <c r="P60" s="1101"/>
      <c r="Q60" s="878"/>
      <c r="R60" s="1132"/>
      <c r="S60" s="1132"/>
      <c r="T60" s="1132"/>
      <c r="U60" s="1132"/>
      <c r="V60" s="1132"/>
      <c r="W60" s="1132"/>
      <c r="X60" s="1132"/>
      <c r="Y60" s="1132"/>
      <c r="Z60" s="1132"/>
      <c r="AA60" s="1132"/>
      <c r="AB60" s="1132"/>
      <c r="AC60" s="1132"/>
      <c r="AD60" s="1132"/>
      <c r="AE60" s="1132"/>
      <c r="AF60" s="1132"/>
      <c r="AG60" s="45"/>
    </row>
    <row r="61" spans="1:35" s="100" customFormat="1" ht="21" hidden="1" customHeight="1">
      <c r="A61" s="739" t="s">
        <v>114</v>
      </c>
      <c r="B61" s="322" t="s">
        <v>134</v>
      </c>
      <c r="C61" s="1101"/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878"/>
      <c r="R61" s="1127"/>
      <c r="S61" s="1127"/>
      <c r="T61" s="1127"/>
      <c r="U61" s="1127"/>
      <c r="V61" s="1127"/>
      <c r="W61" s="1127"/>
      <c r="X61" s="1127"/>
      <c r="Y61" s="1127"/>
      <c r="Z61" s="1127"/>
      <c r="AA61" s="1127"/>
      <c r="AB61" s="1127"/>
      <c r="AC61" s="1127"/>
      <c r="AD61" s="1127"/>
      <c r="AE61" s="1127"/>
      <c r="AF61" s="1127"/>
      <c r="AG61" s="45"/>
      <c r="AH61" s="1111"/>
      <c r="AI61" s="1111"/>
    </row>
    <row r="62" spans="1:35" s="100" customFormat="1" ht="21" hidden="1" customHeight="1">
      <c r="A62" s="739" t="s">
        <v>115</v>
      </c>
      <c r="B62" s="1096" t="s">
        <v>513</v>
      </c>
      <c r="C62" s="1088"/>
      <c r="D62" s="1088"/>
      <c r="E62" s="1088"/>
      <c r="F62" s="1088"/>
      <c r="G62" s="1088"/>
      <c r="H62" s="1088"/>
      <c r="I62" s="1088"/>
      <c r="J62" s="1088"/>
      <c r="K62" s="1088"/>
      <c r="L62" s="1088"/>
      <c r="M62" s="1088"/>
      <c r="N62" s="1088"/>
      <c r="O62" s="1088"/>
      <c r="P62" s="1088"/>
      <c r="Q62" s="878"/>
      <c r="R62" s="1127"/>
      <c r="S62" s="1127"/>
      <c r="T62" s="1127"/>
      <c r="U62" s="1127"/>
      <c r="V62" s="1127"/>
      <c r="W62" s="1127"/>
      <c r="X62" s="1127"/>
      <c r="Y62" s="1132"/>
      <c r="Z62" s="1132"/>
      <c r="AA62" s="1132"/>
      <c r="AB62" s="1132"/>
      <c r="AC62" s="1132"/>
      <c r="AD62" s="1132"/>
      <c r="AE62" s="1132"/>
      <c r="AF62" s="1132"/>
      <c r="AG62" s="45"/>
      <c r="AH62" s="1094"/>
      <c r="AI62" s="1094"/>
    </row>
    <row r="63" spans="1:35" s="100" customFormat="1" ht="21" hidden="1" customHeight="1">
      <c r="A63" s="739"/>
      <c r="B63" s="1096" t="s">
        <v>514</v>
      </c>
      <c r="C63" s="1088"/>
      <c r="D63" s="1088"/>
      <c r="E63" s="1088"/>
      <c r="F63" s="1088"/>
      <c r="G63" s="1088"/>
      <c r="H63" s="1088"/>
      <c r="I63" s="1088"/>
      <c r="J63" s="1088"/>
      <c r="K63" s="1088"/>
      <c r="L63" s="1088"/>
      <c r="M63" s="1088"/>
      <c r="N63" s="1088"/>
      <c r="O63" s="1088"/>
      <c r="P63" s="1088"/>
      <c r="Q63" s="878"/>
      <c r="R63" s="1127"/>
      <c r="S63" s="1127"/>
      <c r="T63" s="1127"/>
      <c r="U63" s="1127"/>
      <c r="V63" s="1127"/>
      <c r="W63" s="1127"/>
      <c r="X63" s="1127"/>
      <c r="Y63" s="1132"/>
      <c r="Z63" s="1132"/>
      <c r="AA63" s="1132"/>
      <c r="AB63" s="1132"/>
      <c r="AC63" s="1132"/>
      <c r="AD63" s="1132"/>
      <c r="AE63" s="1132"/>
      <c r="AF63" s="1132"/>
      <c r="AG63" s="45"/>
      <c r="AH63" s="1094"/>
      <c r="AI63" s="1094"/>
    </row>
    <row r="64" spans="1:35" s="100" customFormat="1" ht="21" hidden="1" customHeight="1">
      <c r="A64" s="739"/>
      <c r="B64" s="1085" t="s">
        <v>146</v>
      </c>
      <c r="C64" s="1082"/>
      <c r="D64" s="1082"/>
      <c r="E64" s="1082"/>
      <c r="F64" s="1082"/>
      <c r="G64" s="1082"/>
      <c r="H64" s="1082"/>
      <c r="I64" s="1082"/>
      <c r="J64" s="1082"/>
      <c r="K64" s="1082"/>
      <c r="L64" s="1082"/>
      <c r="M64" s="1082"/>
      <c r="N64" s="1082"/>
      <c r="O64" s="1082"/>
      <c r="P64" s="1082"/>
      <c r="Q64" s="878"/>
      <c r="R64" s="1132"/>
      <c r="S64" s="1144"/>
      <c r="T64" s="1144"/>
      <c r="U64" s="1144"/>
      <c r="V64" s="1099"/>
      <c r="W64" s="305"/>
      <c r="X64" s="1099"/>
      <c r="Y64" s="1143"/>
      <c r="Z64" s="1143"/>
      <c r="AA64" s="1132"/>
      <c r="AB64" s="1132"/>
      <c r="AC64" s="1132"/>
      <c r="AD64" s="1132"/>
      <c r="AE64" s="1132"/>
      <c r="AF64" s="1132"/>
      <c r="AG64" s="45"/>
      <c r="AH64" s="1094"/>
      <c r="AI64" s="1094"/>
    </row>
    <row r="65" spans="1:35" s="100" customFormat="1" ht="21" hidden="1" customHeight="1">
      <c r="A65" s="739" t="s">
        <v>299</v>
      </c>
      <c r="B65" s="1257" t="s">
        <v>300</v>
      </c>
      <c r="C65" s="1257"/>
      <c r="D65" s="1257"/>
      <c r="E65" s="1101"/>
      <c r="F65" s="1101"/>
      <c r="G65" s="1101"/>
      <c r="H65" s="1101"/>
      <c r="I65" s="1101"/>
      <c r="J65" s="1101"/>
      <c r="K65" s="1101"/>
      <c r="L65" s="1101"/>
      <c r="M65" s="1101"/>
      <c r="N65" s="1101"/>
      <c r="O65" s="1101"/>
      <c r="P65" s="1101"/>
      <c r="Q65" s="878"/>
      <c r="R65" s="1265"/>
      <c r="S65" s="1265"/>
      <c r="T65" s="1265"/>
      <c r="U65" s="1132"/>
      <c r="V65" s="1132"/>
      <c r="W65" s="1132"/>
      <c r="X65" s="1132"/>
      <c r="Y65" s="1132"/>
      <c r="Z65" s="1132"/>
      <c r="AA65" s="1132"/>
      <c r="AB65" s="1132"/>
      <c r="AC65" s="1132"/>
      <c r="AD65" s="1132"/>
      <c r="AE65" s="1132"/>
      <c r="AF65" s="1132"/>
      <c r="AG65" s="45"/>
      <c r="AI65" s="45"/>
    </row>
    <row r="66" spans="1:35" s="100" customFormat="1" ht="21" hidden="1" customHeight="1">
      <c r="A66" s="739"/>
      <c r="B66" s="1101"/>
      <c r="C66" s="1370">
        <f>'설계기준(설계치12)'!H4</f>
        <v>166.66666666666666</v>
      </c>
      <c r="D66" s="1370"/>
      <c r="E66" s="1370"/>
      <c r="F66" s="1091" t="s">
        <v>51</v>
      </c>
      <c r="G66" s="397">
        <v>1</v>
      </c>
      <c r="H66" s="1091" t="s">
        <v>188</v>
      </c>
      <c r="I66" s="1091" t="s">
        <v>298</v>
      </c>
      <c r="J66" s="1330">
        <f>C66*G66</f>
        <v>166.66666666666666</v>
      </c>
      <c r="K66" s="1260"/>
      <c r="L66" s="1091" t="s">
        <v>118</v>
      </c>
      <c r="M66" s="1091"/>
      <c r="N66" s="1101"/>
      <c r="O66" s="1101"/>
      <c r="P66" s="1101"/>
      <c r="Q66" s="878"/>
      <c r="R66" s="1132"/>
      <c r="S66" s="1313"/>
      <c r="T66" s="1313"/>
      <c r="U66" s="1295"/>
      <c r="V66" s="1310"/>
      <c r="W66" s="1310"/>
      <c r="X66" s="1099"/>
      <c r="Y66" s="1308"/>
      <c r="Z66" s="1295"/>
      <c r="AA66" s="1132"/>
      <c r="AB66" s="1132"/>
      <c r="AC66" s="1132"/>
      <c r="AD66" s="1132"/>
      <c r="AE66" s="1132"/>
      <c r="AF66" s="1132"/>
      <c r="AG66" s="45"/>
    </row>
    <row r="67" spans="1:35" s="100" customFormat="1" ht="21" hidden="1" customHeight="1">
      <c r="A67" s="855"/>
      <c r="B67" s="1123"/>
      <c r="C67" s="827"/>
      <c r="D67" s="827"/>
      <c r="E67" s="827"/>
      <c r="F67" s="1121"/>
      <c r="G67" s="828"/>
      <c r="H67" s="1121"/>
      <c r="I67" s="1121"/>
      <c r="J67" s="829"/>
      <c r="K67" s="1121"/>
      <c r="L67" s="1121"/>
      <c r="M67" s="1121"/>
      <c r="N67" s="1123"/>
      <c r="O67" s="1123"/>
      <c r="P67" s="1123"/>
      <c r="Q67" s="879"/>
      <c r="R67" s="1132"/>
      <c r="S67" s="1141"/>
      <c r="T67" s="1141"/>
      <c r="U67" s="1132"/>
      <c r="V67" s="1146"/>
      <c r="W67" s="1146"/>
      <c r="X67" s="1099"/>
      <c r="Y67" s="1143"/>
      <c r="Z67" s="1132"/>
      <c r="AA67" s="1132"/>
      <c r="AB67" s="1132"/>
      <c r="AC67" s="1132"/>
      <c r="AD67" s="1132"/>
      <c r="AE67" s="1132"/>
      <c r="AF67" s="1132"/>
      <c r="AG67" s="45"/>
    </row>
    <row r="68" spans="1:35" s="100" customFormat="1" ht="21" hidden="1" customHeight="1">
      <c r="A68" s="856" t="s">
        <v>119</v>
      </c>
      <c r="B68" s="1139"/>
      <c r="C68" s="1139"/>
      <c r="D68" s="1139"/>
      <c r="E68" s="1139"/>
      <c r="F68" s="1139"/>
      <c r="G68" s="1139"/>
      <c r="H68" s="1139"/>
      <c r="I68" s="1139"/>
      <c r="J68" s="1139"/>
      <c r="K68" s="1139"/>
      <c r="L68" s="1139"/>
      <c r="M68" s="1139"/>
      <c r="N68" s="1139"/>
      <c r="O68" s="1139"/>
      <c r="P68" s="1139"/>
      <c r="Q68" s="880"/>
      <c r="R68" s="1132"/>
      <c r="S68" s="1132"/>
      <c r="T68" s="1132"/>
      <c r="U68" s="1132"/>
      <c r="V68" s="1132"/>
      <c r="W68" s="1132"/>
      <c r="X68" s="1132"/>
      <c r="Y68" s="1132"/>
      <c r="Z68" s="1132"/>
      <c r="AA68" s="1132"/>
      <c r="AB68" s="1132"/>
      <c r="AC68" s="1132"/>
      <c r="AD68" s="1132"/>
      <c r="AE68" s="1132"/>
      <c r="AF68" s="1132"/>
      <c r="AG68" s="45"/>
    </row>
    <row r="69" spans="1:35" s="100" customFormat="1" ht="21" hidden="1" customHeight="1">
      <c r="A69" s="1116" t="s">
        <v>304</v>
      </c>
      <c r="B69" s="322"/>
      <c r="C69" s="1260" t="s">
        <v>121</v>
      </c>
      <c r="D69" s="1260"/>
      <c r="E69" s="1101"/>
      <c r="F69" s="1101"/>
      <c r="G69" s="1101"/>
      <c r="H69" s="1101"/>
      <c r="I69" s="1101"/>
      <c r="J69" s="1101"/>
      <c r="K69" s="1101"/>
      <c r="L69" s="1101"/>
      <c r="M69" s="1101"/>
      <c r="N69" s="1101"/>
      <c r="O69" s="1101"/>
      <c r="P69" s="1101"/>
      <c r="Q69" s="878"/>
      <c r="R69" s="1269"/>
      <c r="S69" s="1269"/>
      <c r="T69" s="1269"/>
      <c r="U69" s="1269"/>
      <c r="V69" s="1269"/>
      <c r="W69" s="1269"/>
      <c r="X69" s="1269"/>
      <c r="Y69" s="1269"/>
      <c r="Z69" s="1269"/>
      <c r="AA69" s="1269"/>
      <c r="AB69" s="1269"/>
      <c r="AC69" s="1269"/>
      <c r="AD69" s="1269"/>
      <c r="AE69" s="1269"/>
      <c r="AF69" s="1269"/>
      <c r="AG69" s="45"/>
    </row>
    <row r="70" spans="1:35" s="100" customFormat="1" ht="21" hidden="1" customHeight="1">
      <c r="A70" s="1116" t="s">
        <v>122</v>
      </c>
      <c r="B70" s="1091" t="s">
        <v>307</v>
      </c>
      <c r="C70" s="309">
        <v>5.8</v>
      </c>
      <c r="D70" s="1091" t="s">
        <v>308</v>
      </c>
      <c r="E70" s="1091" t="s">
        <v>51</v>
      </c>
      <c r="F70" s="1091" t="s">
        <v>309</v>
      </c>
      <c r="G70" s="309">
        <v>5</v>
      </c>
      <c r="H70" s="1091" t="s">
        <v>308</v>
      </c>
      <c r="I70" s="1091" t="s">
        <v>51</v>
      </c>
      <c r="J70" s="1260" t="s">
        <v>310</v>
      </c>
      <c r="K70" s="1260"/>
      <c r="L70" s="1091" t="s">
        <v>311</v>
      </c>
      <c r="M70" s="309">
        <v>4.5</v>
      </c>
      <c r="N70" s="1091" t="s">
        <v>308</v>
      </c>
      <c r="O70" s="1091"/>
      <c r="P70" s="1101"/>
      <c r="Q70" s="878"/>
      <c r="R70" s="1147"/>
      <c r="S70" s="1129"/>
      <c r="T70" s="1127"/>
      <c r="U70" s="1099"/>
      <c r="V70" s="1147"/>
      <c r="W70" s="1129"/>
      <c r="X70" s="1127"/>
      <c r="Y70" s="1099"/>
      <c r="Z70" s="1269"/>
      <c r="AA70" s="1269"/>
      <c r="AB70" s="1147"/>
      <c r="AC70" s="1099"/>
      <c r="AD70" s="1127"/>
      <c r="AE70" s="1099"/>
      <c r="AF70" s="1132"/>
      <c r="AG70" s="45"/>
    </row>
    <row r="71" spans="1:35" s="100" customFormat="1" ht="21" hidden="1" customHeight="1">
      <c r="A71" s="1116" t="s">
        <v>312</v>
      </c>
      <c r="B71" s="1101"/>
      <c r="C71" s="1101"/>
      <c r="D71" s="1101"/>
      <c r="E71" s="1101"/>
      <c r="F71" s="1101"/>
      <c r="G71" s="1101"/>
      <c r="H71" s="1091">
        <v>4</v>
      </c>
      <c r="I71" s="1101" t="s">
        <v>313</v>
      </c>
      <c r="J71" s="1101"/>
      <c r="K71" s="1101"/>
      <c r="L71" s="1101"/>
      <c r="M71" s="1101"/>
      <c r="N71" s="1101"/>
      <c r="O71" s="1101"/>
      <c r="P71" s="1101"/>
      <c r="Q71" s="878"/>
      <c r="R71" s="1132"/>
      <c r="S71" s="1132"/>
      <c r="T71" s="1132"/>
      <c r="U71" s="1132"/>
      <c r="V71" s="1132"/>
      <c r="W71" s="1132"/>
      <c r="X71" s="1099"/>
      <c r="Y71" s="1132"/>
      <c r="Z71" s="1132"/>
      <c r="AA71" s="1132"/>
      <c r="AB71" s="1132"/>
      <c r="AC71" s="1132"/>
      <c r="AD71" s="1132"/>
      <c r="AE71" s="1132"/>
      <c r="AF71" s="1132"/>
      <c r="AG71" s="45"/>
    </row>
    <row r="72" spans="1:35" s="100" customFormat="1" ht="21" hidden="1" customHeight="1">
      <c r="A72" s="1116" t="s">
        <v>126</v>
      </c>
      <c r="B72" s="1091" t="s">
        <v>127</v>
      </c>
      <c r="C72" s="1091" t="s">
        <v>298</v>
      </c>
      <c r="D72" s="1272">
        <f>ROUND(C70*G70*M70,2)</f>
        <v>130.5</v>
      </c>
      <c r="E72" s="1272"/>
      <c r="F72" s="1260" t="s">
        <v>128</v>
      </c>
      <c r="G72" s="1260"/>
      <c r="H72" s="1091" t="s">
        <v>51</v>
      </c>
      <c r="I72" s="1091">
        <f>H71</f>
        <v>4</v>
      </c>
      <c r="J72" s="1091" t="str">
        <f>I71</f>
        <v>계열</v>
      </c>
      <c r="K72" s="1091" t="s">
        <v>298</v>
      </c>
      <c r="L72" s="1291">
        <f>D72*I72</f>
        <v>522</v>
      </c>
      <c r="M72" s="1291"/>
      <c r="N72" s="1101"/>
      <c r="O72" s="1101"/>
      <c r="P72" s="1101"/>
      <c r="Q72" s="878"/>
      <c r="R72" s="1099"/>
      <c r="S72" s="1099"/>
      <c r="T72" s="1269"/>
      <c r="U72" s="1269"/>
      <c r="V72" s="1269"/>
      <c r="W72" s="1269"/>
      <c r="X72" s="1132"/>
      <c r="Y72" s="1099"/>
      <c r="Z72" s="1132"/>
      <c r="AA72" s="1099"/>
      <c r="AB72" s="1269"/>
      <c r="AC72" s="1269"/>
      <c r="AD72" s="1132"/>
      <c r="AE72" s="1132"/>
      <c r="AF72" s="1132"/>
      <c r="AG72" s="45"/>
    </row>
    <row r="73" spans="1:35" s="100" customFormat="1" ht="21" hidden="1" customHeight="1">
      <c r="A73" s="739" t="s">
        <v>317</v>
      </c>
      <c r="B73" s="1101"/>
      <c r="C73" s="1101"/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878"/>
      <c r="R73" s="1132"/>
      <c r="S73" s="1132"/>
      <c r="T73" s="1132"/>
      <c r="U73" s="1132"/>
      <c r="V73" s="1132"/>
      <c r="W73" s="1132"/>
      <c r="X73" s="1132"/>
      <c r="Y73" s="1132"/>
      <c r="Z73" s="1132"/>
      <c r="AA73" s="1132"/>
      <c r="AB73" s="1132"/>
      <c r="AC73" s="1132"/>
      <c r="AD73" s="1132"/>
      <c r="AE73" s="1132"/>
      <c r="AF73" s="1132"/>
      <c r="AG73" s="45"/>
    </row>
    <row r="74" spans="1:35" s="100" customFormat="1" ht="21" hidden="1" customHeight="1">
      <c r="A74" s="1116" t="s">
        <v>318</v>
      </c>
      <c r="B74" s="1291">
        <f>L72</f>
        <v>522</v>
      </c>
      <c r="C74" s="1291"/>
      <c r="D74" s="1091" t="s">
        <v>52</v>
      </c>
      <c r="E74" s="1327">
        <f>'설계기준(설계치12)'!C4</f>
        <v>4000</v>
      </c>
      <c r="F74" s="1327"/>
      <c r="G74" s="1328"/>
      <c r="H74" s="1091" t="s">
        <v>51</v>
      </c>
      <c r="I74" s="1304">
        <v>24</v>
      </c>
      <c r="J74" s="1304"/>
      <c r="K74" s="323" t="s">
        <v>298</v>
      </c>
      <c r="L74" s="1332">
        <f>B74/E74*I74</f>
        <v>3.1320000000000001</v>
      </c>
      <c r="M74" s="1332"/>
      <c r="N74" s="348"/>
      <c r="O74" s="348"/>
      <c r="P74" s="1091"/>
      <c r="Q74" s="878"/>
      <c r="R74" s="1295"/>
      <c r="S74" s="1295"/>
      <c r="T74" s="1099"/>
      <c r="U74" s="1298"/>
      <c r="V74" s="1298"/>
      <c r="W74" s="1298"/>
      <c r="X74" s="1099"/>
      <c r="Y74" s="1299"/>
      <c r="Z74" s="1295"/>
      <c r="AA74" s="398"/>
      <c r="AB74" s="1307"/>
      <c r="AC74" s="1307"/>
      <c r="AD74" s="1316"/>
      <c r="AE74" s="1316"/>
      <c r="AF74" s="1132"/>
      <c r="AG74" s="45"/>
    </row>
    <row r="75" spans="1:35" s="100" customFormat="1" ht="21" customHeight="1">
      <c r="A75" s="738" t="s">
        <v>839</v>
      </c>
      <c r="B75" s="1101"/>
      <c r="C75" s="1101"/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878"/>
      <c r="R75" s="1132"/>
      <c r="S75" s="1132"/>
      <c r="T75" s="1132"/>
      <c r="U75" s="1132"/>
      <c r="V75" s="1132"/>
      <c r="W75" s="1132"/>
      <c r="X75" s="1132"/>
      <c r="Y75" s="1132"/>
      <c r="Z75" s="1132"/>
      <c r="AA75" s="1132"/>
      <c r="AB75" s="1132"/>
      <c r="AC75" s="1132"/>
      <c r="AD75" s="1132"/>
      <c r="AE75" s="1132"/>
      <c r="AF75" s="1132"/>
      <c r="AG75" s="45"/>
    </row>
    <row r="76" spans="1:35" s="100" customFormat="1" ht="21" customHeight="1">
      <c r="A76" s="739" t="s">
        <v>319</v>
      </c>
      <c r="B76" s="1096" t="s">
        <v>320</v>
      </c>
      <c r="C76" s="1088"/>
      <c r="D76" s="1088"/>
      <c r="E76" s="1088"/>
      <c r="F76" s="1088"/>
      <c r="G76" s="1088"/>
      <c r="H76" s="1088"/>
      <c r="I76" s="1088"/>
      <c r="J76" s="1088"/>
      <c r="K76" s="1088"/>
      <c r="L76" s="1088"/>
      <c r="M76" s="1088"/>
      <c r="N76" s="1088"/>
      <c r="O76" s="1088"/>
      <c r="P76" s="1088"/>
      <c r="Q76" s="878"/>
      <c r="R76" s="1127"/>
      <c r="S76" s="1127"/>
      <c r="T76" s="1127"/>
      <c r="U76" s="1127"/>
      <c r="V76" s="1127"/>
      <c r="W76" s="1127"/>
      <c r="X76" s="1127"/>
      <c r="Y76" s="1127"/>
      <c r="Z76" s="1127"/>
      <c r="AA76" s="1127"/>
      <c r="AB76" s="1127"/>
      <c r="AC76" s="1127"/>
      <c r="AD76" s="1127"/>
      <c r="AE76" s="1127"/>
      <c r="AF76" s="1127"/>
      <c r="AG76" s="45"/>
    </row>
    <row r="77" spans="1:35" s="100" customFormat="1" ht="21" customHeight="1">
      <c r="A77" s="739" t="s">
        <v>321</v>
      </c>
      <c r="B77" s="327"/>
      <c r="C77" s="1091"/>
      <c r="D77" s="1091"/>
      <c r="E77" s="1091"/>
      <c r="F77" s="1101"/>
      <c r="G77" s="328"/>
      <c r="H77" s="329"/>
      <c r="I77" s="329"/>
      <c r="J77" s="330"/>
      <c r="K77" s="1101"/>
      <c r="L77" s="1091"/>
      <c r="M77" s="1091"/>
      <c r="N77" s="1091"/>
      <c r="O77" s="1086"/>
      <c r="P77" s="1101"/>
      <c r="Q77" s="881"/>
      <c r="R77" s="331"/>
      <c r="S77" s="1099"/>
      <c r="T77" s="1099"/>
      <c r="U77" s="1099"/>
      <c r="V77" s="321"/>
      <c r="W77" s="332"/>
      <c r="X77" s="333"/>
      <c r="Y77" s="333"/>
      <c r="Z77" s="334"/>
      <c r="AA77" s="321"/>
      <c r="AB77" s="1099"/>
      <c r="AC77" s="1099"/>
      <c r="AD77" s="1099"/>
      <c r="AE77" s="1135"/>
      <c r="AF77" s="1132"/>
      <c r="AG77" s="399"/>
    </row>
    <row r="78" spans="1:35" s="100" customFormat="1" ht="21" customHeight="1">
      <c r="A78" s="857" t="s">
        <v>322</v>
      </c>
      <c r="B78" s="1089" t="s">
        <v>323</v>
      </c>
      <c r="C78" s="1091" t="s">
        <v>298</v>
      </c>
      <c r="D78" s="1089" t="s">
        <v>324</v>
      </c>
      <c r="E78" s="1091" t="s">
        <v>51</v>
      </c>
      <c r="F78" s="1091" t="s">
        <v>483</v>
      </c>
      <c r="G78" s="1091"/>
      <c r="H78" s="1091" t="s">
        <v>325</v>
      </c>
      <c r="I78" s="1091" t="s">
        <v>326</v>
      </c>
      <c r="J78" s="1091" t="s">
        <v>327</v>
      </c>
      <c r="K78" s="1091" t="s">
        <v>484</v>
      </c>
      <c r="L78" s="1091" t="s">
        <v>524</v>
      </c>
      <c r="M78" s="1091" t="s">
        <v>523</v>
      </c>
      <c r="N78" s="1091" t="s">
        <v>143</v>
      </c>
      <c r="O78" s="1091"/>
      <c r="P78" s="1091"/>
      <c r="Q78" s="878"/>
      <c r="R78" s="331"/>
      <c r="S78" s="1099"/>
      <c r="T78" s="331"/>
      <c r="U78" s="1147"/>
      <c r="V78" s="1127"/>
      <c r="W78" s="1132"/>
      <c r="X78" s="1099"/>
      <c r="Y78" s="1099"/>
      <c r="Z78" s="1099"/>
      <c r="AA78" s="1132"/>
      <c r="AB78" s="1099"/>
      <c r="AC78" s="1132"/>
      <c r="AD78" s="321"/>
      <c r="AE78" s="321"/>
      <c r="AF78" s="1132"/>
      <c r="AG78" s="45"/>
    </row>
    <row r="79" spans="1:35" s="100" customFormat="1" ht="21" customHeight="1">
      <c r="A79" s="857" t="s">
        <v>329</v>
      </c>
      <c r="B79" s="1091"/>
      <c r="C79" s="1091"/>
      <c r="D79" s="1091" t="s">
        <v>527</v>
      </c>
      <c r="E79" s="1091">
        <v>1</v>
      </c>
      <c r="F79" s="1091" t="s">
        <v>330</v>
      </c>
      <c r="G79" s="1091">
        <v>0.83299999999999996</v>
      </c>
      <c r="H79" s="1091" t="s">
        <v>141</v>
      </c>
      <c r="I79" s="1091">
        <v>7.2</v>
      </c>
      <c r="J79" s="1091" t="s">
        <v>330</v>
      </c>
      <c r="K79" s="1091" t="s">
        <v>520</v>
      </c>
      <c r="L79" s="1091" t="s">
        <v>519</v>
      </c>
      <c r="M79" s="1091"/>
      <c r="N79" s="1091"/>
      <c r="O79" s="1091"/>
      <c r="P79" s="1091"/>
      <c r="Q79" s="878"/>
      <c r="R79" s="1132"/>
      <c r="S79" s="1099"/>
      <c r="T79" s="1132"/>
      <c r="U79" s="1099"/>
      <c r="V79" s="1099"/>
      <c r="W79" s="1269"/>
      <c r="X79" s="1269"/>
      <c r="Y79" s="1099"/>
      <c r="Z79" s="1099"/>
      <c r="AA79" s="1099"/>
      <c r="AB79" s="1132"/>
      <c r="AC79" s="1132"/>
      <c r="AD79" s="1132"/>
      <c r="AE79" s="1132"/>
      <c r="AF79" s="1132"/>
      <c r="AG79" s="45"/>
    </row>
    <row r="80" spans="1:35" s="100" customFormat="1" ht="21" customHeight="1">
      <c r="A80" s="739"/>
      <c r="B80" s="1149" t="s">
        <v>526</v>
      </c>
      <c r="C80" s="1089" t="s">
        <v>518</v>
      </c>
      <c r="D80" s="1260" t="s">
        <v>332</v>
      </c>
      <c r="E80" s="1260"/>
      <c r="F80" s="1260"/>
      <c r="G80" s="1091" t="s">
        <v>298</v>
      </c>
      <c r="H80" s="1091">
        <v>0.47</v>
      </c>
      <c r="I80" s="1091" t="s">
        <v>485</v>
      </c>
      <c r="J80" s="1091" t="s">
        <v>333</v>
      </c>
      <c r="K80" s="1091">
        <f>+'설계기준(설계치20)'!C12</f>
        <v>20</v>
      </c>
      <c r="L80" s="1091" t="s">
        <v>334</v>
      </c>
      <c r="M80" s="1091" t="s">
        <v>335</v>
      </c>
      <c r="N80" s="1091">
        <f>'설계기준(설계치12)'!K16</f>
        <v>7</v>
      </c>
      <c r="O80" s="1088" t="s">
        <v>189</v>
      </c>
      <c r="P80" s="1101"/>
      <c r="Q80" s="878"/>
      <c r="R80" s="1132"/>
      <c r="S80" s="331"/>
      <c r="T80" s="1099"/>
      <c r="U80" s="1138"/>
      <c r="V80" s="1126"/>
      <c r="W80" s="1126"/>
      <c r="X80" s="1126"/>
      <c r="Y80" s="1132"/>
      <c r="Z80" s="1127"/>
      <c r="AA80" s="1147"/>
      <c r="AB80" s="1099"/>
      <c r="AC80" s="1132"/>
      <c r="AD80" s="1132"/>
      <c r="AE80" s="1099"/>
      <c r="AF80" s="1132"/>
      <c r="AG80" s="45"/>
    </row>
    <row r="81" spans="1:33" s="100" customFormat="1" ht="21" customHeight="1">
      <c r="A81" s="739"/>
      <c r="B81" s="1101"/>
      <c r="C81" s="327" t="s">
        <v>336</v>
      </c>
      <c r="D81" s="327"/>
      <c r="E81" s="327"/>
      <c r="F81" s="327"/>
      <c r="G81" s="1091" t="s">
        <v>298</v>
      </c>
      <c r="H81" s="1101" t="s">
        <v>337</v>
      </c>
      <c r="I81" s="309">
        <v>2</v>
      </c>
      <c r="J81" s="1101" t="s">
        <v>338</v>
      </c>
      <c r="K81" s="1101"/>
      <c r="L81" s="1101"/>
      <c r="M81" s="1101"/>
      <c r="N81" s="1101"/>
      <c r="O81" s="1101"/>
      <c r="P81" s="1101"/>
      <c r="Q81" s="878"/>
      <c r="R81" s="1132"/>
      <c r="S81" s="338"/>
      <c r="T81" s="1147"/>
      <c r="U81" s="1127"/>
      <c r="V81" s="1127"/>
      <c r="W81" s="1132"/>
      <c r="X81" s="1132"/>
      <c r="Y81" s="1099"/>
      <c r="Z81" s="1265"/>
      <c r="AA81" s="1265"/>
      <c r="AB81" s="321"/>
      <c r="AC81" s="321"/>
      <c r="AD81" s="1132"/>
      <c r="AE81" s="1132"/>
      <c r="AF81" s="1132"/>
      <c r="AG81" s="45"/>
    </row>
    <row r="82" spans="1:33" s="100" customFormat="1" ht="21" customHeight="1">
      <c r="A82" s="739"/>
      <c r="B82" s="1101"/>
      <c r="C82" s="1101" t="s">
        <v>521</v>
      </c>
      <c r="D82" s="1101"/>
      <c r="E82" s="1101"/>
      <c r="F82" s="1101"/>
      <c r="G82" s="1091" t="s">
        <v>30</v>
      </c>
      <c r="H82" s="1089">
        <v>1.3</v>
      </c>
      <c r="I82" s="1101"/>
      <c r="J82" s="1101"/>
      <c r="K82" s="1101"/>
      <c r="L82" s="1101"/>
      <c r="M82" s="1101"/>
      <c r="N82" s="1101"/>
      <c r="O82" s="1101"/>
      <c r="P82" s="1101"/>
      <c r="Q82" s="878"/>
      <c r="R82" s="1132"/>
      <c r="S82" s="1127"/>
      <c r="T82" s="1099"/>
      <c r="U82" s="1099"/>
      <c r="V82" s="1099"/>
      <c r="W82" s="1099"/>
      <c r="X82" s="1099"/>
      <c r="Y82" s="1099"/>
      <c r="Z82" s="1132"/>
      <c r="AA82" s="1132"/>
      <c r="AB82" s="1132"/>
      <c r="AC82" s="1132"/>
      <c r="AD82" s="1132"/>
      <c r="AE82" s="1132"/>
      <c r="AF82" s="1132"/>
      <c r="AG82" s="45"/>
    </row>
    <row r="83" spans="1:33" s="100" customFormat="1" ht="21" customHeight="1">
      <c r="A83" s="739"/>
      <c r="B83" s="1101"/>
      <c r="C83" s="1089" t="s">
        <v>298</v>
      </c>
      <c r="D83" s="1091">
        <f>H80</f>
        <v>0.47</v>
      </c>
      <c r="E83" s="1091" t="s">
        <v>51</v>
      </c>
      <c r="F83" s="1091" t="s">
        <v>483</v>
      </c>
      <c r="G83" s="1089"/>
      <c r="H83" s="1091" t="s">
        <v>325</v>
      </c>
      <c r="I83" s="309">
        <f>I81</f>
        <v>2</v>
      </c>
      <c r="J83" s="1091" t="s">
        <v>522</v>
      </c>
      <c r="K83" s="1091">
        <f>H82</f>
        <v>1.3</v>
      </c>
      <c r="L83" s="1091" t="s">
        <v>525</v>
      </c>
      <c r="M83" s="309">
        <f>I81</f>
        <v>2</v>
      </c>
      <c r="N83" s="1091" t="s">
        <v>339</v>
      </c>
      <c r="O83" s="1101"/>
      <c r="P83" s="1101"/>
      <c r="Q83" s="878"/>
      <c r="R83" s="1147"/>
      <c r="S83" s="1129"/>
      <c r="T83" s="1127"/>
      <c r="U83" s="1147"/>
      <c r="V83" s="1127"/>
      <c r="W83" s="1129"/>
      <c r="X83" s="1099"/>
      <c r="Y83" s="1099"/>
      <c r="Z83" s="339"/>
      <c r="AA83" s="1099"/>
      <c r="AB83" s="1099"/>
      <c r="AC83" s="1099"/>
      <c r="AD83" s="1132"/>
      <c r="AE83" s="1132"/>
      <c r="AF83" s="1132"/>
      <c r="AG83" s="45"/>
    </row>
    <row r="84" spans="1:33" s="100" customFormat="1" ht="21" customHeight="1">
      <c r="A84" s="739"/>
      <c r="B84" s="1101"/>
      <c r="C84" s="1091"/>
      <c r="D84" s="1091" t="s">
        <v>527</v>
      </c>
      <c r="E84" s="1091">
        <v>1</v>
      </c>
      <c r="F84" s="1091" t="s">
        <v>330</v>
      </c>
      <c r="G84" s="1091">
        <v>0.83299999999999996</v>
      </c>
      <c r="H84" s="1091" t="s">
        <v>331</v>
      </c>
      <c r="I84" s="1091">
        <v>7.2</v>
      </c>
      <c r="J84" s="1091" t="s">
        <v>330</v>
      </c>
      <c r="K84" s="1091">
        <f>N80</f>
        <v>7</v>
      </c>
      <c r="L84" s="1091" t="s">
        <v>528</v>
      </c>
      <c r="M84" s="1091" t="s">
        <v>30</v>
      </c>
      <c r="N84" s="1086">
        <f>D83*EXP(0.098*(K80-15))*I83/(K83+M83)*(E84-G84*(I84-N80))</f>
        <v>0.38749999922671635</v>
      </c>
      <c r="O84" s="1091" t="s">
        <v>486</v>
      </c>
      <c r="P84" s="1091"/>
      <c r="Q84" s="878"/>
      <c r="R84" s="1132"/>
      <c r="S84" s="1099"/>
      <c r="T84" s="339"/>
      <c r="U84" s="1099"/>
      <c r="V84" s="1099"/>
      <c r="W84" s="1099"/>
      <c r="X84" s="1099"/>
      <c r="Y84" s="339"/>
      <c r="Z84" s="1132"/>
      <c r="AA84" s="1099"/>
      <c r="AB84" s="1132"/>
      <c r="AC84" s="1132"/>
      <c r="AD84" s="1135"/>
      <c r="AE84" s="1135"/>
      <c r="AF84" s="1132"/>
      <c r="AG84" s="45"/>
    </row>
    <row r="85" spans="1:33" s="100" customFormat="1" ht="21" customHeight="1">
      <c r="A85" s="739"/>
      <c r="B85" s="510" t="s">
        <v>53</v>
      </c>
      <c r="C85" s="511" t="s">
        <v>340</v>
      </c>
      <c r="D85" s="512"/>
      <c r="E85" s="512"/>
      <c r="F85" s="512"/>
      <c r="G85" s="512"/>
      <c r="H85" s="512"/>
      <c r="I85" s="512"/>
      <c r="J85" s="1101"/>
      <c r="K85" s="1101"/>
      <c r="L85" s="327"/>
      <c r="M85" s="327"/>
      <c r="N85" s="1101"/>
      <c r="O85" s="1101"/>
      <c r="P85" s="1101"/>
      <c r="Q85" s="878"/>
      <c r="R85" s="1099"/>
      <c r="S85" s="1127"/>
      <c r="T85" s="1127"/>
      <c r="U85" s="1127"/>
      <c r="V85" s="1127"/>
      <c r="W85" s="1127"/>
      <c r="X85" s="1127"/>
      <c r="Y85" s="1127"/>
      <c r="Z85" s="1127"/>
      <c r="AA85" s="1132"/>
      <c r="AB85" s="1129"/>
      <c r="AC85" s="1129"/>
      <c r="AD85" s="1132"/>
      <c r="AE85" s="1132"/>
      <c r="AF85" s="1132"/>
      <c r="AG85" s="45"/>
    </row>
    <row r="86" spans="1:33" s="100" customFormat="1" ht="21" customHeight="1">
      <c r="A86" s="739"/>
      <c r="B86" s="1101"/>
      <c r="C86" s="1101" t="s">
        <v>487</v>
      </c>
      <c r="D86" s="1091" t="s">
        <v>30</v>
      </c>
      <c r="E86" s="1091" t="s">
        <v>323</v>
      </c>
      <c r="F86" s="1091" t="s">
        <v>330</v>
      </c>
      <c r="G86" s="1091" t="s">
        <v>341</v>
      </c>
      <c r="H86" s="1091" t="s">
        <v>298</v>
      </c>
      <c r="I86" s="1086">
        <f>N84</f>
        <v>0.38749999922671635</v>
      </c>
      <c r="J86" s="1091" t="s">
        <v>330</v>
      </c>
      <c r="K86" s="1091">
        <f>I87</f>
        <v>0.05</v>
      </c>
      <c r="L86" s="1091" t="s">
        <v>298</v>
      </c>
      <c r="M86" s="349">
        <f>I86-K86</f>
        <v>0.33749999922671636</v>
      </c>
      <c r="N86" s="1091" t="s">
        <v>486</v>
      </c>
      <c r="O86" s="1091"/>
      <c r="P86" s="1091"/>
      <c r="Q86" s="878"/>
      <c r="R86" s="1132"/>
      <c r="S86" s="1099"/>
      <c r="T86" s="1099"/>
      <c r="U86" s="1099"/>
      <c r="V86" s="1132"/>
      <c r="W86" s="1099"/>
      <c r="X86" s="1132"/>
      <c r="Y86" s="1099"/>
      <c r="Z86" s="340"/>
      <c r="AA86" s="1099"/>
      <c r="AB86" s="1132"/>
      <c r="AC86" s="1099"/>
      <c r="AD86" s="341"/>
      <c r="AE86" s="1132"/>
      <c r="AF86" s="1132"/>
      <c r="AG86" s="45"/>
    </row>
    <row r="87" spans="1:33" s="100" customFormat="1" ht="21" customHeight="1">
      <c r="A87" s="739"/>
      <c r="B87" s="1101"/>
      <c r="C87" s="1091" t="s">
        <v>529</v>
      </c>
      <c r="D87" s="1101" t="s">
        <v>530</v>
      </c>
      <c r="E87" s="1101"/>
      <c r="F87" s="1101"/>
      <c r="G87" s="1101"/>
      <c r="H87" s="1101"/>
      <c r="I87" s="513">
        <v>0.05</v>
      </c>
      <c r="J87" s="1101" t="s">
        <v>486</v>
      </c>
      <c r="K87" s="1101" t="s">
        <v>531</v>
      </c>
      <c r="L87" s="349"/>
      <c r="M87" s="514" t="s">
        <v>143</v>
      </c>
      <c r="N87" s="349"/>
      <c r="O87" s="1101"/>
      <c r="P87" s="1101"/>
      <c r="Q87" s="878"/>
      <c r="R87" s="1132"/>
      <c r="S87" s="1132"/>
      <c r="T87" s="1127"/>
      <c r="U87" s="1099"/>
      <c r="V87" s="1099"/>
      <c r="W87" s="1099"/>
      <c r="X87" s="1099"/>
      <c r="Y87" s="1099"/>
      <c r="Z87" s="1099"/>
      <c r="AA87" s="1099"/>
      <c r="AB87" s="1132"/>
      <c r="AC87" s="1127"/>
      <c r="AD87" s="341"/>
      <c r="AE87" s="1132"/>
      <c r="AF87" s="1132"/>
      <c r="AG87" s="45"/>
    </row>
    <row r="88" spans="1:33" s="100" customFormat="1" ht="21" customHeight="1">
      <c r="A88" s="739"/>
      <c r="B88" s="1101"/>
      <c r="C88" s="1091" t="s">
        <v>342</v>
      </c>
      <c r="D88" s="1091" t="s">
        <v>298</v>
      </c>
      <c r="E88" s="1091">
        <v>1</v>
      </c>
      <c r="F88" s="1091" t="s">
        <v>142</v>
      </c>
      <c r="G88" s="349">
        <f>M86</f>
        <v>0.33749999922671636</v>
      </c>
      <c r="H88" s="1091" t="s">
        <v>298</v>
      </c>
      <c r="I88" s="1378">
        <f>E88/G88</f>
        <v>2.9629629697517355</v>
      </c>
      <c r="J88" s="1378"/>
      <c r="K88" s="1091"/>
      <c r="L88" s="1091"/>
      <c r="M88" s="1091"/>
      <c r="N88" s="349"/>
      <c r="O88" s="1101"/>
      <c r="P88" s="1101"/>
      <c r="Q88" s="878"/>
      <c r="R88" s="1132"/>
      <c r="S88" s="1099"/>
      <c r="T88" s="1099"/>
      <c r="U88" s="1099"/>
      <c r="V88" s="1132"/>
      <c r="W88" s="1099"/>
      <c r="X88" s="342"/>
      <c r="Y88" s="342"/>
      <c r="Z88" s="1099"/>
      <c r="AA88" s="343"/>
      <c r="AB88" s="1132"/>
      <c r="AC88" s="1099"/>
      <c r="AD88" s="341"/>
      <c r="AE88" s="1132"/>
      <c r="AF88" s="1132"/>
      <c r="AG88" s="45"/>
    </row>
    <row r="89" spans="1:33" s="100" customFormat="1" ht="21" customHeight="1">
      <c r="A89" s="739"/>
      <c r="B89" s="1101"/>
      <c r="C89" s="1259" t="s">
        <v>344</v>
      </c>
      <c r="D89" s="1259"/>
      <c r="E89" s="1259"/>
      <c r="F89" s="1259"/>
      <c r="G89" s="1259"/>
      <c r="H89" s="1259"/>
      <c r="I89" s="1101"/>
      <c r="J89" s="348"/>
      <c r="K89" s="1101"/>
      <c r="L89" s="1101"/>
      <c r="M89" s="1101"/>
      <c r="N89" s="349"/>
      <c r="O89" s="1101"/>
      <c r="P89" s="1101"/>
      <c r="Q89" s="878"/>
      <c r="R89" s="1132"/>
      <c r="S89" s="1099"/>
      <c r="T89" s="1099"/>
      <c r="U89" s="1099"/>
      <c r="V89" s="1099"/>
      <c r="W89" s="1099"/>
      <c r="X89" s="1099"/>
      <c r="Y89" s="1099"/>
      <c r="Z89" s="340"/>
      <c r="AA89" s="1132"/>
      <c r="AB89" s="1132"/>
      <c r="AC89" s="1099"/>
      <c r="AD89" s="341"/>
      <c r="AE89" s="1132"/>
      <c r="AF89" s="1132"/>
      <c r="AG89" s="45"/>
    </row>
    <row r="90" spans="1:33" s="45" customFormat="1" ht="21" customHeight="1">
      <c r="A90" s="739"/>
      <c r="B90" s="1101"/>
      <c r="C90" s="1091" t="s">
        <v>345</v>
      </c>
      <c r="D90" s="1091" t="s">
        <v>298</v>
      </c>
      <c r="E90" s="1091" t="s">
        <v>342</v>
      </c>
      <c r="F90" s="1091" t="s">
        <v>51</v>
      </c>
      <c r="G90" s="309">
        <f>+K90/I88</f>
        <v>3.3749999922671639</v>
      </c>
      <c r="H90" s="1318" t="s">
        <v>346</v>
      </c>
      <c r="I90" s="1318"/>
      <c r="J90" s="1091" t="s">
        <v>298</v>
      </c>
      <c r="K90" s="1075">
        <v>10</v>
      </c>
      <c r="L90" s="510" t="s">
        <v>532</v>
      </c>
      <c r="M90" s="1091"/>
      <c r="N90" s="1091"/>
      <c r="O90" s="1091"/>
      <c r="P90" s="1091"/>
      <c r="Q90" s="878"/>
      <c r="R90" s="1132"/>
      <c r="S90" s="1099"/>
      <c r="T90" s="1099"/>
      <c r="U90" s="1099"/>
      <c r="V90" s="1099"/>
      <c r="W90" s="1099"/>
      <c r="X90" s="1099"/>
      <c r="Y90" s="345"/>
      <c r="Z90" s="345"/>
      <c r="AA90" s="1099"/>
      <c r="AB90" s="346"/>
      <c r="AC90" s="1132"/>
      <c r="AD90" s="1132"/>
      <c r="AE90" s="1132"/>
      <c r="AF90" s="1132"/>
    </row>
    <row r="91" spans="1:33" s="100" customFormat="1" ht="21" customHeight="1">
      <c r="A91" s="739"/>
      <c r="B91" s="1091" t="s">
        <v>330</v>
      </c>
      <c r="C91" s="511" t="s">
        <v>533</v>
      </c>
      <c r="D91" s="511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1101"/>
      <c r="P91" s="1101"/>
      <c r="Q91" s="878"/>
      <c r="R91" s="1099"/>
      <c r="S91" s="1127"/>
      <c r="T91" s="1127"/>
      <c r="U91" s="1127"/>
      <c r="V91" s="1127"/>
      <c r="W91" s="1127"/>
      <c r="X91" s="1127"/>
      <c r="Y91" s="1127"/>
      <c r="Z91" s="1127"/>
      <c r="AA91" s="1127"/>
      <c r="AB91" s="1127"/>
      <c r="AC91" s="1127"/>
      <c r="AD91" s="1127"/>
      <c r="AE91" s="1132"/>
      <c r="AF91" s="1132"/>
      <c r="AG91" s="45"/>
    </row>
    <row r="92" spans="1:33" s="100" customFormat="1" ht="21" customHeight="1">
      <c r="A92" s="739"/>
      <c r="B92" s="1101"/>
      <c r="C92" s="1091" t="s">
        <v>347</v>
      </c>
      <c r="D92" s="1091" t="s">
        <v>298</v>
      </c>
      <c r="E92" s="1091" t="s">
        <v>534</v>
      </c>
      <c r="F92" s="1091" t="s">
        <v>343</v>
      </c>
      <c r="G92" s="1091" t="s">
        <v>345</v>
      </c>
      <c r="H92" s="1091" t="s">
        <v>525</v>
      </c>
      <c r="I92" s="1091" t="s">
        <v>535</v>
      </c>
      <c r="J92" s="1091" t="s">
        <v>41</v>
      </c>
      <c r="K92" s="515">
        <v>1</v>
      </c>
      <c r="L92" s="1091" t="s">
        <v>142</v>
      </c>
      <c r="M92" s="1091" t="s">
        <v>348</v>
      </c>
      <c r="N92" s="349"/>
      <c r="O92" s="1101"/>
      <c r="P92" s="1101"/>
      <c r="Q92" s="878"/>
      <c r="R92" s="1132"/>
      <c r="S92" s="1099"/>
      <c r="T92" s="1099"/>
      <c r="U92" s="1132"/>
      <c r="V92" s="1099"/>
      <c r="W92" s="1132"/>
      <c r="X92" s="1099"/>
      <c r="Y92" s="1132"/>
      <c r="Z92" s="1099"/>
      <c r="AA92" s="347"/>
      <c r="AB92" s="1099"/>
      <c r="AC92" s="1132"/>
      <c r="AD92" s="341"/>
      <c r="AE92" s="1132"/>
      <c r="AF92" s="1132"/>
      <c r="AG92" s="45"/>
    </row>
    <row r="93" spans="1:33" s="100" customFormat="1" ht="21" customHeight="1">
      <c r="A93" s="739"/>
      <c r="B93" s="1101"/>
      <c r="C93" s="1091" t="s">
        <v>529</v>
      </c>
      <c r="D93" s="349" t="s">
        <v>536</v>
      </c>
      <c r="E93" s="349"/>
      <c r="F93" s="349"/>
      <c r="G93" s="349"/>
      <c r="H93" s="349"/>
      <c r="I93" s="349"/>
      <c r="J93" s="349"/>
      <c r="K93" s="349"/>
      <c r="L93" s="349"/>
      <c r="M93" s="516">
        <v>0.2</v>
      </c>
      <c r="N93" s="1091" t="s">
        <v>143</v>
      </c>
      <c r="O93" s="517"/>
      <c r="P93" s="1101"/>
      <c r="Q93" s="878"/>
      <c r="R93" s="342">
        <v>0.1</v>
      </c>
      <c r="S93" s="342" t="s">
        <v>292</v>
      </c>
      <c r="T93" s="342">
        <v>0.3</v>
      </c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1132"/>
      <c r="AF93" s="1132"/>
      <c r="AG93" s="45"/>
    </row>
    <row r="94" spans="1:33" s="100" customFormat="1" ht="21" customHeight="1">
      <c r="A94" s="739"/>
      <c r="B94" s="1101"/>
      <c r="C94" s="1101"/>
      <c r="D94" s="1091" t="s">
        <v>298</v>
      </c>
      <c r="E94" s="1091" t="s">
        <v>534</v>
      </c>
      <c r="F94" s="1091" t="s">
        <v>142</v>
      </c>
      <c r="G94" s="1091">
        <f>K90</f>
        <v>10</v>
      </c>
      <c r="H94" s="1091" t="s">
        <v>525</v>
      </c>
      <c r="I94" s="1152">
        <f>I87</f>
        <v>0.05</v>
      </c>
      <c r="J94" s="1091" t="s">
        <v>41</v>
      </c>
      <c r="K94" s="515">
        <v>1</v>
      </c>
      <c r="L94" s="1091" t="s">
        <v>142</v>
      </c>
      <c r="M94" s="1091">
        <f>M93</f>
        <v>0.2</v>
      </c>
      <c r="N94" s="514" t="s">
        <v>298</v>
      </c>
      <c r="O94" s="1086">
        <f>(1/G94+I94)*1/M94</f>
        <v>0.75000000000000011</v>
      </c>
      <c r="P94" s="1101" t="s">
        <v>486</v>
      </c>
      <c r="Q94" s="878"/>
      <c r="R94" s="1132"/>
      <c r="S94" s="1099"/>
      <c r="T94" s="1099"/>
      <c r="U94" s="1132"/>
      <c r="V94" s="1099"/>
      <c r="W94" s="1099"/>
      <c r="X94" s="1099"/>
      <c r="Y94" s="340"/>
      <c r="Z94" s="339"/>
      <c r="AA94" s="1099"/>
      <c r="AB94" s="342"/>
      <c r="AC94" s="1135"/>
      <c r="AD94" s="1132"/>
      <c r="AE94" s="1132"/>
      <c r="AF94" s="321"/>
      <c r="AG94" s="45"/>
    </row>
    <row r="95" spans="1:33" s="100" customFormat="1" ht="21" customHeight="1">
      <c r="A95" s="739"/>
      <c r="B95" s="1091" t="s">
        <v>53</v>
      </c>
      <c r="C95" s="511" t="s">
        <v>537</v>
      </c>
      <c r="D95" s="511"/>
      <c r="E95" s="511"/>
      <c r="F95" s="511"/>
      <c r="G95" s="1101"/>
      <c r="H95" s="1101"/>
      <c r="I95" s="1101"/>
      <c r="J95" s="348"/>
      <c r="K95" s="1101"/>
      <c r="L95" s="1101"/>
      <c r="M95" s="1101"/>
      <c r="N95" s="349"/>
      <c r="O95" s="1101"/>
      <c r="P95" s="1101"/>
      <c r="Q95" s="878"/>
      <c r="R95" s="1132"/>
      <c r="S95" s="1099"/>
      <c r="T95" s="1099"/>
      <c r="U95" s="1132"/>
      <c r="V95" s="1099"/>
      <c r="W95" s="1099"/>
      <c r="X95" s="1099"/>
      <c r="Y95" s="340"/>
      <c r="Z95" s="339"/>
      <c r="AA95" s="1099"/>
      <c r="AB95" s="342"/>
      <c r="AC95" s="1135"/>
      <c r="AD95" s="1132"/>
      <c r="AE95" s="1132"/>
      <c r="AF95" s="321"/>
      <c r="AG95" s="45"/>
    </row>
    <row r="96" spans="1:33" s="100" customFormat="1" ht="21" customHeight="1">
      <c r="A96" s="739"/>
      <c r="B96" s="1101"/>
      <c r="C96" s="1091" t="s">
        <v>347</v>
      </c>
      <c r="D96" s="1091" t="s">
        <v>298</v>
      </c>
      <c r="E96" s="1091" t="s">
        <v>349</v>
      </c>
      <c r="F96" s="1091" t="s">
        <v>51</v>
      </c>
      <c r="G96" s="1091" t="s">
        <v>488</v>
      </c>
      <c r="H96" s="1091" t="s">
        <v>350</v>
      </c>
      <c r="I96" s="1091" t="s">
        <v>351</v>
      </c>
      <c r="J96" s="1086" t="s">
        <v>328</v>
      </c>
      <c r="K96" s="1091" t="s">
        <v>489</v>
      </c>
      <c r="L96" s="1101"/>
      <c r="M96" s="1101"/>
      <c r="N96" s="349"/>
      <c r="O96" s="1101"/>
      <c r="P96" s="1101"/>
      <c r="Q96" s="878"/>
      <c r="R96" s="1132"/>
      <c r="S96" s="1099"/>
      <c r="T96" s="1099"/>
      <c r="U96" s="1132"/>
      <c r="V96" s="1099"/>
      <c r="W96" s="1099"/>
      <c r="X96" s="1099"/>
      <c r="Y96" s="340"/>
      <c r="Z96" s="339"/>
      <c r="AA96" s="1099"/>
      <c r="AB96" s="342"/>
      <c r="AC96" s="1135"/>
      <c r="AD96" s="1132"/>
      <c r="AE96" s="1132"/>
      <c r="AF96" s="321"/>
      <c r="AG96" s="45"/>
    </row>
    <row r="97" spans="1:33" s="100" customFormat="1" ht="21" customHeight="1">
      <c r="A97" s="739"/>
      <c r="B97" s="327"/>
      <c r="C97" s="1091" t="s">
        <v>488</v>
      </c>
      <c r="D97" s="1091" t="s">
        <v>298</v>
      </c>
      <c r="E97" s="1091" t="s">
        <v>352</v>
      </c>
      <c r="F97" s="1091" t="s">
        <v>51</v>
      </c>
      <c r="G97" s="1091" t="s">
        <v>353</v>
      </c>
      <c r="H97" s="1091" t="s">
        <v>343</v>
      </c>
      <c r="I97" s="1091" t="s">
        <v>349</v>
      </c>
      <c r="J97" s="1091" t="s">
        <v>330</v>
      </c>
      <c r="K97" s="1091" t="s">
        <v>354</v>
      </c>
      <c r="L97" s="1101"/>
      <c r="M97" s="1101"/>
      <c r="N97" s="348"/>
      <c r="O97" s="348"/>
      <c r="P97" s="1101"/>
      <c r="Q97" s="878"/>
      <c r="R97" s="1132"/>
      <c r="S97" s="1099"/>
      <c r="T97" s="1099"/>
      <c r="U97" s="1132"/>
      <c r="V97" s="1099"/>
      <c r="W97" s="1099"/>
      <c r="X97" s="1099"/>
      <c r="Y97" s="340"/>
      <c r="Z97" s="339"/>
      <c r="AA97" s="1099"/>
      <c r="AB97" s="342"/>
      <c r="AC97" s="1135"/>
      <c r="AD97" s="1132"/>
      <c r="AE97" s="1132"/>
      <c r="AF97" s="321"/>
      <c r="AG97" s="45"/>
    </row>
    <row r="98" spans="1:33" s="100" customFormat="1" ht="21" customHeight="1">
      <c r="A98" s="739"/>
      <c r="B98" s="1101"/>
      <c r="C98" s="1101" t="s">
        <v>538</v>
      </c>
      <c r="D98" s="1101"/>
      <c r="E98" s="1101"/>
      <c r="F98" s="1101"/>
      <c r="G98" s="1101"/>
      <c r="H98" s="1318" t="s">
        <v>355</v>
      </c>
      <c r="I98" s="1318"/>
      <c r="J98" s="1086">
        <f>N84/M93</f>
        <v>1.9374999961335817</v>
      </c>
      <c r="K98" s="1091" t="s">
        <v>486</v>
      </c>
      <c r="L98" s="1101"/>
      <c r="M98" s="1101"/>
      <c r="N98" s="1101"/>
      <c r="O98" s="1101"/>
      <c r="P98" s="1101"/>
      <c r="Q98" s="878"/>
      <c r="R98" s="1132"/>
      <c r="S98" s="1099"/>
      <c r="T98" s="344"/>
      <c r="U98" s="1132"/>
      <c r="V98" s="1099"/>
      <c r="W98" s="1099"/>
      <c r="X98" s="1099"/>
      <c r="Y98" s="340"/>
      <c r="Z98" s="339"/>
      <c r="AA98" s="1099"/>
      <c r="AB98" s="342"/>
      <c r="AC98" s="1135"/>
      <c r="AD98" s="1132"/>
      <c r="AE98" s="1132"/>
      <c r="AF98" s="321"/>
      <c r="AG98" s="45"/>
    </row>
    <row r="99" spans="1:33" s="100" customFormat="1" ht="21" customHeight="1">
      <c r="A99" s="739"/>
      <c r="B99" s="322" t="s">
        <v>356</v>
      </c>
      <c r="C99" s="1101" t="s">
        <v>539</v>
      </c>
      <c r="D99" s="1101"/>
      <c r="E99" s="1101" t="s">
        <v>351</v>
      </c>
      <c r="F99" s="1091" t="s">
        <v>298</v>
      </c>
      <c r="G99" s="1101" t="s">
        <v>566</v>
      </c>
      <c r="H99" s="1101"/>
      <c r="I99" s="1101"/>
      <c r="J99" s="1091" t="s">
        <v>298</v>
      </c>
      <c r="K99" s="412">
        <f>10^(0.051*K80-1.158)</f>
        <v>0.72777980453682412</v>
      </c>
      <c r="L99" s="411"/>
      <c r="M99" s="1101"/>
      <c r="N99" s="1101"/>
      <c r="O99" s="1101"/>
      <c r="P99" s="1101"/>
      <c r="Q99" s="878"/>
      <c r="R99" s="1132"/>
      <c r="S99" s="1099"/>
      <c r="T99" s="1099"/>
      <c r="U99" s="1132"/>
      <c r="V99" s="1099"/>
      <c r="W99" s="1099"/>
      <c r="X99" s="1099"/>
      <c r="Y99" s="340"/>
      <c r="Z99" s="339"/>
      <c r="AA99" s="1099"/>
      <c r="AB99" s="342"/>
      <c r="AC99" s="1135"/>
      <c r="AD99" s="1132"/>
      <c r="AE99" s="1132"/>
      <c r="AF99" s="321"/>
      <c r="AG99" s="45"/>
    </row>
    <row r="100" spans="1:33" s="100" customFormat="1" ht="21" customHeight="1">
      <c r="A100" s="739"/>
      <c r="B100" s="1101"/>
      <c r="C100" s="1101"/>
      <c r="D100" s="1091" t="s">
        <v>298</v>
      </c>
      <c r="E100" s="348">
        <f>O94</f>
        <v>0.75000000000000011</v>
      </c>
      <c r="F100" s="1091" t="s">
        <v>51</v>
      </c>
      <c r="G100" s="1086">
        <f>K99</f>
        <v>0.72777980453682412</v>
      </c>
      <c r="H100" s="1091" t="s">
        <v>142</v>
      </c>
      <c r="I100" s="1086">
        <f>J98</f>
        <v>1.9374999961335817</v>
      </c>
      <c r="J100" s="1091" t="s">
        <v>330</v>
      </c>
      <c r="K100" s="1086">
        <f>O94</f>
        <v>0.75000000000000011</v>
      </c>
      <c r="L100" s="1091" t="s">
        <v>30</v>
      </c>
      <c r="M100" s="413">
        <f>(E100*G100)/(I100-K100)</f>
        <v>0.45965040436195276</v>
      </c>
      <c r="N100" s="1091" t="s">
        <v>540</v>
      </c>
      <c r="O100" s="1101"/>
      <c r="P100" s="1101"/>
      <c r="Q100" s="884"/>
      <c r="R100" s="1132"/>
      <c r="S100" s="1099"/>
      <c r="T100" s="1099"/>
      <c r="U100" s="1132"/>
      <c r="V100" s="1099"/>
      <c r="W100" s="1099"/>
      <c r="X100" s="1099"/>
      <c r="Y100" s="340"/>
      <c r="Z100" s="339"/>
      <c r="AA100" s="1099"/>
      <c r="AB100" s="342"/>
      <c r="AC100" s="1135"/>
      <c r="AD100" s="1132"/>
      <c r="AE100" s="1132"/>
      <c r="AF100" s="321"/>
      <c r="AG100" s="45"/>
    </row>
    <row r="101" spans="1:33" s="112" customFormat="1" ht="21" customHeight="1">
      <c r="A101" s="1116" t="s">
        <v>357</v>
      </c>
      <c r="B101" s="1106"/>
      <c r="C101" s="1260" t="s">
        <v>358</v>
      </c>
      <c r="D101" s="1260"/>
      <c r="E101" s="1379">
        <f>'설계기준(설계치12)'!K14</f>
        <v>3000</v>
      </c>
      <c r="F101" s="1379"/>
      <c r="G101" s="1260" t="s">
        <v>359</v>
      </c>
      <c r="H101" s="1260"/>
      <c r="I101" s="1260"/>
      <c r="J101" s="1379">
        <f>물질수지!U40</f>
        <v>8000</v>
      </c>
      <c r="K101" s="1379"/>
      <c r="L101" s="1091"/>
      <c r="M101" s="1091"/>
      <c r="N101" s="410"/>
      <c r="O101" s="1101"/>
      <c r="P101" s="1101"/>
      <c r="Q101" s="884"/>
      <c r="R101" s="1296"/>
      <c r="S101" s="1296"/>
      <c r="T101" s="1294"/>
      <c r="U101" s="1294"/>
      <c r="V101" s="1295"/>
      <c r="W101" s="1127"/>
      <c r="X101" s="1296"/>
      <c r="Y101" s="1296"/>
      <c r="Z101" s="1296"/>
      <c r="AA101" s="1311"/>
      <c r="AB101" s="1311"/>
      <c r="AC101" s="1295"/>
      <c r="AD101" s="351"/>
      <c r="AE101" s="1099"/>
      <c r="AF101" s="1099"/>
      <c r="AG101" s="1111"/>
    </row>
    <row r="102" spans="1:33" s="112" customFormat="1" ht="21" customHeight="1">
      <c r="A102" s="1116" t="s">
        <v>360</v>
      </c>
      <c r="B102" s="1101"/>
      <c r="C102" s="1278">
        <f>J101</f>
        <v>8000</v>
      </c>
      <c r="D102" s="1260"/>
      <c r="E102" s="1091" t="s">
        <v>51</v>
      </c>
      <c r="F102" s="1260" t="s">
        <v>361</v>
      </c>
      <c r="G102" s="1260"/>
      <c r="H102" s="1260" t="s">
        <v>298</v>
      </c>
      <c r="I102" s="1278">
        <f>E101</f>
        <v>3000</v>
      </c>
      <c r="J102" s="1260"/>
      <c r="K102" s="1259" t="s">
        <v>362</v>
      </c>
      <c r="L102" s="1101"/>
      <c r="M102" s="1101"/>
      <c r="N102" s="1101"/>
      <c r="O102" s="1101"/>
      <c r="P102" s="1101"/>
      <c r="Q102" s="884"/>
      <c r="R102" s="1099"/>
      <c r="S102" s="1297"/>
      <c r="T102" s="1269"/>
      <c r="U102" s="1099"/>
      <c r="V102" s="1269"/>
      <c r="W102" s="1269"/>
      <c r="X102" s="1269"/>
      <c r="Y102" s="1297"/>
      <c r="Z102" s="1269"/>
      <c r="AA102" s="1269"/>
      <c r="AB102" s="1099"/>
      <c r="AC102" s="1099"/>
      <c r="AD102" s="1099"/>
      <c r="AE102" s="1099"/>
      <c r="AF102" s="1099"/>
      <c r="AG102" s="1111"/>
    </row>
    <row r="103" spans="1:33" s="112" customFormat="1" ht="21" customHeight="1">
      <c r="A103" s="859"/>
      <c r="B103" s="1101"/>
      <c r="C103" s="1260" t="s">
        <v>361</v>
      </c>
      <c r="D103" s="1260"/>
      <c r="E103" s="1091" t="s">
        <v>328</v>
      </c>
      <c r="F103" s="1260">
        <v>1</v>
      </c>
      <c r="G103" s="1260"/>
      <c r="H103" s="1260"/>
      <c r="I103" s="1260"/>
      <c r="J103" s="1260"/>
      <c r="K103" s="1259"/>
      <c r="L103" s="1101"/>
      <c r="M103" s="1101"/>
      <c r="N103" s="1101"/>
      <c r="O103" s="1101"/>
      <c r="P103" s="1101"/>
      <c r="Q103" s="884"/>
      <c r="R103" s="1099"/>
      <c r="S103" s="1269"/>
      <c r="T103" s="1269"/>
      <c r="U103" s="1099"/>
      <c r="V103" s="1269"/>
      <c r="W103" s="1269"/>
      <c r="X103" s="1269"/>
      <c r="Y103" s="1269"/>
      <c r="Z103" s="1269"/>
      <c r="AA103" s="1269"/>
      <c r="AB103" s="1099"/>
      <c r="AC103" s="1099"/>
      <c r="AD103" s="1099"/>
      <c r="AE103" s="1099"/>
      <c r="AF103" s="1099"/>
      <c r="AG103" s="1111"/>
    </row>
    <row r="104" spans="1:33" s="112" customFormat="1" ht="21" customHeight="1">
      <c r="A104" s="859"/>
      <c r="B104" s="1101"/>
      <c r="C104" s="1260" t="s">
        <v>361</v>
      </c>
      <c r="D104" s="1260"/>
      <c r="E104" s="1259" t="s">
        <v>298</v>
      </c>
      <c r="F104" s="1278">
        <f>I102</f>
        <v>3000</v>
      </c>
      <c r="G104" s="1260"/>
      <c r="H104" s="1260"/>
      <c r="I104" s="1260"/>
      <c r="J104" s="1260"/>
      <c r="K104" s="1260" t="s">
        <v>298</v>
      </c>
      <c r="L104" s="1270">
        <f>F104/(F105-I105)</f>
        <v>0.6</v>
      </c>
      <c r="M104" s="1270"/>
      <c r="N104" s="1101"/>
      <c r="O104" s="1101"/>
      <c r="P104" s="1101"/>
      <c r="Q104" s="884"/>
      <c r="R104" s="1099"/>
      <c r="S104" s="1269"/>
      <c r="T104" s="1269"/>
      <c r="U104" s="1269"/>
      <c r="V104" s="1297"/>
      <c r="W104" s="1269"/>
      <c r="X104" s="1269"/>
      <c r="Y104" s="1269"/>
      <c r="Z104" s="1269"/>
      <c r="AA104" s="1269"/>
      <c r="AB104" s="1309"/>
      <c r="AC104" s="1309"/>
      <c r="AD104" s="1099"/>
      <c r="AE104" s="1099"/>
      <c r="AF104" s="1099"/>
      <c r="AG104" s="1111"/>
    </row>
    <row r="105" spans="1:33" s="112" customFormat="1" ht="21" customHeight="1">
      <c r="A105" s="1119"/>
      <c r="B105" s="1123"/>
      <c r="C105" s="1321"/>
      <c r="D105" s="1321"/>
      <c r="E105" s="1380"/>
      <c r="F105" s="1391">
        <f>C102</f>
        <v>8000</v>
      </c>
      <c r="G105" s="1392"/>
      <c r="H105" s="1122" t="s">
        <v>330</v>
      </c>
      <c r="I105" s="1391">
        <f>I102</f>
        <v>3000</v>
      </c>
      <c r="J105" s="1392"/>
      <c r="K105" s="1321"/>
      <c r="L105" s="1312"/>
      <c r="M105" s="1312"/>
      <c r="N105" s="1123"/>
      <c r="O105" s="1123"/>
      <c r="P105" s="1123"/>
      <c r="Q105" s="882"/>
      <c r="R105" s="1099"/>
      <c r="S105" s="1269"/>
      <c r="T105" s="1269"/>
      <c r="U105" s="1269"/>
      <c r="V105" s="1297"/>
      <c r="W105" s="1269"/>
      <c r="X105" s="1099"/>
      <c r="Y105" s="1297"/>
      <c r="Z105" s="1269"/>
      <c r="AA105" s="1269"/>
      <c r="AB105" s="1309"/>
      <c r="AC105" s="1309"/>
      <c r="AD105" s="1099"/>
      <c r="AE105" s="1099"/>
      <c r="AF105" s="1099"/>
      <c r="AG105" s="1111"/>
    </row>
    <row r="106" spans="1:33" s="112" customFormat="1" ht="21" customHeight="1">
      <c r="A106" s="858" t="s">
        <v>363</v>
      </c>
      <c r="B106" s="1139"/>
      <c r="C106" s="1319" t="s">
        <v>364</v>
      </c>
      <c r="D106" s="1319"/>
      <c r="E106" s="1397" t="s">
        <v>298</v>
      </c>
      <c r="F106" s="1105" t="s">
        <v>365</v>
      </c>
      <c r="G106" s="1105" t="s">
        <v>51</v>
      </c>
      <c r="H106" s="1319" t="s">
        <v>490</v>
      </c>
      <c r="I106" s="1319"/>
      <c r="J106" s="1319" t="s">
        <v>330</v>
      </c>
      <c r="K106" s="1319">
        <v>1</v>
      </c>
      <c r="L106" s="1139"/>
      <c r="M106" s="1139"/>
      <c r="N106" s="1139"/>
      <c r="O106" s="1139"/>
      <c r="P106" s="1139"/>
      <c r="Q106" s="883"/>
      <c r="R106" s="1099"/>
      <c r="S106" s="1269"/>
      <c r="T106" s="1269"/>
      <c r="U106" s="1269"/>
      <c r="V106" s="1099"/>
      <c r="W106" s="1099"/>
      <c r="X106" s="1269"/>
      <c r="Y106" s="1269"/>
      <c r="Z106" s="1269"/>
      <c r="AA106" s="1269"/>
      <c r="AB106" s="1099"/>
      <c r="AC106" s="1099"/>
      <c r="AD106" s="1099"/>
      <c r="AE106" s="1099"/>
      <c r="AF106" s="1099"/>
      <c r="AG106" s="1111"/>
    </row>
    <row r="107" spans="1:33" s="112" customFormat="1" ht="21" customHeight="1">
      <c r="A107" s="1116" t="s">
        <v>366</v>
      </c>
      <c r="B107" s="1101"/>
      <c r="C107" s="1260"/>
      <c r="D107" s="1260"/>
      <c r="E107" s="1259"/>
      <c r="F107" s="1319" t="s">
        <v>491</v>
      </c>
      <c r="G107" s="1319"/>
      <c r="H107" s="1319"/>
      <c r="I107" s="1319"/>
      <c r="J107" s="1260"/>
      <c r="K107" s="1260"/>
      <c r="L107" s="1101"/>
      <c r="M107" s="1101"/>
      <c r="N107" s="1101"/>
      <c r="O107" s="1101"/>
      <c r="P107" s="1101"/>
      <c r="Q107" s="884"/>
      <c r="R107" s="1099"/>
      <c r="S107" s="1269"/>
      <c r="T107" s="1269"/>
      <c r="U107" s="1269"/>
      <c r="V107" s="1269"/>
      <c r="W107" s="1269"/>
      <c r="X107" s="1269"/>
      <c r="Y107" s="1269"/>
      <c r="Z107" s="1269"/>
      <c r="AA107" s="1269"/>
      <c r="AB107" s="1099"/>
      <c r="AC107" s="1099"/>
      <c r="AD107" s="1099"/>
      <c r="AE107" s="1099"/>
      <c r="AF107" s="1099"/>
      <c r="AG107" s="1111"/>
    </row>
    <row r="108" spans="1:33" s="112" customFormat="1" ht="21" customHeight="1">
      <c r="A108" s="1116"/>
      <c r="B108" s="1101"/>
      <c r="C108" s="1101"/>
      <c r="D108" s="1101" t="s">
        <v>367</v>
      </c>
      <c r="E108" s="1101"/>
      <c r="F108" s="1101" t="s">
        <v>541</v>
      </c>
      <c r="G108" s="1101"/>
      <c r="H108" s="1101"/>
      <c r="I108" s="1101"/>
      <c r="J108" s="1101"/>
      <c r="K108" s="1101"/>
      <c r="L108" s="1101"/>
      <c r="M108" s="1101"/>
      <c r="N108" s="1101"/>
      <c r="O108" s="1101"/>
      <c r="P108" s="1101"/>
      <c r="Q108" s="884"/>
      <c r="R108" s="1099"/>
      <c r="S108" s="1099"/>
      <c r="T108" s="1127"/>
      <c r="U108" s="1099"/>
      <c r="V108" s="1127"/>
      <c r="W108" s="1099"/>
      <c r="X108" s="1099"/>
      <c r="Y108" s="1099"/>
      <c r="Z108" s="1099"/>
      <c r="AA108" s="1099"/>
      <c r="AB108" s="1099"/>
      <c r="AC108" s="1099"/>
      <c r="AD108" s="1099"/>
      <c r="AE108" s="1099"/>
      <c r="AF108" s="1099"/>
      <c r="AG108" s="1111"/>
    </row>
    <row r="109" spans="1:33" s="112" customFormat="1" ht="21" customHeight="1">
      <c r="A109" s="1116"/>
      <c r="B109" s="1101"/>
      <c r="C109" s="1101"/>
      <c r="D109" s="1101"/>
      <c r="E109" s="1101"/>
      <c r="F109" s="1101" t="s">
        <v>542</v>
      </c>
      <c r="G109" s="1101"/>
      <c r="H109" s="1101"/>
      <c r="I109" s="1101"/>
      <c r="J109" s="1101"/>
      <c r="K109" s="1101"/>
      <c r="L109" s="1101"/>
      <c r="M109" s="1101"/>
      <c r="N109" s="1101"/>
      <c r="O109" s="1101"/>
      <c r="P109" s="1101"/>
      <c r="Q109" s="884"/>
      <c r="R109" s="1099"/>
      <c r="S109" s="1099"/>
      <c r="T109" s="1099"/>
      <c r="U109" s="1099"/>
      <c r="V109" s="1127"/>
      <c r="W109" s="1099"/>
      <c r="X109" s="1099"/>
      <c r="Y109" s="1099"/>
      <c r="Z109" s="1099"/>
      <c r="AA109" s="1099"/>
      <c r="AB109" s="1099"/>
      <c r="AC109" s="1099"/>
      <c r="AD109" s="1099"/>
      <c r="AE109" s="1099"/>
      <c r="AF109" s="1099"/>
      <c r="AG109" s="1111"/>
    </row>
    <row r="110" spans="1:33" s="112" customFormat="1" ht="21" customHeight="1">
      <c r="A110" s="1116"/>
      <c r="B110" s="1101"/>
      <c r="C110" s="1101"/>
      <c r="D110" s="1101"/>
      <c r="E110" s="1101"/>
      <c r="F110" s="1101" t="s">
        <v>543</v>
      </c>
      <c r="G110" s="1101"/>
      <c r="H110" s="1101"/>
      <c r="I110" s="1101"/>
      <c r="J110" s="1101"/>
      <c r="K110" s="1101"/>
      <c r="L110" s="1101"/>
      <c r="M110" s="1101"/>
      <c r="N110" s="1101"/>
      <c r="O110" s="1101"/>
      <c r="P110" s="1101"/>
      <c r="Q110" s="884"/>
      <c r="R110" s="1099"/>
      <c r="S110" s="1099"/>
      <c r="T110" s="1099"/>
      <c r="U110" s="1099"/>
      <c r="V110" s="1127"/>
      <c r="W110" s="1099"/>
      <c r="X110" s="1099"/>
      <c r="Y110" s="1099"/>
      <c r="Z110" s="1099"/>
      <c r="AA110" s="1099"/>
      <c r="AB110" s="1099"/>
      <c r="AC110" s="1099"/>
      <c r="AD110" s="1099"/>
      <c r="AE110" s="1099"/>
      <c r="AF110" s="1099"/>
      <c r="AG110" s="1111"/>
    </row>
    <row r="111" spans="1:33" s="1111" customFormat="1" ht="21" customHeight="1">
      <c r="A111" s="859"/>
      <c r="B111" s="1101"/>
      <c r="C111" s="1260" t="s">
        <v>364</v>
      </c>
      <c r="D111" s="1260"/>
      <c r="E111" s="1259" t="s">
        <v>298</v>
      </c>
      <c r="F111" s="407">
        <v>0.8</v>
      </c>
      <c r="G111" s="1091" t="s">
        <v>51</v>
      </c>
      <c r="H111" s="464">
        <f>'설계기준(설계치12)'!F10</f>
        <v>59.954999999999998</v>
      </c>
      <c r="I111" s="1260" t="s">
        <v>330</v>
      </c>
      <c r="J111" s="1260">
        <v>1</v>
      </c>
      <c r="K111" s="1260" t="s">
        <v>298</v>
      </c>
      <c r="L111" s="1270">
        <f>(F111*H111/F112)-J111</f>
        <v>1.3982000000000001</v>
      </c>
      <c r="M111" s="1270"/>
      <c r="N111" s="354"/>
      <c r="O111" s="1101"/>
      <c r="P111" s="1101"/>
      <c r="Q111" s="884"/>
      <c r="R111" s="1099"/>
      <c r="S111" s="1269" t="s">
        <v>838</v>
      </c>
      <c r="T111" s="1269"/>
      <c r="U111" s="1269"/>
      <c r="V111" s="1099"/>
      <c r="W111" s="1099"/>
      <c r="X111" s="1300"/>
      <c r="Y111" s="1269"/>
      <c r="Z111" s="1269"/>
      <c r="AA111" s="1269"/>
      <c r="AB111" s="1269"/>
      <c r="AC111" s="1269"/>
      <c r="AD111" s="1269"/>
      <c r="AE111" s="1099"/>
      <c r="AF111" s="1099"/>
    </row>
    <row r="112" spans="1:33" s="1111" customFormat="1" ht="21" customHeight="1">
      <c r="A112" s="859"/>
      <c r="B112" s="1101"/>
      <c r="C112" s="1260"/>
      <c r="D112" s="1260"/>
      <c r="E112" s="1259"/>
      <c r="F112" s="1393">
        <f>'설계기준(설계치12)'!J10</f>
        <v>20</v>
      </c>
      <c r="G112" s="1393"/>
      <c r="H112" s="1393"/>
      <c r="I112" s="1260"/>
      <c r="J112" s="1260"/>
      <c r="K112" s="1260"/>
      <c r="L112" s="1270"/>
      <c r="M112" s="1270"/>
      <c r="N112" s="354"/>
      <c r="O112" s="1101"/>
      <c r="P112" s="1101"/>
      <c r="Q112" s="884"/>
      <c r="R112" s="1099"/>
      <c r="S112" s="1269"/>
      <c r="T112" s="1269"/>
      <c r="U112" s="1269"/>
      <c r="V112" s="1302"/>
      <c r="W112" s="1269"/>
      <c r="X112" s="1269"/>
      <c r="Y112" s="1269"/>
      <c r="Z112" s="1269"/>
      <c r="AA112" s="1269"/>
      <c r="AB112" s="1269"/>
      <c r="AC112" s="1269"/>
      <c r="AD112" s="1269"/>
      <c r="AE112" s="1099"/>
      <c r="AF112" s="1099"/>
    </row>
    <row r="113" spans="1:33" s="1111" customFormat="1" ht="21" customHeight="1">
      <c r="A113" s="1116" t="s">
        <v>368</v>
      </c>
      <c r="B113" s="1389" t="s">
        <v>369</v>
      </c>
      <c r="C113" s="1390"/>
      <c r="D113" s="1390"/>
      <c r="E113" s="1390"/>
      <c r="F113" s="1101"/>
      <c r="G113" s="1091" t="s">
        <v>298</v>
      </c>
      <c r="H113" s="1418">
        <f>H114-H115</f>
        <v>49.32</v>
      </c>
      <c r="I113" s="1418"/>
      <c r="J113" s="1101"/>
      <c r="K113" s="1101"/>
      <c r="L113" s="1101"/>
      <c r="M113" s="1101"/>
      <c r="N113" s="1101"/>
      <c r="O113" s="1101"/>
      <c r="P113" s="1101"/>
      <c r="Q113" s="884"/>
      <c r="R113" s="1127"/>
      <c r="S113" s="1127"/>
      <c r="T113" s="1127"/>
      <c r="U113" s="1127"/>
      <c r="V113" s="1127"/>
      <c r="W113" s="1099"/>
      <c r="X113" s="1301"/>
      <c r="Y113" s="1301"/>
      <c r="Z113" s="1265"/>
      <c r="AA113" s="1127"/>
      <c r="AB113" s="1099"/>
      <c r="AC113" s="1099"/>
      <c r="AD113" s="1099"/>
      <c r="AE113" s="1099"/>
      <c r="AF113" s="1099"/>
    </row>
    <row r="114" spans="1:33" s="1111" customFormat="1" ht="21" customHeight="1">
      <c r="A114" s="1116"/>
      <c r="B114" s="1153" t="s">
        <v>330</v>
      </c>
      <c r="C114" s="1259" t="s">
        <v>370</v>
      </c>
      <c r="D114" s="1259"/>
      <c r="E114" s="1259"/>
      <c r="F114" s="1259"/>
      <c r="G114" s="1091" t="s">
        <v>30</v>
      </c>
      <c r="H114" s="1271">
        <f>'설계기준(설계치12)'!F10</f>
        <v>59.954999999999998</v>
      </c>
      <c r="I114" s="1271"/>
      <c r="J114" s="1101"/>
      <c r="K114" s="1101"/>
      <c r="L114" s="1101"/>
      <c r="M114" s="1101"/>
      <c r="N114" s="1101"/>
      <c r="O114" s="1101"/>
      <c r="P114" s="1101"/>
      <c r="Q114" s="884"/>
      <c r="R114" s="1147"/>
      <c r="S114" s="1265"/>
      <c r="T114" s="1265"/>
      <c r="U114" s="1265"/>
      <c r="V114" s="1265"/>
      <c r="W114" s="1265"/>
      <c r="X114" s="1099"/>
      <c r="Y114" s="1338"/>
      <c r="Z114" s="1265"/>
      <c r="AA114" s="1265"/>
      <c r="AB114" s="1099"/>
      <c r="AC114" s="1099"/>
      <c r="AD114" s="1099"/>
      <c r="AE114" s="1099"/>
      <c r="AF114" s="1099"/>
    </row>
    <row r="115" spans="1:33" s="1111" customFormat="1" ht="21" customHeight="1">
      <c r="A115" s="859"/>
      <c r="B115" s="1153" t="s">
        <v>330</v>
      </c>
      <c r="C115" s="1259" t="s">
        <v>371</v>
      </c>
      <c r="D115" s="1259"/>
      <c r="E115" s="1259"/>
      <c r="F115" s="1259"/>
      <c r="G115" s="1091" t="s">
        <v>30</v>
      </c>
      <c r="H115" s="1271">
        <f>H116*0.05</f>
        <v>10.635</v>
      </c>
      <c r="I115" s="1271"/>
      <c r="J115" s="1107"/>
      <c r="K115" s="1101"/>
      <c r="L115" s="1101"/>
      <c r="M115" s="1101"/>
      <c r="N115" s="1101"/>
      <c r="O115" s="1101"/>
      <c r="P115" s="1101"/>
      <c r="Q115" s="884"/>
      <c r="R115" s="1147"/>
      <c r="S115" s="1265"/>
      <c r="T115" s="1265"/>
      <c r="U115" s="1265"/>
      <c r="V115" s="1265"/>
      <c r="W115" s="1265"/>
      <c r="X115" s="1099"/>
      <c r="Y115" s="1342"/>
      <c r="Z115" s="1342"/>
      <c r="AA115" s="1342"/>
      <c r="AB115" s="1099"/>
      <c r="AC115" s="1099"/>
      <c r="AD115" s="1099"/>
      <c r="AE115" s="1099"/>
      <c r="AF115" s="1099"/>
    </row>
    <row r="116" spans="1:33" s="1111" customFormat="1" ht="21" customHeight="1">
      <c r="A116" s="859"/>
      <c r="B116" s="1153" t="s">
        <v>330</v>
      </c>
      <c r="C116" s="1257" t="s">
        <v>372</v>
      </c>
      <c r="D116" s="1257"/>
      <c r="E116" s="1257"/>
      <c r="F116" s="1257"/>
      <c r="G116" s="1091" t="s">
        <v>30</v>
      </c>
      <c r="H116" s="1271">
        <f>'설계기준(설계치12)'!F7-'설계기준(설계치12)'!J7</f>
        <v>212.7</v>
      </c>
      <c r="I116" s="1271"/>
      <c r="J116" s="1101"/>
      <c r="K116" s="1101"/>
      <c r="L116" s="1101"/>
      <c r="M116" s="1259"/>
      <c r="N116" s="1259"/>
      <c r="O116" s="1101"/>
      <c r="P116" s="1101"/>
      <c r="Q116" s="884"/>
      <c r="R116" s="1147"/>
      <c r="S116" s="1269"/>
      <c r="T116" s="1269"/>
      <c r="U116" s="1269"/>
      <c r="V116" s="1099"/>
      <c r="W116" s="1343"/>
      <c r="X116" s="1343"/>
      <c r="Y116" s="1265"/>
      <c r="Z116" s="1127"/>
      <c r="AA116" s="1099"/>
      <c r="AB116" s="1099"/>
      <c r="AC116" s="1099"/>
      <c r="AD116" s="1099"/>
      <c r="AE116" s="1099"/>
      <c r="AF116" s="1099"/>
    </row>
    <row r="117" spans="1:33" s="1111" customFormat="1" ht="21" customHeight="1">
      <c r="A117" s="859"/>
      <c r="B117" s="1389" t="s">
        <v>544</v>
      </c>
      <c r="C117" s="1390"/>
      <c r="D117" s="1390"/>
      <c r="E117" s="1390"/>
      <c r="F117" s="1101"/>
      <c r="G117" s="1091" t="s">
        <v>298</v>
      </c>
      <c r="H117" s="1271">
        <f>'설계기준(설계치12)'!J10</f>
        <v>20</v>
      </c>
      <c r="I117" s="1271"/>
      <c r="J117" s="1101"/>
      <c r="K117" s="1101"/>
      <c r="L117" s="1101"/>
      <c r="M117" s="357"/>
      <c r="N117" s="357"/>
      <c r="O117" s="357"/>
      <c r="P117" s="1101"/>
      <c r="Q117" s="884"/>
      <c r="R117" s="1127"/>
      <c r="S117" s="1127"/>
      <c r="T117" s="1127"/>
      <c r="U117" s="1127"/>
      <c r="V117" s="1099"/>
      <c r="W117" s="1341"/>
      <c r="X117" s="1295"/>
      <c r="Y117" s="1127"/>
      <c r="Z117" s="1099"/>
      <c r="AA117" s="1099"/>
      <c r="AB117" s="1099"/>
      <c r="AC117" s="1099"/>
      <c r="AD117" s="1099"/>
      <c r="AE117" s="1099"/>
      <c r="AF117" s="1099"/>
    </row>
    <row r="118" spans="1:33" s="112" customFormat="1" ht="21" customHeight="1">
      <c r="A118" s="859"/>
      <c r="B118" s="1153" t="s">
        <v>330</v>
      </c>
      <c r="C118" s="1257" t="s">
        <v>492</v>
      </c>
      <c r="D118" s="1257"/>
      <c r="E118" s="1257"/>
      <c r="F118" s="1257"/>
      <c r="G118" s="1091" t="s">
        <v>298</v>
      </c>
      <c r="H118" s="1271">
        <f>K121/(G119+K122+K123)</f>
        <v>19.728000000000002</v>
      </c>
      <c r="I118" s="1271"/>
      <c r="J118" s="356"/>
      <c r="K118" s="1107"/>
      <c r="L118" s="1101"/>
      <c r="M118" s="1423"/>
      <c r="N118" s="1423"/>
      <c r="O118" s="1423"/>
      <c r="P118" s="1101"/>
      <c r="Q118" s="884"/>
      <c r="R118" s="1147"/>
      <c r="S118" s="1265"/>
      <c r="T118" s="1265"/>
      <c r="U118" s="1265"/>
      <c r="V118" s="1265"/>
      <c r="W118" s="1265"/>
      <c r="X118" s="1099"/>
      <c r="Y118" s="1265"/>
      <c r="Z118" s="1265"/>
      <c r="AA118" s="1340"/>
      <c r="AB118" s="1099"/>
      <c r="AC118" s="1099"/>
      <c r="AD118" s="1099"/>
      <c r="AE118" s="1099"/>
      <c r="AF118" s="1099"/>
      <c r="AG118" s="1111"/>
    </row>
    <row r="119" spans="1:33" s="112" customFormat="1" ht="21" customHeight="1">
      <c r="A119" s="859"/>
      <c r="B119" s="322"/>
      <c r="C119" s="1091" t="s">
        <v>373</v>
      </c>
      <c r="D119" s="1101" t="s">
        <v>298</v>
      </c>
      <c r="E119" s="1091" t="s">
        <v>493</v>
      </c>
      <c r="F119" s="1091" t="s">
        <v>327</v>
      </c>
      <c r="G119" s="1091">
        <v>1</v>
      </c>
      <c r="H119" s="1091" t="s">
        <v>328</v>
      </c>
      <c r="I119" s="1091" t="s">
        <v>361</v>
      </c>
      <c r="J119" s="1091" t="s">
        <v>328</v>
      </c>
      <c r="K119" s="1091" t="s">
        <v>374</v>
      </c>
      <c r="L119" s="1101"/>
      <c r="M119" s="1101"/>
      <c r="N119" s="1101"/>
      <c r="O119" s="1101"/>
      <c r="P119" s="1101"/>
      <c r="Q119" s="884"/>
      <c r="R119" s="1099"/>
      <c r="S119" s="1099"/>
      <c r="T119" s="1099"/>
      <c r="U119" s="1099"/>
      <c r="V119" s="1099"/>
      <c r="W119" s="1099"/>
      <c r="X119" s="1099"/>
      <c r="Y119" s="1099"/>
      <c r="Z119" s="1099"/>
      <c r="AA119" s="1099"/>
      <c r="AB119" s="1099"/>
      <c r="AC119" s="1099"/>
      <c r="AD119" s="1099"/>
      <c r="AE119" s="1099"/>
      <c r="AF119" s="1099"/>
      <c r="AG119" s="1111"/>
    </row>
    <row r="120" spans="1:33" s="112" customFormat="1" ht="21" customHeight="1">
      <c r="A120" s="859"/>
      <c r="B120" s="322"/>
      <c r="C120" s="1101" t="s">
        <v>375</v>
      </c>
      <c r="D120" s="1101"/>
      <c r="E120" s="1101" t="s">
        <v>373</v>
      </c>
      <c r="F120" s="1091" t="s">
        <v>298</v>
      </c>
      <c r="G120" s="1257" t="s">
        <v>376</v>
      </c>
      <c r="H120" s="1257"/>
      <c r="I120" s="1257"/>
      <c r="J120" s="1257"/>
      <c r="K120" s="1101"/>
      <c r="L120" s="1101"/>
      <c r="M120" s="1101"/>
      <c r="N120" s="1101"/>
      <c r="O120" s="1101"/>
      <c r="P120" s="1101"/>
      <c r="Q120" s="884"/>
      <c r="R120" s="1099">
        <v>27.4</v>
      </c>
      <c r="S120" s="1269">
        <v>600</v>
      </c>
      <c r="T120" s="1269"/>
      <c r="U120" s="1099"/>
      <c r="V120" s="1099"/>
      <c r="W120" s="1265"/>
      <c r="X120" s="1265"/>
      <c r="Y120" s="1265"/>
      <c r="Z120" s="1265"/>
      <c r="AA120" s="1265"/>
      <c r="AB120" s="1265"/>
      <c r="AC120" s="1265"/>
      <c r="AD120" s="1099"/>
      <c r="AE120" s="1099"/>
      <c r="AF120" s="1099"/>
      <c r="AG120" s="1111"/>
    </row>
    <row r="121" spans="1:33" s="112" customFormat="1" ht="21" customHeight="1">
      <c r="A121" s="859"/>
      <c r="B121" s="322"/>
      <c r="C121" s="1101"/>
      <c r="D121" s="1101"/>
      <c r="E121" s="1101" t="s">
        <v>377</v>
      </c>
      <c r="F121" s="1091" t="s">
        <v>298</v>
      </c>
      <c r="G121" s="1257" t="s">
        <v>378</v>
      </c>
      <c r="H121" s="1257"/>
      <c r="I121" s="1257"/>
      <c r="J121" s="1257"/>
      <c r="K121" s="413">
        <f>H113</f>
        <v>49.32</v>
      </c>
      <c r="L121" s="1101" t="s">
        <v>546</v>
      </c>
      <c r="M121" s="357"/>
      <c r="N121" s="1101"/>
      <c r="O121" s="1101"/>
      <c r="P121" s="1101"/>
      <c r="Q121" s="884"/>
      <c r="R121" s="1099">
        <v>2625</v>
      </c>
      <c r="S121" s="1269">
        <v>147.19999999999999</v>
      </c>
      <c r="T121" s="1269"/>
      <c r="U121" s="1099"/>
      <c r="V121" s="1099"/>
      <c r="W121" s="1265"/>
      <c r="X121" s="1265"/>
      <c r="Y121" s="1265"/>
      <c r="Z121" s="1265"/>
      <c r="AA121" s="1265"/>
      <c r="AB121" s="1344"/>
      <c r="AC121" s="1344"/>
      <c r="AD121" s="1340"/>
      <c r="AE121" s="1127"/>
      <c r="AF121" s="1099"/>
      <c r="AG121" s="1111"/>
    </row>
    <row r="122" spans="1:33" s="112" customFormat="1" ht="21" customHeight="1">
      <c r="A122" s="859"/>
      <c r="B122" s="322"/>
      <c r="C122" s="1101"/>
      <c r="D122" s="1101"/>
      <c r="E122" s="1101" t="s">
        <v>361</v>
      </c>
      <c r="F122" s="1091" t="s">
        <v>298</v>
      </c>
      <c r="G122" s="1257" t="s">
        <v>379</v>
      </c>
      <c r="H122" s="1257"/>
      <c r="I122" s="1257"/>
      <c r="J122" s="1257"/>
      <c r="K122" s="483">
        <v>0.5</v>
      </c>
      <c r="L122" s="1101" t="s">
        <v>380</v>
      </c>
      <c r="M122" s="1101"/>
      <c r="N122" s="1101"/>
      <c r="O122" s="1101"/>
      <c r="P122" s="1101"/>
      <c r="Q122" s="884"/>
      <c r="R122" s="1099"/>
      <c r="S122" s="1099"/>
      <c r="T122" s="1099"/>
      <c r="U122" s="1099"/>
      <c r="V122" s="1099"/>
      <c r="W122" s="1265"/>
      <c r="X122" s="1265"/>
      <c r="Y122" s="1265"/>
      <c r="Z122" s="1265"/>
      <c r="AA122" s="1099"/>
      <c r="AB122" s="1127"/>
      <c r="AC122" s="1099"/>
      <c r="AD122" s="1099"/>
      <c r="AE122" s="1099"/>
      <c r="AF122" s="1099"/>
      <c r="AG122" s="1111"/>
    </row>
    <row r="123" spans="1:33" s="112" customFormat="1" ht="21" customHeight="1">
      <c r="A123" s="859"/>
      <c r="B123" s="322"/>
      <c r="C123" s="1101"/>
      <c r="D123" s="1101"/>
      <c r="E123" s="1101" t="s">
        <v>381</v>
      </c>
      <c r="F123" s="1091" t="s">
        <v>298</v>
      </c>
      <c r="G123" s="1259" t="s">
        <v>382</v>
      </c>
      <c r="H123" s="1259"/>
      <c r="I123" s="1259"/>
      <c r="J123" s="1259"/>
      <c r="K123" s="414">
        <v>1</v>
      </c>
      <c r="L123" s="1101" t="s">
        <v>380</v>
      </c>
      <c r="M123" s="1101"/>
      <c r="N123" s="1101"/>
      <c r="O123" s="1101"/>
      <c r="P123" s="1101"/>
      <c r="Q123" s="884"/>
      <c r="R123" s="1099"/>
      <c r="S123" s="1099"/>
      <c r="T123" s="1099"/>
      <c r="U123" s="1099"/>
      <c r="V123" s="1099"/>
      <c r="W123" s="1265"/>
      <c r="X123" s="1265"/>
      <c r="Y123" s="1265"/>
      <c r="Z123" s="1265"/>
      <c r="AA123" s="1099"/>
      <c r="AB123" s="1127"/>
      <c r="AC123" s="1099"/>
      <c r="AD123" s="1099"/>
      <c r="AE123" s="1099"/>
      <c r="AF123" s="1099"/>
      <c r="AG123" s="1111"/>
    </row>
    <row r="124" spans="1:33" s="112" customFormat="1" ht="21" customHeight="1">
      <c r="A124" s="859"/>
      <c r="B124" s="1389" t="s">
        <v>545</v>
      </c>
      <c r="C124" s="1390"/>
      <c r="D124" s="1390"/>
      <c r="E124" s="1390"/>
      <c r="F124" s="1101"/>
      <c r="G124" s="1091" t="s">
        <v>30</v>
      </c>
      <c r="H124" s="1271">
        <f>K121</f>
        <v>49.32</v>
      </c>
      <c r="I124" s="1271"/>
      <c r="J124" s="1091" t="s">
        <v>547</v>
      </c>
      <c r="K124" s="1320">
        <f>H117-H118</f>
        <v>0.27199999999999847</v>
      </c>
      <c r="L124" s="1320"/>
      <c r="M124" s="1091" t="s">
        <v>383</v>
      </c>
      <c r="N124" s="1421">
        <f>H124-K124</f>
        <v>49.048000000000002</v>
      </c>
      <c r="O124" s="1421"/>
      <c r="P124" s="735"/>
      <c r="Q124" s="884"/>
      <c r="R124" s="1339" t="s">
        <v>548</v>
      </c>
      <c r="S124" s="1339"/>
      <c r="T124" s="1339"/>
      <c r="U124" s="1339"/>
      <c r="V124" s="1099"/>
      <c r="W124" s="1269"/>
      <c r="X124" s="1269"/>
      <c r="Y124" s="1334"/>
      <c r="Z124" s="1127"/>
      <c r="AA124" s="1269"/>
      <c r="AB124" s="1334"/>
      <c r="AC124" s="1127"/>
      <c r="AD124" s="1336"/>
      <c r="AE124" s="1336"/>
      <c r="AF124" s="1337"/>
      <c r="AG124" s="1111"/>
    </row>
    <row r="125" spans="1:33" s="112" customFormat="1" ht="21" customHeight="1">
      <c r="A125" s="859" t="s">
        <v>384</v>
      </c>
      <c r="B125" s="1389" t="s">
        <v>549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101"/>
      <c r="M125" s="1101"/>
      <c r="N125" s="1101"/>
      <c r="O125" s="1101"/>
      <c r="P125" s="1101"/>
      <c r="Q125" s="884"/>
      <c r="R125" s="1127"/>
      <c r="S125" s="1127"/>
      <c r="T125" s="1127"/>
      <c r="U125" s="1127"/>
      <c r="V125" s="1127"/>
      <c r="W125" s="1127"/>
      <c r="X125" s="1127"/>
      <c r="Y125" s="1127"/>
      <c r="Z125" s="1127"/>
      <c r="AA125" s="1127"/>
      <c r="AB125" s="1127"/>
      <c r="AC125" s="1127"/>
      <c r="AD125" s="1127"/>
      <c r="AE125" s="1127"/>
      <c r="AF125" s="1127"/>
      <c r="AG125" s="1111"/>
    </row>
    <row r="126" spans="1:33" s="112" customFormat="1" ht="21" customHeight="1">
      <c r="A126" s="859"/>
      <c r="B126" s="508" t="s">
        <v>330</v>
      </c>
      <c r="C126" s="1250" t="s">
        <v>385</v>
      </c>
      <c r="D126" s="1250"/>
      <c r="E126" s="1250"/>
      <c r="F126" s="509">
        <v>0.2</v>
      </c>
      <c r="G126" s="250" t="s">
        <v>386</v>
      </c>
      <c r="H126" s="1101"/>
      <c r="I126" s="1101"/>
      <c r="J126" s="1101"/>
      <c r="K126" s="1101"/>
      <c r="L126" s="1101"/>
      <c r="M126" s="1101"/>
      <c r="N126" s="1101"/>
      <c r="O126" s="1101"/>
      <c r="P126" s="1101"/>
      <c r="Q126" s="884"/>
      <c r="R126" s="1127"/>
      <c r="S126" s="1127"/>
      <c r="T126" s="1127"/>
      <c r="U126" s="1127"/>
      <c r="V126" s="1127"/>
      <c r="W126" s="1127"/>
      <c r="X126" s="1127"/>
      <c r="Y126" s="1127"/>
      <c r="Z126" s="1127"/>
      <c r="AA126" s="1127"/>
      <c r="AB126" s="1127"/>
      <c r="AC126" s="1127"/>
      <c r="AD126" s="1127"/>
      <c r="AE126" s="1127"/>
      <c r="AF126" s="1127"/>
      <c r="AG126" s="1111"/>
    </row>
    <row r="127" spans="1:33" s="112" customFormat="1" ht="21" customHeight="1">
      <c r="A127" s="859"/>
      <c r="B127" s="250"/>
      <c r="C127" s="250"/>
      <c r="D127" s="250"/>
      <c r="E127" s="1079" t="s">
        <v>298</v>
      </c>
      <c r="F127" s="1320">
        <f>N124*F126</f>
        <v>9.8096000000000014</v>
      </c>
      <c r="G127" s="1320"/>
      <c r="H127" s="833"/>
      <c r="I127" s="250"/>
      <c r="J127" s="1101"/>
      <c r="K127" s="1101"/>
      <c r="L127" s="1101"/>
      <c r="M127" s="1101"/>
      <c r="N127" s="1101"/>
      <c r="O127" s="1101"/>
      <c r="P127" s="1101"/>
      <c r="Q127" s="884"/>
      <c r="R127" s="1127"/>
      <c r="S127" s="1127"/>
      <c r="T127" s="1127"/>
      <c r="U127" s="1127"/>
      <c r="V127" s="1127"/>
      <c r="W127" s="1127"/>
      <c r="X127" s="1127"/>
      <c r="Y127" s="1127"/>
      <c r="Z127" s="1127"/>
      <c r="AA127" s="1127"/>
      <c r="AB127" s="1127"/>
      <c r="AC127" s="1127"/>
      <c r="AD127" s="1127"/>
      <c r="AE127" s="1127"/>
      <c r="AF127" s="1127"/>
      <c r="AG127" s="1111"/>
    </row>
    <row r="128" spans="1:33" s="112" customFormat="1" ht="21" customHeight="1">
      <c r="A128" s="859"/>
      <c r="B128" s="1101"/>
      <c r="C128" s="1101"/>
      <c r="D128" s="1101"/>
      <c r="E128" s="1091" t="s">
        <v>298</v>
      </c>
      <c r="F128" s="1320">
        <f>H113</f>
        <v>49.32</v>
      </c>
      <c r="G128" s="1320"/>
      <c r="H128" s="1091" t="s">
        <v>330</v>
      </c>
      <c r="I128" s="1320">
        <f>H117</f>
        <v>20</v>
      </c>
      <c r="J128" s="1320"/>
      <c r="K128" s="358" t="s">
        <v>330</v>
      </c>
      <c r="L128" s="1320">
        <f>F127</f>
        <v>9.8096000000000014</v>
      </c>
      <c r="M128" s="1320"/>
      <c r="N128" s="1103"/>
      <c r="O128" s="1101"/>
      <c r="P128" s="1101"/>
      <c r="Q128" s="884"/>
      <c r="R128" s="1099"/>
      <c r="S128" s="1099"/>
      <c r="T128" s="1099"/>
      <c r="U128" s="1099"/>
      <c r="V128" s="1099"/>
      <c r="W128" s="1099"/>
      <c r="X128" s="321"/>
      <c r="Y128" s="1127"/>
      <c r="Z128" s="1099"/>
      <c r="AA128" s="1099"/>
      <c r="AB128" s="1099"/>
      <c r="AC128" s="1099"/>
      <c r="AD128" s="1099"/>
      <c r="AE128" s="1099"/>
      <c r="AF128" s="1099"/>
      <c r="AG128" s="1111"/>
    </row>
    <row r="129" spans="1:33" s="112" customFormat="1" ht="21" customHeight="1">
      <c r="A129" s="859"/>
      <c r="B129" s="1101"/>
      <c r="C129" s="1101"/>
      <c r="D129" s="1101"/>
      <c r="E129" s="1091" t="s">
        <v>298</v>
      </c>
      <c r="F129" s="1320">
        <f>F128-I128-L128</f>
        <v>19.510399999999997</v>
      </c>
      <c r="G129" s="1320"/>
      <c r="H129" s="1103"/>
      <c r="I129" s="1101"/>
      <c r="J129" s="1101"/>
      <c r="K129" s="1101"/>
      <c r="L129" s="1101"/>
      <c r="M129" s="1101"/>
      <c r="N129" s="1101"/>
      <c r="O129" s="1101"/>
      <c r="P129" s="1101"/>
      <c r="Q129" s="884"/>
      <c r="R129" s="1099"/>
      <c r="S129" s="1099"/>
      <c r="T129" s="1099"/>
      <c r="U129" s="1099"/>
      <c r="V129" s="1099"/>
      <c r="W129" s="1099"/>
      <c r="X129" s="321"/>
      <c r="Y129" s="1127"/>
      <c r="Z129" s="1099"/>
      <c r="AA129" s="1099"/>
      <c r="AB129" s="1099"/>
      <c r="AC129" s="1099"/>
      <c r="AD129" s="1099"/>
      <c r="AE129" s="1099"/>
      <c r="AF129" s="1099"/>
      <c r="AG129" s="1111"/>
    </row>
    <row r="130" spans="1:33" s="112" customFormat="1" ht="21" customHeight="1">
      <c r="A130" s="860" t="s">
        <v>840</v>
      </c>
      <c r="B130" s="1091"/>
      <c r="C130" s="1091"/>
      <c r="D130" s="1091"/>
      <c r="E130" s="1091"/>
      <c r="F130" s="1091"/>
      <c r="G130" s="1091"/>
      <c r="H130" s="1091"/>
      <c r="I130" s="1091"/>
      <c r="J130" s="1091"/>
      <c r="K130" s="1091"/>
      <c r="L130" s="1091"/>
      <c r="M130" s="1091"/>
      <c r="N130" s="1091"/>
      <c r="O130" s="1091"/>
      <c r="P130" s="1091"/>
      <c r="Q130" s="884"/>
      <c r="R130" s="1099"/>
      <c r="S130" s="1126"/>
      <c r="T130" s="1126"/>
      <c r="U130" s="1126"/>
      <c r="V130" s="1126"/>
      <c r="W130" s="1126"/>
      <c r="X130" s="1126"/>
      <c r="Y130" s="1126"/>
      <c r="Z130" s="1126"/>
      <c r="AA130" s="1126"/>
      <c r="AB130" s="1126"/>
      <c r="AC130" s="1126"/>
      <c r="AD130" s="1126"/>
      <c r="AE130" s="1126"/>
      <c r="AF130" s="1099"/>
      <c r="AG130" s="1111"/>
    </row>
    <row r="131" spans="1:33" s="112" customFormat="1" ht="21" customHeight="1">
      <c r="A131" s="857" t="s">
        <v>387</v>
      </c>
      <c r="B131" s="1091" t="s">
        <v>494</v>
      </c>
      <c r="C131" s="1091" t="s">
        <v>298</v>
      </c>
      <c r="D131" s="1091" t="s">
        <v>495</v>
      </c>
      <c r="E131" s="1091" t="s">
        <v>51</v>
      </c>
      <c r="F131" s="350" t="s">
        <v>550</v>
      </c>
      <c r="G131" s="1091"/>
      <c r="H131" s="1091" t="s">
        <v>551</v>
      </c>
      <c r="I131" s="1091">
        <v>1</v>
      </c>
      <c r="J131" s="1091" t="s">
        <v>330</v>
      </c>
      <c r="K131" s="1091" t="s">
        <v>552</v>
      </c>
      <c r="L131" s="1091" t="s">
        <v>143</v>
      </c>
      <c r="M131" s="1091"/>
      <c r="N131" s="1091"/>
      <c r="O131" s="1091"/>
      <c r="P131" s="1091"/>
      <c r="Q131" s="884"/>
      <c r="R131" s="1099"/>
      <c r="S131" s="1099"/>
      <c r="T131" s="1099"/>
      <c r="U131" s="1099"/>
      <c r="V131" s="345"/>
      <c r="W131" s="1099"/>
      <c r="X131" s="339"/>
      <c r="Y131" s="1099"/>
      <c r="Z131" s="1099"/>
      <c r="AA131" s="1099"/>
      <c r="AB131" s="1099"/>
      <c r="AC131" s="1126"/>
      <c r="AD131" s="1126"/>
      <c r="AE131" s="1126"/>
      <c r="AF131" s="1126"/>
      <c r="AG131" s="1111"/>
    </row>
    <row r="132" spans="1:33" s="112" customFormat="1" ht="21" customHeight="1">
      <c r="A132" s="1116" t="s">
        <v>496</v>
      </c>
      <c r="B132" s="1091"/>
      <c r="C132" s="1260" t="s">
        <v>375</v>
      </c>
      <c r="D132" s="1260"/>
      <c r="E132" s="1091"/>
      <c r="F132" s="1091" t="s">
        <v>495</v>
      </c>
      <c r="G132" s="1091" t="s">
        <v>298</v>
      </c>
      <c r="H132" s="1390" t="s">
        <v>497</v>
      </c>
      <c r="I132" s="1390"/>
      <c r="J132" s="1390"/>
      <c r="K132" s="1390"/>
      <c r="L132" s="1390"/>
      <c r="M132" s="1390"/>
      <c r="N132" s="1390"/>
      <c r="O132" s="1390"/>
      <c r="P132" s="1422"/>
      <c r="Q132" s="902"/>
      <c r="R132" s="1099">
        <v>0.03</v>
      </c>
      <c r="S132" s="1099" t="s">
        <v>292</v>
      </c>
      <c r="T132" s="1099">
        <v>0.11</v>
      </c>
      <c r="U132" s="1126"/>
      <c r="V132" s="1099"/>
      <c r="W132" s="1099"/>
      <c r="X132" s="1335"/>
      <c r="Y132" s="1335"/>
      <c r="Z132" s="1335"/>
      <c r="AA132" s="1335"/>
      <c r="AB132" s="1335"/>
      <c r="AC132" s="1335"/>
      <c r="AD132" s="1335"/>
      <c r="AE132" s="1335"/>
      <c r="AF132" s="1335"/>
      <c r="AG132" s="1111"/>
    </row>
    <row r="133" spans="1:33" s="112" customFormat="1" ht="21" customHeight="1">
      <c r="A133" s="1108"/>
      <c r="B133" s="1149"/>
      <c r="C133" s="1091"/>
      <c r="D133" s="1091"/>
      <c r="E133" s="1091"/>
      <c r="F133" s="1091" t="s">
        <v>388</v>
      </c>
      <c r="G133" s="1091" t="s">
        <v>298</v>
      </c>
      <c r="H133" s="1260" t="s">
        <v>389</v>
      </c>
      <c r="I133" s="1260"/>
      <c r="J133" s="1091" t="s">
        <v>54</v>
      </c>
      <c r="K133" s="1091"/>
      <c r="L133" s="1091"/>
      <c r="M133" s="1091"/>
      <c r="N133" s="1091"/>
      <c r="O133" s="1091"/>
      <c r="P133" s="1100"/>
      <c r="Q133" s="902"/>
      <c r="R133" s="1099"/>
      <c r="S133" s="1099"/>
      <c r="T133" s="1099"/>
      <c r="U133" s="1099"/>
      <c r="V133" s="1099"/>
      <c r="W133" s="1099"/>
      <c r="X133" s="1269"/>
      <c r="Y133" s="1269"/>
      <c r="Z133" s="1099"/>
      <c r="AA133" s="1099"/>
      <c r="AB133" s="1099"/>
      <c r="AC133" s="1099"/>
      <c r="AD133" s="1099"/>
      <c r="AE133" s="1099"/>
      <c r="AF133" s="1099"/>
      <c r="AG133" s="1111"/>
    </row>
    <row r="134" spans="1:33" s="112" customFormat="1" ht="21" customHeight="1">
      <c r="A134" s="1108"/>
      <c r="B134" s="1149"/>
      <c r="C134" s="1091"/>
      <c r="D134" s="1091"/>
      <c r="E134" s="1091"/>
      <c r="F134" s="1091" t="s">
        <v>326</v>
      </c>
      <c r="G134" s="1091" t="s">
        <v>298</v>
      </c>
      <c r="H134" s="1260" t="s">
        <v>390</v>
      </c>
      <c r="I134" s="1260"/>
      <c r="J134" s="1091" t="s">
        <v>391</v>
      </c>
      <c r="K134" s="1091" t="s">
        <v>392</v>
      </c>
      <c r="L134" s="1091">
        <v>0.2</v>
      </c>
      <c r="M134" s="1091" t="s">
        <v>339</v>
      </c>
      <c r="N134" s="1091"/>
      <c r="O134" s="1091"/>
      <c r="P134" s="1100"/>
      <c r="Q134" s="902"/>
      <c r="R134" s="1099">
        <v>15</v>
      </c>
      <c r="S134" s="1099"/>
      <c r="T134" s="1099"/>
      <c r="U134" s="1099"/>
      <c r="V134" s="1099"/>
      <c r="W134" s="1099"/>
      <c r="X134" s="1269"/>
      <c r="Y134" s="1269"/>
      <c r="Z134" s="1269"/>
      <c r="AA134" s="1099"/>
      <c r="AB134" s="1099"/>
      <c r="AC134" s="1099"/>
      <c r="AD134" s="1099"/>
      <c r="AE134" s="1099"/>
      <c r="AF134" s="1099"/>
      <c r="AG134" s="1111"/>
    </row>
    <row r="135" spans="1:33" s="112" customFormat="1" ht="21" customHeight="1">
      <c r="A135" s="1116"/>
      <c r="B135" s="1091" t="s">
        <v>494</v>
      </c>
      <c r="C135" s="1260" t="s">
        <v>498</v>
      </c>
      <c r="D135" s="1260"/>
      <c r="E135" s="1091" t="s">
        <v>298</v>
      </c>
      <c r="F135" s="948">
        <v>0.11</v>
      </c>
      <c r="G135" s="1088" t="s">
        <v>499</v>
      </c>
      <c r="H135" s="1088"/>
      <c r="I135" s="1091"/>
      <c r="J135" s="1091"/>
      <c r="K135" s="350" t="s">
        <v>553</v>
      </c>
      <c r="L135" s="1154"/>
      <c r="M135" s="1088"/>
      <c r="N135" s="1091"/>
      <c r="O135" s="1091"/>
      <c r="P135" s="1091"/>
      <c r="Q135" s="884"/>
      <c r="R135" s="1099"/>
      <c r="S135" s="1269">
        <v>0.18</v>
      </c>
      <c r="T135" s="1269"/>
      <c r="U135" s="1099"/>
      <c r="V135" s="1099"/>
      <c r="W135" s="1127"/>
      <c r="X135" s="1127"/>
      <c r="Y135" s="1126"/>
      <c r="Z135" s="1126"/>
      <c r="AA135" s="345"/>
      <c r="AB135" s="1147"/>
      <c r="AC135" s="1127"/>
      <c r="AD135" s="1099"/>
      <c r="AE135" s="1099"/>
      <c r="AF135" s="1099"/>
      <c r="AG135" s="1111"/>
    </row>
    <row r="136" spans="1:33" s="112" customFormat="1" ht="21" customHeight="1">
      <c r="A136" s="1116"/>
      <c r="B136" s="1091"/>
      <c r="C136" s="1091"/>
      <c r="D136" s="1091"/>
      <c r="E136" s="1091" t="s">
        <v>298</v>
      </c>
      <c r="F136" s="1317">
        <f>F135*1.09^(K80-20)</f>
        <v>0.11</v>
      </c>
      <c r="G136" s="1317"/>
      <c r="H136" s="1257" t="s">
        <v>486</v>
      </c>
      <c r="I136" s="1257"/>
      <c r="J136" s="1091"/>
      <c r="K136" s="1091"/>
      <c r="L136" s="1091"/>
      <c r="M136" s="1091"/>
      <c r="N136" s="1091"/>
      <c r="O136" s="1091"/>
      <c r="P136" s="1091"/>
      <c r="Q136" s="884"/>
      <c r="R136" s="1099"/>
      <c r="S136" s="1099"/>
      <c r="T136" s="1099"/>
      <c r="U136" s="1099"/>
      <c r="V136" s="1269"/>
      <c r="W136" s="1269"/>
      <c r="X136" s="1265"/>
      <c r="Y136" s="1265"/>
      <c r="Z136" s="1099"/>
      <c r="AA136" s="1099"/>
      <c r="AB136" s="1099"/>
      <c r="AC136" s="1099"/>
      <c r="AD136" s="1099"/>
      <c r="AE136" s="1099"/>
      <c r="AF136" s="1099"/>
      <c r="AG136" s="1111"/>
    </row>
    <row r="137" spans="1:33" s="112" customFormat="1" ht="21" customHeight="1">
      <c r="A137" s="1116" t="s">
        <v>393</v>
      </c>
      <c r="B137" s="1091" t="s">
        <v>394</v>
      </c>
      <c r="C137" s="1091" t="s">
        <v>298</v>
      </c>
      <c r="D137" s="1091" t="s">
        <v>395</v>
      </c>
      <c r="E137" s="1091" t="s">
        <v>343</v>
      </c>
      <c r="F137" s="1091" t="s">
        <v>392</v>
      </c>
      <c r="G137" s="1091" t="s">
        <v>494</v>
      </c>
      <c r="H137" s="1091" t="s">
        <v>51</v>
      </c>
      <c r="I137" s="1091" t="s">
        <v>396</v>
      </c>
      <c r="J137" s="1091" t="s">
        <v>339</v>
      </c>
      <c r="K137" s="1091"/>
      <c r="L137" s="1091"/>
      <c r="M137" s="1091"/>
      <c r="N137" s="1091"/>
      <c r="O137" s="1091"/>
      <c r="P137" s="1091"/>
      <c r="Q137" s="884"/>
      <c r="R137" s="1099"/>
      <c r="S137" s="1099"/>
      <c r="T137" s="1099"/>
      <c r="U137" s="1099"/>
      <c r="V137" s="1099"/>
      <c r="W137" s="1099"/>
      <c r="X137" s="1099"/>
      <c r="Y137" s="1099"/>
      <c r="Z137" s="1099"/>
      <c r="AA137" s="1099"/>
      <c r="AB137" s="1099"/>
      <c r="AC137" s="1099"/>
      <c r="AD137" s="1099"/>
      <c r="AE137" s="1099"/>
      <c r="AF137" s="1099"/>
      <c r="AG137" s="1111"/>
    </row>
    <row r="138" spans="1:33" s="112" customFormat="1" ht="21" customHeight="1">
      <c r="A138" s="1119"/>
      <c r="B138" s="1121"/>
      <c r="C138" s="1321" t="s">
        <v>375</v>
      </c>
      <c r="D138" s="1321"/>
      <c r="E138" s="1321" t="s">
        <v>395</v>
      </c>
      <c r="F138" s="1321"/>
      <c r="G138" s="1121" t="s">
        <v>298</v>
      </c>
      <c r="H138" s="1102" t="s">
        <v>397</v>
      </c>
      <c r="I138" s="1102"/>
      <c r="J138" s="1102"/>
      <c r="K138" s="1102"/>
      <c r="L138" s="1102"/>
      <c r="M138" s="1102"/>
      <c r="N138" s="1102"/>
      <c r="O138" s="1102"/>
      <c r="P138" s="1121"/>
      <c r="Q138" s="882"/>
      <c r="R138" s="1099"/>
      <c r="S138" s="1269"/>
      <c r="T138" s="1269"/>
      <c r="U138" s="1269"/>
      <c r="V138" s="1269"/>
      <c r="W138" s="1099"/>
      <c r="X138" s="1127"/>
      <c r="Y138" s="1127"/>
      <c r="Z138" s="1127"/>
      <c r="AA138" s="1127"/>
      <c r="AB138" s="1127"/>
      <c r="AC138" s="1127"/>
      <c r="AD138" s="1127"/>
      <c r="AE138" s="1127"/>
      <c r="AF138" s="1099"/>
      <c r="AG138" s="1111"/>
    </row>
    <row r="139" spans="1:33" s="112" customFormat="1" ht="21" customHeight="1">
      <c r="A139" s="956"/>
      <c r="B139" s="1105"/>
      <c r="C139" s="1105"/>
      <c r="D139" s="1105"/>
      <c r="E139" s="1319" t="s">
        <v>396</v>
      </c>
      <c r="F139" s="1319"/>
      <c r="G139" s="1105" t="s">
        <v>298</v>
      </c>
      <c r="H139" s="1319" t="s">
        <v>398</v>
      </c>
      <c r="I139" s="1319"/>
      <c r="J139" s="1140" t="s">
        <v>399</v>
      </c>
      <c r="K139" s="1105"/>
      <c r="L139" s="1105"/>
      <c r="M139" s="1105"/>
      <c r="N139" s="1105"/>
      <c r="O139" s="1105"/>
      <c r="P139" s="1105"/>
      <c r="Q139" s="883"/>
      <c r="R139" s="1099"/>
      <c r="S139" s="1099"/>
      <c r="T139" s="1099"/>
      <c r="U139" s="1099"/>
      <c r="V139" s="1099"/>
      <c r="W139" s="1099"/>
      <c r="X139" s="1269"/>
      <c r="Y139" s="1269"/>
      <c r="Z139" s="1127"/>
      <c r="AA139" s="1099"/>
      <c r="AB139" s="1099"/>
      <c r="AC139" s="1099"/>
      <c r="AD139" s="1099"/>
      <c r="AE139" s="1099"/>
      <c r="AF139" s="1099"/>
      <c r="AG139" s="1111"/>
    </row>
    <row r="140" spans="1:33" s="112" customFormat="1" ht="21" customHeight="1">
      <c r="A140" s="859"/>
      <c r="B140" s="1091"/>
      <c r="C140" s="1091" t="s">
        <v>298</v>
      </c>
      <c r="D140" s="359">
        <f>F129</f>
        <v>19.510399999999997</v>
      </c>
      <c r="E140" s="1091" t="s">
        <v>327</v>
      </c>
      <c r="F140" s="1157">
        <f>F135</f>
        <v>0.11</v>
      </c>
      <c r="G140" s="1091" t="s">
        <v>51</v>
      </c>
      <c r="H140" s="1318" t="s">
        <v>555</v>
      </c>
      <c r="I140" s="1318"/>
      <c r="J140" s="1088" t="s">
        <v>400</v>
      </c>
      <c r="K140" s="1278">
        <f>'설계기준(설계치12)'!K15</f>
        <v>2400</v>
      </c>
      <c r="L140" s="1260"/>
      <c r="M140" s="1091" t="s">
        <v>143</v>
      </c>
      <c r="N140" s="1091" t="s">
        <v>41</v>
      </c>
      <c r="O140" s="1091">
        <v>24</v>
      </c>
      <c r="P140" s="1091" t="s">
        <v>188</v>
      </c>
      <c r="Q140" s="884"/>
      <c r="R140" s="1099"/>
      <c r="S140" s="1099"/>
      <c r="T140" s="1147"/>
      <c r="U140" s="1349"/>
      <c r="V140" s="1350"/>
      <c r="W140" s="339"/>
      <c r="X140" s="1099"/>
      <c r="Y140" s="1099"/>
      <c r="Z140" s="345"/>
      <c r="AA140" s="1099"/>
      <c r="AB140" s="1126"/>
      <c r="AC140" s="1099"/>
      <c r="AD140" s="1099"/>
      <c r="AE140" s="1099"/>
      <c r="AF140" s="1099"/>
      <c r="AG140" s="1111"/>
    </row>
    <row r="141" spans="1:33" s="112" customFormat="1" ht="21" customHeight="1">
      <c r="A141" s="859"/>
      <c r="B141" s="1091"/>
      <c r="C141" s="1091" t="s">
        <v>298</v>
      </c>
      <c r="D141" s="1124">
        <f>(D140)/(F140*1.09^(K80-20)*K140)*O140</f>
        <v>1.7736727272727268</v>
      </c>
      <c r="E141" s="1091" t="s">
        <v>188</v>
      </c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884"/>
      <c r="R141" s="1099"/>
      <c r="S141" s="1099"/>
      <c r="T141" s="1099"/>
      <c r="U141" s="1099"/>
      <c r="V141" s="1099"/>
      <c r="W141" s="1099"/>
      <c r="X141" s="1127"/>
      <c r="Y141" s="1297"/>
      <c r="Z141" s="1269"/>
      <c r="AA141" s="1130"/>
      <c r="AB141" s="1099"/>
      <c r="AC141" s="1099"/>
      <c r="AD141" s="1099"/>
      <c r="AE141" s="1307"/>
      <c r="AF141" s="1307"/>
      <c r="AG141" s="1111"/>
    </row>
    <row r="142" spans="1:33" s="112" customFormat="1" ht="21" customHeight="1">
      <c r="A142" s="860" t="s">
        <v>401</v>
      </c>
      <c r="B142" s="1091"/>
      <c r="C142" s="1091"/>
      <c r="D142" s="1091"/>
      <c r="E142" s="1091"/>
      <c r="F142" s="1091"/>
      <c r="G142" s="1091"/>
      <c r="H142" s="1091"/>
      <c r="I142" s="1091"/>
      <c r="J142" s="1091"/>
      <c r="K142" s="1091"/>
      <c r="L142" s="1091"/>
      <c r="M142" s="1091"/>
      <c r="N142" s="1091"/>
      <c r="O142" s="1091"/>
      <c r="P142" s="1091"/>
      <c r="Q142" s="884"/>
      <c r="R142" s="1099"/>
      <c r="S142" s="1099"/>
      <c r="T142" s="1099"/>
      <c r="U142" s="1099"/>
      <c r="V142" s="1099"/>
      <c r="W142" s="1099"/>
      <c r="X142" s="1099"/>
      <c r="Y142" s="1099"/>
      <c r="Z142" s="1099"/>
      <c r="AA142" s="1099"/>
      <c r="AB142" s="1099"/>
      <c r="AC142" s="1099"/>
      <c r="AD142" s="1099"/>
      <c r="AE142" s="1099"/>
      <c r="AF142" s="1099"/>
      <c r="AG142" s="1111"/>
    </row>
    <row r="143" spans="1:33" s="112" customFormat="1" ht="21" customHeight="1">
      <c r="A143" s="1116" t="s">
        <v>300</v>
      </c>
      <c r="B143" s="1091"/>
      <c r="C143" s="1333">
        <f>'설계기준(설계치12)'!H4</f>
        <v>166.66666666666666</v>
      </c>
      <c r="D143" s="1333"/>
      <c r="E143" s="1091" t="s">
        <v>51</v>
      </c>
      <c r="F143" s="514">
        <f>D141</f>
        <v>1.7736727272727268</v>
      </c>
      <c r="G143" s="1091" t="s">
        <v>188</v>
      </c>
      <c r="H143" s="1091" t="s">
        <v>298</v>
      </c>
      <c r="I143" s="1291">
        <f>C143*F143</f>
        <v>295.61212121212111</v>
      </c>
      <c r="J143" s="1291"/>
      <c r="K143" s="1091" t="s">
        <v>118</v>
      </c>
      <c r="L143" s="1091"/>
      <c r="M143" s="1097"/>
      <c r="N143" s="1091"/>
      <c r="O143" s="1101"/>
      <c r="P143" s="1101"/>
      <c r="Q143" s="884"/>
      <c r="R143" s="1137">
        <f>IF(+L148/I143&gt;1,1,+L148/I143)</f>
        <v>1</v>
      </c>
      <c r="S143" s="1305">
        <f>+R143*R181</f>
        <v>0.38289697382087873</v>
      </c>
      <c r="T143" s="1305"/>
      <c r="U143" s="1305"/>
      <c r="V143" s="1126">
        <v>59</v>
      </c>
      <c r="W143" s="1039"/>
      <c r="X143" s="321"/>
      <c r="Y143" s="1126"/>
      <c r="Z143" s="1040">
        <f>+L148/I143</f>
        <v>1.0276980482204368</v>
      </c>
      <c r="AA143" s="321"/>
      <c r="AB143" s="1126"/>
      <c r="AC143" s="945"/>
      <c r="AD143" s="1126"/>
      <c r="AE143" s="321"/>
      <c r="AF143" s="321"/>
      <c r="AG143" s="1111"/>
    </row>
    <row r="144" spans="1:33" s="112" customFormat="1" ht="21" customHeight="1">
      <c r="A144" s="860" t="s">
        <v>402</v>
      </c>
      <c r="B144" s="1091"/>
      <c r="C144" s="1091"/>
      <c r="D144" s="1091"/>
      <c r="E144" s="1091"/>
      <c r="F144" s="1091"/>
      <c r="G144" s="1091"/>
      <c r="H144" s="1091"/>
      <c r="I144" s="1091"/>
      <c r="J144" s="1091"/>
      <c r="K144" s="1091"/>
      <c r="L144" s="1091"/>
      <c r="M144" s="1091"/>
      <c r="N144" s="1091"/>
      <c r="O144" s="1091"/>
      <c r="P144" s="1091"/>
      <c r="Q144" s="884"/>
      <c r="R144" s="1099"/>
      <c r="S144" s="1305">
        <v>0.8</v>
      </c>
      <c r="T144" s="1305"/>
      <c r="U144" s="1305"/>
      <c r="V144" s="1099">
        <v>31</v>
      </c>
      <c r="W144" s="1099"/>
      <c r="X144" s="1099"/>
      <c r="Y144" s="1099"/>
      <c r="Z144" s="1099"/>
      <c r="AA144" s="1099"/>
      <c r="AB144" s="1099"/>
      <c r="AC144" s="1099"/>
      <c r="AD144" s="1099"/>
      <c r="AE144" s="1099"/>
      <c r="AF144" s="1099"/>
      <c r="AG144" s="1111"/>
    </row>
    <row r="145" spans="1:67" s="112" customFormat="1" ht="21" customHeight="1">
      <c r="A145" s="1116" t="s">
        <v>304</v>
      </c>
      <c r="B145" s="1149"/>
      <c r="C145" s="1260" t="s">
        <v>121</v>
      </c>
      <c r="D145" s="1260"/>
      <c r="E145" s="1260"/>
      <c r="F145" s="1260"/>
      <c r="G145" s="1260"/>
      <c r="H145" s="1260"/>
      <c r="I145" s="1260"/>
      <c r="J145" s="1260"/>
      <c r="K145" s="1260"/>
      <c r="L145" s="1260"/>
      <c r="M145" s="1260"/>
      <c r="N145" s="1260"/>
      <c r="O145" s="1091"/>
      <c r="P145" s="1101"/>
      <c r="Q145" s="884"/>
      <c r="R145" s="1132"/>
      <c r="S145" s="1305">
        <f>+S143*S144</f>
        <v>0.30631757905670298</v>
      </c>
      <c r="T145" s="1305"/>
      <c r="U145" s="1305"/>
      <c r="V145" s="1041">
        <f>1-V144/V143</f>
        <v>0.47457627118644063</v>
      </c>
      <c r="W145" s="1132"/>
      <c r="X145" s="1132">
        <f>V143-+V143*S145</f>
        <v>40.927262835654524</v>
      </c>
      <c r="Y145" s="1132"/>
      <c r="Z145" s="1132"/>
      <c r="AA145" s="1132"/>
      <c r="AB145" s="1132"/>
      <c r="AC145" s="1132"/>
      <c r="AD145" s="1132"/>
      <c r="AE145" s="1132"/>
      <c r="AF145" s="1132"/>
      <c r="AG145" s="1111"/>
    </row>
    <row r="146" spans="1:67" s="112" customFormat="1" ht="21" customHeight="1">
      <c r="A146" s="1116" t="s">
        <v>122</v>
      </c>
      <c r="B146" s="1091" t="s">
        <v>307</v>
      </c>
      <c r="C146" s="309">
        <v>7</v>
      </c>
      <c r="D146" s="1091" t="s">
        <v>308</v>
      </c>
      <c r="E146" s="1091" t="s">
        <v>51</v>
      </c>
      <c r="F146" s="1091" t="s">
        <v>309</v>
      </c>
      <c r="G146" s="309">
        <v>3.5</v>
      </c>
      <c r="H146" s="1091" t="s">
        <v>308</v>
      </c>
      <c r="I146" s="1091" t="s">
        <v>51</v>
      </c>
      <c r="J146" s="1260" t="s">
        <v>310</v>
      </c>
      <c r="K146" s="1260"/>
      <c r="L146" s="1091" t="s">
        <v>311</v>
      </c>
      <c r="M146" s="309">
        <v>6.2</v>
      </c>
      <c r="N146" s="1091" t="s">
        <v>308</v>
      </c>
      <c r="O146" s="1091"/>
      <c r="P146" s="1091"/>
      <c r="Q146" s="884"/>
      <c r="R146" s="1147"/>
      <c r="S146" s="1129"/>
      <c r="T146" s="1127"/>
      <c r="U146" s="1099"/>
      <c r="V146" s="1147"/>
      <c r="W146" s="1129"/>
      <c r="X146" s="1127"/>
      <c r="Y146" s="1099"/>
      <c r="Z146" s="1269"/>
      <c r="AA146" s="1269"/>
      <c r="AB146" s="1147"/>
      <c r="AC146" s="1099"/>
      <c r="AD146" s="1127"/>
      <c r="AE146" s="1099"/>
      <c r="AF146" s="1099"/>
      <c r="AG146" s="1111"/>
    </row>
    <row r="147" spans="1:67" s="112" customFormat="1" ht="21" customHeight="1">
      <c r="A147" s="1116" t="s">
        <v>312</v>
      </c>
      <c r="B147" s="1101"/>
      <c r="C147" s="1101"/>
      <c r="D147" s="1101"/>
      <c r="E147" s="1101"/>
      <c r="F147" s="1101"/>
      <c r="G147" s="1101"/>
      <c r="H147" s="1091">
        <v>2</v>
      </c>
      <c r="I147" s="1101" t="s">
        <v>313</v>
      </c>
      <c r="J147" s="1101"/>
      <c r="K147" s="1101"/>
      <c r="L147" s="1101"/>
      <c r="M147" s="1101"/>
      <c r="N147" s="1101"/>
      <c r="O147" s="1091"/>
      <c r="P147" s="1091"/>
      <c r="Q147" s="884"/>
      <c r="R147" s="1132"/>
      <c r="S147" s="1132"/>
      <c r="T147" s="1132"/>
      <c r="U147" s="1132"/>
      <c r="V147" s="1132"/>
      <c r="W147" s="1132"/>
      <c r="X147" s="1099"/>
      <c r="Y147" s="1132"/>
      <c r="Z147" s="1132"/>
      <c r="AA147" s="1132"/>
      <c r="AB147" s="1132"/>
      <c r="AC147" s="1132"/>
      <c r="AD147" s="1132"/>
      <c r="AE147" s="1099"/>
      <c r="AF147" s="1099"/>
      <c r="AG147" s="1111"/>
    </row>
    <row r="148" spans="1:67" s="112" customFormat="1" ht="21" customHeight="1">
      <c r="A148" s="1116" t="s">
        <v>126</v>
      </c>
      <c r="B148" s="1091" t="s">
        <v>127</v>
      </c>
      <c r="C148" s="1091" t="s">
        <v>298</v>
      </c>
      <c r="D148" s="1272">
        <f>C146*G146*M146</f>
        <v>151.9</v>
      </c>
      <c r="E148" s="1272"/>
      <c r="F148" s="1260" t="s">
        <v>128</v>
      </c>
      <c r="G148" s="1260"/>
      <c r="H148" s="1091" t="s">
        <v>51</v>
      </c>
      <c r="I148" s="1091">
        <f>H147</f>
        <v>2</v>
      </c>
      <c r="J148" s="1091" t="str">
        <f>I147</f>
        <v>계열</v>
      </c>
      <c r="K148" s="1091" t="s">
        <v>298</v>
      </c>
      <c r="L148" s="1291">
        <f>D148*I148</f>
        <v>303.8</v>
      </c>
      <c r="M148" s="1291"/>
      <c r="N148" s="1101"/>
      <c r="O148" s="1091"/>
      <c r="P148" s="1091"/>
      <c r="Q148" s="884"/>
      <c r="R148" s="1099"/>
      <c r="S148" s="1099"/>
      <c r="T148" s="1269"/>
      <c r="U148" s="1269"/>
      <c r="V148" s="1269"/>
      <c r="W148" s="1269"/>
      <c r="X148" s="1132"/>
      <c r="Y148" s="1099"/>
      <c r="Z148" s="1132"/>
      <c r="AA148" s="1132"/>
      <c r="AB148" s="1269"/>
      <c r="AC148" s="1269"/>
      <c r="AD148" s="1132"/>
      <c r="AE148" s="1099"/>
      <c r="AF148" s="1099"/>
      <c r="AG148" s="1111"/>
    </row>
    <row r="149" spans="1:67" s="112" customFormat="1" ht="21" customHeight="1">
      <c r="A149" s="860" t="s">
        <v>403</v>
      </c>
      <c r="B149" s="1091"/>
      <c r="C149" s="1091"/>
      <c r="D149" s="1091"/>
      <c r="E149" s="1091"/>
      <c r="F149" s="1091"/>
      <c r="G149" s="1091"/>
      <c r="H149" s="1091"/>
      <c r="I149" s="1091"/>
      <c r="J149" s="1091"/>
      <c r="K149" s="1091"/>
      <c r="L149" s="1091"/>
      <c r="M149" s="1091"/>
      <c r="N149" s="1091"/>
      <c r="O149" s="1091"/>
      <c r="P149" s="1091"/>
      <c r="Q149" s="878"/>
      <c r="R149" s="1099"/>
      <c r="S149" s="1099"/>
      <c r="T149" s="1099"/>
      <c r="U149" s="1099"/>
      <c r="V149" s="1099"/>
      <c r="W149" s="1099"/>
      <c r="X149" s="1099"/>
      <c r="Y149" s="1099"/>
      <c r="Z149" s="1099"/>
      <c r="AA149" s="1099"/>
      <c r="AB149" s="1099"/>
      <c r="AC149" s="1099"/>
      <c r="AD149" s="1099"/>
      <c r="AE149" s="1099"/>
      <c r="AF149" s="1099"/>
      <c r="AG149" s="1111"/>
    </row>
    <row r="150" spans="1:67" s="100" customFormat="1" ht="21" customHeight="1">
      <c r="A150" s="1116" t="s">
        <v>404</v>
      </c>
      <c r="B150" s="1291">
        <f>L148</f>
        <v>303.8</v>
      </c>
      <c r="C150" s="1291"/>
      <c r="D150" s="1091" t="s">
        <v>405</v>
      </c>
      <c r="E150" s="1327">
        <f>'설계기준(설계치12)'!C4</f>
        <v>4000</v>
      </c>
      <c r="F150" s="1327"/>
      <c r="G150" s="1328"/>
      <c r="H150" s="1091" t="s">
        <v>325</v>
      </c>
      <c r="I150" s="1304">
        <v>24</v>
      </c>
      <c r="J150" s="1304"/>
      <c r="K150" s="362" t="s">
        <v>298</v>
      </c>
      <c r="L150" s="1332">
        <f>B150/E150*I150</f>
        <v>1.8228</v>
      </c>
      <c r="M150" s="1332"/>
      <c r="N150" s="1101"/>
      <c r="O150" s="1101"/>
      <c r="P150" s="1101"/>
      <c r="Q150" s="878"/>
      <c r="R150" s="1269"/>
      <c r="S150" s="1269"/>
      <c r="T150" s="1099"/>
      <c r="U150" s="1306"/>
      <c r="V150" s="1295"/>
      <c r="W150" s="1295"/>
      <c r="X150" s="1099"/>
      <c r="Y150" s="1348"/>
      <c r="Z150" s="1295"/>
      <c r="AA150" s="364"/>
      <c r="AB150" s="1307"/>
      <c r="AC150" s="1269"/>
      <c r="AD150" s="1132"/>
      <c r="AE150" s="1132"/>
      <c r="AF150" s="1132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101" customFormat="1" ht="21" customHeight="1">
      <c r="A151" s="738" t="s">
        <v>577</v>
      </c>
      <c r="B151" s="322"/>
      <c r="C151" s="1101"/>
      <c r="D151" s="1101"/>
      <c r="E151" s="1101"/>
      <c r="F151" s="1101"/>
      <c r="G151" s="1101"/>
      <c r="H151" s="1101"/>
      <c r="I151" s="1101"/>
      <c r="J151" s="1101"/>
      <c r="K151" s="1101"/>
      <c r="L151" s="1101"/>
      <c r="M151" s="1101"/>
      <c r="N151" s="1101"/>
      <c r="O151" s="1101"/>
      <c r="P151" s="1101"/>
      <c r="Q151" s="878"/>
      <c r="R151" s="1132"/>
      <c r="S151" s="1132"/>
      <c r="T151" s="1132"/>
      <c r="U151" s="1132"/>
      <c r="V151" s="1132"/>
      <c r="W151" s="1132"/>
      <c r="X151" s="1132"/>
      <c r="Y151" s="1132"/>
      <c r="Z151" s="1132"/>
      <c r="AA151" s="1132"/>
      <c r="AB151" s="1132"/>
      <c r="AC151" s="1132"/>
      <c r="AD151" s="1132"/>
      <c r="AE151" s="1132"/>
      <c r="AF151" s="1132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1:67" s="100" customFormat="1" ht="21" customHeight="1">
      <c r="A152" s="739" t="s">
        <v>406</v>
      </c>
      <c r="B152" s="1096" t="s">
        <v>578</v>
      </c>
      <c r="C152" s="1088"/>
      <c r="D152" s="1088"/>
      <c r="E152" s="1088"/>
      <c r="F152" s="1088"/>
      <c r="G152" s="1088"/>
      <c r="H152" s="1088"/>
      <c r="I152" s="1088"/>
      <c r="J152" s="1088"/>
      <c r="K152" s="1088"/>
      <c r="L152" s="1088"/>
      <c r="M152" s="1088"/>
      <c r="N152" s="1088"/>
      <c r="O152" s="1088"/>
      <c r="P152" s="1088"/>
      <c r="Q152" s="878"/>
      <c r="R152" s="1127"/>
      <c r="S152" s="1127"/>
      <c r="T152" s="1127"/>
      <c r="U152" s="1127"/>
      <c r="V152" s="1127"/>
      <c r="W152" s="1127"/>
      <c r="X152" s="1127"/>
      <c r="Y152" s="1127"/>
      <c r="Z152" s="1127"/>
      <c r="AA152" s="1127"/>
      <c r="AB152" s="1127"/>
      <c r="AC152" s="1127"/>
      <c r="AD152" s="1127"/>
      <c r="AE152" s="1127"/>
      <c r="AF152" s="1127"/>
      <c r="AG152" s="45"/>
    </row>
    <row r="153" spans="1:67" s="100" customFormat="1" ht="21" customHeight="1">
      <c r="A153" s="739"/>
      <c r="B153" s="1096" t="s">
        <v>579</v>
      </c>
      <c r="C153" s="1088"/>
      <c r="D153" s="1088"/>
      <c r="E153" s="1088"/>
      <c r="F153" s="1088"/>
      <c r="G153" s="1088"/>
      <c r="H153" s="1088"/>
      <c r="I153" s="1088"/>
      <c r="J153" s="1088"/>
      <c r="K153" s="1088"/>
      <c r="L153" s="1088"/>
      <c r="M153" s="1088"/>
      <c r="N153" s="1088"/>
      <c r="O153" s="1088"/>
      <c r="P153" s="1088"/>
      <c r="Q153" s="878"/>
      <c r="R153" s="1127"/>
      <c r="S153" s="1127"/>
      <c r="T153" s="1127"/>
      <c r="U153" s="1127"/>
      <c r="V153" s="1127"/>
      <c r="W153" s="1127"/>
      <c r="X153" s="1127"/>
      <c r="Y153" s="1127"/>
      <c r="Z153" s="1127"/>
      <c r="AA153" s="1127"/>
      <c r="AB153" s="1127"/>
      <c r="AC153" s="1127"/>
      <c r="AD153" s="1127"/>
      <c r="AE153" s="1127"/>
      <c r="AF153" s="1127"/>
      <c r="AG153" s="45"/>
    </row>
    <row r="154" spans="1:67" s="100" customFormat="1" ht="21" customHeight="1">
      <c r="A154" s="739" t="s">
        <v>407</v>
      </c>
      <c r="B154" s="1101"/>
      <c r="C154" s="1101"/>
      <c r="D154" s="1101"/>
      <c r="E154" s="1101"/>
      <c r="F154" s="1101"/>
      <c r="G154" s="1101"/>
      <c r="H154" s="1101"/>
      <c r="I154" s="1101"/>
      <c r="J154" s="1101"/>
      <c r="K154" s="1101"/>
      <c r="L154" s="1101"/>
      <c r="M154" s="1101"/>
      <c r="N154" s="1101"/>
      <c r="O154" s="1101"/>
      <c r="P154" s="1101"/>
      <c r="Q154" s="878"/>
      <c r="R154" s="1132"/>
      <c r="S154" s="1132"/>
      <c r="T154" s="1132"/>
      <c r="U154" s="1132"/>
      <c r="V154" s="1132"/>
      <c r="W154" s="1132"/>
      <c r="X154" s="1132"/>
      <c r="Y154" s="1132"/>
      <c r="Z154" s="1132"/>
      <c r="AA154" s="1132"/>
      <c r="AB154" s="1132"/>
      <c r="AC154" s="1132"/>
      <c r="AD154" s="1132"/>
      <c r="AE154" s="1132"/>
      <c r="AF154" s="1132"/>
      <c r="AG154" s="45"/>
    </row>
    <row r="155" spans="1:67" s="100" customFormat="1" ht="21" customHeight="1">
      <c r="A155" s="857" t="s">
        <v>408</v>
      </c>
      <c r="B155" s="1101"/>
      <c r="C155" s="1091" t="s">
        <v>500</v>
      </c>
      <c r="D155" s="362" t="s">
        <v>298</v>
      </c>
      <c r="E155" s="1091" t="s">
        <v>409</v>
      </c>
      <c r="F155" s="1091" t="s">
        <v>41</v>
      </c>
      <c r="G155" s="1091" t="s">
        <v>410</v>
      </c>
      <c r="H155" s="1091" t="s">
        <v>330</v>
      </c>
      <c r="I155" s="1091" t="s">
        <v>501</v>
      </c>
      <c r="J155" s="1101"/>
      <c r="K155" s="1101"/>
      <c r="L155" s="1101"/>
      <c r="M155" s="1101"/>
      <c r="N155" s="1101"/>
      <c r="O155" s="1101"/>
      <c r="P155" s="1101"/>
      <c r="Q155" s="878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45"/>
    </row>
    <row r="156" spans="1:67" s="100" customFormat="1" ht="21" customHeight="1">
      <c r="A156" s="859" t="s">
        <v>411</v>
      </c>
      <c r="B156" s="1101"/>
      <c r="C156" s="1091" t="s">
        <v>410</v>
      </c>
      <c r="D156" s="362" t="s">
        <v>298</v>
      </c>
      <c r="E156" s="1091" t="s">
        <v>412</v>
      </c>
      <c r="F156" s="1091" t="s">
        <v>41</v>
      </c>
      <c r="G156" s="1101" t="s">
        <v>556</v>
      </c>
      <c r="H156" s="1091" t="s">
        <v>525</v>
      </c>
      <c r="I156" s="1091" t="s">
        <v>557</v>
      </c>
      <c r="J156" s="1101"/>
      <c r="K156" s="1101"/>
      <c r="L156" s="1101"/>
      <c r="M156" s="1101"/>
      <c r="N156" s="1101"/>
      <c r="O156" s="1101"/>
      <c r="P156" s="1101"/>
      <c r="Q156" s="878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45"/>
    </row>
    <row r="157" spans="1:67" s="100" customFormat="1" ht="21" customHeight="1">
      <c r="A157" s="859" t="s">
        <v>145</v>
      </c>
      <c r="B157" s="1101"/>
      <c r="C157" s="1101" t="s">
        <v>367</v>
      </c>
      <c r="D157" s="1101"/>
      <c r="E157" s="1101" t="s">
        <v>502</v>
      </c>
      <c r="F157" s="1101"/>
      <c r="G157" s="1101"/>
      <c r="H157" s="1101"/>
      <c r="I157" s="1101"/>
      <c r="J157" s="1101"/>
      <c r="K157" s="731">
        <v>0.44</v>
      </c>
      <c r="L157" s="1101" t="s">
        <v>413</v>
      </c>
      <c r="M157" s="1101"/>
      <c r="N157" s="1101"/>
      <c r="O157" s="1101"/>
      <c r="P157" s="1101"/>
      <c r="Q157" s="878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1"/>
      <c r="AB157" s="321"/>
      <c r="AC157" s="321"/>
      <c r="AD157" s="321"/>
      <c r="AE157" s="321"/>
      <c r="AF157" s="321"/>
      <c r="AG157" s="45"/>
    </row>
    <row r="158" spans="1:67" s="100" customFormat="1" ht="21" customHeight="1">
      <c r="A158" s="859"/>
      <c r="B158" s="1101"/>
      <c r="C158" s="1101"/>
      <c r="D158" s="1101"/>
      <c r="E158" s="1101" t="s">
        <v>503</v>
      </c>
      <c r="F158" s="1101"/>
      <c r="G158" s="1101"/>
      <c r="H158" s="1101"/>
      <c r="I158" s="1101"/>
      <c r="J158" s="1101"/>
      <c r="K158" s="1101"/>
      <c r="L158" s="1101"/>
      <c r="M158" s="1101"/>
      <c r="N158" s="1101"/>
      <c r="O158" s="1101"/>
      <c r="P158" s="1101"/>
      <c r="Q158" s="878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45"/>
    </row>
    <row r="159" spans="1:67" s="100" customFormat="1" ht="21" customHeight="1">
      <c r="A159" s="859"/>
      <c r="B159" s="1101"/>
      <c r="C159" s="1101"/>
      <c r="D159" s="1101"/>
      <c r="E159" s="1101" t="s">
        <v>504</v>
      </c>
      <c r="F159" s="1101"/>
      <c r="G159" s="1101"/>
      <c r="H159" s="1101"/>
      <c r="I159" s="1101"/>
      <c r="J159" s="1101"/>
      <c r="K159" s="1101"/>
      <c r="L159" s="1101"/>
      <c r="M159" s="1101"/>
      <c r="N159" s="1101"/>
      <c r="O159" s="1101"/>
      <c r="P159" s="1101"/>
      <c r="Q159" s="878"/>
      <c r="R159" s="321"/>
      <c r="S159" s="321"/>
      <c r="T159" s="321"/>
      <c r="U159" s="321"/>
      <c r="V159" s="321"/>
      <c r="W159" s="321"/>
      <c r="X159" s="321"/>
      <c r="Y159" s="321"/>
      <c r="Z159" s="321"/>
      <c r="AA159" s="321"/>
      <c r="AB159" s="321"/>
      <c r="AC159" s="321"/>
      <c r="AD159" s="321"/>
      <c r="AE159" s="321"/>
      <c r="AF159" s="321"/>
      <c r="AG159" s="45"/>
    </row>
    <row r="160" spans="1:67" s="100" customFormat="1" ht="21" customHeight="1">
      <c r="A160" s="859"/>
      <c r="B160" s="1101"/>
      <c r="C160" s="1091" t="s">
        <v>410</v>
      </c>
      <c r="D160" s="362" t="s">
        <v>30</v>
      </c>
      <c r="E160" s="1091">
        <v>1</v>
      </c>
      <c r="F160" s="1091" t="s">
        <v>343</v>
      </c>
      <c r="G160" s="1091">
        <f>K157</f>
        <v>0.44</v>
      </c>
      <c r="H160" s="1091" t="s">
        <v>141</v>
      </c>
      <c r="I160" s="1091">
        <v>1</v>
      </c>
      <c r="J160" s="1091" t="s">
        <v>343</v>
      </c>
      <c r="K160" s="1124">
        <f>K90</f>
        <v>10</v>
      </c>
      <c r="L160" s="362" t="s">
        <v>328</v>
      </c>
      <c r="M160" s="941">
        <v>0.04</v>
      </c>
      <c r="N160" s="1091" t="s">
        <v>339</v>
      </c>
      <c r="O160" s="1091"/>
      <c r="P160" s="1091"/>
      <c r="Q160" s="878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45"/>
    </row>
    <row r="161" spans="1:33" s="100" customFormat="1" ht="21" customHeight="1">
      <c r="A161" s="859"/>
      <c r="B161" s="1101"/>
      <c r="C161" s="1091"/>
      <c r="D161" s="362" t="s">
        <v>298</v>
      </c>
      <c r="E161" s="834">
        <f>(E160/G160)*(I160/K160+M160)</f>
        <v>0.31818181818181823</v>
      </c>
      <c r="F161" s="1091" t="s">
        <v>486</v>
      </c>
      <c r="G161" s="1091"/>
      <c r="H161" s="1091"/>
      <c r="I161" s="1091"/>
      <c r="J161" s="1091"/>
      <c r="K161" s="1091"/>
      <c r="L161" s="1091"/>
      <c r="M161" s="1091"/>
      <c r="N161" s="1091"/>
      <c r="O161" s="1091"/>
      <c r="P161" s="1091"/>
      <c r="Q161" s="878"/>
      <c r="R161" s="321"/>
      <c r="S161" s="321"/>
      <c r="T161" s="321"/>
      <c r="U161" s="321"/>
      <c r="V161" s="321"/>
      <c r="W161" s="321"/>
      <c r="X161" s="321"/>
      <c r="Y161" s="321"/>
      <c r="Z161" s="321"/>
      <c r="AA161" s="321"/>
      <c r="AB161" s="321"/>
      <c r="AC161" s="321"/>
      <c r="AD161" s="321"/>
      <c r="AE161" s="321"/>
      <c r="AF161" s="321"/>
      <c r="AG161" s="45"/>
    </row>
    <row r="162" spans="1:33" s="100" customFormat="1" ht="21" customHeight="1">
      <c r="A162" s="1116" t="s">
        <v>414</v>
      </c>
      <c r="B162" s="1101"/>
      <c r="C162" s="1091" t="s">
        <v>410</v>
      </c>
      <c r="D162" s="362" t="s">
        <v>298</v>
      </c>
      <c r="E162" s="1091" t="s">
        <v>558</v>
      </c>
      <c r="F162" s="362" t="s">
        <v>330</v>
      </c>
      <c r="G162" s="1124" t="s">
        <v>561</v>
      </c>
      <c r="H162" s="1124" t="s">
        <v>142</v>
      </c>
      <c r="I162" s="1091" t="s">
        <v>559</v>
      </c>
      <c r="J162" s="1091" t="s">
        <v>525</v>
      </c>
      <c r="K162" s="1091" t="s">
        <v>560</v>
      </c>
      <c r="L162" s="1101"/>
      <c r="M162" s="1101"/>
      <c r="N162" s="1101"/>
      <c r="O162" s="1101"/>
      <c r="P162" s="1101"/>
      <c r="Q162" s="878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45"/>
    </row>
    <row r="163" spans="1:33" s="100" customFormat="1" ht="21" customHeight="1">
      <c r="A163" s="859" t="s">
        <v>415</v>
      </c>
      <c r="B163" s="1101"/>
      <c r="C163" s="1101" t="s">
        <v>367</v>
      </c>
      <c r="D163" s="498"/>
      <c r="E163" s="1101" t="s">
        <v>505</v>
      </c>
      <c r="F163" s="1101"/>
      <c r="G163" s="413"/>
      <c r="H163" s="1101"/>
      <c r="I163" s="1101"/>
      <c r="J163" s="1101"/>
      <c r="K163" s="1101"/>
      <c r="L163" s="1101"/>
      <c r="M163" s="1101"/>
      <c r="N163" s="1101"/>
      <c r="O163" s="1101"/>
      <c r="P163" s="1101"/>
      <c r="Q163" s="878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 s="45"/>
    </row>
    <row r="164" spans="1:33" s="100" customFormat="1" ht="21" customHeight="1">
      <c r="A164" s="861" t="s">
        <v>416</v>
      </c>
      <c r="B164" s="1101"/>
      <c r="C164" s="1101"/>
      <c r="D164" s="498"/>
      <c r="E164" s="1101" t="s">
        <v>417</v>
      </c>
      <c r="F164" s="1101"/>
      <c r="G164" s="413"/>
      <c r="H164" s="1101"/>
      <c r="I164" s="1101"/>
      <c r="J164" s="1101"/>
      <c r="K164" s="1101"/>
      <c r="L164" s="1101"/>
      <c r="M164" s="1101"/>
      <c r="N164" s="1101"/>
      <c r="O164" s="1101"/>
      <c r="P164" s="1101"/>
      <c r="Q164" s="878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45"/>
    </row>
    <row r="165" spans="1:33" s="100" customFormat="1" ht="21" customHeight="1">
      <c r="A165" s="861"/>
      <c r="B165" s="1101"/>
      <c r="C165" s="1101"/>
      <c r="D165" s="498"/>
      <c r="E165" s="1101" t="s">
        <v>506</v>
      </c>
      <c r="F165" s="1101"/>
      <c r="G165" s="413"/>
      <c r="H165" s="1101"/>
      <c r="I165" s="1101"/>
      <c r="J165" s="1101"/>
      <c r="K165" s="1101"/>
      <c r="L165" s="1101"/>
      <c r="M165" s="1101"/>
      <c r="N165" s="1101"/>
      <c r="O165" s="1101"/>
      <c r="P165" s="1101"/>
      <c r="Q165" s="878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45"/>
    </row>
    <row r="166" spans="1:33" s="100" customFormat="1" ht="21" customHeight="1">
      <c r="A166" s="861"/>
      <c r="B166" s="1101"/>
      <c r="C166" s="1101"/>
      <c r="D166" s="498"/>
      <c r="E166" s="1101" t="s">
        <v>418</v>
      </c>
      <c r="F166" s="1101"/>
      <c r="G166" s="413"/>
      <c r="H166" s="1101"/>
      <c r="I166" s="1101"/>
      <c r="J166" s="1101"/>
      <c r="K166" s="1101"/>
      <c r="L166" s="1101"/>
      <c r="M166" s="1101"/>
      <c r="N166" s="1101"/>
      <c r="O166" s="1101"/>
      <c r="P166" s="1101"/>
      <c r="Q166" s="878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45"/>
    </row>
    <row r="167" spans="1:33" s="100" customFormat="1" ht="21" customHeight="1">
      <c r="A167" s="861"/>
      <c r="B167" s="1101"/>
      <c r="C167" s="1091" t="s">
        <v>102</v>
      </c>
      <c r="D167" s="362" t="s">
        <v>30</v>
      </c>
      <c r="E167" s="1420">
        <f>'설계기준(설계치12)'!F7</f>
        <v>218.7</v>
      </c>
      <c r="F167" s="1420"/>
      <c r="G167" s="951" t="s">
        <v>547</v>
      </c>
      <c r="H167" s="952">
        <f>'설계기준(설계치12)'!J7</f>
        <v>6</v>
      </c>
      <c r="I167" s="1091" t="s">
        <v>554</v>
      </c>
      <c r="J167" s="1086">
        <f>E161</f>
        <v>0.31818181818181823</v>
      </c>
      <c r="K167" s="1091" t="s">
        <v>41</v>
      </c>
      <c r="L167" s="1409">
        <f>'설계기준(설계치12)'!K15</f>
        <v>2400</v>
      </c>
      <c r="M167" s="1409"/>
      <c r="N167" s="1109"/>
      <c r="O167" s="1101"/>
      <c r="P167" s="1101"/>
      <c r="Q167" s="954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45"/>
    </row>
    <row r="168" spans="1:33" s="100" customFormat="1" ht="21" customHeight="1">
      <c r="A168" s="861"/>
      <c r="B168" s="1101"/>
      <c r="C168" s="1101"/>
      <c r="D168" s="362" t="s">
        <v>298</v>
      </c>
      <c r="E168" s="1419">
        <f>(E167-H167)/(J167*L167)</f>
        <v>0.27853571428571422</v>
      </c>
      <c r="F168" s="1260"/>
      <c r="G168" s="499" t="s">
        <v>298</v>
      </c>
      <c r="H168" s="1322">
        <f>E168*24</f>
        <v>6.6848571428571413</v>
      </c>
      <c r="I168" s="1323"/>
      <c r="J168" s="1101"/>
      <c r="K168" s="1101"/>
      <c r="L168" s="1101"/>
      <c r="M168" s="1101"/>
      <c r="N168" s="1101"/>
      <c r="O168" s="1101"/>
      <c r="P168" s="1101"/>
      <c r="Q168" s="878"/>
      <c r="R168" s="321"/>
      <c r="S168" s="321"/>
      <c r="T168" s="321"/>
      <c r="U168" s="321"/>
      <c r="V168" s="321"/>
      <c r="W168" s="321"/>
      <c r="X168" s="321"/>
      <c r="Y168" s="321"/>
      <c r="Z168" s="321"/>
      <c r="AA168" s="321"/>
      <c r="AB168" s="321"/>
      <c r="AC168" s="321"/>
      <c r="AD168" s="321"/>
      <c r="AE168" s="321"/>
      <c r="AF168" s="321"/>
      <c r="AG168" s="45"/>
    </row>
    <row r="169" spans="1:33" s="100" customFormat="1" ht="21" customHeight="1">
      <c r="A169" s="863" t="s">
        <v>419</v>
      </c>
      <c r="B169" s="1091" t="s">
        <v>507</v>
      </c>
      <c r="C169" s="500" t="s">
        <v>392</v>
      </c>
      <c r="D169" s="501" t="s">
        <v>377</v>
      </c>
      <c r="E169" s="1101" t="s">
        <v>330</v>
      </c>
      <c r="F169" s="1101" t="s">
        <v>373</v>
      </c>
      <c r="G169" s="1101" t="s">
        <v>420</v>
      </c>
      <c r="H169" s="502" t="s">
        <v>347</v>
      </c>
      <c r="I169" s="1101" t="s">
        <v>325</v>
      </c>
      <c r="J169" s="410" t="s">
        <v>421</v>
      </c>
      <c r="K169" s="1101"/>
      <c r="L169" s="1101"/>
      <c r="M169" s="1101"/>
      <c r="N169" s="1101"/>
      <c r="O169" s="1101"/>
      <c r="P169" s="1101"/>
      <c r="Q169" s="878"/>
      <c r="R169" s="1132"/>
      <c r="S169" s="365"/>
      <c r="T169" s="366"/>
      <c r="U169" s="1132"/>
      <c r="V169" s="1132"/>
      <c r="W169" s="1132"/>
      <c r="X169" s="367"/>
      <c r="Y169" s="1132"/>
      <c r="Z169" s="368"/>
      <c r="AA169" s="1132"/>
      <c r="AB169" s="1132"/>
      <c r="AC169" s="1132"/>
      <c r="AD169" s="1132"/>
      <c r="AE169" s="1132"/>
      <c r="AF169" s="1132"/>
      <c r="AG169" s="45"/>
    </row>
    <row r="170" spans="1:33" s="100" customFormat="1" ht="21" customHeight="1">
      <c r="A170" s="863" t="s">
        <v>422</v>
      </c>
      <c r="B170" s="1275" t="s">
        <v>367</v>
      </c>
      <c r="C170" s="1276"/>
      <c r="D170" s="1091" t="s">
        <v>423</v>
      </c>
      <c r="E170" s="1091" t="s">
        <v>298</v>
      </c>
      <c r="F170" s="1257" t="s">
        <v>424</v>
      </c>
      <c r="G170" s="1257"/>
      <c r="H170" s="1257"/>
      <c r="I170" s="1257"/>
      <c r="J170" s="1257"/>
      <c r="K170" s="1257"/>
      <c r="L170" s="1257"/>
      <c r="M170" s="1257"/>
      <c r="N170" s="1257"/>
      <c r="O170" s="1257"/>
      <c r="P170" s="1257"/>
      <c r="Q170" s="878"/>
      <c r="R170" s="1269"/>
      <c r="S170" s="1269"/>
      <c r="T170" s="1099"/>
      <c r="U170" s="1099"/>
      <c r="V170" s="1265"/>
      <c r="W170" s="1265"/>
      <c r="X170" s="1265"/>
      <c r="Y170" s="1265"/>
      <c r="Z170" s="1265"/>
      <c r="AA170" s="1265"/>
      <c r="AB170" s="1265"/>
      <c r="AC170" s="1265"/>
      <c r="AD170" s="1265"/>
      <c r="AE170" s="1265"/>
      <c r="AF170" s="1265"/>
      <c r="AG170" s="45"/>
    </row>
    <row r="171" spans="1:33" s="100" customFormat="1" ht="21" customHeight="1">
      <c r="A171" s="957" t="s">
        <v>416</v>
      </c>
      <c r="B171" s="1123"/>
      <c r="C171" s="1123"/>
      <c r="D171" s="1121" t="s">
        <v>373</v>
      </c>
      <c r="E171" s="1121" t="s">
        <v>298</v>
      </c>
      <c r="F171" s="1417" t="s">
        <v>425</v>
      </c>
      <c r="G171" s="1417"/>
      <c r="H171" s="1417"/>
      <c r="I171" s="1417"/>
      <c r="J171" s="1417"/>
      <c r="K171" s="1417"/>
      <c r="L171" s="1417"/>
      <c r="M171" s="1417"/>
      <c r="N171" s="1417"/>
      <c r="O171" s="1417"/>
      <c r="P171" s="1417"/>
      <c r="Q171" s="882"/>
      <c r="R171" s="1132"/>
      <c r="S171" s="1132"/>
      <c r="T171" s="1099"/>
      <c r="U171" s="1099"/>
      <c r="V171" s="1265"/>
      <c r="W171" s="1265"/>
      <c r="X171" s="1265"/>
      <c r="Y171" s="1265"/>
      <c r="Z171" s="1265"/>
      <c r="AA171" s="1265"/>
      <c r="AB171" s="1265"/>
      <c r="AC171" s="1265"/>
      <c r="AD171" s="1265"/>
      <c r="AE171" s="1265"/>
      <c r="AF171" s="1265"/>
      <c r="AG171" s="45"/>
    </row>
    <row r="172" spans="1:33" s="112" customFormat="1" ht="21" customHeight="1">
      <c r="A172" s="862"/>
      <c r="B172" s="1105"/>
      <c r="C172" s="1105"/>
      <c r="D172" s="1105" t="s">
        <v>347</v>
      </c>
      <c r="E172" s="1105" t="s">
        <v>298</v>
      </c>
      <c r="F172" s="1325" t="s">
        <v>508</v>
      </c>
      <c r="G172" s="1325"/>
      <c r="H172" s="1325"/>
      <c r="I172" s="1325"/>
      <c r="J172" s="1325"/>
      <c r="K172" s="1325"/>
      <c r="L172" s="1325"/>
      <c r="M172" s="1325"/>
      <c r="N172" s="1325"/>
      <c r="O172" s="1325"/>
      <c r="P172" s="1325"/>
      <c r="Q172" s="883"/>
      <c r="R172" s="1099"/>
      <c r="S172" s="1099"/>
      <c r="T172" s="1099"/>
      <c r="U172" s="1099"/>
      <c r="V172" s="1265"/>
      <c r="W172" s="1265"/>
      <c r="X172" s="1265"/>
      <c r="Y172" s="1265"/>
      <c r="Z172" s="1265"/>
      <c r="AA172" s="1265"/>
      <c r="AB172" s="1265"/>
      <c r="AC172" s="1265"/>
      <c r="AD172" s="1265"/>
      <c r="AE172" s="1265"/>
      <c r="AF172" s="1265"/>
      <c r="AG172" s="1111"/>
    </row>
    <row r="173" spans="1:33" s="112" customFormat="1" ht="21" customHeight="1">
      <c r="A173" s="861"/>
      <c r="B173" s="1091"/>
      <c r="C173" s="1091"/>
      <c r="D173" s="1091" t="s">
        <v>421</v>
      </c>
      <c r="E173" s="1091" t="s">
        <v>298</v>
      </c>
      <c r="F173" s="1088" t="str">
        <f>"질산화 미생물(㎎/ℓ),["&amp;'설계기준(설계치12)'!K15&amp;"×0.1(질산화미생물비율)]"</f>
        <v>질산화 미생물(㎎/ℓ),[2400×0.1(질산화미생물비율)]</v>
      </c>
      <c r="G173" s="1088"/>
      <c r="H173" s="1088"/>
      <c r="I173" s="1088"/>
      <c r="J173" s="1088"/>
      <c r="K173" s="1088"/>
      <c r="L173" s="1091"/>
      <c r="M173" s="1091"/>
      <c r="N173" s="1091"/>
      <c r="O173" s="1091"/>
      <c r="P173" s="1091"/>
      <c r="Q173" s="885"/>
      <c r="R173" s="1099"/>
      <c r="S173" s="1099"/>
      <c r="T173" s="1099"/>
      <c r="U173" s="1099"/>
      <c r="V173" s="1127"/>
      <c r="W173" s="1127"/>
      <c r="X173" s="1127"/>
      <c r="Y173" s="1127"/>
      <c r="Z173" s="1127"/>
      <c r="AA173" s="1127"/>
      <c r="AB173" s="1099"/>
      <c r="AC173" s="1099"/>
      <c r="AD173" s="1099"/>
      <c r="AE173" s="1099"/>
      <c r="AF173" s="1099"/>
      <c r="AG173" s="1111"/>
    </row>
    <row r="174" spans="1:33" s="112" customFormat="1" ht="21" customHeight="1">
      <c r="A174" s="861"/>
      <c r="B174" s="1091" t="s">
        <v>507</v>
      </c>
      <c r="C174" s="1091" t="s">
        <v>28</v>
      </c>
      <c r="D174" s="413">
        <f>H113</f>
        <v>49.32</v>
      </c>
      <c r="E174" s="1117" t="s">
        <v>547</v>
      </c>
      <c r="F174" s="1124">
        <f>M100</f>
        <v>0.45965040436195276</v>
      </c>
      <c r="G174" s="1091" t="s">
        <v>420</v>
      </c>
      <c r="H174" s="1086">
        <f>O94</f>
        <v>0.75000000000000011</v>
      </c>
      <c r="I174" s="1331">
        <f>'설계기준(설계치12)'!K15</f>
        <v>2400</v>
      </c>
      <c r="J174" s="1331"/>
      <c r="K174" s="947">
        <v>0.08</v>
      </c>
      <c r="L174" s="1091" t="s">
        <v>562</v>
      </c>
      <c r="M174" s="381">
        <v>24</v>
      </c>
      <c r="N174" s="1091" t="s">
        <v>298</v>
      </c>
      <c r="O174" s="1324">
        <f>(D174-F174)/(H174*I174*K174)*M174</f>
        <v>8.1433915992730075</v>
      </c>
      <c r="P174" s="1326"/>
      <c r="Q174" s="878"/>
      <c r="R174" s="1099"/>
      <c r="S174" s="946">
        <f>+H174*K174</f>
        <v>6.0000000000000012E-2</v>
      </c>
      <c r="T174" s="1371"/>
      <c r="U174" s="1371"/>
      <c r="V174" s="1099"/>
      <c r="W174" s="1135"/>
      <c r="X174" s="1372"/>
      <c r="Y174" s="1372"/>
      <c r="Z174" s="1372"/>
      <c r="AA174" s="1099"/>
      <c r="AB174" s="1099"/>
      <c r="AC174" s="369"/>
      <c r="AD174" s="1099"/>
      <c r="AE174" s="1099"/>
      <c r="AF174" s="1111"/>
    </row>
    <row r="175" spans="1:33" s="110" customFormat="1" ht="21" customHeight="1">
      <c r="A175" s="864" t="s">
        <v>426</v>
      </c>
      <c r="B175" s="1091"/>
      <c r="C175" s="1273">
        <f>'설계기준(설계치12)'!H4</f>
        <v>166.66666666666666</v>
      </c>
      <c r="D175" s="1273"/>
      <c r="E175" s="1274"/>
      <c r="F175" s="1091" t="s">
        <v>325</v>
      </c>
      <c r="G175" s="1324">
        <f>MAX(O174,H168)</f>
        <v>8.1433915992730075</v>
      </c>
      <c r="H175" s="1260"/>
      <c r="I175" s="1091" t="s">
        <v>298</v>
      </c>
      <c r="J175" s="1330">
        <f>C175*G175</f>
        <v>1357.2319332121679</v>
      </c>
      <c r="K175" s="1330"/>
      <c r="L175" s="1091" t="s">
        <v>118</v>
      </c>
      <c r="M175" s="1091"/>
      <c r="N175" s="1101"/>
      <c r="O175" s="1091"/>
      <c r="P175" s="1091"/>
      <c r="Q175" s="884"/>
      <c r="R175" s="1133"/>
      <c r="S175" s="1345"/>
      <c r="T175" s="1345"/>
      <c r="U175" s="1346"/>
      <c r="V175" s="1133"/>
      <c r="W175" s="1365"/>
      <c r="X175" s="1346"/>
      <c r="Y175" s="1133"/>
      <c r="Z175" s="1373"/>
      <c r="AA175" s="1373"/>
      <c r="AB175" s="1133"/>
      <c r="AC175" s="1133"/>
      <c r="AD175" s="325"/>
      <c r="AE175" s="1133"/>
      <c r="AF175" s="1133"/>
      <c r="AG175" s="1111"/>
    </row>
    <row r="176" spans="1:33" s="112" customFormat="1" ht="21" customHeight="1">
      <c r="A176" s="860" t="s">
        <v>427</v>
      </c>
      <c r="B176" s="1091"/>
      <c r="C176" s="1091"/>
      <c r="D176" s="1091"/>
      <c r="E176" s="1091"/>
      <c r="F176" s="1091"/>
      <c r="G176" s="1091"/>
      <c r="H176" s="1091"/>
      <c r="I176" s="1091"/>
      <c r="J176" s="1091"/>
      <c r="K176" s="1091"/>
      <c r="L176" s="1091"/>
      <c r="M176" s="1091"/>
      <c r="N176" s="1091"/>
      <c r="O176" s="1091"/>
      <c r="P176" s="1091"/>
      <c r="Q176" s="884"/>
      <c r="R176" s="1099"/>
      <c r="S176" s="1099"/>
      <c r="T176" s="1099"/>
      <c r="U176" s="1099"/>
      <c r="V176" s="1099"/>
      <c r="W176" s="1099"/>
      <c r="X176" s="1099"/>
      <c r="Y176" s="1099"/>
      <c r="Z176" s="1099"/>
      <c r="AA176" s="1099"/>
      <c r="AB176" s="1099"/>
      <c r="AC176" s="1099"/>
      <c r="AD176" s="1099"/>
      <c r="AE176" s="1099"/>
      <c r="AF176" s="1099"/>
      <c r="AG176" s="1111"/>
    </row>
    <row r="177" spans="1:33" s="112" customFormat="1" ht="21" customHeight="1">
      <c r="A177" s="1116" t="s">
        <v>304</v>
      </c>
      <c r="B177" s="322"/>
      <c r="C177" s="1260" t="s">
        <v>121</v>
      </c>
      <c r="D177" s="1260"/>
      <c r="E177" s="1101"/>
      <c r="F177" s="1101"/>
      <c r="G177" s="1101"/>
      <c r="H177" s="1101"/>
      <c r="I177" s="1101"/>
      <c r="J177" s="1101"/>
      <c r="K177" s="1101"/>
      <c r="L177" s="1101"/>
      <c r="M177" s="1101"/>
      <c r="N177" s="1101"/>
      <c r="O177" s="1101"/>
      <c r="P177" s="1101"/>
      <c r="Q177" s="884"/>
      <c r="R177" s="1269"/>
      <c r="S177" s="1269"/>
      <c r="T177" s="1269"/>
      <c r="U177" s="1269"/>
      <c r="V177" s="1269"/>
      <c r="W177" s="1269"/>
      <c r="X177" s="1269"/>
      <c r="Y177" s="1269"/>
      <c r="Z177" s="1269"/>
      <c r="AA177" s="1269"/>
      <c r="AB177" s="1269"/>
      <c r="AC177" s="1269"/>
      <c r="AD177" s="1269"/>
      <c r="AE177" s="1269"/>
      <c r="AF177" s="1269"/>
      <c r="AG177" s="1111"/>
    </row>
    <row r="178" spans="1:33" s="112" customFormat="1" ht="21" customHeight="1">
      <c r="A178" s="1116" t="s">
        <v>122</v>
      </c>
      <c r="B178" s="1091" t="s">
        <v>307</v>
      </c>
      <c r="C178" s="309">
        <v>7</v>
      </c>
      <c r="D178" s="1091" t="s">
        <v>308</v>
      </c>
      <c r="E178" s="1091" t="s">
        <v>51</v>
      </c>
      <c r="F178" s="1091" t="s">
        <v>309</v>
      </c>
      <c r="G178" s="309">
        <v>6.4</v>
      </c>
      <c r="H178" s="1091" t="s">
        <v>308</v>
      </c>
      <c r="I178" s="1091" t="s">
        <v>51</v>
      </c>
      <c r="J178" s="1260" t="s">
        <v>428</v>
      </c>
      <c r="K178" s="1260"/>
      <c r="L178" s="309">
        <v>5.8</v>
      </c>
      <c r="M178" s="1091" t="s">
        <v>308</v>
      </c>
      <c r="N178" s="1091" t="s">
        <v>51</v>
      </c>
      <c r="O178" s="1091">
        <v>1</v>
      </c>
      <c r="P178" s="1091" t="s">
        <v>429</v>
      </c>
      <c r="Q178" s="884"/>
      <c r="R178" s="1147"/>
      <c r="S178" s="1129"/>
      <c r="T178" s="1127"/>
      <c r="U178" s="1099"/>
      <c r="V178" s="1147"/>
      <c r="W178" s="1129"/>
      <c r="X178" s="1127"/>
      <c r="Y178" s="1099"/>
      <c r="Z178" s="1269"/>
      <c r="AA178" s="1269"/>
      <c r="AB178" s="1099"/>
      <c r="AC178" s="1127"/>
      <c r="AD178" s="1099"/>
      <c r="AE178" s="1099"/>
      <c r="AF178" s="1099"/>
      <c r="AG178" s="1111"/>
    </row>
    <row r="179" spans="1:33" s="112" customFormat="1" ht="21" hidden="1" customHeight="1">
      <c r="A179" s="1116"/>
      <c r="B179" s="1091"/>
      <c r="C179" s="309"/>
      <c r="D179" s="1091"/>
      <c r="E179" s="1091"/>
      <c r="F179" s="1091"/>
      <c r="G179" s="309"/>
      <c r="H179" s="1091"/>
      <c r="I179" s="1091"/>
      <c r="J179" s="1260"/>
      <c r="K179" s="1260"/>
      <c r="L179" s="309"/>
      <c r="M179" s="1091"/>
      <c r="N179" s="1091"/>
      <c r="O179" s="1091"/>
      <c r="P179" s="1091"/>
      <c r="Q179" s="884"/>
      <c r="R179" s="1147"/>
      <c r="S179" s="1129"/>
      <c r="T179" s="1127"/>
      <c r="U179" s="1099"/>
      <c r="V179" s="1147"/>
      <c r="W179" s="1129"/>
      <c r="X179" s="1127"/>
      <c r="Y179" s="1099"/>
      <c r="Z179" s="1099"/>
      <c r="AA179" s="1099"/>
      <c r="AB179" s="1099"/>
      <c r="AC179" s="1127"/>
      <c r="AD179" s="1099"/>
      <c r="AE179" s="1099"/>
      <c r="AF179" s="1099"/>
      <c r="AG179" s="1111"/>
    </row>
    <row r="180" spans="1:33" s="112" customFormat="1" ht="21" customHeight="1">
      <c r="A180" s="1116" t="s">
        <v>312</v>
      </c>
      <c r="B180" s="1101"/>
      <c r="C180" s="1101"/>
      <c r="D180" s="1101"/>
      <c r="E180" s="1101"/>
      <c r="F180" s="1101"/>
      <c r="G180" s="1101"/>
      <c r="H180" s="1091">
        <v>2</v>
      </c>
      <c r="I180" s="1101" t="s">
        <v>313</v>
      </c>
      <c r="J180" s="1260"/>
      <c r="K180" s="1260"/>
      <c r="L180" s="309"/>
      <c r="M180" s="1091"/>
      <c r="N180" s="1091"/>
      <c r="O180" s="1091"/>
      <c r="P180" s="1091"/>
      <c r="Q180" s="884"/>
      <c r="R180" s="1132"/>
      <c r="S180" s="1132"/>
      <c r="T180" s="1132"/>
      <c r="U180" s="1132"/>
      <c r="V180" s="1132"/>
      <c r="W180" s="1132"/>
      <c r="X180" s="1099"/>
      <c r="Y180" s="1132"/>
      <c r="Z180" s="1132"/>
      <c r="AA180" s="1132"/>
      <c r="AB180" s="1132"/>
      <c r="AC180" s="1132"/>
      <c r="AD180" s="1132"/>
      <c r="AE180" s="1099"/>
      <c r="AF180" s="1099"/>
      <c r="AG180" s="1111"/>
    </row>
    <row r="181" spans="1:33" s="112" customFormat="1" ht="21" customHeight="1">
      <c r="A181" s="1116" t="s">
        <v>126</v>
      </c>
      <c r="B181" s="1091" t="s">
        <v>127</v>
      </c>
      <c r="C181" s="1091" t="s">
        <v>30</v>
      </c>
      <c r="D181" s="1272">
        <f>(C178*G178*L178*O178)+(C179*G179*L179*O179)+(C180*G180*L180*O180)</f>
        <v>259.84000000000003</v>
      </c>
      <c r="E181" s="1272"/>
      <c r="F181" s="1260" t="s">
        <v>128</v>
      </c>
      <c r="G181" s="1260"/>
      <c r="H181" s="1091" t="s">
        <v>51</v>
      </c>
      <c r="I181" s="1091">
        <v>2</v>
      </c>
      <c r="J181" s="1091" t="s">
        <v>837</v>
      </c>
      <c r="K181" s="1091" t="s">
        <v>30</v>
      </c>
      <c r="L181" s="1291">
        <f>D181*I181</f>
        <v>519.68000000000006</v>
      </c>
      <c r="M181" s="1291"/>
      <c r="N181" s="1101"/>
      <c r="O181" s="1091"/>
      <c r="P181" s="1091"/>
      <c r="Q181" s="884"/>
      <c r="R181" s="1347">
        <f>IF(+L181/J175&gt;1,1,+L181/J175)</f>
        <v>0.38289697382087873</v>
      </c>
      <c r="S181" s="1347"/>
      <c r="T181" s="1265"/>
      <c r="U181" s="1265"/>
      <c r="V181" s="1269"/>
      <c r="W181" s="1269"/>
      <c r="X181" s="1132"/>
      <c r="Y181" s="1132"/>
      <c r="Z181" s="1132"/>
      <c r="AA181" s="1132"/>
      <c r="AB181" s="1302"/>
      <c r="AC181" s="1302"/>
      <c r="AD181" s="1132"/>
      <c r="AE181" s="1099"/>
      <c r="AF181" s="1099"/>
      <c r="AG181" s="1111"/>
    </row>
    <row r="182" spans="1:33" s="112" customFormat="1" ht="21" customHeight="1">
      <c r="A182" s="1116" t="s">
        <v>430</v>
      </c>
      <c r="B182" s="1291">
        <f>L181</f>
        <v>519.68000000000006</v>
      </c>
      <c r="C182" s="1291"/>
      <c r="D182" s="1091" t="s">
        <v>52</v>
      </c>
      <c r="E182" s="1327">
        <f>'설계기준(설계치12)'!C4</f>
        <v>4000</v>
      </c>
      <c r="F182" s="1327"/>
      <c r="G182" s="1328"/>
      <c r="H182" s="1091" t="s">
        <v>51</v>
      </c>
      <c r="I182" s="1304">
        <v>24</v>
      </c>
      <c r="J182" s="1304"/>
      <c r="K182" s="1091" t="s">
        <v>298</v>
      </c>
      <c r="L182" s="1332">
        <f>B182/E182*I182</f>
        <v>3.11808</v>
      </c>
      <c r="M182" s="1332"/>
      <c r="N182" s="1091"/>
      <c r="O182" s="1091"/>
      <c r="P182" s="1101"/>
      <c r="Q182" s="884"/>
      <c r="R182" s="1362"/>
      <c r="S182" s="1362"/>
      <c r="T182" s="1099"/>
      <c r="U182" s="1306"/>
      <c r="V182" s="1269"/>
      <c r="W182" s="1269"/>
      <c r="X182" s="1132"/>
      <c r="Y182" s="1348"/>
      <c r="Z182" s="1334"/>
      <c r="AA182" s="1099"/>
      <c r="AB182" s="1358"/>
      <c r="AC182" s="1359"/>
      <c r="AD182" s="1126"/>
      <c r="AE182" s="1126"/>
      <c r="AF182" s="1132"/>
      <c r="AG182" s="1111"/>
    </row>
    <row r="183" spans="1:33" s="112" customFormat="1" ht="21" customHeight="1">
      <c r="A183" s="1406" t="s">
        <v>431</v>
      </c>
      <c r="B183" s="1111"/>
      <c r="C183" s="1329">
        <f>E182</f>
        <v>4000</v>
      </c>
      <c r="D183" s="1329"/>
      <c r="E183" s="1091" t="s">
        <v>51</v>
      </c>
      <c r="F183" s="1329">
        <f>'설계기준(설계치12)'!F7</f>
        <v>218.7</v>
      </c>
      <c r="G183" s="1329"/>
      <c r="H183" s="1260" t="s">
        <v>298</v>
      </c>
      <c r="I183" s="1408">
        <f>C183*F183/(C184*F184)</f>
        <v>0.5611145320197044</v>
      </c>
      <c r="J183" s="1408"/>
      <c r="K183" s="1408"/>
      <c r="L183" s="1408"/>
      <c r="M183" s="1088"/>
      <c r="N183" s="1088"/>
      <c r="O183" s="1088"/>
      <c r="P183" s="1088"/>
      <c r="Q183" s="884"/>
      <c r="R183" s="1300"/>
      <c r="S183" s="1269"/>
      <c r="T183" s="1099"/>
      <c r="U183" s="1300"/>
      <c r="V183" s="1269"/>
      <c r="W183" s="1269"/>
      <c r="X183" s="1368"/>
      <c r="Y183" s="1368"/>
      <c r="Z183" s="1368"/>
      <c r="AA183" s="1368"/>
      <c r="AB183" s="1368"/>
      <c r="AC183" s="1127"/>
      <c r="AD183" s="1127"/>
      <c r="AE183" s="1099"/>
      <c r="AF183" s="1099"/>
      <c r="AG183" s="1111"/>
    </row>
    <row r="184" spans="1:33" s="112" customFormat="1" ht="21" customHeight="1">
      <c r="A184" s="1406"/>
      <c r="B184" s="1111"/>
      <c r="C184" s="1396">
        <f>'설계기준(설계치12)'!K14</f>
        <v>3000</v>
      </c>
      <c r="D184" s="1396"/>
      <c r="E184" s="1105" t="s">
        <v>51</v>
      </c>
      <c r="F184" s="1393">
        <f>L181</f>
        <v>519.68000000000006</v>
      </c>
      <c r="G184" s="1393"/>
      <c r="H184" s="1260"/>
      <c r="I184" s="1408"/>
      <c r="J184" s="1408"/>
      <c r="K184" s="1408"/>
      <c r="L184" s="1408"/>
      <c r="M184" s="1088"/>
      <c r="N184" s="1088"/>
      <c r="O184" s="1088"/>
      <c r="P184" s="1088"/>
      <c r="Q184" s="884"/>
      <c r="R184" s="1297"/>
      <c r="S184" s="1269"/>
      <c r="T184" s="1099"/>
      <c r="U184" s="1316"/>
      <c r="V184" s="1269"/>
      <c r="W184" s="1269"/>
      <c r="X184" s="1368"/>
      <c r="Y184" s="1368"/>
      <c r="Z184" s="1368"/>
      <c r="AA184" s="1368"/>
      <c r="AB184" s="1368"/>
      <c r="AC184" s="1127"/>
      <c r="AD184" s="1127"/>
      <c r="AE184" s="1099"/>
      <c r="AF184" s="1099"/>
      <c r="AG184" s="1111"/>
    </row>
    <row r="185" spans="1:33" s="112" customFormat="1" ht="21" customHeight="1">
      <c r="A185" s="1406" t="s">
        <v>432</v>
      </c>
      <c r="B185" s="1111"/>
      <c r="C185" s="1278">
        <f>'설계기준(설계치12)'!K14</f>
        <v>3000</v>
      </c>
      <c r="D185" s="1278"/>
      <c r="E185" s="1091" t="s">
        <v>51</v>
      </c>
      <c r="F185" s="1303">
        <f>L181</f>
        <v>519.68000000000006</v>
      </c>
      <c r="G185" s="1303"/>
      <c r="H185" s="1260" t="s">
        <v>298</v>
      </c>
      <c r="I185" s="1378">
        <f>C185*F185/((C186*F186))</f>
        <v>0.97783464418770949</v>
      </c>
      <c r="J185" s="1378"/>
      <c r="K185" s="1378"/>
      <c r="L185" s="1260" t="str">
        <f>"(생물반응조 SRT : "&amp;R185&amp;"day)"</f>
        <v>(생물반응조 SRT : 2.54day)</v>
      </c>
      <c r="M185" s="1260"/>
      <c r="N185" s="1260"/>
      <c r="O185" s="1260"/>
      <c r="P185" s="1426"/>
      <c r="Q185" s="884"/>
      <c r="R185" s="1407">
        <f>ROUNDUP(C185*E205/C186/F186, 2)</f>
        <v>2.5399999999999996</v>
      </c>
      <c r="S185" s="1407"/>
      <c r="T185" s="1099"/>
      <c r="U185" s="1316"/>
      <c r="V185" s="1269"/>
      <c r="W185" s="1269"/>
      <c r="X185" s="1367"/>
      <c r="Y185" s="1269"/>
      <c r="Z185" s="1099"/>
      <c r="AA185" s="1099"/>
      <c r="AB185" s="1099"/>
      <c r="AC185" s="1099"/>
      <c r="AD185" s="1099"/>
      <c r="AE185" s="1099"/>
      <c r="AF185" s="1099"/>
      <c r="AG185" s="1111"/>
    </row>
    <row r="186" spans="1:33" s="1111" customFormat="1" ht="21" customHeight="1">
      <c r="A186" s="1406"/>
      <c r="C186" s="1279">
        <f>물질수지!T37</f>
        <v>199.29750000000001</v>
      </c>
      <c r="D186" s="1279"/>
      <c r="E186" s="1105" t="s">
        <v>51</v>
      </c>
      <c r="F186" s="1262">
        <f>J101</f>
        <v>8000</v>
      </c>
      <c r="G186" s="1262"/>
      <c r="H186" s="1260"/>
      <c r="I186" s="1378"/>
      <c r="J186" s="1378"/>
      <c r="K186" s="1378"/>
      <c r="L186" s="1260"/>
      <c r="M186" s="1260"/>
      <c r="N186" s="1260"/>
      <c r="O186" s="1260"/>
      <c r="P186" s="1426"/>
      <c r="Q186" s="884"/>
      <c r="R186" s="1407"/>
      <c r="S186" s="1407"/>
      <c r="T186" s="1099"/>
      <c r="U186" s="1369"/>
      <c r="V186" s="1369"/>
      <c r="W186" s="1269"/>
      <c r="X186" s="1269"/>
      <c r="Y186" s="1269"/>
      <c r="Z186" s="370"/>
      <c r="AA186" s="1127"/>
      <c r="AB186" s="1099"/>
      <c r="AC186" s="1099"/>
      <c r="AD186" s="1099"/>
      <c r="AE186" s="1099"/>
      <c r="AF186" s="1099"/>
    </row>
    <row r="187" spans="1:33" s="112" customFormat="1" ht="21" customHeight="1">
      <c r="A187" s="1406" t="s">
        <v>433</v>
      </c>
      <c r="B187" s="1111"/>
      <c r="C187" s="1277">
        <f>E182</f>
        <v>4000</v>
      </c>
      <c r="D187" s="1277"/>
      <c r="E187" s="1091" t="s">
        <v>51</v>
      </c>
      <c r="F187" s="1277">
        <f>F183</f>
        <v>218.7</v>
      </c>
      <c r="G187" s="1277"/>
      <c r="H187" s="1260" t="s">
        <v>298</v>
      </c>
      <c r="I187" s="1394">
        <f>C187*F187/C188/1000</f>
        <v>1.683343596059113</v>
      </c>
      <c r="J187" s="1394"/>
      <c r="K187" s="1394"/>
      <c r="L187" s="1257" t="str">
        <f>"(생물반응조 : "&amp;R187&amp;"kgBOD/㎥day)"</f>
        <v>(생물반응조 : 0.66kgBOD/㎥day)</v>
      </c>
      <c r="M187" s="1257"/>
      <c r="N187" s="1257"/>
      <c r="O187" s="1257"/>
      <c r="P187" s="1257"/>
      <c r="Q187" s="884"/>
      <c r="R187" s="1407">
        <f>ROUNDUP(C187*F187/(E202+E203+E204)/1000, 2)</f>
        <v>0.66</v>
      </c>
      <c r="S187" s="1407"/>
      <c r="T187" s="1099"/>
      <c r="U187" s="1300"/>
      <c r="V187" s="1269"/>
      <c r="W187" s="1269"/>
      <c r="X187" s="1366"/>
      <c r="Y187" s="1366"/>
      <c r="Z187" s="1295"/>
      <c r="AA187" s="1295"/>
      <c r="AB187" s="1127"/>
      <c r="AC187" s="1127"/>
      <c r="AD187" s="1127"/>
      <c r="AE187" s="1099"/>
      <c r="AF187" s="1099"/>
      <c r="AG187" s="1111"/>
    </row>
    <row r="188" spans="1:33" s="112" customFormat="1" ht="21" customHeight="1">
      <c r="A188" s="1406"/>
      <c r="B188" s="1111"/>
      <c r="C188" s="1395">
        <f>L181</f>
        <v>519.68000000000006</v>
      </c>
      <c r="D188" s="1395"/>
      <c r="E188" s="1395"/>
      <c r="F188" s="1395"/>
      <c r="G188" s="1395"/>
      <c r="H188" s="1260"/>
      <c r="I188" s="1394"/>
      <c r="J188" s="1394"/>
      <c r="K188" s="1394"/>
      <c r="L188" s="1257"/>
      <c r="M188" s="1257"/>
      <c r="N188" s="1257"/>
      <c r="O188" s="1257"/>
      <c r="P188" s="1257"/>
      <c r="Q188" s="884"/>
      <c r="R188" s="1407"/>
      <c r="S188" s="1407"/>
      <c r="T188" s="1127"/>
      <c r="U188" s="1127"/>
      <c r="V188" s="1127"/>
      <c r="W188" s="1269"/>
      <c r="X188" s="1366"/>
      <c r="Y188" s="1366"/>
      <c r="Z188" s="1295"/>
      <c r="AA188" s="1295"/>
      <c r="AB188" s="1127"/>
      <c r="AC188" s="1127"/>
      <c r="AD188" s="1127"/>
      <c r="AE188" s="1099"/>
      <c r="AF188" s="1099"/>
      <c r="AG188" s="1111"/>
    </row>
    <row r="189" spans="1:33" s="112" customFormat="1" ht="21" customHeight="1">
      <c r="A189" s="1116"/>
      <c r="B189" s="1086"/>
      <c r="C189" s="1091"/>
      <c r="D189" s="1091"/>
      <c r="E189" s="1091"/>
      <c r="F189" s="1091"/>
      <c r="G189" s="1091"/>
      <c r="H189" s="484"/>
      <c r="I189" s="484"/>
      <c r="J189" s="1088"/>
      <c r="K189" s="1088"/>
      <c r="L189" s="1088"/>
      <c r="M189" s="1088"/>
      <c r="N189" s="1088"/>
      <c r="O189" s="1088"/>
      <c r="P189" s="1088"/>
      <c r="Q189" s="884"/>
      <c r="R189" s="1135"/>
      <c r="S189" s="1135"/>
      <c r="T189" s="1127"/>
      <c r="U189" s="1127"/>
      <c r="V189" s="1127"/>
      <c r="W189" s="1099"/>
      <c r="X189" s="1134"/>
      <c r="Y189" s="1134"/>
      <c r="Z189" s="1132"/>
      <c r="AA189" s="1132"/>
      <c r="AB189" s="1127"/>
      <c r="AC189" s="1127"/>
      <c r="AD189" s="1127"/>
      <c r="AE189" s="1099"/>
      <c r="AF189" s="1099"/>
      <c r="AG189" s="1111"/>
    </row>
    <row r="190" spans="1:33" s="112" customFormat="1" ht="21" customHeight="1">
      <c r="A190" s="867"/>
      <c r="B190" s="831"/>
      <c r="C190" s="1121"/>
      <c r="D190" s="1121"/>
      <c r="E190" s="1121"/>
      <c r="F190" s="1121"/>
      <c r="G190" s="1121"/>
      <c r="H190" s="955"/>
      <c r="I190" s="955"/>
      <c r="J190" s="1102"/>
      <c r="K190" s="1102"/>
      <c r="L190" s="1102"/>
      <c r="M190" s="1102"/>
      <c r="N190" s="1102"/>
      <c r="O190" s="1102"/>
      <c r="P190" s="1102"/>
      <c r="Q190" s="882"/>
      <c r="R190" s="1135"/>
      <c r="S190" s="1135"/>
      <c r="T190" s="1127"/>
      <c r="U190" s="1127"/>
      <c r="V190" s="1127"/>
      <c r="W190" s="1099"/>
      <c r="X190" s="1134"/>
      <c r="Y190" s="1134"/>
      <c r="Z190" s="1132"/>
      <c r="AA190" s="1132"/>
      <c r="AB190" s="1127"/>
      <c r="AC190" s="1127"/>
      <c r="AD190" s="1127"/>
      <c r="AE190" s="1099"/>
      <c r="AF190" s="1099"/>
      <c r="AG190" s="1111"/>
    </row>
    <row r="191" spans="1:33" s="112" customFormat="1" ht="21" hidden="1" customHeight="1">
      <c r="A191" s="1116"/>
      <c r="B191" s="1086"/>
      <c r="C191" s="1091"/>
      <c r="D191" s="1091"/>
      <c r="E191" s="1091"/>
      <c r="F191" s="1091"/>
      <c r="G191" s="1091"/>
      <c r="H191" s="484"/>
      <c r="I191" s="484"/>
      <c r="J191" s="1088"/>
      <c r="K191" s="1088"/>
      <c r="L191" s="1088"/>
      <c r="M191" s="1088"/>
      <c r="N191" s="1088"/>
      <c r="O191" s="1088"/>
      <c r="P191" s="1088"/>
      <c r="Q191" s="884"/>
      <c r="R191" s="1135"/>
      <c r="S191" s="1135"/>
      <c r="T191" s="1127"/>
      <c r="U191" s="1127"/>
      <c r="V191" s="1127"/>
      <c r="W191" s="1099"/>
      <c r="X191" s="1134"/>
      <c r="Y191" s="1134"/>
      <c r="Z191" s="1132"/>
      <c r="AA191" s="1132"/>
      <c r="AB191" s="1127"/>
      <c r="AC191" s="1127"/>
      <c r="AD191" s="1127"/>
      <c r="AE191" s="1099"/>
      <c r="AF191" s="1099"/>
      <c r="AG191" s="1111"/>
    </row>
    <row r="192" spans="1:33" s="112" customFormat="1" ht="21" hidden="1" customHeight="1">
      <c r="A192" s="1116"/>
      <c r="B192" s="1086"/>
      <c r="C192" s="1091"/>
      <c r="D192" s="1091"/>
      <c r="E192" s="1091"/>
      <c r="F192" s="1091"/>
      <c r="G192" s="1091"/>
      <c r="H192" s="484"/>
      <c r="I192" s="484"/>
      <c r="J192" s="1088"/>
      <c r="K192" s="1088"/>
      <c r="L192" s="1088"/>
      <c r="M192" s="1088"/>
      <c r="N192" s="1088"/>
      <c r="O192" s="1088"/>
      <c r="P192" s="1088"/>
      <c r="Q192" s="884"/>
      <c r="R192" s="1135"/>
      <c r="S192" s="1135"/>
      <c r="T192" s="1127"/>
      <c r="U192" s="1127"/>
      <c r="V192" s="1127"/>
      <c r="W192" s="1099"/>
      <c r="X192" s="1134"/>
      <c r="Y192" s="1134"/>
      <c r="Z192" s="1132">
        <v>750</v>
      </c>
      <c r="AA192" s="1132"/>
      <c r="AB192" s="1127"/>
      <c r="AC192" s="1127"/>
      <c r="AD192" s="1127"/>
      <c r="AE192" s="1099"/>
      <c r="AF192" s="1099"/>
      <c r="AG192" s="1111"/>
    </row>
    <row r="193" spans="1:111" s="112" customFormat="1" ht="21" hidden="1" customHeight="1">
      <c r="A193" s="1116"/>
      <c r="B193" s="1086"/>
      <c r="C193" s="1091"/>
      <c r="D193" s="1091"/>
      <c r="E193" s="1091"/>
      <c r="F193" s="1091"/>
      <c r="G193" s="1091"/>
      <c r="H193" s="484"/>
      <c r="I193" s="484"/>
      <c r="J193" s="1088"/>
      <c r="K193" s="1088"/>
      <c r="L193" s="1088"/>
      <c r="M193" s="1088"/>
      <c r="N193" s="1088"/>
      <c r="O193" s="1088"/>
      <c r="P193" s="1088"/>
      <c r="Q193" s="884"/>
      <c r="R193" s="1135"/>
      <c r="S193" s="1135"/>
      <c r="T193" s="1127"/>
      <c r="U193" s="1127"/>
      <c r="V193" s="1127"/>
      <c r="W193" s="1099"/>
      <c r="X193" s="1134"/>
      <c r="Y193" s="1134"/>
      <c r="Z193" s="1132">
        <f>Z192/24</f>
        <v>31.25</v>
      </c>
      <c r="AA193" s="1132"/>
      <c r="AB193" s="1127"/>
      <c r="AC193" s="1127"/>
      <c r="AD193" s="1127"/>
      <c r="AE193" s="1099"/>
      <c r="AF193" s="1099"/>
      <c r="AG193" s="1111"/>
    </row>
    <row r="194" spans="1:111" s="112" customFormat="1" ht="21" hidden="1" customHeight="1">
      <c r="A194" s="865" t="s">
        <v>434</v>
      </c>
      <c r="B194" s="1260" t="s">
        <v>435</v>
      </c>
      <c r="C194" s="1260"/>
      <c r="D194" s="1091"/>
      <c r="E194" s="1091"/>
      <c r="F194" s="1091"/>
      <c r="G194" s="1091"/>
      <c r="H194" s="1091"/>
      <c r="I194" s="1091"/>
      <c r="J194" s="1091"/>
      <c r="K194" s="1091"/>
      <c r="L194" s="1091"/>
      <c r="M194" s="1091"/>
      <c r="N194" s="1091"/>
      <c r="O194" s="1091"/>
      <c r="P194" s="1091"/>
      <c r="Q194" s="884"/>
      <c r="R194" s="1269"/>
      <c r="S194" s="1269"/>
      <c r="T194" s="1099"/>
      <c r="U194" s="1099"/>
      <c r="V194" s="1099"/>
      <c r="W194" s="1099"/>
      <c r="X194" s="1099"/>
      <c r="Y194" s="1099"/>
      <c r="Z194" s="1099">
        <f>Z193*2</f>
        <v>62.5</v>
      </c>
      <c r="AA194" s="1099"/>
      <c r="AB194" s="1099"/>
      <c r="AC194" s="1099"/>
      <c r="AD194" s="1099"/>
      <c r="AE194" s="1099"/>
      <c r="AF194" s="1099"/>
      <c r="AG194" s="1111"/>
    </row>
    <row r="195" spans="1:111" s="112" customFormat="1" ht="21" hidden="1" customHeight="1">
      <c r="A195" s="865" t="s">
        <v>436</v>
      </c>
      <c r="B195" s="1267" t="s">
        <v>437</v>
      </c>
      <c r="C195" s="1267"/>
      <c r="D195" s="1267"/>
      <c r="E195" s="1266" t="s">
        <v>438</v>
      </c>
      <c r="F195" s="1266"/>
      <c r="G195" s="1266"/>
      <c r="H195" s="1266" t="s">
        <v>439</v>
      </c>
      <c r="I195" s="1266"/>
      <c r="J195" s="1266"/>
      <c r="K195" s="1266" t="s">
        <v>440</v>
      </c>
      <c r="L195" s="1266"/>
      <c r="M195" s="1266"/>
      <c r="N195" s="1266" t="s">
        <v>441</v>
      </c>
      <c r="O195" s="1266"/>
      <c r="P195" s="1091"/>
      <c r="Q195" s="884"/>
      <c r="R195" s="1269"/>
      <c r="S195" s="1269"/>
      <c r="T195" s="1269"/>
      <c r="U195" s="1269"/>
      <c r="V195" s="1269"/>
      <c r="W195" s="1269"/>
      <c r="X195" s="1269"/>
      <c r="Y195" s="1269"/>
      <c r="Z195" s="1269"/>
      <c r="AA195" s="1269"/>
      <c r="AB195" s="1269"/>
      <c r="AC195" s="1269"/>
      <c r="AD195" s="1269"/>
      <c r="AE195" s="1269"/>
      <c r="AF195" s="1099"/>
      <c r="AG195" s="1111"/>
    </row>
    <row r="196" spans="1:111" s="112" customFormat="1" ht="21" hidden="1" customHeight="1">
      <c r="A196" s="859"/>
      <c r="B196" s="1267" t="s">
        <v>442</v>
      </c>
      <c r="C196" s="1267"/>
      <c r="D196" s="1267"/>
      <c r="E196" s="1283">
        <f>J66</f>
        <v>166.66666666666666</v>
      </c>
      <c r="F196" s="1283"/>
      <c r="G196" s="1283"/>
      <c r="H196" s="1283">
        <f>E196/E182*24</f>
        <v>1</v>
      </c>
      <c r="I196" s="1283"/>
      <c r="J196" s="1283"/>
      <c r="K196" s="1290">
        <f>H196/H199</f>
        <v>9.1599716745134341E-2</v>
      </c>
      <c r="L196" s="1290"/>
      <c r="M196" s="1290"/>
      <c r="N196" s="1266"/>
      <c r="O196" s="1266"/>
      <c r="P196" s="1091"/>
      <c r="Q196" s="884"/>
      <c r="R196" s="1269"/>
      <c r="S196" s="1269"/>
      <c r="T196" s="1269"/>
      <c r="U196" s="1353"/>
      <c r="V196" s="1353"/>
      <c r="W196" s="1353"/>
      <c r="X196" s="1353"/>
      <c r="Y196" s="1353"/>
      <c r="Z196" s="1353"/>
      <c r="AA196" s="1355"/>
      <c r="AB196" s="1355"/>
      <c r="AC196" s="1355"/>
      <c r="AD196" s="1269"/>
      <c r="AE196" s="1269"/>
      <c r="AF196" s="1099"/>
      <c r="AG196" s="1111"/>
    </row>
    <row r="197" spans="1:111" s="112" customFormat="1" ht="21" hidden="1" customHeight="1">
      <c r="A197" s="859"/>
      <c r="B197" s="1404" t="s">
        <v>443</v>
      </c>
      <c r="C197" s="1404"/>
      <c r="D197" s="1404"/>
      <c r="E197" s="1403">
        <f>I143</f>
        <v>295.61212121212111</v>
      </c>
      <c r="F197" s="1403"/>
      <c r="G197" s="1403"/>
      <c r="H197" s="1403">
        <f>E197/E182*24</f>
        <v>1.7736727272727266</v>
      </c>
      <c r="I197" s="1403"/>
      <c r="J197" s="1403"/>
      <c r="K197" s="1399">
        <f>H197/H199</f>
        <v>0.16246791941675165</v>
      </c>
      <c r="L197" s="1399"/>
      <c r="M197" s="1399"/>
      <c r="N197" s="1401"/>
      <c r="O197" s="1401"/>
      <c r="P197" s="1091"/>
      <c r="Q197" s="884"/>
      <c r="R197" s="1269"/>
      <c r="S197" s="1269"/>
      <c r="T197" s="1269"/>
      <c r="U197" s="1353"/>
      <c r="V197" s="1353"/>
      <c r="W197" s="1353"/>
      <c r="X197" s="1353"/>
      <c r="Y197" s="1353"/>
      <c r="Z197" s="1353"/>
      <c r="AA197" s="1355"/>
      <c r="AB197" s="1355"/>
      <c r="AC197" s="1355"/>
      <c r="AD197" s="1269"/>
      <c r="AE197" s="1269"/>
      <c r="AF197" s="1099"/>
      <c r="AG197" s="1111"/>
    </row>
    <row r="198" spans="1:111" s="112" customFormat="1" ht="21" hidden="1" customHeight="1">
      <c r="A198" s="859"/>
      <c r="B198" s="1267" t="s">
        <v>444</v>
      </c>
      <c r="C198" s="1267"/>
      <c r="D198" s="1267"/>
      <c r="E198" s="1283">
        <f>J175</f>
        <v>1357.2319332121679</v>
      </c>
      <c r="F198" s="1283"/>
      <c r="G198" s="1283"/>
      <c r="H198" s="1283">
        <f>E198/E182*24</f>
        <v>8.1433915992730075</v>
      </c>
      <c r="I198" s="1283"/>
      <c r="J198" s="1283"/>
      <c r="K198" s="1290">
        <f>H198/H199</f>
        <v>0.74593236383811401</v>
      </c>
      <c r="L198" s="1290"/>
      <c r="M198" s="1290"/>
      <c r="N198" s="1266"/>
      <c r="O198" s="1266"/>
      <c r="P198" s="1091"/>
      <c r="Q198" s="884"/>
      <c r="R198" s="1269"/>
      <c r="S198" s="1269"/>
      <c r="T198" s="1269"/>
      <c r="U198" s="1353"/>
      <c r="V198" s="1353"/>
      <c r="W198" s="1353"/>
      <c r="X198" s="1353"/>
      <c r="Y198" s="1353"/>
      <c r="Z198" s="1353"/>
      <c r="AA198" s="1355"/>
      <c r="AB198" s="1355"/>
      <c r="AC198" s="1355"/>
      <c r="AD198" s="1269"/>
      <c r="AE198" s="1269"/>
      <c r="AF198" s="1099"/>
      <c r="AG198" s="1111"/>
    </row>
    <row r="199" spans="1:111" s="112" customFormat="1" ht="21" hidden="1" customHeight="1">
      <c r="A199" s="1119"/>
      <c r="B199" s="1400" t="s">
        <v>445</v>
      </c>
      <c r="C199" s="1400"/>
      <c r="D199" s="1400"/>
      <c r="E199" s="1402">
        <f>SUM(E196:G198)</f>
        <v>1819.5107210909555</v>
      </c>
      <c r="F199" s="1402"/>
      <c r="G199" s="1402"/>
      <c r="H199" s="1405">
        <f>SUM(H196:J198)</f>
        <v>10.917064326545734</v>
      </c>
      <c r="I199" s="1405"/>
      <c r="J199" s="1405"/>
      <c r="K199" s="1427">
        <f>SUM(K196:M198)</f>
        <v>1</v>
      </c>
      <c r="L199" s="1427"/>
      <c r="M199" s="1427"/>
      <c r="N199" s="1398"/>
      <c r="O199" s="1398"/>
      <c r="P199" s="1121"/>
      <c r="Q199" s="882"/>
      <c r="R199" s="1269"/>
      <c r="S199" s="1269"/>
      <c r="T199" s="1269"/>
      <c r="U199" s="1354"/>
      <c r="V199" s="1354"/>
      <c r="W199" s="1354"/>
      <c r="X199" s="1353"/>
      <c r="Y199" s="1353"/>
      <c r="Z199" s="1353"/>
      <c r="AA199" s="1355"/>
      <c r="AB199" s="1355"/>
      <c r="AC199" s="1355"/>
      <c r="AD199" s="1269"/>
      <c r="AE199" s="1269"/>
      <c r="AF199" s="1099"/>
      <c r="AG199" s="1111"/>
    </row>
    <row r="200" spans="1:111" s="112" customFormat="1" ht="21" hidden="1" customHeight="1">
      <c r="A200" s="859"/>
      <c r="B200" s="1260" t="s">
        <v>446</v>
      </c>
      <c r="C200" s="1260"/>
      <c r="D200" s="1260"/>
      <c r="E200" s="1091"/>
      <c r="F200" s="1091"/>
      <c r="G200" s="1091"/>
      <c r="H200" s="1091"/>
      <c r="I200" s="1091"/>
      <c r="J200" s="1091"/>
      <c r="K200" s="1091"/>
      <c r="L200" s="1091"/>
      <c r="M200" s="1091"/>
      <c r="N200" s="1091"/>
      <c r="O200" s="1091"/>
      <c r="P200" s="1091"/>
      <c r="Q200" s="884"/>
      <c r="R200" s="1269"/>
      <c r="S200" s="1269"/>
      <c r="T200" s="1269"/>
      <c r="U200" s="1099"/>
      <c r="V200" s="1099"/>
      <c r="W200" s="1099"/>
      <c r="X200" s="1099"/>
      <c r="Y200" s="1099"/>
      <c r="Z200" s="1099"/>
      <c r="AA200" s="1099"/>
      <c r="AB200" s="1099"/>
      <c r="AC200" s="1099"/>
      <c r="AD200" s="1099"/>
      <c r="AE200" s="1099"/>
      <c r="AF200" s="1099"/>
      <c r="AG200" s="1111"/>
      <c r="AH200" s="1111"/>
      <c r="AI200" s="1111"/>
      <c r="AJ200" s="1111"/>
      <c r="AK200" s="1111"/>
      <c r="AL200" s="1111"/>
      <c r="AM200" s="1111"/>
      <c r="AN200" s="1111"/>
      <c r="AO200" s="1111"/>
      <c r="AP200" s="1111"/>
      <c r="AQ200" s="1111"/>
      <c r="AR200" s="1111"/>
      <c r="AS200" s="1111"/>
      <c r="AT200" s="1111"/>
      <c r="AU200" s="1111"/>
      <c r="AV200" s="1111"/>
      <c r="AW200" s="1111"/>
      <c r="AX200" s="1111"/>
      <c r="AY200" s="1111"/>
      <c r="AZ200" s="1111"/>
      <c r="BA200" s="1111"/>
      <c r="BB200" s="1111"/>
      <c r="BC200" s="1111"/>
      <c r="BD200" s="1111"/>
      <c r="BE200" s="1111"/>
      <c r="BF200" s="1111"/>
      <c r="BG200" s="1111"/>
      <c r="BH200" s="1111"/>
      <c r="BI200" s="1111"/>
      <c r="BJ200" s="1111"/>
      <c r="BK200" s="1111"/>
      <c r="BL200" s="1111"/>
      <c r="BM200" s="1111"/>
      <c r="BN200" s="1111"/>
      <c r="BO200" s="1111"/>
      <c r="BP200" s="1111"/>
      <c r="BQ200" s="1111"/>
      <c r="BR200" s="1111"/>
      <c r="BS200" s="1111"/>
      <c r="BT200" s="1111"/>
      <c r="BU200" s="1111"/>
      <c r="BV200" s="1111"/>
      <c r="BW200" s="1111"/>
      <c r="BX200" s="1111"/>
      <c r="BY200" s="1111"/>
      <c r="BZ200" s="1111"/>
      <c r="CA200" s="1111"/>
      <c r="CB200" s="1111"/>
      <c r="CC200" s="1111"/>
      <c r="CD200" s="1111"/>
      <c r="CE200" s="1111"/>
      <c r="CF200" s="1111"/>
      <c r="CG200" s="1111"/>
      <c r="CH200" s="1111"/>
      <c r="CI200" s="1111"/>
      <c r="CJ200" s="1111"/>
      <c r="CK200" s="1111"/>
      <c r="CL200" s="1111"/>
      <c r="CM200" s="1111"/>
      <c r="CN200" s="1111"/>
      <c r="CO200" s="1111"/>
      <c r="CP200" s="1111"/>
      <c r="CQ200" s="1111"/>
      <c r="CR200" s="1111"/>
      <c r="CS200" s="1111"/>
      <c r="CT200" s="1111"/>
      <c r="CU200" s="1111"/>
      <c r="CV200" s="1111"/>
      <c r="CW200" s="1111"/>
      <c r="CX200" s="1111"/>
      <c r="CY200" s="1111"/>
      <c r="CZ200" s="1111"/>
      <c r="DA200" s="1111"/>
      <c r="DB200" s="1111"/>
      <c r="DC200" s="1111"/>
      <c r="DD200" s="1111"/>
      <c r="DE200" s="1111"/>
      <c r="DF200" s="1111"/>
      <c r="DG200" s="1111"/>
    </row>
    <row r="201" spans="1:111" s="112" customFormat="1" ht="21" hidden="1" customHeight="1">
      <c r="A201" s="859"/>
      <c r="B201" s="1267" t="s">
        <v>437</v>
      </c>
      <c r="C201" s="1267"/>
      <c r="D201" s="1267"/>
      <c r="E201" s="1266" t="s">
        <v>438</v>
      </c>
      <c r="F201" s="1266"/>
      <c r="G201" s="1266"/>
      <c r="H201" s="1266" t="s">
        <v>439</v>
      </c>
      <c r="I201" s="1266"/>
      <c r="J201" s="1266"/>
      <c r="K201" s="1266" t="s">
        <v>440</v>
      </c>
      <c r="L201" s="1266"/>
      <c r="M201" s="1266"/>
      <c r="N201" s="1266" t="s">
        <v>441</v>
      </c>
      <c r="O201" s="1266"/>
      <c r="P201" s="1091"/>
      <c r="Q201" s="884"/>
      <c r="R201" s="1269"/>
      <c r="S201" s="1269"/>
      <c r="T201" s="1269"/>
      <c r="U201" s="1269"/>
      <c r="V201" s="1269"/>
      <c r="W201" s="1269"/>
      <c r="X201" s="1269"/>
      <c r="Y201" s="1269"/>
      <c r="Z201" s="1269"/>
      <c r="AA201" s="1269"/>
      <c r="AB201" s="1269"/>
      <c r="AC201" s="1269"/>
      <c r="AD201" s="1269"/>
      <c r="AE201" s="1269"/>
      <c r="AF201" s="1099"/>
      <c r="AG201" s="1111"/>
      <c r="AH201" s="1111"/>
      <c r="AI201" s="1111"/>
      <c r="AJ201" s="1111"/>
      <c r="AK201" s="1111"/>
      <c r="AL201" s="1111"/>
      <c r="AM201" s="1111"/>
      <c r="AN201" s="1111"/>
      <c r="AO201" s="1111"/>
      <c r="AP201" s="1111"/>
      <c r="AQ201" s="1111"/>
      <c r="AR201" s="1111"/>
      <c r="AS201" s="1111"/>
      <c r="AT201" s="1111"/>
      <c r="AU201" s="1111"/>
      <c r="AV201" s="1111"/>
      <c r="AW201" s="1111"/>
      <c r="AX201" s="1111"/>
      <c r="AY201" s="1111"/>
      <c r="AZ201" s="1111"/>
      <c r="BA201" s="1111"/>
      <c r="BB201" s="1111"/>
      <c r="BC201" s="1111"/>
      <c r="BD201" s="1111"/>
      <c r="BE201" s="1111"/>
      <c r="BF201" s="1111"/>
      <c r="BG201" s="1111"/>
      <c r="BH201" s="1111"/>
      <c r="BI201" s="1111"/>
      <c r="BJ201" s="1111"/>
      <c r="BK201" s="1111"/>
      <c r="BL201" s="1111"/>
      <c r="BM201" s="1111"/>
      <c r="BN201" s="1111"/>
      <c r="BO201" s="1111"/>
      <c r="BP201" s="1111"/>
      <c r="BQ201" s="1111"/>
      <c r="BR201" s="1111"/>
      <c r="BS201" s="1111"/>
      <c r="BT201" s="1111"/>
      <c r="BU201" s="1111"/>
      <c r="BV201" s="1111"/>
      <c r="BW201" s="1111"/>
      <c r="BX201" s="1111"/>
      <c r="BY201" s="1111"/>
      <c r="BZ201" s="1111"/>
      <c r="CA201" s="1111"/>
      <c r="CB201" s="1111"/>
      <c r="CC201" s="1111"/>
      <c r="CD201" s="1111"/>
      <c r="CE201" s="1111"/>
      <c r="CF201" s="1111"/>
      <c r="CG201" s="1111"/>
      <c r="CH201" s="1111"/>
      <c r="CI201" s="1111"/>
      <c r="CJ201" s="1111"/>
      <c r="CK201" s="1111"/>
      <c r="CL201" s="1111"/>
      <c r="CM201" s="1111"/>
      <c r="CN201" s="1111"/>
      <c r="CO201" s="1111"/>
      <c r="CP201" s="1111"/>
      <c r="CQ201" s="1111"/>
      <c r="CR201" s="1111"/>
      <c r="CS201" s="1111"/>
      <c r="CT201" s="1111"/>
      <c r="CU201" s="1111"/>
      <c r="CV201" s="1111"/>
      <c r="CW201" s="1111"/>
      <c r="CX201" s="1111"/>
      <c r="CY201" s="1111"/>
      <c r="CZ201" s="1111"/>
      <c r="DA201" s="1111"/>
      <c r="DB201" s="1111"/>
      <c r="DC201" s="1111"/>
      <c r="DD201" s="1111"/>
      <c r="DE201" s="1111"/>
      <c r="DF201" s="1111"/>
      <c r="DG201" s="1111"/>
    </row>
    <row r="202" spans="1:111" s="112" customFormat="1" ht="21" hidden="1" customHeight="1">
      <c r="A202" s="859"/>
      <c r="B202" s="1267" t="s">
        <v>442</v>
      </c>
      <c r="C202" s="1267"/>
      <c r="D202" s="1267"/>
      <c r="E202" s="1283">
        <f>L72</f>
        <v>522</v>
      </c>
      <c r="F202" s="1283"/>
      <c r="G202" s="1283"/>
      <c r="H202" s="1283">
        <f>L74</f>
        <v>3.1320000000000001</v>
      </c>
      <c r="I202" s="1283"/>
      <c r="J202" s="1283"/>
      <c r="K202" s="1290">
        <f>H202/H205</f>
        <v>0.38796563308261728</v>
      </c>
      <c r="L202" s="1290"/>
      <c r="M202" s="1290"/>
      <c r="N202" s="1266"/>
      <c r="O202" s="1266"/>
      <c r="P202" s="1091"/>
      <c r="Q202" s="884"/>
      <c r="R202" s="1269"/>
      <c r="S202" s="1269"/>
      <c r="T202" s="1269"/>
      <c r="U202" s="1353"/>
      <c r="V202" s="1353"/>
      <c r="W202" s="1353"/>
      <c r="X202" s="1353"/>
      <c r="Y202" s="1353"/>
      <c r="Z202" s="1353"/>
      <c r="AA202" s="1355"/>
      <c r="AB202" s="1355"/>
      <c r="AC202" s="1355"/>
      <c r="AD202" s="1269"/>
      <c r="AE202" s="1269"/>
      <c r="AF202" s="1099"/>
      <c r="AG202" s="1111"/>
      <c r="AH202" s="1111"/>
      <c r="AI202" s="1111"/>
      <c r="AJ202" s="1111"/>
      <c r="AK202" s="1111"/>
      <c r="AL202" s="1111"/>
      <c r="AM202" s="1111"/>
      <c r="AN202" s="1111"/>
      <c r="AO202" s="1111"/>
      <c r="AP202" s="1111"/>
      <c r="AQ202" s="1111"/>
      <c r="AR202" s="1111"/>
      <c r="AS202" s="1111"/>
      <c r="AT202" s="1111"/>
      <c r="AU202" s="1111"/>
      <c r="AV202" s="1111"/>
      <c r="AW202" s="1111"/>
      <c r="AX202" s="1111"/>
      <c r="AY202" s="1111"/>
      <c r="AZ202" s="1111"/>
      <c r="BA202" s="1111"/>
      <c r="BB202" s="1111"/>
      <c r="BC202" s="1111"/>
      <c r="BD202" s="1111"/>
      <c r="BE202" s="1111"/>
      <c r="BF202" s="1111"/>
      <c r="BG202" s="1111"/>
      <c r="BH202" s="1111"/>
      <c r="BI202" s="1111"/>
      <c r="BJ202" s="1111"/>
      <c r="BK202" s="1111"/>
      <c r="BL202" s="1111"/>
      <c r="BM202" s="1111"/>
      <c r="BN202" s="1111"/>
      <c r="BO202" s="1111"/>
      <c r="BP202" s="1111"/>
      <c r="BQ202" s="1111"/>
      <c r="BR202" s="1111"/>
      <c r="BS202" s="1111"/>
      <c r="BT202" s="1111"/>
      <c r="BU202" s="1111"/>
      <c r="BV202" s="1111"/>
      <c r="BW202" s="1111"/>
      <c r="BX202" s="1111"/>
      <c r="BY202" s="1111"/>
      <c r="BZ202" s="1111"/>
      <c r="CA202" s="1111"/>
      <c r="CB202" s="1111"/>
      <c r="CC202" s="1111"/>
      <c r="CD202" s="1111"/>
      <c r="CE202" s="1111"/>
      <c r="CF202" s="1111"/>
      <c r="CG202" s="1111"/>
      <c r="CH202" s="1111"/>
      <c r="CI202" s="1111"/>
      <c r="CJ202" s="1111"/>
      <c r="CK202" s="1111"/>
      <c r="CL202" s="1111"/>
      <c r="CM202" s="1111"/>
      <c r="CN202" s="1111"/>
      <c r="CO202" s="1111"/>
      <c r="CP202" s="1111"/>
      <c r="CQ202" s="1111"/>
      <c r="CR202" s="1111"/>
      <c r="CS202" s="1111"/>
      <c r="CT202" s="1111"/>
      <c r="CU202" s="1111"/>
      <c r="CV202" s="1111"/>
      <c r="CW202" s="1111"/>
      <c r="CX202" s="1111"/>
      <c r="CY202" s="1111"/>
      <c r="CZ202" s="1111"/>
      <c r="DA202" s="1111"/>
      <c r="DB202" s="1111"/>
      <c r="DC202" s="1111"/>
      <c r="DD202" s="1111"/>
      <c r="DE202" s="1111"/>
      <c r="DF202" s="1111"/>
      <c r="DG202" s="1111"/>
    </row>
    <row r="203" spans="1:111" s="112" customFormat="1" ht="21" hidden="1" customHeight="1">
      <c r="A203" s="859"/>
      <c r="B203" s="1267" t="s">
        <v>443</v>
      </c>
      <c r="C203" s="1267"/>
      <c r="D203" s="1267"/>
      <c r="E203" s="1283">
        <f>L148</f>
        <v>303.8</v>
      </c>
      <c r="F203" s="1283"/>
      <c r="G203" s="1283"/>
      <c r="H203" s="1283">
        <f>E203/E182*24</f>
        <v>1.8228</v>
      </c>
      <c r="I203" s="1283"/>
      <c r="J203" s="1283"/>
      <c r="K203" s="1290">
        <f>H203/H205</f>
        <v>0.22579302553735467</v>
      </c>
      <c r="L203" s="1290"/>
      <c r="M203" s="1290"/>
      <c r="N203" s="1266"/>
      <c r="O203" s="1266"/>
      <c r="P203" s="1091"/>
      <c r="Q203" s="884"/>
      <c r="R203" s="1269"/>
      <c r="S203" s="1269"/>
      <c r="T203" s="1269"/>
      <c r="U203" s="1353"/>
      <c r="V203" s="1353"/>
      <c r="W203" s="1353"/>
      <c r="X203" s="1353"/>
      <c r="Y203" s="1353"/>
      <c r="Z203" s="1353"/>
      <c r="AA203" s="1355"/>
      <c r="AB203" s="1355"/>
      <c r="AC203" s="1355"/>
      <c r="AD203" s="1269"/>
      <c r="AE203" s="1269"/>
      <c r="AF203" s="1099"/>
      <c r="AG203" s="1111"/>
      <c r="AH203" s="1111"/>
      <c r="AI203" s="1111"/>
      <c r="AJ203" s="1111"/>
      <c r="AK203" s="1111"/>
      <c r="AL203" s="1111"/>
      <c r="AM203" s="1111"/>
      <c r="AN203" s="1111"/>
      <c r="AO203" s="1111"/>
      <c r="AP203" s="1111"/>
      <c r="AQ203" s="1111"/>
      <c r="AR203" s="1111"/>
      <c r="AS203" s="1111"/>
      <c r="AT203" s="1111"/>
      <c r="AU203" s="1111"/>
      <c r="AV203" s="1111"/>
      <c r="AW203" s="1111"/>
      <c r="AX203" s="1111"/>
      <c r="AY203" s="1111"/>
      <c r="AZ203" s="1111"/>
      <c r="BA203" s="1111"/>
      <c r="BB203" s="1111"/>
      <c r="BC203" s="1111"/>
      <c r="BD203" s="1111"/>
      <c r="BE203" s="1111"/>
      <c r="BF203" s="1111"/>
      <c r="BG203" s="1111"/>
      <c r="BH203" s="1111"/>
      <c r="BI203" s="1111"/>
      <c r="BJ203" s="1111"/>
      <c r="BK203" s="1111"/>
      <c r="BL203" s="1111"/>
      <c r="BM203" s="1111"/>
      <c r="BN203" s="1111"/>
      <c r="BO203" s="1111"/>
      <c r="BP203" s="1111"/>
      <c r="BQ203" s="1111"/>
      <c r="BR203" s="1111"/>
      <c r="BS203" s="1111"/>
      <c r="BT203" s="1111"/>
      <c r="BU203" s="1111"/>
      <c r="BV203" s="1111"/>
      <c r="BW203" s="1111"/>
      <c r="BX203" s="1111"/>
      <c r="BY203" s="1111"/>
      <c r="BZ203" s="1111"/>
      <c r="CA203" s="1111"/>
      <c r="CB203" s="1111"/>
      <c r="CC203" s="1111"/>
      <c r="CD203" s="1111"/>
      <c r="CE203" s="1111"/>
      <c r="CF203" s="1111"/>
      <c r="CG203" s="1111"/>
      <c r="CH203" s="1111"/>
      <c r="CI203" s="1111"/>
      <c r="CJ203" s="1111"/>
      <c r="CK203" s="1111"/>
      <c r="CL203" s="1111"/>
      <c r="CM203" s="1111"/>
      <c r="CN203" s="1111"/>
      <c r="CO203" s="1111"/>
      <c r="CP203" s="1111"/>
      <c r="CQ203" s="1111"/>
      <c r="CR203" s="1111"/>
      <c r="CS203" s="1111"/>
      <c r="CT203" s="1111"/>
      <c r="CU203" s="1111"/>
      <c r="CV203" s="1111"/>
      <c r="CW203" s="1111"/>
      <c r="CX203" s="1111"/>
      <c r="CY203" s="1111"/>
      <c r="CZ203" s="1111"/>
      <c r="DA203" s="1111"/>
      <c r="DB203" s="1111"/>
      <c r="DC203" s="1111"/>
      <c r="DD203" s="1111"/>
      <c r="DE203" s="1111"/>
      <c r="DF203" s="1111"/>
      <c r="DG203" s="1111"/>
    </row>
    <row r="204" spans="1:111" s="112" customFormat="1" ht="21" hidden="1" customHeight="1">
      <c r="A204" s="859"/>
      <c r="B204" s="1267" t="s">
        <v>444</v>
      </c>
      <c r="C204" s="1267"/>
      <c r="D204" s="1267"/>
      <c r="E204" s="1283">
        <f>L181</f>
        <v>519.68000000000006</v>
      </c>
      <c r="F204" s="1283"/>
      <c r="G204" s="1283"/>
      <c r="H204" s="1283">
        <f>E204/E182*24</f>
        <v>3.11808</v>
      </c>
      <c r="I204" s="1283"/>
      <c r="J204" s="1283"/>
      <c r="K204" s="1290">
        <f>H204/H205</f>
        <v>0.38624134138002786</v>
      </c>
      <c r="L204" s="1290"/>
      <c r="M204" s="1290"/>
      <c r="N204" s="1266"/>
      <c r="O204" s="1266"/>
      <c r="P204" s="1091"/>
      <c r="Q204" s="884"/>
      <c r="R204" s="1269"/>
      <c r="S204" s="1269"/>
      <c r="T204" s="1269"/>
      <c r="U204" s="1353"/>
      <c r="V204" s="1353"/>
      <c r="W204" s="1353"/>
      <c r="X204" s="1353"/>
      <c r="Y204" s="1353"/>
      <c r="Z204" s="1353"/>
      <c r="AA204" s="1355"/>
      <c r="AB204" s="1355"/>
      <c r="AC204" s="1355"/>
      <c r="AD204" s="1269"/>
      <c r="AE204" s="1269"/>
      <c r="AF204" s="1099"/>
      <c r="AG204" s="1111"/>
      <c r="AH204" s="1111"/>
      <c r="AI204" s="1111"/>
      <c r="AJ204" s="1111"/>
      <c r="AK204" s="1111"/>
      <c r="AL204" s="1111"/>
      <c r="AM204" s="1111"/>
      <c r="AN204" s="1111"/>
      <c r="AO204" s="1111"/>
      <c r="AP204" s="1111"/>
      <c r="AQ204" s="1111"/>
      <c r="AR204" s="1111"/>
      <c r="AS204" s="1111"/>
      <c r="AT204" s="1111"/>
      <c r="AU204" s="1111"/>
      <c r="AV204" s="1111"/>
      <c r="AW204" s="1111"/>
      <c r="AX204" s="1111"/>
      <c r="AY204" s="1111"/>
      <c r="AZ204" s="1111"/>
      <c r="BA204" s="1111"/>
      <c r="BB204" s="1111"/>
      <c r="BC204" s="1111"/>
      <c r="BD204" s="1111"/>
      <c r="BE204" s="1111"/>
      <c r="BF204" s="1111"/>
      <c r="BG204" s="1111"/>
      <c r="BH204" s="1111"/>
      <c r="BI204" s="1111"/>
      <c r="BJ204" s="1111"/>
      <c r="BK204" s="1111"/>
      <c r="BL204" s="1111"/>
      <c r="BM204" s="1111"/>
      <c r="BN204" s="1111"/>
      <c r="BO204" s="1111"/>
      <c r="BP204" s="1111"/>
      <c r="BQ204" s="1111"/>
      <c r="BR204" s="1111"/>
      <c r="BS204" s="1111"/>
      <c r="BT204" s="1111"/>
      <c r="BU204" s="1111"/>
      <c r="BV204" s="1111"/>
      <c r="BW204" s="1111"/>
      <c r="BX204" s="1111"/>
      <c r="BY204" s="1111"/>
      <c r="BZ204" s="1111"/>
      <c r="CA204" s="1111"/>
      <c r="CB204" s="1111"/>
      <c r="CC204" s="1111"/>
      <c r="CD204" s="1111"/>
      <c r="CE204" s="1111"/>
      <c r="CF204" s="1111"/>
      <c r="CG204" s="1111"/>
      <c r="CH204" s="1111"/>
      <c r="CI204" s="1111"/>
      <c r="CJ204" s="1111"/>
      <c r="CK204" s="1111"/>
      <c r="CL204" s="1111"/>
      <c r="CM204" s="1111"/>
      <c r="CN204" s="1111"/>
      <c r="CO204" s="1111"/>
      <c r="CP204" s="1111"/>
      <c r="CQ204" s="1111"/>
      <c r="CR204" s="1111"/>
      <c r="CS204" s="1111"/>
      <c r="CT204" s="1111"/>
      <c r="CU204" s="1111"/>
      <c r="CV204" s="1111"/>
      <c r="CW204" s="1111"/>
      <c r="CX204" s="1111"/>
      <c r="CY204" s="1111"/>
      <c r="CZ204" s="1111"/>
      <c r="DA204" s="1111"/>
      <c r="DB204" s="1111"/>
      <c r="DC204" s="1111"/>
      <c r="DD204" s="1111"/>
      <c r="DE204" s="1111"/>
      <c r="DF204" s="1111"/>
      <c r="DG204" s="1111"/>
    </row>
    <row r="205" spans="1:111" s="110" customFormat="1" ht="21" hidden="1" customHeight="1">
      <c r="A205" s="859"/>
      <c r="B205" s="1266" t="s">
        <v>445</v>
      </c>
      <c r="C205" s="1266"/>
      <c r="D205" s="1266"/>
      <c r="E205" s="1289">
        <f>SUM(E202:G204)</f>
        <v>1345.48</v>
      </c>
      <c r="F205" s="1289"/>
      <c r="G205" s="1289"/>
      <c r="H205" s="1283">
        <f>SUM(H202:J204)</f>
        <v>8.0728800000000014</v>
      </c>
      <c r="I205" s="1283"/>
      <c r="J205" s="1283"/>
      <c r="K205" s="1290">
        <f>SUM(K202:M204)</f>
        <v>0.99999999999999978</v>
      </c>
      <c r="L205" s="1290"/>
      <c r="M205" s="1290"/>
      <c r="N205" s="1266"/>
      <c r="O205" s="1266"/>
      <c r="P205" s="1149"/>
      <c r="Q205" s="884"/>
      <c r="R205" s="1269"/>
      <c r="S205" s="1269"/>
      <c r="T205" s="1269"/>
      <c r="U205" s="1354"/>
      <c r="V205" s="1354"/>
      <c r="W205" s="1354"/>
      <c r="X205" s="1353"/>
      <c r="Y205" s="1353"/>
      <c r="Z205" s="1353"/>
      <c r="AA205" s="1355"/>
      <c r="AB205" s="1355"/>
      <c r="AC205" s="1355"/>
      <c r="AD205" s="1269"/>
      <c r="AE205" s="1269"/>
      <c r="AF205" s="1099"/>
      <c r="AG205" s="1111"/>
      <c r="AH205" s="1111"/>
      <c r="AI205" s="1111"/>
      <c r="AJ205" s="1111"/>
      <c r="AK205" s="1111"/>
      <c r="AL205" s="1111"/>
      <c r="AM205" s="1111"/>
      <c r="AN205" s="1111"/>
      <c r="AO205" s="1111"/>
      <c r="AP205" s="1111"/>
      <c r="AQ205" s="1111"/>
      <c r="AR205" s="1111"/>
      <c r="AS205" s="1111"/>
      <c r="AT205" s="1111"/>
      <c r="AU205" s="1111"/>
      <c r="AV205" s="1111"/>
      <c r="AW205" s="1111"/>
      <c r="AX205" s="1111"/>
      <c r="AY205" s="1111"/>
      <c r="AZ205" s="1111"/>
      <c r="BA205" s="1111"/>
      <c r="BB205" s="1111"/>
      <c r="BC205" s="1111"/>
      <c r="BD205" s="1111"/>
      <c r="BE205" s="1111"/>
      <c r="BF205" s="1111"/>
      <c r="BG205" s="1111"/>
      <c r="BH205" s="1111"/>
      <c r="BI205" s="1111"/>
      <c r="BJ205" s="1111"/>
      <c r="BK205" s="1111"/>
      <c r="BL205" s="1111"/>
      <c r="BM205" s="1111"/>
      <c r="BN205" s="1111"/>
      <c r="BO205" s="1111"/>
      <c r="BP205" s="1111"/>
      <c r="BQ205" s="1111"/>
      <c r="BR205" s="1111"/>
      <c r="BS205" s="1111"/>
      <c r="BT205" s="1111"/>
      <c r="BU205" s="1111"/>
      <c r="BV205" s="1111"/>
      <c r="BW205" s="1111"/>
      <c r="BX205" s="1111"/>
      <c r="BY205" s="1111"/>
      <c r="BZ205" s="1111"/>
      <c r="CA205" s="1111"/>
      <c r="CB205" s="1111"/>
      <c r="CC205" s="1111"/>
      <c r="CD205" s="1111"/>
      <c r="CE205" s="1111"/>
      <c r="CF205" s="1111"/>
      <c r="CG205" s="1111"/>
      <c r="CH205" s="1111"/>
      <c r="CI205" s="1111"/>
      <c r="CJ205" s="1111"/>
      <c r="CK205" s="1111"/>
      <c r="CL205" s="1111"/>
      <c r="CM205" s="1111"/>
      <c r="CN205" s="1111"/>
      <c r="CO205" s="1111"/>
      <c r="CP205" s="1111"/>
      <c r="CQ205" s="1111"/>
      <c r="CR205" s="1111"/>
      <c r="CS205" s="1111"/>
      <c r="CT205" s="1111"/>
      <c r="CU205" s="1111"/>
      <c r="CV205" s="1111"/>
      <c r="CW205" s="1111"/>
      <c r="CX205" s="1111"/>
      <c r="CY205" s="1111"/>
      <c r="CZ205" s="1111"/>
      <c r="DA205" s="1111"/>
      <c r="DB205" s="1111"/>
      <c r="DC205" s="1111"/>
      <c r="DD205" s="1111"/>
      <c r="DE205" s="1111"/>
      <c r="DF205" s="1111"/>
      <c r="DG205" s="1111"/>
    </row>
    <row r="206" spans="1:111" s="1111" customFormat="1" ht="21" hidden="1" customHeight="1">
      <c r="A206" s="859"/>
      <c r="B206" s="1091"/>
      <c r="C206" s="1091"/>
      <c r="D206" s="1091"/>
      <c r="E206" s="372"/>
      <c r="F206" s="372"/>
      <c r="G206" s="372"/>
      <c r="H206" s="373"/>
      <c r="I206" s="373"/>
      <c r="J206" s="373"/>
      <c r="K206" s="374"/>
      <c r="L206" s="374"/>
      <c r="M206" s="374"/>
      <c r="N206" s="1091"/>
      <c r="O206" s="1091"/>
      <c r="P206" s="1091"/>
      <c r="Q206" s="884"/>
      <c r="R206" s="1099"/>
      <c r="S206" s="1099"/>
      <c r="T206" s="1099"/>
      <c r="U206" s="1114"/>
      <c r="V206" s="1114"/>
      <c r="W206" s="1114"/>
      <c r="X206" s="1115"/>
      <c r="Y206" s="1115"/>
      <c r="Z206" s="1115"/>
      <c r="AA206" s="1118"/>
      <c r="AB206" s="1118"/>
      <c r="AC206" s="1118"/>
      <c r="AD206" s="1099"/>
      <c r="AE206" s="1099"/>
      <c r="AF206" s="1099"/>
    </row>
    <row r="207" spans="1:111" s="112" customFormat="1" ht="21" hidden="1" customHeight="1">
      <c r="A207" s="866" t="s">
        <v>783</v>
      </c>
      <c r="B207" s="378" t="s">
        <v>56</v>
      </c>
      <c r="C207" s="1268" t="s">
        <v>447</v>
      </c>
      <c r="D207" s="1268"/>
      <c r="E207" s="1154"/>
      <c r="F207" s="402">
        <v>20</v>
      </c>
      <c r="G207" s="1091" t="s">
        <v>292</v>
      </c>
      <c r="H207" s="402">
        <v>30</v>
      </c>
      <c r="I207" s="1257" t="s">
        <v>449</v>
      </c>
      <c r="J207" s="1257"/>
      <c r="K207" s="1257"/>
      <c r="L207" s="1091"/>
      <c r="M207" s="1091"/>
      <c r="N207" s="1091"/>
      <c r="O207" s="1091"/>
      <c r="P207" s="1091"/>
      <c r="Q207" s="884"/>
      <c r="R207" s="400"/>
      <c r="S207" s="1147"/>
      <c r="T207" s="1147"/>
      <c r="U207" s="1147"/>
      <c r="V207" s="1099"/>
      <c r="W207" s="1099"/>
      <c r="X207" s="1099"/>
      <c r="Y207" s="1265"/>
      <c r="Z207" s="1265"/>
      <c r="AA207" s="1265"/>
      <c r="AB207" s="1099"/>
      <c r="AC207" s="1099"/>
      <c r="AD207" s="1099"/>
      <c r="AE207" s="1099"/>
      <c r="AF207" s="1099"/>
      <c r="AG207" s="1111"/>
      <c r="AH207" s="1111"/>
      <c r="AI207" s="1111"/>
      <c r="AJ207" s="1111"/>
      <c r="AK207" s="1111"/>
      <c r="AL207" s="1111"/>
      <c r="AM207" s="1111"/>
      <c r="AN207" s="1111"/>
      <c r="AO207" s="1111"/>
      <c r="AP207" s="1111"/>
      <c r="AQ207" s="1111"/>
      <c r="AR207" s="1111"/>
      <c r="AS207" s="1111"/>
      <c r="AT207" s="1111"/>
      <c r="AU207" s="1111"/>
      <c r="AV207" s="1111"/>
      <c r="AW207" s="1111"/>
      <c r="AX207" s="1111"/>
      <c r="AY207" s="1111"/>
      <c r="AZ207" s="1111"/>
      <c r="BA207" s="1111"/>
      <c r="BB207" s="1111"/>
      <c r="BC207" s="1111"/>
      <c r="BD207" s="1111"/>
      <c r="BE207" s="1111"/>
      <c r="BF207" s="1111"/>
      <c r="BG207" s="1111"/>
      <c r="BH207" s="1111"/>
      <c r="BI207" s="1111"/>
      <c r="BJ207" s="1111"/>
      <c r="BK207" s="1111"/>
      <c r="BL207" s="1111"/>
      <c r="BM207" s="1111"/>
      <c r="BN207" s="1111"/>
      <c r="BO207" s="1111"/>
      <c r="BP207" s="1111"/>
      <c r="BQ207" s="1111"/>
      <c r="BR207" s="1111"/>
      <c r="BS207" s="1111"/>
      <c r="BT207" s="1111"/>
      <c r="BU207" s="1111"/>
      <c r="BV207" s="1111"/>
      <c r="BW207" s="1111"/>
      <c r="BX207" s="1111"/>
      <c r="BY207" s="1111"/>
      <c r="BZ207" s="1111"/>
      <c r="CA207" s="1111"/>
      <c r="CB207" s="1111"/>
      <c r="CC207" s="1111"/>
      <c r="CD207" s="1111"/>
      <c r="CE207" s="1111"/>
      <c r="CF207" s="1111"/>
      <c r="CG207" s="1111"/>
      <c r="CH207" s="1111"/>
      <c r="CI207" s="1111"/>
      <c r="CJ207" s="1111"/>
      <c r="CK207" s="1111"/>
      <c r="CL207" s="1111"/>
      <c r="CM207" s="1111"/>
      <c r="CN207" s="1111"/>
      <c r="CO207" s="1111"/>
      <c r="CP207" s="1111"/>
      <c r="CQ207" s="1111"/>
      <c r="CR207" s="1111"/>
      <c r="CS207" s="1111"/>
      <c r="CT207" s="1111"/>
      <c r="CU207" s="1111"/>
      <c r="CV207" s="1111"/>
      <c r="CW207" s="1111"/>
      <c r="CX207" s="1111"/>
      <c r="CY207" s="1111"/>
      <c r="CZ207" s="1111"/>
      <c r="DA207" s="1111"/>
      <c r="DB207" s="1111"/>
      <c r="DC207" s="1111"/>
      <c r="DD207" s="1111"/>
      <c r="DE207" s="1111"/>
      <c r="DF207" s="1111"/>
      <c r="DG207" s="1111"/>
    </row>
    <row r="208" spans="1:111" s="112" customFormat="1" ht="21" hidden="1" customHeight="1">
      <c r="A208" s="860" t="s">
        <v>450</v>
      </c>
      <c r="B208" s="378" t="s">
        <v>56</v>
      </c>
      <c r="C208" s="1268" t="s">
        <v>451</v>
      </c>
      <c r="D208" s="1268"/>
      <c r="E208" s="1154"/>
      <c r="F208" s="403">
        <v>2.5</v>
      </c>
      <c r="G208" s="1091" t="s">
        <v>292</v>
      </c>
      <c r="H208" s="403">
        <v>4</v>
      </c>
      <c r="I208" s="1091" t="s">
        <v>308</v>
      </c>
      <c r="J208" s="1091"/>
      <c r="K208" s="1091"/>
      <c r="L208" s="1091"/>
      <c r="M208" s="1091"/>
      <c r="N208" s="1091"/>
      <c r="O208" s="1091"/>
      <c r="P208" s="1091"/>
      <c r="Q208" s="884"/>
      <c r="R208" s="400"/>
      <c r="S208" s="1147"/>
      <c r="T208" s="1147"/>
      <c r="U208" s="1147"/>
      <c r="V208" s="1099"/>
      <c r="W208" s="1099"/>
      <c r="X208" s="1099"/>
      <c r="Y208" s="1099"/>
      <c r="Z208" s="1099"/>
      <c r="AA208" s="1099"/>
      <c r="AB208" s="1099"/>
      <c r="AC208" s="1099"/>
      <c r="AD208" s="1099"/>
      <c r="AE208" s="1099"/>
      <c r="AF208" s="1099"/>
      <c r="AG208" s="1111"/>
      <c r="AH208" s="1111"/>
      <c r="AI208" s="1111"/>
      <c r="AJ208" s="1111"/>
      <c r="AK208" s="1111"/>
      <c r="AL208" s="1111"/>
      <c r="AM208" s="1111"/>
      <c r="AN208" s="1111"/>
      <c r="AO208" s="1111"/>
      <c r="AP208" s="1111"/>
      <c r="AQ208" s="1111"/>
      <c r="AR208" s="1111"/>
      <c r="AS208" s="1111"/>
      <c r="AT208" s="1111"/>
      <c r="AU208" s="1111"/>
      <c r="AV208" s="1111"/>
      <c r="AW208" s="1111"/>
      <c r="AX208" s="1111"/>
      <c r="AY208" s="1111"/>
      <c r="AZ208" s="1111"/>
      <c r="BA208" s="1111"/>
      <c r="BB208" s="1111"/>
      <c r="BC208" s="1111"/>
      <c r="BD208" s="1111"/>
      <c r="BE208" s="1111"/>
      <c r="BF208" s="1111"/>
      <c r="BG208" s="1111"/>
      <c r="BH208" s="1111"/>
      <c r="BI208" s="1111"/>
      <c r="BJ208" s="1111"/>
      <c r="BK208" s="1111"/>
      <c r="BL208" s="1111"/>
      <c r="BM208" s="1111"/>
      <c r="BN208" s="1111"/>
      <c r="BO208" s="1111"/>
      <c r="BP208" s="1111"/>
      <c r="BQ208" s="1111"/>
      <c r="BR208" s="1111"/>
      <c r="BS208" s="1111"/>
      <c r="BT208" s="1111"/>
      <c r="BU208" s="1111"/>
      <c r="BV208" s="1111"/>
      <c r="BW208" s="1111"/>
      <c r="BX208" s="1111"/>
      <c r="BY208" s="1111"/>
      <c r="BZ208" s="1111"/>
      <c r="CA208" s="1111"/>
      <c r="CB208" s="1111"/>
      <c r="CC208" s="1111"/>
      <c r="CD208" s="1111"/>
      <c r="CE208" s="1111"/>
      <c r="CF208" s="1111"/>
      <c r="CG208" s="1111"/>
      <c r="CH208" s="1111"/>
      <c r="CI208" s="1111"/>
      <c r="CJ208" s="1111"/>
      <c r="CK208" s="1111"/>
      <c r="CL208" s="1111"/>
      <c r="CM208" s="1111"/>
      <c r="CN208" s="1111"/>
      <c r="CO208" s="1111"/>
      <c r="CP208" s="1111"/>
      <c r="CQ208" s="1111"/>
      <c r="CR208" s="1111"/>
      <c r="CS208" s="1111"/>
      <c r="CT208" s="1111"/>
      <c r="CU208" s="1111"/>
      <c r="CV208" s="1111"/>
      <c r="CW208" s="1111"/>
      <c r="CX208" s="1111"/>
      <c r="CY208" s="1111"/>
      <c r="CZ208" s="1111"/>
      <c r="DA208" s="1111"/>
      <c r="DB208" s="1111"/>
      <c r="DC208" s="1111"/>
      <c r="DD208" s="1111"/>
      <c r="DE208" s="1111"/>
      <c r="DF208" s="1111"/>
      <c r="DG208" s="1111"/>
    </row>
    <row r="209" spans="1:111" s="112" customFormat="1" ht="21" hidden="1" customHeight="1">
      <c r="A209" s="859"/>
      <c r="B209" s="378" t="s">
        <v>56</v>
      </c>
      <c r="C209" s="1268" t="s">
        <v>452</v>
      </c>
      <c r="D209" s="1268"/>
      <c r="E209" s="1154"/>
      <c r="F209" s="402">
        <v>3</v>
      </c>
      <c r="G209" s="1091" t="s">
        <v>292</v>
      </c>
      <c r="H209" s="402">
        <v>5</v>
      </c>
      <c r="I209" s="1091" t="s">
        <v>188</v>
      </c>
      <c r="J209" s="1091"/>
      <c r="K209" s="1091"/>
      <c r="L209" s="1091"/>
      <c r="M209" s="1091"/>
      <c r="N209" s="1091"/>
      <c r="O209" s="1091"/>
      <c r="P209" s="1091"/>
      <c r="Q209" s="884"/>
      <c r="R209" s="400"/>
      <c r="S209" s="1147"/>
      <c r="T209" s="1147"/>
      <c r="U209" s="1147"/>
      <c r="V209" s="1099"/>
      <c r="W209" s="1099"/>
      <c r="X209" s="1099"/>
      <c r="Y209" s="1099"/>
      <c r="Z209" s="1099"/>
      <c r="AA209" s="1099"/>
      <c r="AB209" s="1099"/>
      <c r="AC209" s="1099"/>
      <c r="AD209" s="1099"/>
      <c r="AE209" s="1099"/>
      <c r="AF209" s="1099"/>
      <c r="AG209" s="1111"/>
      <c r="AH209" s="1111"/>
      <c r="AI209" s="1111"/>
      <c r="AJ209" s="1111"/>
      <c r="AK209" s="1111"/>
      <c r="AL209" s="1111"/>
      <c r="AM209" s="1111"/>
      <c r="AN209" s="1111"/>
      <c r="AO209" s="1111"/>
      <c r="AP209" s="1111"/>
      <c r="AQ209" s="1111"/>
      <c r="AR209" s="1111"/>
      <c r="AS209" s="1111"/>
      <c r="AT209" s="1111"/>
      <c r="AU209" s="1111"/>
      <c r="AV209" s="1111"/>
      <c r="AW209" s="1111"/>
      <c r="AX209" s="1111"/>
      <c r="AY209" s="1111"/>
      <c r="AZ209" s="1111"/>
      <c r="BA209" s="1111"/>
      <c r="BB209" s="1111"/>
      <c r="BC209" s="1111"/>
      <c r="BD209" s="1111"/>
      <c r="BE209" s="1111"/>
      <c r="BF209" s="1111"/>
      <c r="BG209" s="1111"/>
      <c r="BH209" s="1111"/>
      <c r="BI209" s="1111"/>
      <c r="BJ209" s="1111"/>
      <c r="BK209" s="1111"/>
      <c r="BL209" s="1111"/>
      <c r="BM209" s="1111"/>
      <c r="BN209" s="1111"/>
      <c r="BO209" s="1111"/>
      <c r="BP209" s="1111"/>
      <c r="BQ209" s="1111"/>
      <c r="BR209" s="1111"/>
      <c r="BS209" s="1111"/>
      <c r="BT209" s="1111"/>
      <c r="BU209" s="1111"/>
      <c r="BV209" s="1111"/>
      <c r="BW209" s="1111"/>
      <c r="BX209" s="1111"/>
      <c r="BY209" s="1111"/>
      <c r="BZ209" s="1111"/>
      <c r="CA209" s="1111"/>
      <c r="CB209" s="1111"/>
      <c r="CC209" s="1111"/>
      <c r="CD209" s="1111"/>
      <c r="CE209" s="1111"/>
      <c r="CF209" s="1111"/>
      <c r="CG209" s="1111"/>
      <c r="CH209" s="1111"/>
      <c r="CI209" s="1111"/>
      <c r="CJ209" s="1111"/>
      <c r="CK209" s="1111"/>
      <c r="CL209" s="1111"/>
      <c r="CM209" s="1111"/>
      <c r="CN209" s="1111"/>
      <c r="CO209" s="1111"/>
      <c r="CP209" s="1111"/>
      <c r="CQ209" s="1111"/>
      <c r="CR209" s="1111"/>
      <c r="CS209" s="1111"/>
      <c r="CT209" s="1111"/>
      <c r="CU209" s="1111"/>
      <c r="CV209" s="1111"/>
      <c r="CW209" s="1111"/>
      <c r="CX209" s="1111"/>
      <c r="CY209" s="1111"/>
      <c r="CZ209" s="1111"/>
      <c r="DA209" s="1111"/>
      <c r="DB209" s="1111"/>
      <c r="DC209" s="1111"/>
      <c r="DD209" s="1111"/>
      <c r="DE209" s="1111"/>
      <c r="DF209" s="1111"/>
      <c r="DG209" s="1111"/>
    </row>
    <row r="210" spans="1:111" s="112" customFormat="1" ht="21" hidden="1" customHeight="1">
      <c r="A210" s="859"/>
      <c r="B210" s="378" t="s">
        <v>56</v>
      </c>
      <c r="C210" s="1268" t="s">
        <v>453</v>
      </c>
      <c r="D210" s="1268"/>
      <c r="E210" s="1154"/>
      <c r="F210" s="402">
        <v>190</v>
      </c>
      <c r="G210" s="1257" t="s">
        <v>454</v>
      </c>
      <c r="H210" s="1257"/>
      <c r="I210" s="1257"/>
      <c r="J210" s="1257"/>
      <c r="K210" s="1091"/>
      <c r="L210" s="1091"/>
      <c r="M210" s="1091"/>
      <c r="N210" s="1091"/>
      <c r="O210" s="1091"/>
      <c r="P210" s="1091"/>
      <c r="Q210" s="884"/>
      <c r="R210" s="400"/>
      <c r="S210" s="1147"/>
      <c r="T210" s="1147"/>
      <c r="U210" s="1147"/>
      <c r="V210" s="1099"/>
      <c r="W210" s="1269"/>
      <c r="X210" s="1269"/>
      <c r="Y210" s="1269"/>
      <c r="Z210" s="1269"/>
      <c r="AA210" s="1099"/>
      <c r="AB210" s="1099"/>
      <c r="AC210" s="1099"/>
      <c r="AD210" s="1099"/>
      <c r="AE210" s="1099"/>
      <c r="AF210" s="1099"/>
      <c r="AG210" s="1111"/>
      <c r="AH210" s="1111"/>
      <c r="AI210" s="1111"/>
      <c r="AJ210" s="1111"/>
      <c r="AK210" s="1111"/>
      <c r="AL210" s="1111"/>
      <c r="AM210" s="1111"/>
      <c r="AN210" s="1111"/>
      <c r="AO210" s="1111"/>
      <c r="AP210" s="1111"/>
      <c r="AQ210" s="1111"/>
      <c r="AR210" s="1111"/>
      <c r="AS210" s="1111"/>
      <c r="AT210" s="1111"/>
      <c r="AU210" s="1111"/>
      <c r="AV210" s="1111"/>
      <c r="AW210" s="1111"/>
      <c r="AX210" s="1111"/>
      <c r="AY210" s="1111"/>
      <c r="AZ210" s="1111"/>
      <c r="BA210" s="1111"/>
      <c r="BB210" s="1111"/>
      <c r="BC210" s="1111"/>
      <c r="BD210" s="1111"/>
      <c r="BE210" s="1111"/>
      <c r="BF210" s="1111"/>
      <c r="BG210" s="1111"/>
      <c r="BH210" s="1111"/>
      <c r="BI210" s="1111"/>
      <c r="BJ210" s="1111"/>
      <c r="BK210" s="1111"/>
      <c r="BL210" s="1111"/>
      <c r="BM210" s="1111"/>
      <c r="BN210" s="1111"/>
      <c r="BO210" s="1111"/>
      <c r="BP210" s="1111"/>
      <c r="BQ210" s="1111"/>
      <c r="BR210" s="1111"/>
      <c r="BS210" s="1111"/>
      <c r="BT210" s="1111"/>
      <c r="BU210" s="1111"/>
      <c r="BV210" s="1111"/>
      <c r="BW210" s="1111"/>
      <c r="BX210" s="1111"/>
      <c r="BY210" s="1111"/>
      <c r="BZ210" s="1111"/>
      <c r="CA210" s="1111"/>
      <c r="CB210" s="1111"/>
      <c r="CC210" s="1111"/>
      <c r="CD210" s="1111"/>
      <c r="CE210" s="1111"/>
      <c r="CF210" s="1111"/>
      <c r="CG210" s="1111"/>
      <c r="CH210" s="1111"/>
      <c r="CI210" s="1111"/>
      <c r="CJ210" s="1111"/>
      <c r="CK210" s="1111"/>
      <c r="CL210" s="1111"/>
      <c r="CM210" s="1111"/>
      <c r="CN210" s="1111"/>
      <c r="CO210" s="1111"/>
      <c r="CP210" s="1111"/>
      <c r="CQ210" s="1111"/>
      <c r="CR210" s="1111"/>
      <c r="CS210" s="1111"/>
      <c r="CT210" s="1111"/>
      <c r="CU210" s="1111"/>
      <c r="CV210" s="1111"/>
      <c r="CW210" s="1111"/>
      <c r="CX210" s="1111"/>
      <c r="CY210" s="1111"/>
      <c r="CZ210" s="1111"/>
      <c r="DA210" s="1111"/>
      <c r="DB210" s="1111"/>
      <c r="DC210" s="1111"/>
      <c r="DD210" s="1111"/>
      <c r="DE210" s="1111"/>
      <c r="DF210" s="1111"/>
      <c r="DG210" s="1111"/>
    </row>
    <row r="211" spans="1:111" s="110" customFormat="1" ht="21" hidden="1" customHeight="1">
      <c r="A211" s="859"/>
      <c r="B211" s="378" t="s">
        <v>56</v>
      </c>
      <c r="C211" s="1268" t="s">
        <v>455</v>
      </c>
      <c r="D211" s="1268"/>
      <c r="E211" s="1154"/>
      <c r="F211" s="402">
        <v>95</v>
      </c>
      <c r="G211" s="1091" t="s">
        <v>292</v>
      </c>
      <c r="H211" s="402">
        <v>145</v>
      </c>
      <c r="I211" s="1257" t="s">
        <v>456</v>
      </c>
      <c r="J211" s="1257"/>
      <c r="K211" s="1257"/>
      <c r="L211" s="1091"/>
      <c r="M211" s="1091"/>
      <c r="N211" s="1091"/>
      <c r="O211" s="1091"/>
      <c r="P211" s="1091"/>
      <c r="Q211" s="884"/>
      <c r="R211" s="400"/>
      <c r="S211" s="1147"/>
      <c r="T211" s="1147"/>
      <c r="U211" s="1147"/>
      <c r="V211" s="1099"/>
      <c r="W211" s="1099"/>
      <c r="X211" s="1099"/>
      <c r="Y211" s="1265"/>
      <c r="Z211" s="1265"/>
      <c r="AA211" s="1265"/>
      <c r="AB211" s="1099"/>
      <c r="AC211" s="1099"/>
      <c r="AD211" s="1099"/>
      <c r="AE211" s="1099"/>
      <c r="AF211" s="1099"/>
      <c r="AG211" s="1111"/>
      <c r="AH211" s="1111"/>
      <c r="AI211" s="1111"/>
      <c r="AJ211" s="1111"/>
      <c r="AK211" s="1111"/>
      <c r="AL211" s="1111"/>
      <c r="AM211" s="1111"/>
      <c r="AN211" s="1111"/>
      <c r="AO211" s="1111"/>
      <c r="AP211" s="1111"/>
      <c r="AQ211" s="1111"/>
      <c r="AR211" s="1111"/>
      <c r="AS211" s="1111"/>
      <c r="AT211" s="1111"/>
      <c r="AU211" s="1111"/>
      <c r="AV211" s="1111"/>
      <c r="AW211" s="1111"/>
      <c r="AX211" s="1111"/>
      <c r="AY211" s="1111"/>
      <c r="AZ211" s="1111"/>
      <c r="BA211" s="1111"/>
      <c r="BB211" s="1111"/>
      <c r="BC211" s="1111"/>
      <c r="BD211" s="1111"/>
      <c r="BE211" s="1111"/>
      <c r="BF211" s="1111"/>
      <c r="BG211" s="1111"/>
      <c r="BH211" s="1111"/>
      <c r="BI211" s="1111"/>
      <c r="BJ211" s="1111"/>
      <c r="BK211" s="1111"/>
      <c r="BL211" s="1111"/>
      <c r="BM211" s="1111"/>
      <c r="BN211" s="1111"/>
      <c r="BO211" s="1111"/>
      <c r="BP211" s="1111"/>
      <c r="BQ211" s="1111"/>
      <c r="BR211" s="1111"/>
      <c r="BS211" s="1111"/>
      <c r="BT211" s="1111"/>
      <c r="BU211" s="1111"/>
      <c r="BV211" s="1111"/>
      <c r="BW211" s="1111"/>
      <c r="BX211" s="1111"/>
      <c r="BY211" s="1111"/>
      <c r="BZ211" s="1111"/>
      <c r="CA211" s="1111"/>
      <c r="CB211" s="1111"/>
      <c r="CC211" s="1111"/>
      <c r="CD211" s="1111"/>
      <c r="CE211" s="1111"/>
      <c r="CF211" s="1111"/>
      <c r="CG211" s="1111"/>
      <c r="CH211" s="1111"/>
      <c r="CI211" s="1111"/>
      <c r="CJ211" s="1111"/>
      <c r="CK211" s="1111"/>
      <c r="CL211" s="1111"/>
      <c r="CM211" s="1111"/>
      <c r="CN211" s="1111"/>
      <c r="CO211" s="1111"/>
      <c r="CP211" s="1111"/>
      <c r="CQ211" s="1111"/>
      <c r="CR211" s="1111"/>
      <c r="CS211" s="1111"/>
      <c r="CT211" s="1111"/>
      <c r="CU211" s="1111"/>
      <c r="CV211" s="1111"/>
      <c r="CW211" s="1111"/>
      <c r="CX211" s="1111"/>
      <c r="CY211" s="1111"/>
      <c r="CZ211" s="1111"/>
      <c r="DA211" s="1111"/>
      <c r="DB211" s="1111"/>
      <c r="DC211" s="1111"/>
      <c r="DD211" s="1111"/>
      <c r="DE211" s="1111"/>
      <c r="DF211" s="1111"/>
      <c r="DG211" s="1111"/>
    </row>
    <row r="212" spans="1:111" s="112" customFormat="1" ht="21" hidden="1" customHeight="1">
      <c r="A212" s="860" t="s">
        <v>457</v>
      </c>
      <c r="B212" s="1088"/>
      <c r="C212" s="1088"/>
      <c r="D212" s="1088"/>
      <c r="E212" s="1088"/>
      <c r="F212" s="1088"/>
      <c r="G212" s="1088"/>
      <c r="H212" s="1088"/>
      <c r="I212" s="1088"/>
      <c r="J212" s="1088"/>
      <c r="K212" s="1091"/>
      <c r="L212" s="1091"/>
      <c r="M212" s="1091"/>
      <c r="N212" s="1091"/>
      <c r="O212" s="1091"/>
      <c r="P212" s="1091"/>
      <c r="Q212" s="884"/>
      <c r="R212" s="1127"/>
      <c r="S212" s="1127"/>
      <c r="T212" s="1127"/>
      <c r="U212" s="1127"/>
      <c r="V212" s="1127"/>
      <c r="W212" s="1127"/>
      <c r="X212" s="1127"/>
      <c r="Y212" s="1127"/>
      <c r="Z212" s="1127"/>
      <c r="AA212" s="1099"/>
      <c r="AB212" s="1099"/>
      <c r="AC212" s="1099"/>
      <c r="AD212" s="1099"/>
      <c r="AE212" s="1099"/>
      <c r="AF212" s="1099"/>
      <c r="AG212" s="1111"/>
      <c r="AH212" s="1111"/>
      <c r="AI212" s="1111"/>
      <c r="AJ212" s="1111"/>
      <c r="AK212" s="1111"/>
      <c r="AL212" s="1111"/>
      <c r="AM212" s="1111"/>
      <c r="AN212" s="1111"/>
      <c r="AO212" s="1111"/>
      <c r="AP212" s="1111"/>
      <c r="AQ212" s="1111"/>
      <c r="AR212" s="1111"/>
      <c r="AS212" s="1111"/>
      <c r="AT212" s="1111"/>
      <c r="AU212" s="1111"/>
      <c r="AV212" s="1111"/>
      <c r="AW212" s="1111"/>
      <c r="AX212" s="1111"/>
      <c r="AY212" s="1111"/>
      <c r="AZ212" s="1111"/>
      <c r="BA212" s="1111"/>
      <c r="BB212" s="1111"/>
      <c r="BC212" s="1111"/>
      <c r="BD212" s="1111"/>
      <c r="BE212" s="1111"/>
      <c r="BF212" s="1111"/>
      <c r="BG212" s="1111"/>
      <c r="BH212" s="1111"/>
      <c r="BI212" s="1111"/>
      <c r="BJ212" s="1111"/>
      <c r="BK212" s="1111"/>
      <c r="BL212" s="1111"/>
      <c r="BM212" s="1111"/>
      <c r="BN212" s="1111"/>
      <c r="BO212" s="1111"/>
      <c r="BP212" s="1111"/>
      <c r="BQ212" s="1111"/>
      <c r="BR212" s="1111"/>
      <c r="BS212" s="1111"/>
      <c r="BT212" s="1111"/>
      <c r="BU212" s="1111"/>
      <c r="BV212" s="1111"/>
      <c r="BW212" s="1111"/>
      <c r="BX212" s="1111"/>
      <c r="BY212" s="1111"/>
      <c r="BZ212" s="1111"/>
      <c r="CA212" s="1111"/>
      <c r="CB212" s="1111"/>
      <c r="CC212" s="1111"/>
      <c r="CD212" s="1111"/>
      <c r="CE212" s="1111"/>
      <c r="CF212" s="1111"/>
      <c r="CG212" s="1111"/>
      <c r="CH212" s="1111"/>
      <c r="CI212" s="1111"/>
      <c r="CJ212" s="1111"/>
      <c r="CK212" s="1111"/>
      <c r="CL212" s="1111"/>
      <c r="CM212" s="1111"/>
      <c r="CN212" s="1111"/>
      <c r="CO212" s="1111"/>
      <c r="CP212" s="1111"/>
      <c r="CQ212" s="1111"/>
      <c r="CR212" s="1111"/>
      <c r="CS212" s="1111"/>
      <c r="CT212" s="1111"/>
      <c r="CU212" s="1111"/>
      <c r="CV212" s="1111"/>
      <c r="CW212" s="1111"/>
      <c r="CX212" s="1111"/>
      <c r="CY212" s="1111"/>
      <c r="CZ212" s="1111"/>
      <c r="DA212" s="1111"/>
      <c r="DB212" s="1111"/>
      <c r="DC212" s="1111"/>
      <c r="DD212" s="1111"/>
      <c r="DE212" s="1111"/>
      <c r="DF212" s="1111"/>
      <c r="DG212" s="1111"/>
    </row>
    <row r="213" spans="1:111" s="112" customFormat="1" ht="21" hidden="1" customHeight="1">
      <c r="A213" s="1116" t="s">
        <v>458</v>
      </c>
      <c r="B213" s="1449" t="s">
        <v>515</v>
      </c>
      <c r="C213" s="1450"/>
      <c r="D213" s="1450"/>
      <c r="E213" s="1266" t="s">
        <v>459</v>
      </c>
      <c r="F213" s="1266"/>
      <c r="G213" s="1266"/>
      <c r="H213" s="1266" t="s">
        <v>460</v>
      </c>
      <c r="I213" s="1266"/>
      <c r="J213" s="1266"/>
      <c r="K213" s="1266" t="s">
        <v>461</v>
      </c>
      <c r="L213" s="1266"/>
      <c r="M213" s="1266"/>
      <c r="N213" s="1266" t="s">
        <v>462</v>
      </c>
      <c r="O213" s="1266"/>
      <c r="P213" s="1266"/>
      <c r="Q213" s="884"/>
      <c r="R213" s="1351"/>
      <c r="S213" s="1265"/>
      <c r="T213" s="1265"/>
      <c r="U213" s="1269"/>
      <c r="V213" s="1269"/>
      <c r="W213" s="1269"/>
      <c r="X213" s="1269"/>
      <c r="Y213" s="1269"/>
      <c r="Z213" s="1269"/>
      <c r="AA213" s="1269"/>
      <c r="AB213" s="1269"/>
      <c r="AC213" s="1269"/>
      <c r="AD213" s="1269"/>
      <c r="AE213" s="1269"/>
      <c r="AF213" s="1269"/>
      <c r="AG213" s="1111"/>
      <c r="AH213" s="1111"/>
      <c r="AI213" s="1111"/>
      <c r="AJ213" s="1111"/>
      <c r="AK213" s="1111"/>
      <c r="AL213" s="1111"/>
      <c r="AM213" s="1111"/>
      <c r="AN213" s="1111"/>
      <c r="AO213" s="1111"/>
      <c r="AP213" s="1111"/>
      <c r="AQ213" s="1111"/>
      <c r="AR213" s="1111"/>
      <c r="AS213" s="1111"/>
      <c r="AT213" s="1111"/>
      <c r="AU213" s="1111"/>
      <c r="AV213" s="1111"/>
      <c r="AW213" s="1111"/>
      <c r="AX213" s="1111"/>
      <c r="AY213" s="1111"/>
      <c r="AZ213" s="1111"/>
      <c r="BA213" s="1111"/>
      <c r="BB213" s="1111"/>
      <c r="BC213" s="1111"/>
      <c r="BD213" s="1111"/>
      <c r="BE213" s="1111"/>
      <c r="BF213" s="1111"/>
      <c r="BG213" s="1111"/>
      <c r="BH213" s="1111"/>
      <c r="BI213" s="1111"/>
      <c r="BJ213" s="1111"/>
      <c r="BK213" s="1111"/>
      <c r="BL213" s="1111"/>
      <c r="BM213" s="1111"/>
      <c r="BN213" s="1111"/>
      <c r="BO213" s="1111"/>
      <c r="BP213" s="1111"/>
      <c r="BQ213" s="1111"/>
      <c r="BR213" s="1111"/>
      <c r="BS213" s="1111"/>
      <c r="BT213" s="1111"/>
      <c r="BU213" s="1111"/>
      <c r="BV213" s="1111"/>
      <c r="BW213" s="1111"/>
      <c r="BX213" s="1111"/>
      <c r="BY213" s="1111"/>
      <c r="BZ213" s="1111"/>
      <c r="CA213" s="1111"/>
      <c r="CB213" s="1111"/>
      <c r="CC213" s="1111"/>
      <c r="CD213" s="1111"/>
      <c r="CE213" s="1111"/>
      <c r="CF213" s="1111"/>
      <c r="CG213" s="1111"/>
      <c r="CH213" s="1111"/>
      <c r="CI213" s="1111"/>
      <c r="CJ213" s="1111"/>
      <c r="CK213" s="1111"/>
      <c r="CL213" s="1111"/>
      <c r="CM213" s="1111"/>
      <c r="CN213" s="1111"/>
      <c r="CO213" s="1111"/>
      <c r="CP213" s="1111"/>
      <c r="CQ213" s="1111"/>
      <c r="CR213" s="1111"/>
      <c r="CS213" s="1111"/>
      <c r="CT213" s="1111"/>
      <c r="CU213" s="1111"/>
      <c r="CV213" s="1111"/>
      <c r="CW213" s="1111"/>
      <c r="CX213" s="1111"/>
      <c r="CY213" s="1111"/>
      <c r="CZ213" s="1111"/>
      <c r="DA213" s="1111"/>
      <c r="DB213" s="1111"/>
      <c r="DC213" s="1111"/>
      <c r="DD213" s="1111"/>
      <c r="DE213" s="1111"/>
      <c r="DF213" s="1111"/>
      <c r="DG213" s="1111"/>
    </row>
    <row r="214" spans="1:111" s="112" customFormat="1" ht="21" hidden="1" customHeight="1">
      <c r="A214" s="1116"/>
      <c r="B214" s="1266" t="s">
        <v>463</v>
      </c>
      <c r="C214" s="1266"/>
      <c r="D214" s="1266"/>
      <c r="E214" s="1284">
        <f>C187</f>
        <v>4000</v>
      </c>
      <c r="F214" s="1284"/>
      <c r="G214" s="1284"/>
      <c r="H214" s="1284">
        <f>E214/24</f>
        <v>166.66666666666666</v>
      </c>
      <c r="I214" s="1284"/>
      <c r="J214" s="1284"/>
      <c r="K214" s="1284">
        <f>H214/60</f>
        <v>2.7777777777777777</v>
      </c>
      <c r="L214" s="1284"/>
      <c r="M214" s="1284"/>
      <c r="N214" s="1266">
        <f>K214/60</f>
        <v>4.6296296296296294E-2</v>
      </c>
      <c r="O214" s="1266"/>
      <c r="P214" s="1266"/>
      <c r="Q214" s="884"/>
      <c r="R214" s="1269"/>
      <c r="S214" s="1269"/>
      <c r="T214" s="1269"/>
      <c r="U214" s="1300"/>
      <c r="V214" s="1269"/>
      <c r="W214" s="1269"/>
      <c r="X214" s="1316"/>
      <c r="Y214" s="1316"/>
      <c r="Z214" s="1316"/>
      <c r="AA214" s="1316"/>
      <c r="AB214" s="1316"/>
      <c r="AC214" s="1316"/>
      <c r="AD214" s="1269"/>
      <c r="AE214" s="1269"/>
      <c r="AF214" s="1269"/>
      <c r="AG214" s="1111"/>
      <c r="AH214" s="1111"/>
      <c r="AI214" s="1111"/>
      <c r="AJ214" s="1111"/>
      <c r="AK214" s="1111"/>
      <c r="AL214" s="1111"/>
      <c r="AM214" s="1111"/>
      <c r="AN214" s="1111"/>
      <c r="AO214" s="1111"/>
      <c r="AP214" s="1111"/>
      <c r="AQ214" s="1111"/>
      <c r="AR214" s="1111"/>
      <c r="AS214" s="1111"/>
      <c r="AT214" s="1111"/>
      <c r="AU214" s="1111"/>
      <c r="AV214" s="1111"/>
      <c r="AW214" s="1111"/>
      <c r="AX214" s="1111"/>
      <c r="AY214" s="1111"/>
      <c r="AZ214" s="1111"/>
      <c r="BA214" s="1111"/>
      <c r="BB214" s="1111"/>
      <c r="BC214" s="1111"/>
      <c r="BD214" s="1111"/>
      <c r="BE214" s="1111"/>
      <c r="BF214" s="1111"/>
      <c r="BG214" s="1111"/>
      <c r="BH214" s="1111"/>
      <c r="BI214" s="1111"/>
      <c r="BJ214" s="1111"/>
      <c r="BK214" s="1111"/>
      <c r="BL214" s="1111"/>
      <c r="BM214" s="1111"/>
      <c r="BN214" s="1111"/>
      <c r="BO214" s="1111"/>
      <c r="BP214" s="1111"/>
      <c r="BQ214" s="1111"/>
      <c r="BR214" s="1111"/>
      <c r="BS214" s="1111"/>
      <c r="BT214" s="1111"/>
      <c r="BU214" s="1111"/>
      <c r="BV214" s="1111"/>
      <c r="BW214" s="1111"/>
      <c r="BX214" s="1111"/>
      <c r="BY214" s="1111"/>
      <c r="BZ214" s="1111"/>
      <c r="CA214" s="1111"/>
      <c r="CB214" s="1111"/>
      <c r="CC214" s="1111"/>
      <c r="CD214" s="1111"/>
      <c r="CE214" s="1111"/>
      <c r="CF214" s="1111"/>
      <c r="CG214" s="1111"/>
      <c r="CH214" s="1111"/>
      <c r="CI214" s="1111"/>
      <c r="CJ214" s="1111"/>
      <c r="CK214" s="1111"/>
      <c r="CL214" s="1111"/>
      <c r="CM214" s="1111"/>
      <c r="CN214" s="1111"/>
      <c r="CO214" s="1111"/>
      <c r="CP214" s="1111"/>
      <c r="CQ214" s="1111"/>
      <c r="CR214" s="1111"/>
      <c r="CS214" s="1111"/>
      <c r="CT214" s="1111"/>
      <c r="CU214" s="1111"/>
      <c r="CV214" s="1111"/>
      <c r="CW214" s="1111"/>
      <c r="CX214" s="1111"/>
      <c r="CY214" s="1111"/>
      <c r="CZ214" s="1111"/>
      <c r="DA214" s="1111"/>
      <c r="DB214" s="1111"/>
      <c r="DC214" s="1111"/>
      <c r="DD214" s="1111"/>
      <c r="DE214" s="1111"/>
      <c r="DF214" s="1111"/>
      <c r="DG214" s="1111"/>
    </row>
    <row r="215" spans="1:111" s="112" customFormat="1" ht="21" hidden="1" customHeight="1">
      <c r="A215" s="1116" t="s">
        <v>464</v>
      </c>
      <c r="B215" s="1091" t="s">
        <v>127</v>
      </c>
      <c r="C215" s="1091" t="s">
        <v>298</v>
      </c>
      <c r="D215" s="1370">
        <f>H214</f>
        <v>166.66666666666666</v>
      </c>
      <c r="E215" s="1370"/>
      <c r="F215" s="1370"/>
      <c r="G215" s="1091" t="s">
        <v>51</v>
      </c>
      <c r="H215" s="404">
        <f>F209</f>
        <v>3</v>
      </c>
      <c r="I215" s="1091" t="s">
        <v>292</v>
      </c>
      <c r="J215" s="405">
        <f>H209</f>
        <v>5</v>
      </c>
      <c r="K215" s="1091" t="s">
        <v>298</v>
      </c>
      <c r="L215" s="1424">
        <f>D215*H215</f>
        <v>500</v>
      </c>
      <c r="M215" s="1424"/>
      <c r="N215" s="1091" t="s">
        <v>292</v>
      </c>
      <c r="O215" s="1425">
        <f>D215*J215</f>
        <v>833.33333333333326</v>
      </c>
      <c r="P215" s="1425"/>
      <c r="Q215" s="884"/>
      <c r="R215" s="1099"/>
      <c r="S215" s="1099"/>
      <c r="T215" s="1357"/>
      <c r="U215" s="1357"/>
      <c r="V215" s="1269"/>
      <c r="W215" s="1099"/>
      <c r="X215" s="379"/>
      <c r="Y215" s="1099"/>
      <c r="Z215" s="380"/>
      <c r="AA215" s="1099"/>
      <c r="AB215" s="1099"/>
      <c r="AC215" s="1099"/>
      <c r="AD215" s="1099"/>
      <c r="AE215" s="1099"/>
      <c r="AF215" s="1099"/>
      <c r="AG215" s="1111"/>
      <c r="AH215" s="1111"/>
      <c r="AI215" s="1111"/>
      <c r="AJ215" s="1111"/>
      <c r="AK215" s="1111"/>
      <c r="AL215" s="1111"/>
      <c r="AM215" s="1111"/>
      <c r="AN215" s="1111"/>
      <c r="AO215" s="1111"/>
      <c r="AP215" s="1111"/>
      <c r="AQ215" s="1111"/>
      <c r="AR215" s="1111"/>
      <c r="AS215" s="1111"/>
      <c r="AT215" s="1111"/>
      <c r="AU215" s="1111"/>
      <c r="AV215" s="1111"/>
      <c r="AW215" s="1111"/>
      <c r="AX215" s="1111"/>
      <c r="AY215" s="1111"/>
      <c r="AZ215" s="1111"/>
      <c r="BA215" s="1111"/>
      <c r="BB215" s="1111"/>
      <c r="BC215" s="1111"/>
      <c r="BD215" s="1111"/>
      <c r="BE215" s="1111"/>
      <c r="BF215" s="1111"/>
      <c r="BG215" s="1111"/>
      <c r="BH215" s="1111"/>
      <c r="BI215" s="1111"/>
      <c r="BJ215" s="1111"/>
      <c r="BK215" s="1111"/>
      <c r="BL215" s="1111"/>
      <c r="BM215" s="1111"/>
      <c r="BN215" s="1111"/>
      <c r="BO215" s="1111"/>
      <c r="BP215" s="1111"/>
      <c r="BQ215" s="1111"/>
      <c r="BR215" s="1111"/>
      <c r="BS215" s="1111"/>
      <c r="BT215" s="1111"/>
      <c r="BU215" s="1111"/>
      <c r="BV215" s="1111"/>
      <c r="BW215" s="1111"/>
      <c r="BX215" s="1111"/>
      <c r="BY215" s="1111"/>
      <c r="BZ215" s="1111"/>
      <c r="CA215" s="1111"/>
      <c r="CB215" s="1111"/>
      <c r="CC215" s="1111"/>
      <c r="CD215" s="1111"/>
      <c r="CE215" s="1111"/>
      <c r="CF215" s="1111"/>
      <c r="CG215" s="1111"/>
      <c r="CH215" s="1111"/>
      <c r="CI215" s="1111"/>
      <c r="CJ215" s="1111"/>
      <c r="CK215" s="1111"/>
      <c r="CL215" s="1111"/>
      <c r="CM215" s="1111"/>
      <c r="CN215" s="1111"/>
      <c r="CO215" s="1111"/>
      <c r="CP215" s="1111"/>
      <c r="CQ215" s="1111"/>
      <c r="CR215" s="1111"/>
      <c r="CS215" s="1111"/>
      <c r="CT215" s="1111"/>
      <c r="CU215" s="1111"/>
      <c r="CV215" s="1111"/>
      <c r="CW215" s="1111"/>
      <c r="CX215" s="1111"/>
      <c r="CY215" s="1111"/>
      <c r="CZ215" s="1111"/>
      <c r="DA215" s="1111"/>
      <c r="DB215" s="1111"/>
      <c r="DC215" s="1111"/>
      <c r="DD215" s="1111"/>
      <c r="DE215" s="1111"/>
      <c r="DF215" s="1111"/>
      <c r="DG215" s="1111"/>
    </row>
    <row r="216" spans="1:111" s="112" customFormat="1" ht="21" hidden="1" customHeight="1">
      <c r="A216" s="1116" t="s">
        <v>465</v>
      </c>
      <c r="B216" s="1091" t="s">
        <v>466</v>
      </c>
      <c r="C216" s="1091" t="s">
        <v>298</v>
      </c>
      <c r="D216" s="1327">
        <f>E214</f>
        <v>4000</v>
      </c>
      <c r="E216" s="1327"/>
      <c r="F216" s="1327"/>
      <c r="G216" s="1091" t="s">
        <v>52</v>
      </c>
      <c r="H216" s="404">
        <f>F207</f>
        <v>20</v>
      </c>
      <c r="I216" s="1091" t="s">
        <v>292</v>
      </c>
      <c r="J216" s="1091">
        <v>30</v>
      </c>
      <c r="K216" s="1260" t="s">
        <v>516</v>
      </c>
      <c r="L216" s="1260"/>
      <c r="M216" s="1091" t="s">
        <v>830</v>
      </c>
      <c r="N216" s="1091"/>
      <c r="O216" s="1091"/>
      <c r="P216" s="1091"/>
      <c r="Q216" s="884"/>
      <c r="R216" s="1099"/>
      <c r="S216" s="1099"/>
      <c r="T216" s="1306"/>
      <c r="U216" s="1306"/>
      <c r="V216" s="1269"/>
      <c r="W216" s="1099"/>
      <c r="X216" s="379"/>
      <c r="Y216" s="1099"/>
      <c r="Z216" s="1099"/>
      <c r="AA216" s="1269"/>
      <c r="AB216" s="1269"/>
      <c r="AC216" s="1265"/>
      <c r="AD216" s="1265"/>
      <c r="AE216" s="1265"/>
      <c r="AF216" s="1099"/>
      <c r="AG216" s="1111"/>
      <c r="AH216" s="1111"/>
      <c r="AI216" s="1111"/>
      <c r="AJ216" s="1111"/>
      <c r="AK216" s="1111"/>
      <c r="AL216" s="1111"/>
      <c r="AM216" s="1111"/>
      <c r="AN216" s="1111"/>
      <c r="AO216" s="1111"/>
      <c r="AP216" s="1111"/>
      <c r="AQ216" s="1111"/>
      <c r="AR216" s="1111"/>
      <c r="AS216" s="1111"/>
      <c r="AT216" s="1111"/>
      <c r="AU216" s="1111"/>
      <c r="AV216" s="1111"/>
      <c r="AW216" s="1111"/>
      <c r="AX216" s="1111"/>
      <c r="AY216" s="1111"/>
      <c r="AZ216" s="1111"/>
      <c r="BA216" s="1111"/>
      <c r="BB216" s="1111"/>
      <c r="BC216" s="1111"/>
      <c r="BD216" s="1111"/>
      <c r="BE216" s="1111"/>
      <c r="BF216" s="1111"/>
      <c r="BG216" s="1111"/>
      <c r="BH216" s="1111"/>
      <c r="BI216" s="1111"/>
      <c r="BJ216" s="1111"/>
      <c r="BK216" s="1111"/>
      <c r="BL216" s="1111"/>
      <c r="BM216" s="1111"/>
      <c r="BN216" s="1111"/>
      <c r="BO216" s="1111"/>
      <c r="BP216" s="1111"/>
      <c r="BQ216" s="1111"/>
      <c r="BR216" s="1111"/>
      <c r="BS216" s="1111"/>
      <c r="BT216" s="1111"/>
      <c r="BU216" s="1111"/>
      <c r="BV216" s="1111"/>
      <c r="BW216" s="1111"/>
      <c r="BX216" s="1111"/>
      <c r="BY216" s="1111"/>
      <c r="BZ216" s="1111"/>
      <c r="CA216" s="1111"/>
      <c r="CB216" s="1111"/>
      <c r="CC216" s="1111"/>
      <c r="CD216" s="1111"/>
      <c r="CE216" s="1111"/>
      <c r="CF216" s="1111"/>
      <c r="CG216" s="1111"/>
      <c r="CH216" s="1111"/>
      <c r="CI216" s="1111"/>
      <c r="CJ216" s="1111"/>
      <c r="CK216" s="1111"/>
      <c r="CL216" s="1111"/>
      <c r="CM216" s="1111"/>
      <c r="CN216" s="1111"/>
      <c r="CO216" s="1111"/>
      <c r="CP216" s="1111"/>
      <c r="CQ216" s="1111"/>
      <c r="CR216" s="1111"/>
      <c r="CS216" s="1111"/>
      <c r="CT216" s="1111"/>
      <c r="CU216" s="1111"/>
      <c r="CV216" s="1111"/>
      <c r="CW216" s="1111"/>
      <c r="CX216" s="1111"/>
      <c r="CY216" s="1111"/>
      <c r="CZ216" s="1111"/>
      <c r="DA216" s="1111"/>
      <c r="DB216" s="1111"/>
      <c r="DC216" s="1111"/>
      <c r="DD216" s="1111"/>
      <c r="DE216" s="1111"/>
      <c r="DF216" s="1111"/>
      <c r="DG216" s="1111"/>
    </row>
    <row r="217" spans="1:111" s="112" customFormat="1" ht="21" hidden="1" customHeight="1">
      <c r="A217" s="1116"/>
      <c r="B217" s="1091"/>
      <c r="C217" s="1091" t="s">
        <v>298</v>
      </c>
      <c r="D217" s="1424">
        <f>D216/J216</f>
        <v>133.33333333333334</v>
      </c>
      <c r="E217" s="1424"/>
      <c r="F217" s="1091" t="s">
        <v>292</v>
      </c>
      <c r="G217" s="1292">
        <f>D216/H216</f>
        <v>200</v>
      </c>
      <c r="H217" s="1292"/>
      <c r="I217" s="1091" t="s">
        <v>467</v>
      </c>
      <c r="J217" s="1091"/>
      <c r="K217" s="1091"/>
      <c r="L217" s="1091"/>
      <c r="M217" s="1091"/>
      <c r="N217" s="1091"/>
      <c r="O217" s="1091"/>
      <c r="P217" s="1091"/>
      <c r="Q217" s="884"/>
      <c r="R217" s="1099"/>
      <c r="S217" s="1099"/>
      <c r="T217" s="1352"/>
      <c r="U217" s="1352"/>
      <c r="V217" s="1099"/>
      <c r="W217" s="1363"/>
      <c r="X217" s="1363"/>
      <c r="Y217" s="1099"/>
      <c r="Z217" s="1099"/>
      <c r="AA217" s="1099"/>
      <c r="AB217" s="1099"/>
      <c r="AC217" s="1099"/>
      <c r="AD217" s="1099"/>
      <c r="AE217" s="1099"/>
      <c r="AF217" s="1099"/>
      <c r="AG217" s="1111"/>
      <c r="AH217" s="1111"/>
      <c r="AI217" s="1111"/>
      <c r="AJ217" s="1111"/>
      <c r="AK217" s="1111"/>
      <c r="AL217" s="1111"/>
      <c r="AM217" s="1111"/>
      <c r="AN217" s="1111"/>
      <c r="AO217" s="1111"/>
      <c r="AP217" s="1111"/>
      <c r="AQ217" s="1111"/>
      <c r="AR217" s="1111"/>
      <c r="AS217" s="1111"/>
      <c r="AT217" s="1111"/>
      <c r="AU217" s="1111"/>
      <c r="AV217" s="1111"/>
      <c r="AW217" s="1111"/>
      <c r="AX217" s="1111"/>
      <c r="AY217" s="1111"/>
      <c r="AZ217" s="1111"/>
      <c r="BA217" s="1111"/>
      <c r="BB217" s="1111"/>
      <c r="BC217" s="1111"/>
      <c r="BD217" s="1111"/>
      <c r="BE217" s="1111"/>
      <c r="BF217" s="1111"/>
      <c r="BG217" s="1111"/>
      <c r="BH217" s="1111"/>
      <c r="BI217" s="1111"/>
      <c r="BJ217" s="1111"/>
      <c r="BK217" s="1111"/>
      <c r="BL217" s="1111"/>
      <c r="BM217" s="1111"/>
      <c r="BN217" s="1111"/>
      <c r="BO217" s="1111"/>
      <c r="BP217" s="1111"/>
      <c r="BQ217" s="1111"/>
      <c r="BR217" s="1111"/>
      <c r="BS217" s="1111"/>
      <c r="BT217" s="1111"/>
      <c r="BU217" s="1111"/>
      <c r="BV217" s="1111"/>
      <c r="BW217" s="1111"/>
      <c r="BX217" s="1111"/>
      <c r="BY217" s="1111"/>
      <c r="BZ217" s="1111"/>
      <c r="CA217" s="1111"/>
      <c r="CB217" s="1111"/>
      <c r="CC217" s="1111"/>
      <c r="CD217" s="1111"/>
      <c r="CE217" s="1111"/>
      <c r="CF217" s="1111"/>
      <c r="CG217" s="1111"/>
      <c r="CH217" s="1111"/>
      <c r="CI217" s="1111"/>
      <c r="CJ217" s="1111"/>
      <c r="CK217" s="1111"/>
      <c r="CL217" s="1111"/>
      <c r="CM217" s="1111"/>
      <c r="CN217" s="1111"/>
      <c r="CO217" s="1111"/>
      <c r="CP217" s="1111"/>
      <c r="CQ217" s="1111"/>
      <c r="CR217" s="1111"/>
      <c r="CS217" s="1111"/>
      <c r="CT217" s="1111"/>
      <c r="CU217" s="1111"/>
      <c r="CV217" s="1111"/>
      <c r="CW217" s="1111"/>
      <c r="CX217" s="1111"/>
      <c r="CY217" s="1111"/>
      <c r="CZ217" s="1111"/>
      <c r="DA217" s="1111"/>
      <c r="DB217" s="1111"/>
      <c r="DC217" s="1111"/>
      <c r="DD217" s="1111"/>
      <c r="DE217" s="1111"/>
      <c r="DF217" s="1111"/>
      <c r="DG217" s="1111"/>
    </row>
    <row r="218" spans="1:111" s="112" customFormat="1" ht="21" hidden="1" customHeight="1">
      <c r="A218" s="860" t="s">
        <v>427</v>
      </c>
      <c r="B218" s="1091"/>
      <c r="C218" s="1091"/>
      <c r="D218" s="1091"/>
      <c r="E218" s="1091"/>
      <c r="F218" s="1091"/>
      <c r="G218" s="1091"/>
      <c r="H218" s="1091"/>
      <c r="I218" s="1091"/>
      <c r="J218" s="1091"/>
      <c r="K218" s="1091"/>
      <c r="L218" s="1091"/>
      <c r="M218" s="1091"/>
      <c r="N218" s="1091"/>
      <c r="O218" s="1091"/>
      <c r="P218" s="1091"/>
      <c r="Q218" s="884"/>
      <c r="R218" s="1099"/>
      <c r="S218" s="1099"/>
      <c r="T218" s="1099"/>
      <c r="U218" s="1099"/>
      <c r="V218" s="1099"/>
      <c r="W218" s="1099"/>
      <c r="X218" s="1099"/>
      <c r="Y218" s="1099"/>
      <c r="Z218" s="1099"/>
      <c r="AA218" s="1099"/>
      <c r="AB218" s="1099"/>
      <c r="AC218" s="1099"/>
      <c r="AD218" s="1099"/>
      <c r="AE218" s="1099"/>
      <c r="AF218" s="1099"/>
      <c r="AG218" s="1111"/>
      <c r="AH218" s="1111"/>
      <c r="AI218" s="1111"/>
      <c r="AJ218" s="1111"/>
      <c r="AK218" s="1111"/>
      <c r="AL218" s="1111"/>
      <c r="AM218" s="1111"/>
      <c r="AN218" s="1111"/>
      <c r="AO218" s="1111"/>
      <c r="AP218" s="1111"/>
      <c r="AQ218" s="1111"/>
      <c r="AR218" s="1111"/>
      <c r="AS218" s="1111"/>
      <c r="AT218" s="1111"/>
      <c r="AU218" s="1111"/>
      <c r="AV218" s="1111"/>
      <c r="AW218" s="1111"/>
      <c r="AX218" s="1111"/>
      <c r="AY218" s="1111"/>
      <c r="AZ218" s="1111"/>
      <c r="BA218" s="1111"/>
      <c r="BB218" s="1111"/>
      <c r="BC218" s="1111"/>
      <c r="BD218" s="1111"/>
      <c r="BE218" s="1111"/>
      <c r="BF218" s="1111"/>
      <c r="BG218" s="1111"/>
      <c r="BH218" s="1111"/>
      <c r="BI218" s="1111"/>
      <c r="BJ218" s="1111"/>
      <c r="BK218" s="1111"/>
      <c r="BL218" s="1111"/>
      <c r="BM218" s="1111"/>
      <c r="BN218" s="1111"/>
      <c r="BO218" s="1111"/>
      <c r="BP218" s="1111"/>
      <c r="BQ218" s="1111"/>
      <c r="BR218" s="1111"/>
      <c r="BS218" s="1111"/>
      <c r="BT218" s="1111"/>
      <c r="BU218" s="1111"/>
      <c r="BV218" s="1111"/>
      <c r="BW218" s="1111"/>
      <c r="BX218" s="1111"/>
      <c r="BY218" s="1111"/>
      <c r="BZ218" s="1111"/>
      <c r="CA218" s="1111"/>
      <c r="CB218" s="1111"/>
      <c r="CC218" s="1111"/>
      <c r="CD218" s="1111"/>
      <c r="CE218" s="1111"/>
      <c r="CF218" s="1111"/>
      <c r="CG218" s="1111"/>
      <c r="CH218" s="1111"/>
      <c r="CI218" s="1111"/>
      <c r="CJ218" s="1111"/>
      <c r="CK218" s="1111"/>
      <c r="CL218" s="1111"/>
      <c r="CM218" s="1111"/>
      <c r="CN218" s="1111"/>
      <c r="CO218" s="1111"/>
      <c r="CP218" s="1111"/>
      <c r="CQ218" s="1111"/>
      <c r="CR218" s="1111"/>
      <c r="CS218" s="1111"/>
      <c r="CT218" s="1111"/>
      <c r="CU218" s="1111"/>
      <c r="CV218" s="1111"/>
      <c r="CW218" s="1111"/>
      <c r="CX218" s="1111"/>
      <c r="CY218" s="1111"/>
      <c r="CZ218" s="1111"/>
      <c r="DA218" s="1111"/>
      <c r="DB218" s="1111"/>
      <c r="DC218" s="1111"/>
      <c r="DD218" s="1111"/>
      <c r="DE218" s="1111"/>
      <c r="DF218" s="1111"/>
      <c r="DG218" s="1111"/>
    </row>
    <row r="219" spans="1:111" s="112" customFormat="1" ht="21" hidden="1" customHeight="1">
      <c r="A219" s="1116" t="s">
        <v>304</v>
      </c>
      <c r="B219" s="322"/>
      <c r="C219" s="1260" t="s">
        <v>468</v>
      </c>
      <c r="D219" s="1260"/>
      <c r="E219" s="1260"/>
      <c r="F219" s="1260"/>
      <c r="G219" s="1260"/>
      <c r="H219" s="1260"/>
      <c r="I219" s="1260"/>
      <c r="J219" s="1260"/>
      <c r="K219" s="1260"/>
      <c r="L219" s="1260"/>
      <c r="M219" s="1260"/>
      <c r="N219" s="1260"/>
      <c r="O219" s="1260"/>
      <c r="P219" s="1101"/>
      <c r="Q219" s="884"/>
      <c r="R219" s="1269"/>
      <c r="S219" s="1364"/>
      <c r="T219" s="1364"/>
      <c r="U219" s="1364"/>
      <c r="V219" s="1364"/>
      <c r="W219" s="1364"/>
      <c r="X219" s="1364"/>
      <c r="Y219" s="1364"/>
      <c r="Z219" s="1364"/>
      <c r="AA219" s="1364"/>
      <c r="AB219" s="1364"/>
      <c r="AC219" s="1364"/>
      <c r="AD219" s="1364"/>
      <c r="AE219" s="1364"/>
      <c r="AF219" s="1364"/>
      <c r="AG219" s="1111"/>
      <c r="AH219" s="1111"/>
      <c r="AI219" s="1111"/>
      <c r="AJ219" s="1111"/>
      <c r="AK219" s="1111"/>
      <c r="AL219" s="1111"/>
      <c r="AM219" s="1111"/>
      <c r="AN219" s="1111"/>
      <c r="AO219" s="1111"/>
      <c r="AP219" s="1111"/>
      <c r="AQ219" s="1111"/>
      <c r="AR219" s="1111"/>
      <c r="AS219" s="1111"/>
      <c r="AT219" s="1111"/>
      <c r="AU219" s="1111"/>
      <c r="AV219" s="1111"/>
      <c r="AW219" s="1111"/>
      <c r="AX219" s="1111"/>
      <c r="AY219" s="1111"/>
      <c r="AZ219" s="1111"/>
      <c r="BA219" s="1111"/>
      <c r="BB219" s="1111"/>
      <c r="BC219" s="1111"/>
      <c r="BD219" s="1111"/>
      <c r="BE219" s="1111"/>
      <c r="BF219" s="1111"/>
      <c r="BG219" s="1111"/>
      <c r="BH219" s="1111"/>
      <c r="BI219" s="1111"/>
      <c r="BJ219" s="1111"/>
      <c r="BK219" s="1111"/>
      <c r="BL219" s="1111"/>
      <c r="BM219" s="1111"/>
      <c r="BN219" s="1111"/>
      <c r="BO219" s="1111"/>
      <c r="BP219" s="1111"/>
      <c r="BQ219" s="1111"/>
      <c r="BR219" s="1111"/>
      <c r="BS219" s="1111"/>
      <c r="BT219" s="1111"/>
      <c r="BU219" s="1111"/>
      <c r="BV219" s="1111"/>
      <c r="BW219" s="1111"/>
      <c r="BX219" s="1111"/>
      <c r="BY219" s="1111"/>
      <c r="BZ219" s="1111"/>
      <c r="CA219" s="1111"/>
      <c r="CB219" s="1111"/>
      <c r="CC219" s="1111"/>
      <c r="CD219" s="1111"/>
      <c r="CE219" s="1111"/>
      <c r="CF219" s="1111"/>
      <c r="CG219" s="1111"/>
      <c r="CH219" s="1111"/>
      <c r="CI219" s="1111"/>
      <c r="CJ219" s="1111"/>
      <c r="CK219" s="1111"/>
      <c r="CL219" s="1111"/>
      <c r="CM219" s="1111"/>
      <c r="CN219" s="1111"/>
      <c r="CO219" s="1111"/>
      <c r="CP219" s="1111"/>
      <c r="CQ219" s="1111"/>
      <c r="CR219" s="1111"/>
      <c r="CS219" s="1111"/>
      <c r="CT219" s="1111"/>
      <c r="CU219" s="1111"/>
      <c r="CV219" s="1111"/>
      <c r="CW219" s="1111"/>
      <c r="CX219" s="1111"/>
      <c r="CY219" s="1111"/>
      <c r="CZ219" s="1111"/>
      <c r="DA219" s="1111"/>
      <c r="DB219" s="1111"/>
      <c r="DC219" s="1111"/>
      <c r="DD219" s="1111"/>
      <c r="DE219" s="1111"/>
      <c r="DF219" s="1111"/>
      <c r="DG219" s="1111"/>
    </row>
    <row r="220" spans="1:111" s="112" customFormat="1" ht="21" hidden="1" customHeight="1">
      <c r="A220" s="1116" t="s">
        <v>122</v>
      </c>
      <c r="B220" s="1154"/>
      <c r="C220" s="1089"/>
      <c r="D220" s="1091"/>
      <c r="E220" s="1091" t="s">
        <v>469</v>
      </c>
      <c r="F220" s="518">
        <v>12</v>
      </c>
      <c r="G220" s="1091" t="s">
        <v>308</v>
      </c>
      <c r="H220" s="1091" t="s">
        <v>51</v>
      </c>
      <c r="I220" s="1260" t="s">
        <v>310</v>
      </c>
      <c r="J220" s="1260"/>
      <c r="K220" s="1091" t="s">
        <v>311</v>
      </c>
      <c r="L220" s="519">
        <v>4.0999999999999996</v>
      </c>
      <c r="M220" s="1091" t="s">
        <v>308</v>
      </c>
      <c r="N220" s="1088"/>
      <c r="O220" s="1091"/>
      <c r="P220" s="1101"/>
      <c r="Q220" s="884"/>
      <c r="R220" s="1099"/>
      <c r="S220" s="1099"/>
      <c r="T220" s="1129"/>
      <c r="U220" s="1099"/>
      <c r="V220" s="1099"/>
      <c r="W220" s="1269"/>
      <c r="X220" s="1269"/>
      <c r="Y220" s="1099"/>
      <c r="Z220" s="1099"/>
      <c r="AA220" s="1127"/>
      <c r="AB220" s="1099"/>
      <c r="AC220" s="1099"/>
      <c r="AD220" s="1099"/>
      <c r="AE220" s="1099"/>
      <c r="AF220" s="1099"/>
      <c r="AG220" s="1111"/>
      <c r="AH220" s="1111"/>
      <c r="AI220" s="1111"/>
      <c r="AJ220" s="1111"/>
      <c r="AK220" s="1111"/>
      <c r="AL220" s="1111"/>
      <c r="AM220" s="1111"/>
      <c r="AN220" s="1111"/>
      <c r="AO220" s="1111"/>
      <c r="AP220" s="1111"/>
      <c r="AQ220" s="1111"/>
      <c r="AR220" s="1111"/>
      <c r="AS220" s="1111"/>
      <c r="AT220" s="1111"/>
      <c r="AU220" s="1111"/>
      <c r="AV220" s="1111"/>
      <c r="AW220" s="1111"/>
      <c r="AX220" s="1111"/>
      <c r="AY220" s="1111"/>
      <c r="AZ220" s="1111"/>
      <c r="BA220" s="1111"/>
      <c r="BB220" s="1111"/>
      <c r="BC220" s="1111"/>
      <c r="BD220" s="1111"/>
      <c r="BE220" s="1111"/>
      <c r="BF220" s="1111"/>
      <c r="BG220" s="1111"/>
      <c r="BH220" s="1111"/>
      <c r="BI220" s="1111"/>
      <c r="BJ220" s="1111"/>
      <c r="BK220" s="1111"/>
      <c r="BL220" s="1111"/>
      <c r="BM220" s="1111"/>
      <c r="BN220" s="1111"/>
      <c r="BO220" s="1111"/>
      <c r="BP220" s="1111"/>
      <c r="BQ220" s="1111"/>
      <c r="BR220" s="1111"/>
      <c r="BS220" s="1111"/>
      <c r="BT220" s="1111"/>
      <c r="BU220" s="1111"/>
      <c r="BV220" s="1111"/>
      <c r="BW220" s="1111"/>
      <c r="BX220" s="1111"/>
      <c r="BY220" s="1111"/>
      <c r="BZ220" s="1111"/>
      <c r="CA220" s="1111"/>
      <c r="CB220" s="1111"/>
      <c r="CC220" s="1111"/>
      <c r="CD220" s="1111"/>
      <c r="CE220" s="1111"/>
      <c r="CF220" s="1111"/>
      <c r="CG220" s="1111"/>
      <c r="CH220" s="1111"/>
      <c r="CI220" s="1111"/>
      <c r="CJ220" s="1111"/>
      <c r="CK220" s="1111"/>
      <c r="CL220" s="1111"/>
      <c r="CM220" s="1111"/>
      <c r="CN220" s="1111"/>
      <c r="CO220" s="1111"/>
      <c r="CP220" s="1111"/>
      <c r="CQ220" s="1111"/>
      <c r="CR220" s="1111"/>
      <c r="CS220" s="1111"/>
      <c r="CT220" s="1111"/>
      <c r="CU220" s="1111"/>
      <c r="CV220" s="1111"/>
      <c r="CW220" s="1111"/>
      <c r="CX220" s="1111"/>
      <c r="CY220" s="1111"/>
      <c r="CZ220" s="1111"/>
      <c r="DA220" s="1111"/>
      <c r="DB220" s="1111"/>
      <c r="DC220" s="1111"/>
      <c r="DD220" s="1111"/>
      <c r="DE220" s="1111"/>
      <c r="DF220" s="1111"/>
      <c r="DG220" s="1111"/>
    </row>
    <row r="221" spans="1:111" s="112" customFormat="1" ht="21" hidden="1" customHeight="1">
      <c r="A221" s="1116" t="s">
        <v>312</v>
      </c>
      <c r="B221" s="1091"/>
      <c r="C221" s="1091"/>
      <c r="D221" s="1091"/>
      <c r="E221" s="1091"/>
      <c r="F221" s="1091"/>
      <c r="G221" s="1091">
        <v>4</v>
      </c>
      <c r="H221" s="1091" t="s">
        <v>313</v>
      </c>
      <c r="I221" s="1091"/>
      <c r="J221" s="1091"/>
      <c r="K221" s="1091"/>
      <c r="L221" s="1091"/>
      <c r="M221" s="1091"/>
      <c r="N221" s="1091"/>
      <c r="O221" s="1091"/>
      <c r="P221" s="1091"/>
      <c r="Q221" s="884"/>
      <c r="R221" s="1099"/>
      <c r="S221" s="1099"/>
      <c r="T221" s="1099"/>
      <c r="U221" s="1099"/>
      <c r="V221" s="1099"/>
      <c r="W221" s="1099"/>
      <c r="X221" s="1099"/>
      <c r="Y221" s="1099"/>
      <c r="Z221" s="1099"/>
      <c r="AA221" s="1099"/>
      <c r="AB221" s="1099"/>
      <c r="AC221" s="1099"/>
      <c r="AD221" s="1099"/>
      <c r="AE221" s="1099"/>
      <c r="AF221" s="1099"/>
      <c r="AG221" s="1111"/>
      <c r="AH221" s="1111"/>
      <c r="AI221" s="1111"/>
      <c r="AJ221" s="1111"/>
      <c r="AK221" s="1111"/>
      <c r="AL221" s="1111"/>
      <c r="AM221" s="1111"/>
      <c r="AN221" s="1111"/>
      <c r="AO221" s="1111"/>
      <c r="AP221" s="1111"/>
      <c r="AQ221" s="1111"/>
      <c r="AR221" s="1111"/>
      <c r="AS221" s="1111"/>
      <c r="AT221" s="1111"/>
      <c r="AU221" s="1111"/>
      <c r="AV221" s="1111"/>
      <c r="AW221" s="1111"/>
      <c r="AX221" s="1111"/>
      <c r="AY221" s="1111"/>
      <c r="AZ221" s="1111"/>
      <c r="BA221" s="1111"/>
      <c r="BB221" s="1111"/>
      <c r="BC221" s="1111"/>
      <c r="BD221" s="1111"/>
      <c r="BE221" s="1111"/>
      <c r="BF221" s="1111"/>
      <c r="BG221" s="1111"/>
      <c r="BH221" s="1111"/>
      <c r="BI221" s="1111"/>
      <c r="BJ221" s="1111"/>
      <c r="BK221" s="1111"/>
      <c r="BL221" s="1111"/>
      <c r="BM221" s="1111"/>
      <c r="BN221" s="1111"/>
      <c r="BO221" s="1111"/>
      <c r="BP221" s="1111"/>
      <c r="BQ221" s="1111"/>
      <c r="BR221" s="1111"/>
      <c r="BS221" s="1111"/>
      <c r="BT221" s="1111"/>
      <c r="BU221" s="1111"/>
      <c r="BV221" s="1111"/>
      <c r="BW221" s="1111"/>
      <c r="BX221" s="1111"/>
      <c r="BY221" s="1111"/>
      <c r="BZ221" s="1111"/>
      <c r="CA221" s="1111"/>
      <c r="CB221" s="1111"/>
      <c r="CC221" s="1111"/>
      <c r="CD221" s="1111"/>
      <c r="CE221" s="1111"/>
      <c r="CF221" s="1111"/>
      <c r="CG221" s="1111"/>
      <c r="CH221" s="1111"/>
      <c r="CI221" s="1111"/>
      <c r="CJ221" s="1111"/>
      <c r="CK221" s="1111"/>
      <c r="CL221" s="1111"/>
      <c r="CM221" s="1111"/>
      <c r="CN221" s="1111"/>
      <c r="CO221" s="1111"/>
      <c r="CP221" s="1111"/>
      <c r="CQ221" s="1111"/>
      <c r="CR221" s="1111"/>
      <c r="CS221" s="1111"/>
      <c r="CT221" s="1111"/>
      <c r="CU221" s="1111"/>
      <c r="CV221" s="1111"/>
      <c r="CW221" s="1111"/>
      <c r="CX221" s="1111"/>
      <c r="CY221" s="1111"/>
      <c r="CZ221" s="1111"/>
      <c r="DA221" s="1111"/>
      <c r="DB221" s="1111"/>
      <c r="DC221" s="1111"/>
      <c r="DD221" s="1111"/>
      <c r="DE221" s="1111"/>
      <c r="DF221" s="1111"/>
      <c r="DG221" s="1111"/>
    </row>
    <row r="222" spans="1:111" s="112" customFormat="1" ht="21" hidden="1" customHeight="1">
      <c r="A222" s="1116" t="s">
        <v>126</v>
      </c>
      <c r="B222" s="1091"/>
      <c r="C222" s="1091" t="s">
        <v>127</v>
      </c>
      <c r="D222" s="1091" t="s">
        <v>298</v>
      </c>
      <c r="E222" s="1288">
        <f>ROUND(3.14*F220^2/4*L220,2)</f>
        <v>463.46</v>
      </c>
      <c r="F222" s="1288"/>
      <c r="G222" s="1260" t="s">
        <v>128</v>
      </c>
      <c r="H222" s="1260"/>
      <c r="I222" s="1091" t="s">
        <v>51</v>
      </c>
      <c r="J222" s="402">
        <f>G221</f>
        <v>4</v>
      </c>
      <c r="K222" s="1091" t="str">
        <f>H221</f>
        <v>계열</v>
      </c>
      <c r="L222" s="1091" t="s">
        <v>298</v>
      </c>
      <c r="M222" s="1291">
        <f>E222*J222</f>
        <v>1853.84</v>
      </c>
      <c r="N222" s="1291"/>
      <c r="O222" s="1088"/>
      <c r="P222" s="1091"/>
      <c r="Q222" s="884"/>
      <c r="R222" s="1099"/>
      <c r="S222" s="1099"/>
      <c r="T222" s="1099"/>
      <c r="U222" s="1356"/>
      <c r="V222" s="1356"/>
      <c r="W222" s="1269"/>
      <c r="X222" s="1269"/>
      <c r="Y222" s="1099"/>
      <c r="Z222" s="1099"/>
      <c r="AA222" s="1099"/>
      <c r="AB222" s="1099"/>
      <c r="AC222" s="1362"/>
      <c r="AD222" s="1362"/>
      <c r="AE222" s="1127"/>
      <c r="AF222" s="1099"/>
      <c r="AG222" s="1111"/>
      <c r="AH222" s="1111"/>
      <c r="AI222" s="1111"/>
      <c r="AJ222" s="1111"/>
      <c r="AK222" s="1111"/>
      <c r="AL222" s="1111"/>
      <c r="AM222" s="1111"/>
      <c r="AN222" s="1111"/>
      <c r="AO222" s="1111"/>
      <c r="AP222" s="1111"/>
      <c r="AQ222" s="1111"/>
      <c r="AR222" s="1111"/>
      <c r="AS222" s="1111"/>
      <c r="AT222" s="1111"/>
      <c r="AU222" s="1111"/>
      <c r="AV222" s="1111"/>
      <c r="AW222" s="1111"/>
      <c r="AX222" s="1111"/>
      <c r="AY222" s="1111"/>
      <c r="AZ222" s="1111"/>
      <c r="BA222" s="1111"/>
      <c r="BB222" s="1111"/>
      <c r="BC222" s="1111"/>
      <c r="BD222" s="1111"/>
      <c r="BE222" s="1111"/>
      <c r="BF222" s="1111"/>
      <c r="BG222" s="1111"/>
      <c r="BH222" s="1111"/>
      <c r="BI222" s="1111"/>
      <c r="BJ222" s="1111"/>
      <c r="BK222" s="1111"/>
      <c r="BL222" s="1111"/>
      <c r="BM222" s="1111"/>
      <c r="BN222" s="1111"/>
      <c r="BO222" s="1111"/>
      <c r="BP222" s="1111"/>
      <c r="BQ222" s="1111"/>
      <c r="BR222" s="1111"/>
      <c r="BS222" s="1111"/>
      <c r="BT222" s="1111"/>
      <c r="BU222" s="1111"/>
      <c r="BV222" s="1111"/>
      <c r="BW222" s="1111"/>
      <c r="BX222" s="1111"/>
      <c r="BY222" s="1111"/>
      <c r="BZ222" s="1111"/>
      <c r="CA222" s="1111"/>
      <c r="CB222" s="1111"/>
      <c r="CC222" s="1111"/>
      <c r="CD222" s="1111"/>
      <c r="CE222" s="1111"/>
      <c r="CF222" s="1111"/>
      <c r="CG222" s="1111"/>
      <c r="CH222" s="1111"/>
      <c r="CI222" s="1111"/>
      <c r="CJ222" s="1111"/>
      <c r="CK222" s="1111"/>
      <c r="CL222" s="1111"/>
      <c r="CM222" s="1111"/>
      <c r="CN222" s="1111"/>
      <c r="CO222" s="1111"/>
      <c r="CP222" s="1111"/>
      <c r="CQ222" s="1111"/>
      <c r="CR222" s="1111"/>
      <c r="CS222" s="1111"/>
      <c r="CT222" s="1111"/>
      <c r="CU222" s="1111"/>
      <c r="CV222" s="1111"/>
      <c r="CW222" s="1111"/>
      <c r="CX222" s="1111"/>
      <c r="CY222" s="1111"/>
      <c r="CZ222" s="1111"/>
      <c r="DA222" s="1111"/>
      <c r="DB222" s="1111"/>
      <c r="DC222" s="1111"/>
      <c r="DD222" s="1111"/>
      <c r="DE222" s="1111"/>
      <c r="DF222" s="1111"/>
      <c r="DG222" s="1111"/>
    </row>
    <row r="223" spans="1:111" s="112" customFormat="1" ht="21" hidden="1" customHeight="1">
      <c r="A223" s="1116" t="s">
        <v>470</v>
      </c>
      <c r="B223" s="1091"/>
      <c r="C223" s="1091" t="s">
        <v>466</v>
      </c>
      <c r="D223" s="1091" t="s">
        <v>298</v>
      </c>
      <c r="E223" s="1288">
        <f>ROUND(3.14*F220^2/4,2)</f>
        <v>113.04</v>
      </c>
      <c r="F223" s="1288"/>
      <c r="G223" s="1260" t="s">
        <v>517</v>
      </c>
      <c r="H223" s="1260"/>
      <c r="I223" s="1091" t="s">
        <v>51</v>
      </c>
      <c r="J223" s="402">
        <f>G221</f>
        <v>4</v>
      </c>
      <c r="K223" s="1091" t="str">
        <f>H221</f>
        <v>계열</v>
      </c>
      <c r="L223" s="1091" t="s">
        <v>298</v>
      </c>
      <c r="M223" s="1287">
        <f>E223*J223</f>
        <v>452.16</v>
      </c>
      <c r="N223" s="1287"/>
      <c r="O223" s="1088"/>
      <c r="P223" s="1091"/>
      <c r="Q223" s="884"/>
      <c r="R223" s="1099"/>
      <c r="S223" s="1099"/>
      <c r="T223" s="1099"/>
      <c r="U223" s="1356"/>
      <c r="V223" s="1356"/>
      <c r="W223" s="1269"/>
      <c r="X223" s="1269"/>
      <c r="Y223" s="1099"/>
      <c r="Z223" s="1099"/>
      <c r="AA223" s="1099"/>
      <c r="AB223" s="1099"/>
      <c r="AC223" s="1362"/>
      <c r="AD223" s="1362"/>
      <c r="AE223" s="1127"/>
      <c r="AF223" s="1099"/>
      <c r="AG223" s="1111"/>
      <c r="AH223" s="1111"/>
      <c r="AI223" s="1111"/>
      <c r="AJ223" s="1111"/>
      <c r="AK223" s="1111"/>
      <c r="AL223" s="1111"/>
      <c r="AM223" s="1111"/>
      <c r="AN223" s="1111"/>
      <c r="AO223" s="1111"/>
      <c r="AP223" s="1111"/>
      <c r="AQ223" s="1111"/>
      <c r="AR223" s="1111"/>
      <c r="AS223" s="1111"/>
      <c r="AT223" s="1111"/>
      <c r="AU223" s="1111"/>
      <c r="AV223" s="1111"/>
      <c r="AW223" s="1111"/>
      <c r="AX223" s="1111"/>
      <c r="AY223" s="1111"/>
      <c r="AZ223" s="1111"/>
      <c r="BA223" s="1111"/>
      <c r="BB223" s="1111"/>
      <c r="BC223" s="1111"/>
      <c r="BD223" s="1111"/>
      <c r="BE223" s="1111"/>
      <c r="BF223" s="1111"/>
      <c r="BG223" s="1111"/>
      <c r="BH223" s="1111"/>
      <c r="BI223" s="1111"/>
      <c r="BJ223" s="1111"/>
      <c r="BK223" s="1111"/>
      <c r="BL223" s="1111"/>
      <c r="BM223" s="1111"/>
      <c r="BN223" s="1111"/>
      <c r="BO223" s="1111"/>
      <c r="BP223" s="1111"/>
      <c r="BQ223" s="1111"/>
      <c r="BR223" s="1111"/>
      <c r="BS223" s="1111"/>
      <c r="BT223" s="1111"/>
      <c r="BU223" s="1111"/>
      <c r="BV223" s="1111"/>
      <c r="BW223" s="1111"/>
      <c r="BX223" s="1111"/>
      <c r="BY223" s="1111"/>
      <c r="BZ223" s="1111"/>
      <c r="CA223" s="1111"/>
      <c r="CB223" s="1111"/>
      <c r="CC223" s="1111"/>
      <c r="CD223" s="1111"/>
      <c r="CE223" s="1111"/>
      <c r="CF223" s="1111"/>
      <c r="CG223" s="1111"/>
      <c r="CH223" s="1111"/>
      <c r="CI223" s="1111"/>
      <c r="CJ223" s="1111"/>
      <c r="CK223" s="1111"/>
      <c r="CL223" s="1111"/>
      <c r="CM223" s="1111"/>
      <c r="CN223" s="1111"/>
      <c r="CO223" s="1111"/>
      <c r="CP223" s="1111"/>
      <c r="CQ223" s="1111"/>
      <c r="CR223" s="1111"/>
      <c r="CS223" s="1111"/>
      <c r="CT223" s="1111"/>
      <c r="CU223" s="1111"/>
      <c r="CV223" s="1111"/>
      <c r="CW223" s="1111"/>
      <c r="CX223" s="1111"/>
      <c r="CY223" s="1111"/>
      <c r="CZ223" s="1111"/>
      <c r="DA223" s="1111"/>
      <c r="DB223" s="1111"/>
      <c r="DC223" s="1111"/>
      <c r="DD223" s="1111"/>
      <c r="DE223" s="1111"/>
      <c r="DF223" s="1111"/>
      <c r="DG223" s="1111"/>
    </row>
    <row r="224" spans="1:111" s="112" customFormat="1" ht="21" hidden="1" customHeight="1">
      <c r="A224" s="860" t="s">
        <v>471</v>
      </c>
      <c r="B224" s="1091"/>
      <c r="C224" s="1091"/>
      <c r="D224" s="1091"/>
      <c r="E224" s="1091"/>
      <c r="F224" s="1091"/>
      <c r="G224" s="1091"/>
      <c r="H224" s="1091"/>
      <c r="I224" s="1091"/>
      <c r="J224" s="1091"/>
      <c r="K224" s="1091"/>
      <c r="L224" s="1091"/>
      <c r="M224" s="1091"/>
      <c r="N224" s="1091"/>
      <c r="O224" s="1091"/>
      <c r="P224" s="1091"/>
      <c r="Q224" s="884"/>
      <c r="R224" s="1099"/>
      <c r="S224" s="1099"/>
      <c r="T224" s="1099"/>
      <c r="U224" s="1099"/>
      <c r="V224" s="1099"/>
      <c r="W224" s="1099"/>
      <c r="X224" s="1099"/>
      <c r="Y224" s="1099"/>
      <c r="Z224" s="1099"/>
      <c r="AA224" s="1099"/>
      <c r="AB224" s="1099"/>
      <c r="AC224" s="1099"/>
      <c r="AD224" s="1099"/>
      <c r="AE224" s="1099"/>
      <c r="AF224" s="1099"/>
      <c r="AG224" s="1111"/>
      <c r="AH224" s="1111"/>
      <c r="AI224" s="1111"/>
      <c r="AJ224" s="1111"/>
      <c r="AK224" s="1111"/>
      <c r="AL224" s="1111"/>
      <c r="AM224" s="1111"/>
      <c r="AN224" s="1111"/>
      <c r="AO224" s="1111"/>
      <c r="AP224" s="1111"/>
      <c r="AQ224" s="1111"/>
      <c r="AR224" s="1111"/>
      <c r="AS224" s="1111"/>
      <c r="AT224" s="1111"/>
      <c r="AU224" s="1111"/>
      <c r="AV224" s="1111"/>
      <c r="AW224" s="1111"/>
      <c r="AX224" s="1111"/>
      <c r="AY224" s="1111"/>
      <c r="AZ224" s="1111"/>
      <c r="BA224" s="1111"/>
      <c r="BB224" s="1111"/>
      <c r="BC224" s="1111"/>
      <c r="BD224" s="1111"/>
      <c r="BE224" s="1111"/>
      <c r="BF224" s="1111"/>
      <c r="BG224" s="1111"/>
      <c r="BH224" s="1111"/>
      <c r="BI224" s="1111"/>
      <c r="BJ224" s="1111"/>
      <c r="BK224" s="1111"/>
      <c r="BL224" s="1111"/>
      <c r="BM224" s="1111"/>
      <c r="BN224" s="1111"/>
      <c r="BO224" s="1111"/>
      <c r="BP224" s="1111"/>
      <c r="BQ224" s="1111"/>
      <c r="BR224" s="1111"/>
      <c r="BS224" s="1111"/>
      <c r="BT224" s="1111"/>
      <c r="BU224" s="1111"/>
      <c r="BV224" s="1111"/>
      <c r="BW224" s="1111"/>
      <c r="BX224" s="1111"/>
      <c r="BY224" s="1111"/>
      <c r="BZ224" s="1111"/>
      <c r="CA224" s="1111"/>
      <c r="CB224" s="1111"/>
      <c r="CC224" s="1111"/>
      <c r="CD224" s="1111"/>
      <c r="CE224" s="1111"/>
      <c r="CF224" s="1111"/>
      <c r="CG224" s="1111"/>
      <c r="CH224" s="1111"/>
      <c r="CI224" s="1111"/>
      <c r="CJ224" s="1111"/>
      <c r="CK224" s="1111"/>
      <c r="CL224" s="1111"/>
      <c r="CM224" s="1111"/>
      <c r="CN224" s="1111"/>
      <c r="CO224" s="1111"/>
      <c r="CP224" s="1111"/>
      <c r="CQ224" s="1111"/>
      <c r="CR224" s="1111"/>
      <c r="CS224" s="1111"/>
      <c r="CT224" s="1111"/>
      <c r="CU224" s="1111"/>
      <c r="CV224" s="1111"/>
      <c r="CW224" s="1111"/>
      <c r="CX224" s="1111"/>
      <c r="CY224" s="1111"/>
      <c r="CZ224" s="1111"/>
      <c r="DA224" s="1111"/>
      <c r="DB224" s="1111"/>
      <c r="DC224" s="1111"/>
      <c r="DD224" s="1111"/>
      <c r="DE224" s="1111"/>
      <c r="DF224" s="1111"/>
      <c r="DG224" s="1111"/>
    </row>
    <row r="225" spans="1:111" s="112" customFormat="1" ht="21" hidden="1" customHeight="1">
      <c r="A225" s="1116" t="s">
        <v>472</v>
      </c>
      <c r="B225" s="1291">
        <f>M222</f>
        <v>1853.84</v>
      </c>
      <c r="C225" s="1291"/>
      <c r="D225" s="1091" t="s">
        <v>52</v>
      </c>
      <c r="E225" s="1327">
        <f>E214</f>
        <v>4000</v>
      </c>
      <c r="F225" s="1327"/>
      <c r="G225" s="1327"/>
      <c r="H225" s="1091" t="s">
        <v>51</v>
      </c>
      <c r="I225" s="303">
        <v>24</v>
      </c>
      <c r="J225" s="1091" t="s">
        <v>298</v>
      </c>
      <c r="K225" s="1324">
        <f>B225/E225*24</f>
        <v>11.12304</v>
      </c>
      <c r="L225" s="1324"/>
      <c r="M225" s="1088" t="s">
        <v>473</v>
      </c>
      <c r="N225" s="1091"/>
      <c r="O225" s="1086"/>
      <c r="P225" s="1088"/>
      <c r="Q225" s="884"/>
      <c r="R225" s="1362"/>
      <c r="S225" s="1362"/>
      <c r="T225" s="1099"/>
      <c r="U225" s="1306"/>
      <c r="V225" s="1269"/>
      <c r="W225" s="1269"/>
      <c r="X225" s="1099"/>
      <c r="Y225" s="369"/>
      <c r="Z225" s="1099"/>
      <c r="AA225" s="1307"/>
      <c r="AB225" s="1269"/>
      <c r="AC225" s="1099"/>
      <c r="AD225" s="1099"/>
      <c r="AE225" s="1135"/>
      <c r="AF225" s="1127"/>
      <c r="AG225" s="1111"/>
      <c r="AH225" s="1111"/>
      <c r="AI225" s="1111"/>
      <c r="AJ225" s="1111"/>
      <c r="AK225" s="1111"/>
      <c r="AL225" s="1111"/>
      <c r="AM225" s="1111"/>
      <c r="AN225" s="1111"/>
      <c r="AO225" s="1111"/>
      <c r="AP225" s="1111"/>
      <c r="AQ225" s="1111"/>
      <c r="AR225" s="1111"/>
      <c r="AS225" s="1111"/>
      <c r="AT225" s="1111"/>
      <c r="AU225" s="1111"/>
      <c r="AV225" s="1111"/>
      <c r="AW225" s="1111"/>
      <c r="AX225" s="1111"/>
      <c r="AY225" s="1111"/>
      <c r="AZ225" s="1111"/>
      <c r="BA225" s="1111"/>
      <c r="BB225" s="1111"/>
      <c r="BC225" s="1111"/>
      <c r="BD225" s="1111"/>
      <c r="BE225" s="1111"/>
      <c r="BF225" s="1111"/>
      <c r="BG225" s="1111"/>
      <c r="BH225" s="1111"/>
      <c r="BI225" s="1111"/>
      <c r="BJ225" s="1111"/>
      <c r="BK225" s="1111"/>
      <c r="BL225" s="1111"/>
      <c r="BM225" s="1111"/>
      <c r="BN225" s="1111"/>
      <c r="BO225" s="1111"/>
      <c r="BP225" s="1111"/>
      <c r="BQ225" s="1111"/>
      <c r="BR225" s="1111"/>
      <c r="BS225" s="1111"/>
      <c r="BT225" s="1111"/>
      <c r="BU225" s="1111"/>
      <c r="BV225" s="1111"/>
      <c r="BW225" s="1111"/>
      <c r="BX225" s="1111"/>
      <c r="BY225" s="1111"/>
      <c r="BZ225" s="1111"/>
      <c r="CA225" s="1111"/>
      <c r="CB225" s="1111"/>
      <c r="CC225" s="1111"/>
      <c r="CD225" s="1111"/>
      <c r="CE225" s="1111"/>
      <c r="CF225" s="1111"/>
      <c r="CG225" s="1111"/>
      <c r="CH225" s="1111"/>
      <c r="CI225" s="1111"/>
      <c r="CJ225" s="1111"/>
      <c r="CK225" s="1111"/>
      <c r="CL225" s="1111"/>
      <c r="CM225" s="1111"/>
      <c r="CN225" s="1111"/>
      <c r="CO225" s="1111"/>
      <c r="CP225" s="1111"/>
      <c r="CQ225" s="1111"/>
      <c r="CR225" s="1111"/>
      <c r="CS225" s="1111"/>
      <c r="CT225" s="1111"/>
      <c r="CU225" s="1111"/>
      <c r="CV225" s="1111"/>
      <c r="CW225" s="1111"/>
      <c r="CX225" s="1111"/>
      <c r="CY225" s="1111"/>
      <c r="CZ225" s="1111"/>
      <c r="DA225" s="1111"/>
      <c r="DB225" s="1111"/>
      <c r="DC225" s="1111"/>
      <c r="DD225" s="1111"/>
      <c r="DE225" s="1111"/>
      <c r="DF225" s="1111"/>
      <c r="DG225" s="1111"/>
    </row>
    <row r="226" spans="1:111" s="112" customFormat="1" ht="21" hidden="1" customHeight="1">
      <c r="A226" s="1116" t="s">
        <v>474</v>
      </c>
      <c r="B226" s="1285">
        <f>E214</f>
        <v>4000</v>
      </c>
      <c r="C226" s="1286"/>
      <c r="D226" s="1260"/>
      <c r="E226" s="1091" t="s">
        <v>405</v>
      </c>
      <c r="F226" s="1287">
        <f>M223</f>
        <v>452.16</v>
      </c>
      <c r="G226" s="1287"/>
      <c r="H226" s="383" t="s">
        <v>298</v>
      </c>
      <c r="I226" s="1457">
        <f>B226/F226</f>
        <v>8.8464260438782727</v>
      </c>
      <c r="J226" s="1458"/>
      <c r="K226" s="1458"/>
      <c r="L226" s="1086"/>
      <c r="M226" s="1088" t="s">
        <v>473</v>
      </c>
      <c r="N226" s="1088"/>
      <c r="O226" s="1088"/>
      <c r="P226" s="1091"/>
      <c r="Q226" s="884"/>
      <c r="R226" s="1306"/>
      <c r="S226" s="1306"/>
      <c r="T226" s="1269"/>
      <c r="U226" s="1099"/>
      <c r="V226" s="1360"/>
      <c r="W226" s="1360"/>
      <c r="X226" s="387"/>
      <c r="Y226" s="1361"/>
      <c r="Z226" s="1269"/>
      <c r="AA226" s="1269"/>
      <c r="AB226" s="1135"/>
      <c r="AC226" s="1127"/>
      <c r="AD226" s="1127"/>
      <c r="AE226" s="1127"/>
      <c r="AF226" s="1099"/>
      <c r="AG226" s="1111"/>
      <c r="AH226" s="1111"/>
      <c r="AI226" s="1111"/>
      <c r="AJ226" s="1111"/>
      <c r="AK226" s="1111"/>
      <c r="AL226" s="1111"/>
      <c r="AM226" s="1111"/>
      <c r="AN226" s="1111"/>
      <c r="AO226" s="1111"/>
      <c r="AP226" s="1111"/>
      <c r="AQ226" s="1111"/>
      <c r="AR226" s="1111"/>
      <c r="AS226" s="1111"/>
      <c r="AT226" s="1111"/>
      <c r="AU226" s="1111"/>
    </row>
    <row r="227" spans="1:111" s="112" customFormat="1" ht="21" hidden="1" customHeight="1">
      <c r="A227" s="1116" t="s">
        <v>475</v>
      </c>
      <c r="B227" s="1151"/>
      <c r="C227" s="309">
        <v>1</v>
      </c>
      <c r="D227" s="384" t="s">
        <v>292</v>
      </c>
      <c r="E227" s="1091">
        <v>1.5</v>
      </c>
      <c r="F227" s="1091" t="s">
        <v>308</v>
      </c>
      <c r="G227" s="384"/>
      <c r="H227" s="383"/>
      <c r="I227" s="385"/>
      <c r="J227" s="385"/>
      <c r="K227" s="385"/>
      <c r="L227" s="1086"/>
      <c r="M227" s="1088"/>
      <c r="N227" s="1088"/>
      <c r="O227" s="1088"/>
      <c r="P227" s="1091"/>
      <c r="Q227" s="884"/>
      <c r="R227" s="1098"/>
      <c r="S227" s="1098"/>
      <c r="T227" s="1099"/>
      <c r="U227" s="1099"/>
      <c r="V227" s="1078"/>
      <c r="W227" s="1078"/>
      <c r="X227" s="387"/>
      <c r="Y227" s="1136"/>
      <c r="Z227" s="1099"/>
      <c r="AA227" s="1099"/>
      <c r="AB227" s="1135"/>
      <c r="AC227" s="1127"/>
      <c r="AD227" s="1127"/>
      <c r="AE227" s="1127"/>
      <c r="AF227" s="1099"/>
      <c r="AG227" s="1111"/>
      <c r="AH227" s="1111"/>
      <c r="AI227" s="1111"/>
      <c r="AJ227" s="1111"/>
      <c r="AK227" s="1111"/>
      <c r="AL227" s="1111"/>
      <c r="AM227" s="1111"/>
      <c r="AN227" s="1111"/>
      <c r="AO227" s="1111"/>
      <c r="AP227" s="1111"/>
      <c r="AQ227" s="1111"/>
      <c r="AR227" s="1111"/>
      <c r="AS227" s="1111"/>
      <c r="AT227" s="1111"/>
      <c r="AU227" s="1111"/>
    </row>
    <row r="228" spans="1:111" s="112" customFormat="1" ht="21" hidden="1" customHeight="1">
      <c r="A228" s="1116"/>
      <c r="B228" s="1151"/>
      <c r="C228" s="309"/>
      <c r="D228" s="384"/>
      <c r="E228" s="1091"/>
      <c r="F228" s="1091"/>
      <c r="G228" s="384"/>
      <c r="H228" s="383"/>
      <c r="I228" s="385"/>
      <c r="J228" s="385"/>
      <c r="K228" s="385"/>
      <c r="L228" s="1086"/>
      <c r="M228" s="1088"/>
      <c r="N228" s="1088"/>
      <c r="O228" s="1088"/>
      <c r="P228" s="1091"/>
      <c r="Q228" s="884"/>
      <c r="R228" s="1098"/>
      <c r="S228" s="1098"/>
      <c r="T228" s="1099"/>
      <c r="U228" s="1099"/>
      <c r="V228" s="1078"/>
      <c r="W228" s="1078"/>
      <c r="X228" s="387"/>
      <c r="Y228" s="1136"/>
      <c r="Z228" s="1099"/>
      <c r="AA228" s="1099"/>
      <c r="AB228" s="1135"/>
      <c r="AC228" s="1127"/>
      <c r="AD228" s="1127"/>
      <c r="AE228" s="1127"/>
      <c r="AF228" s="1099"/>
      <c r="AG228" s="1111"/>
      <c r="AH228" s="1111"/>
      <c r="AI228" s="1111"/>
      <c r="AJ228" s="1111"/>
      <c r="AK228" s="1111"/>
      <c r="AL228" s="1111"/>
      <c r="AM228" s="1111"/>
      <c r="AN228" s="1111"/>
      <c r="AO228" s="1111"/>
      <c r="AP228" s="1111"/>
      <c r="AQ228" s="1111"/>
      <c r="AR228" s="1111"/>
      <c r="AS228" s="1111"/>
      <c r="AT228" s="1111"/>
      <c r="AU228" s="1111"/>
    </row>
    <row r="229" spans="1:111" s="112" customFormat="1" ht="21" hidden="1" customHeight="1">
      <c r="A229" s="1116"/>
      <c r="B229" s="1151"/>
      <c r="C229" s="309"/>
      <c r="D229" s="384"/>
      <c r="E229" s="1091"/>
      <c r="F229" s="1091"/>
      <c r="G229" s="384"/>
      <c r="H229" s="383"/>
      <c r="I229" s="385"/>
      <c r="J229" s="385"/>
      <c r="K229" s="385"/>
      <c r="L229" s="1086"/>
      <c r="M229" s="1088"/>
      <c r="N229" s="1088"/>
      <c r="O229" s="1088"/>
      <c r="P229" s="1091"/>
      <c r="Q229" s="884"/>
      <c r="R229" s="1098"/>
      <c r="S229" s="1098"/>
      <c r="T229" s="1099"/>
      <c r="U229" s="1099"/>
      <c r="V229" s="1078"/>
      <c r="W229" s="1078"/>
      <c r="X229" s="387"/>
      <c r="Y229" s="1136"/>
      <c r="Z229" s="1099"/>
      <c r="AA229" s="1099"/>
      <c r="AB229" s="1135"/>
      <c r="AC229" s="1127"/>
      <c r="AD229" s="1127"/>
      <c r="AE229" s="1127"/>
      <c r="AF229" s="1099"/>
      <c r="AG229" s="1111"/>
      <c r="AH229" s="1111"/>
      <c r="AI229" s="1111"/>
      <c r="AJ229" s="1111"/>
      <c r="AK229" s="1111"/>
      <c r="AL229" s="1111"/>
      <c r="AM229" s="1111"/>
      <c r="AN229" s="1111"/>
      <c r="AO229" s="1111"/>
      <c r="AP229" s="1111"/>
      <c r="AQ229" s="1111"/>
      <c r="AR229" s="1111"/>
      <c r="AS229" s="1111"/>
      <c r="AT229" s="1111"/>
      <c r="AU229" s="1111"/>
    </row>
    <row r="230" spans="1:111" s="112" customFormat="1" ht="21" hidden="1" customHeight="1">
      <c r="A230" s="1116"/>
      <c r="B230" s="1151"/>
      <c r="C230" s="309"/>
      <c r="D230" s="384"/>
      <c r="E230" s="1091"/>
      <c r="F230" s="1091"/>
      <c r="G230" s="384"/>
      <c r="H230" s="383"/>
      <c r="I230" s="385"/>
      <c r="J230" s="385"/>
      <c r="K230" s="385"/>
      <c r="L230" s="1086"/>
      <c r="M230" s="1088"/>
      <c r="N230" s="1088"/>
      <c r="O230" s="1088"/>
      <c r="P230" s="1091"/>
      <c r="Q230" s="884"/>
      <c r="R230" s="1098"/>
      <c r="S230" s="1098"/>
      <c r="T230" s="1099"/>
      <c r="U230" s="1099"/>
      <c r="V230" s="1078"/>
      <c r="W230" s="1078"/>
      <c r="X230" s="387"/>
      <c r="Y230" s="1136"/>
      <c r="Z230" s="1099"/>
      <c r="AA230" s="1099"/>
      <c r="AB230" s="1135"/>
      <c r="AC230" s="1127"/>
      <c r="AD230" s="1127"/>
      <c r="AE230" s="1127"/>
      <c r="AF230" s="1099"/>
      <c r="AG230" s="1111"/>
      <c r="AH230" s="1111"/>
      <c r="AI230" s="1111"/>
      <c r="AJ230" s="1111"/>
      <c r="AK230" s="1111"/>
      <c r="AL230" s="1111"/>
      <c r="AM230" s="1111"/>
      <c r="AN230" s="1111"/>
      <c r="AO230" s="1111"/>
      <c r="AP230" s="1111"/>
      <c r="AQ230" s="1111"/>
      <c r="AR230" s="1111"/>
      <c r="AS230" s="1111"/>
      <c r="AT230" s="1111"/>
      <c r="AU230" s="1111"/>
    </row>
    <row r="231" spans="1:111" s="112" customFormat="1" ht="21" hidden="1" customHeight="1">
      <c r="A231" s="1116"/>
      <c r="B231" s="1151"/>
      <c r="C231" s="309"/>
      <c r="D231" s="384"/>
      <c r="E231" s="1091"/>
      <c r="F231" s="1091"/>
      <c r="G231" s="384"/>
      <c r="H231" s="383"/>
      <c r="I231" s="385"/>
      <c r="J231" s="385"/>
      <c r="K231" s="385"/>
      <c r="L231" s="1086"/>
      <c r="M231" s="1088"/>
      <c r="N231" s="1088"/>
      <c r="O231" s="1088"/>
      <c r="P231" s="1091"/>
      <c r="Q231" s="884"/>
      <c r="R231" s="1098"/>
      <c r="S231" s="1098"/>
      <c r="T231" s="1099"/>
      <c r="U231" s="1099"/>
      <c r="V231" s="1078"/>
      <c r="W231" s="1078"/>
      <c r="X231" s="387"/>
      <c r="Y231" s="1136"/>
      <c r="Z231" s="1099"/>
      <c r="AA231" s="1099"/>
      <c r="AB231" s="1135"/>
      <c r="AC231" s="1127"/>
      <c r="AD231" s="1127"/>
      <c r="AE231" s="1127"/>
      <c r="AF231" s="1099"/>
      <c r="AG231" s="1111"/>
      <c r="AH231" s="1111"/>
      <c r="AI231" s="1111"/>
      <c r="AJ231" s="1111"/>
      <c r="AK231" s="1111"/>
      <c r="AL231" s="1111"/>
      <c r="AM231" s="1111"/>
      <c r="AN231" s="1111"/>
      <c r="AO231" s="1111"/>
      <c r="AP231" s="1111"/>
      <c r="AQ231" s="1111"/>
      <c r="AR231" s="1111"/>
      <c r="AS231" s="1111"/>
      <c r="AT231" s="1111"/>
      <c r="AU231" s="1111"/>
    </row>
    <row r="232" spans="1:111" s="112" customFormat="1" ht="21" hidden="1" customHeight="1">
      <c r="A232" s="867"/>
      <c r="B232" s="835"/>
      <c r="C232" s="836"/>
      <c r="D232" s="837"/>
      <c r="E232" s="1121"/>
      <c r="F232" s="1121"/>
      <c r="G232" s="837"/>
      <c r="H232" s="838"/>
      <c r="I232" s="839"/>
      <c r="J232" s="839"/>
      <c r="K232" s="839"/>
      <c r="L232" s="831"/>
      <c r="M232" s="1102"/>
      <c r="N232" s="1102"/>
      <c r="O232" s="1102"/>
      <c r="P232" s="1121"/>
      <c r="Q232" s="882"/>
      <c r="R232" s="1098"/>
      <c r="S232" s="1098"/>
      <c r="T232" s="1099"/>
      <c r="U232" s="1099"/>
      <c r="V232" s="1078"/>
      <c r="W232" s="1078"/>
      <c r="X232" s="387"/>
      <c r="Y232" s="1136"/>
      <c r="Z232" s="1099"/>
      <c r="AA232" s="1099"/>
      <c r="AB232" s="1135"/>
      <c r="AC232" s="1127"/>
      <c r="AD232" s="1127"/>
      <c r="AE232" s="1127"/>
      <c r="AF232" s="1099"/>
      <c r="AG232" s="1111"/>
      <c r="AH232" s="1111"/>
      <c r="AI232" s="1111"/>
      <c r="AJ232" s="1111"/>
      <c r="AK232" s="1111"/>
      <c r="AL232" s="1111"/>
      <c r="AM232" s="1111"/>
      <c r="AN232" s="1111"/>
      <c r="AO232" s="1111"/>
      <c r="AP232" s="1111"/>
      <c r="AQ232" s="1111"/>
      <c r="AR232" s="1111"/>
      <c r="AS232" s="1111"/>
      <c r="AT232" s="1111"/>
      <c r="AU232" s="1111"/>
    </row>
    <row r="233" spans="1:111" s="471" customFormat="1" ht="20.100000000000001" hidden="1" customHeight="1">
      <c r="A233" s="866" t="s">
        <v>784</v>
      </c>
      <c r="B233" s="1150"/>
      <c r="C233" s="309"/>
      <c r="D233" s="384"/>
      <c r="E233" s="1091"/>
      <c r="F233" s="1091"/>
      <c r="G233" s="384"/>
      <c r="H233" s="383"/>
      <c r="I233" s="385"/>
      <c r="J233" s="385"/>
      <c r="K233" s="385"/>
      <c r="L233" s="1086"/>
      <c r="M233" s="1088"/>
      <c r="N233" s="1088"/>
      <c r="O233" s="1088"/>
      <c r="P233" s="1091"/>
      <c r="Q233" s="859"/>
      <c r="R233" s="469"/>
      <c r="S233" s="474"/>
      <c r="T233" s="472"/>
      <c r="U233" s="472"/>
      <c r="V233" s="475"/>
      <c r="W233" s="475"/>
      <c r="X233" s="476"/>
      <c r="Y233" s="477"/>
      <c r="Z233" s="472"/>
      <c r="AA233" s="478"/>
      <c r="AB233" s="479"/>
      <c r="AC233" s="480"/>
      <c r="AD233" s="480"/>
      <c r="AE233" s="480"/>
      <c r="AF233" s="473"/>
      <c r="AG233" s="473"/>
    </row>
    <row r="234" spans="1:111" s="471" customFormat="1" ht="20.100000000000001" hidden="1" customHeight="1">
      <c r="A234" s="1116" t="s">
        <v>0</v>
      </c>
      <c r="B234" s="322"/>
      <c r="C234" s="1101"/>
      <c r="D234" s="1101"/>
      <c r="E234" s="1101"/>
      <c r="F234" s="1101"/>
      <c r="G234" s="1101"/>
      <c r="H234" s="1101"/>
      <c r="I234" s="1101"/>
      <c r="J234" s="1101"/>
      <c r="K234" s="1101"/>
      <c r="L234" s="1101"/>
      <c r="M234" s="1101"/>
      <c r="N234" s="1101"/>
      <c r="O234" s="1101"/>
      <c r="P234" s="1101"/>
      <c r="Q234" s="739"/>
      <c r="R234" s="467"/>
      <c r="S234" s="474"/>
      <c r="T234" s="472"/>
      <c r="U234" s="472"/>
      <c r="V234" s="475"/>
      <c r="W234" s="475"/>
      <c r="X234" s="476"/>
      <c r="Y234" s="477"/>
      <c r="Z234" s="472"/>
      <c r="AA234" s="478"/>
      <c r="AB234" s="479"/>
      <c r="AC234" s="480"/>
      <c r="AD234" s="480"/>
      <c r="AE234" s="480"/>
      <c r="AF234" s="473"/>
      <c r="AG234" s="473"/>
    </row>
    <row r="235" spans="1:111" s="471" customFormat="1" ht="20.100000000000001" hidden="1" customHeight="1">
      <c r="A235" s="868" t="s">
        <v>53</v>
      </c>
      <c r="B235" s="1293" t="s">
        <v>69</v>
      </c>
      <c r="C235" s="1257"/>
      <c r="D235" s="1257"/>
      <c r="E235" s="1257"/>
      <c r="F235" s="941">
        <v>3</v>
      </c>
      <c r="G235" s="1257" t="s">
        <v>570</v>
      </c>
      <c r="H235" s="1257"/>
      <c r="I235" s="1101"/>
      <c r="J235" s="1101"/>
      <c r="K235" s="1101"/>
      <c r="L235" s="1101"/>
      <c r="M235" s="1101"/>
      <c r="N235" s="1101"/>
      <c r="O235" s="1101"/>
      <c r="P235" s="1101"/>
      <c r="Q235" s="739"/>
      <c r="R235" s="467"/>
      <c r="S235" s="474"/>
      <c r="T235" s="472"/>
      <c r="U235" s="472"/>
      <c r="V235" s="475"/>
      <c r="W235" s="475"/>
      <c r="X235" s="476"/>
      <c r="Y235" s="477"/>
      <c r="Z235" s="472"/>
      <c r="AA235" s="478"/>
      <c r="AB235" s="479"/>
      <c r="AC235" s="480"/>
      <c r="AD235" s="480"/>
      <c r="AE235" s="480"/>
      <c r="AF235" s="473"/>
      <c r="AG235" s="473"/>
    </row>
    <row r="236" spans="1:111" s="471" customFormat="1" ht="20.100000000000001" hidden="1" customHeight="1">
      <c r="A236" s="1116" t="s">
        <v>151</v>
      </c>
      <c r="B236" s="322"/>
      <c r="C236" s="1088" t="s">
        <v>571</v>
      </c>
      <c r="D236" s="1101"/>
      <c r="E236" s="1088"/>
      <c r="F236" s="1088"/>
      <c r="G236" s="1088"/>
      <c r="H236" s="1088"/>
      <c r="I236" s="525"/>
      <c r="J236" s="525"/>
      <c r="K236" s="525"/>
      <c r="L236" s="525"/>
      <c r="M236" s="1091" t="s">
        <v>152</v>
      </c>
      <c r="N236" s="1111"/>
      <c r="O236" s="1303">
        <f>O237+O243</f>
        <v>702.16823301520981</v>
      </c>
      <c r="P236" s="1452"/>
      <c r="Q236" s="886"/>
      <c r="R236" s="1158"/>
      <c r="S236" s="470"/>
      <c r="T236" s="470"/>
      <c r="U236" s="472"/>
      <c r="V236" s="475"/>
      <c r="W236" s="475"/>
      <c r="X236" s="476"/>
      <c r="Y236" s="477"/>
      <c r="Z236" s="472"/>
      <c r="AA236" s="478"/>
      <c r="AB236" s="479"/>
      <c r="AC236" s="480"/>
      <c r="AD236" s="480"/>
      <c r="AE236" s="480"/>
      <c r="AF236" s="473"/>
      <c r="AG236" s="473"/>
    </row>
    <row r="237" spans="1:111" s="471" customFormat="1" ht="20.100000000000001" hidden="1" customHeight="1">
      <c r="A237" s="1280" t="s">
        <v>572</v>
      </c>
      <c r="B237" s="1281" t="s">
        <v>153</v>
      </c>
      <c r="C237" s="1260"/>
      <c r="D237" s="1260"/>
      <c r="E237" s="1260" t="s">
        <v>573</v>
      </c>
      <c r="F237" s="1260"/>
      <c r="G237" s="1260"/>
      <c r="H237" s="1260"/>
      <c r="I237" s="1091"/>
      <c r="J237" s="1101"/>
      <c r="K237" s="1091"/>
      <c r="L237" s="1091"/>
      <c r="M237" s="1088"/>
      <c r="N237" s="1111"/>
      <c r="O237" s="1303">
        <f>O239*'설계기준(설계치12)'!C4*('설계기준(설계치12)'!F9-'설계기준(설계치12)'!J9)/1000/(1+O241*O242)</f>
        <v>364.92023301520976</v>
      </c>
      <c r="P237" s="1452"/>
      <c r="Q237" s="886"/>
      <c r="R237" s="1158"/>
      <c r="S237" s="474"/>
      <c r="T237" s="472"/>
      <c r="U237" s="472"/>
      <c r="V237" s="475"/>
      <c r="W237" s="475"/>
      <c r="X237" s="476"/>
      <c r="Y237" s="477"/>
      <c r="Z237" s="472"/>
      <c r="AA237" s="478"/>
      <c r="AB237" s="479"/>
      <c r="AC237" s="480"/>
      <c r="AD237" s="480"/>
      <c r="AE237" s="480"/>
      <c r="AF237" s="473"/>
      <c r="AG237" s="473"/>
    </row>
    <row r="238" spans="1:111" s="471" customFormat="1" ht="20.100000000000001" hidden="1" customHeight="1">
      <c r="A238" s="1280"/>
      <c r="B238" s="1281"/>
      <c r="C238" s="1260"/>
      <c r="D238" s="1260"/>
      <c r="E238" s="1282" t="s">
        <v>154</v>
      </c>
      <c r="F238" s="1282"/>
      <c r="G238" s="1282"/>
      <c r="H238" s="1282"/>
      <c r="I238" s="1091"/>
      <c r="J238" s="1101"/>
      <c r="K238" s="1091"/>
      <c r="L238" s="1091"/>
      <c r="M238" s="1101"/>
      <c r="N238" s="1111"/>
      <c r="O238" s="1303"/>
      <c r="P238" s="1452"/>
      <c r="Q238" s="886"/>
      <c r="R238" s="1158"/>
      <c r="S238" s="474"/>
      <c r="T238" s="472"/>
      <c r="U238" s="472"/>
      <c r="V238" s="475"/>
      <c r="W238" s="475"/>
      <c r="X238" s="476"/>
      <c r="Y238" s="477"/>
      <c r="Z238" s="472"/>
      <c r="AA238" s="478"/>
      <c r="AB238" s="479"/>
      <c r="AC238" s="480"/>
      <c r="AD238" s="480"/>
      <c r="AE238" s="480"/>
      <c r="AF238" s="473"/>
      <c r="AG238" s="473"/>
    </row>
    <row r="239" spans="1:111" s="471" customFormat="1" ht="20.100000000000001" hidden="1" customHeight="1">
      <c r="A239" s="1148"/>
      <c r="B239" s="322"/>
      <c r="C239" s="527" t="s">
        <v>155</v>
      </c>
      <c r="D239" s="1091" t="s">
        <v>156</v>
      </c>
      <c r="E239" s="1088" t="s">
        <v>147</v>
      </c>
      <c r="F239" s="1101"/>
      <c r="G239" s="1101"/>
      <c r="H239" s="1088"/>
      <c r="I239" s="1088"/>
      <c r="J239" s="1088"/>
      <c r="K239" s="1088"/>
      <c r="L239" s="1088"/>
      <c r="M239" s="528" t="s">
        <v>574</v>
      </c>
      <c r="N239" s="1111"/>
      <c r="O239" s="1453">
        <f>K157</f>
        <v>0.44</v>
      </c>
      <c r="P239" s="1454"/>
      <c r="Q239" s="887"/>
      <c r="R239" s="1158"/>
      <c r="S239" s="474"/>
      <c r="T239" s="470"/>
      <c r="U239" s="470"/>
      <c r="V239" s="475"/>
      <c r="W239" s="475"/>
      <c r="X239" s="476"/>
      <c r="Y239" s="477"/>
      <c r="Z239" s="472"/>
      <c r="AA239" s="478"/>
      <c r="AB239" s="479"/>
      <c r="AC239" s="480"/>
      <c r="AD239" s="480"/>
      <c r="AE239" s="480"/>
      <c r="AF239" s="473"/>
      <c r="AG239" s="473"/>
    </row>
    <row r="240" spans="1:111" s="471" customFormat="1" ht="20.100000000000001" hidden="1" customHeight="1">
      <c r="A240" s="1148"/>
      <c r="B240" s="322"/>
      <c r="C240" s="1091" t="s">
        <v>148</v>
      </c>
      <c r="D240" s="527" t="s">
        <v>156</v>
      </c>
      <c r="E240" s="1088" t="s">
        <v>575</v>
      </c>
      <c r="F240" s="1101"/>
      <c r="G240" s="1101"/>
      <c r="H240" s="1088"/>
      <c r="I240" s="1088"/>
      <c r="J240" s="1088"/>
      <c r="K240" s="1088"/>
      <c r="L240" s="1088"/>
      <c r="M240" s="1088"/>
      <c r="N240" s="1111"/>
      <c r="O240" s="1101"/>
      <c r="P240" s="1101"/>
      <c r="Q240" s="860"/>
      <c r="R240" s="468"/>
      <c r="S240" s="474"/>
      <c r="T240" s="470"/>
      <c r="U240" s="470"/>
      <c r="V240" s="475"/>
      <c r="W240" s="475"/>
      <c r="X240" s="476"/>
      <c r="Y240" s="477"/>
      <c r="Z240" s="472"/>
      <c r="AA240" s="478"/>
      <c r="AB240" s="479"/>
      <c r="AC240" s="480"/>
      <c r="AD240" s="480"/>
      <c r="AE240" s="480"/>
      <c r="AF240" s="473"/>
      <c r="AG240" s="473"/>
    </row>
    <row r="241" spans="1:33" s="471" customFormat="1" ht="20.100000000000001" hidden="1" customHeight="1">
      <c r="A241" s="1148"/>
      <c r="B241" s="322"/>
      <c r="C241" s="1091" t="s">
        <v>157</v>
      </c>
      <c r="D241" s="527" t="s">
        <v>156</v>
      </c>
      <c r="E241" s="1088" t="s">
        <v>158</v>
      </c>
      <c r="F241" s="1101"/>
      <c r="G241" s="1101"/>
      <c r="H241" s="1088"/>
      <c r="I241" s="1088"/>
      <c r="J241" s="1088"/>
      <c r="K241" s="1088"/>
      <c r="L241" s="1088"/>
      <c r="M241" s="1101" t="s">
        <v>594</v>
      </c>
      <c r="N241" s="1111"/>
      <c r="O241" s="1435">
        <v>5.0999999999999997E-2</v>
      </c>
      <c r="P241" s="1436"/>
      <c r="Q241" s="888"/>
      <c r="R241" s="1158"/>
      <c r="S241" s="474"/>
      <c r="T241" s="470"/>
      <c r="U241" s="470"/>
      <c r="V241" s="475"/>
      <c r="W241" s="475"/>
      <c r="X241" s="476"/>
      <c r="Y241" s="477"/>
      <c r="Z241" s="472"/>
      <c r="AA241" s="478"/>
      <c r="AB241" s="479"/>
      <c r="AC241" s="480"/>
      <c r="AD241" s="480"/>
      <c r="AE241" s="480"/>
      <c r="AF241" s="473"/>
      <c r="AG241" s="473"/>
    </row>
    <row r="242" spans="1:33" s="471" customFormat="1" ht="20.100000000000001" hidden="1" customHeight="1">
      <c r="A242" s="1148"/>
      <c r="B242" s="322"/>
      <c r="C242" s="1091" t="s">
        <v>149</v>
      </c>
      <c r="D242" s="527" t="s">
        <v>156</v>
      </c>
      <c r="E242" s="530" t="s">
        <v>150</v>
      </c>
      <c r="F242" s="1101"/>
      <c r="G242" s="1101"/>
      <c r="H242" s="1091"/>
      <c r="I242" s="1101"/>
      <c r="J242" s="1091"/>
      <c r="K242" s="1091"/>
      <c r="L242" s="1101"/>
      <c r="M242" s="1101"/>
      <c r="N242" s="1088"/>
      <c r="O242" s="1318">
        <f>R185</f>
        <v>2.5399999999999996</v>
      </c>
      <c r="P242" s="1437"/>
      <c r="Q242" s="889"/>
      <c r="R242" s="1158"/>
      <c r="S242" s="474"/>
      <c r="T242" s="472"/>
      <c r="U242" s="470"/>
      <c r="V242" s="470"/>
      <c r="W242" s="475"/>
      <c r="X242" s="476"/>
      <c r="Y242" s="477"/>
      <c r="Z242" s="472"/>
      <c r="AA242" s="478"/>
      <c r="AB242" s="479"/>
      <c r="AC242" s="480"/>
      <c r="AD242" s="480"/>
      <c r="AE242" s="480"/>
      <c r="AF242" s="473"/>
      <c r="AG242" s="473"/>
    </row>
    <row r="243" spans="1:33" s="471" customFormat="1" ht="20.100000000000001" hidden="1" customHeight="1">
      <c r="A243" s="1148" t="s">
        <v>567</v>
      </c>
      <c r="B243" s="322" t="s">
        <v>576</v>
      </c>
      <c r="C243" s="1101"/>
      <c r="D243" s="1101"/>
      <c r="E243" s="1088"/>
      <c r="F243" s="527"/>
      <c r="G243" s="1120"/>
      <c r="H243" s="1091"/>
      <c r="I243" s="1101"/>
      <c r="J243" s="1091"/>
      <c r="K243" s="527"/>
      <c r="L243" s="1090"/>
      <c r="M243" s="1090"/>
      <c r="N243" s="1091"/>
      <c r="O243" s="1455">
        <f>('설계기준(설계치12)'!F9-'설계기준(설계치12)'!J9)*(O245+O246*O249)*'설계기준(설계치12)'!C4/1000</f>
        <v>337.24799999999999</v>
      </c>
      <c r="P243" s="1456"/>
      <c r="Q243" s="890"/>
      <c r="R243" s="1158"/>
      <c r="S243" s="474"/>
      <c r="T243" s="472"/>
      <c r="U243" s="472"/>
      <c r="V243" s="475"/>
      <c r="W243" s="475"/>
      <c r="X243" s="476"/>
      <c r="Y243" s="477"/>
      <c r="Z243" s="472"/>
      <c r="AA243" s="478"/>
      <c r="AB243" s="479"/>
      <c r="AC243" s="480"/>
      <c r="AD243" s="480"/>
      <c r="AE243" s="480"/>
      <c r="AF243" s="473"/>
      <c r="AG243" s="473"/>
    </row>
    <row r="244" spans="1:33" s="471" customFormat="1" ht="20.100000000000001" hidden="1" customHeight="1">
      <c r="A244" s="739"/>
      <c r="B244" s="322"/>
      <c r="C244" s="1088" t="s">
        <v>86</v>
      </c>
      <c r="D244" s="1101"/>
      <c r="E244" s="1101"/>
      <c r="F244" s="527"/>
      <c r="G244" s="1120"/>
      <c r="H244" s="1091"/>
      <c r="I244" s="1101"/>
      <c r="J244" s="1091"/>
      <c r="K244" s="527"/>
      <c r="L244" s="1090"/>
      <c r="M244" s="1090"/>
      <c r="N244" s="1091"/>
      <c r="O244" s="1101"/>
      <c r="P244" s="1101"/>
      <c r="Q244" s="891"/>
      <c r="R244" s="481"/>
      <c r="S244" s="474"/>
      <c r="T244" s="472"/>
      <c r="U244" s="472"/>
      <c r="V244" s="475"/>
      <c r="W244" s="475"/>
      <c r="X244" s="476"/>
      <c r="Y244" s="477"/>
      <c r="Z244" s="472"/>
      <c r="AA244" s="478"/>
      <c r="AB244" s="479"/>
      <c r="AC244" s="480"/>
      <c r="AD244" s="480"/>
      <c r="AE244" s="480"/>
      <c r="AF244" s="473"/>
      <c r="AG244" s="473"/>
    </row>
    <row r="245" spans="1:33" s="471" customFormat="1" ht="20.100000000000001" hidden="1" customHeight="1">
      <c r="A245" s="739"/>
      <c r="B245" s="322"/>
      <c r="C245" s="1088" t="s">
        <v>568</v>
      </c>
      <c r="D245" s="1101"/>
      <c r="E245" s="1101"/>
      <c r="F245" s="527"/>
      <c r="G245" s="1120"/>
      <c r="H245" s="1091"/>
      <c r="I245" s="1101"/>
      <c r="J245" s="1091"/>
      <c r="K245" s="527"/>
      <c r="L245" s="1090"/>
      <c r="M245" s="1090"/>
      <c r="N245" s="1091"/>
      <c r="O245" s="1435">
        <v>0.2</v>
      </c>
      <c r="P245" s="1436"/>
      <c r="Q245" s="888"/>
      <c r="R245" s="1158"/>
      <c r="S245" s="474"/>
      <c r="T245" s="470"/>
      <c r="U245" s="470"/>
      <c r="V245" s="470"/>
      <c r="W245" s="475"/>
      <c r="X245" s="476"/>
      <c r="Y245" s="477"/>
      <c r="Z245" s="472"/>
      <c r="AA245" s="478"/>
      <c r="AB245" s="479"/>
      <c r="AC245" s="480"/>
      <c r="AD245" s="480"/>
      <c r="AE245" s="480"/>
      <c r="AF245" s="473"/>
      <c r="AG245" s="473"/>
    </row>
    <row r="246" spans="1:33" s="471" customFormat="1" ht="20.100000000000001" hidden="1" customHeight="1">
      <c r="A246" s="739"/>
      <c r="B246" s="322"/>
      <c r="C246" s="1088" t="s">
        <v>569</v>
      </c>
      <c r="D246" s="1101"/>
      <c r="E246" s="1101"/>
      <c r="F246" s="527"/>
      <c r="G246" s="1120"/>
      <c r="H246" s="1091"/>
      <c r="I246" s="1101"/>
      <c r="J246" s="1091"/>
      <c r="K246" s="527"/>
      <c r="L246" s="1090"/>
      <c r="M246" s="1090"/>
      <c r="N246" s="1091"/>
      <c r="O246" s="1318">
        <f>1-O245</f>
        <v>0.8</v>
      </c>
      <c r="P246" s="1437"/>
      <c r="Q246" s="889"/>
      <c r="R246" s="1158"/>
      <c r="S246" s="474"/>
      <c r="T246" s="472"/>
      <c r="U246" s="472"/>
      <c r="V246" s="475"/>
      <c r="W246" s="475"/>
      <c r="X246" s="476"/>
      <c r="Y246" s="477"/>
      <c r="Z246" s="472"/>
      <c r="AA246" s="478"/>
      <c r="AB246" s="479"/>
      <c r="AC246" s="480"/>
      <c r="AD246" s="480"/>
      <c r="AE246" s="480"/>
      <c r="AF246" s="473"/>
      <c r="AG246" s="473"/>
    </row>
    <row r="247" spans="1:33" s="471" customFormat="1" ht="20.100000000000001" hidden="1" customHeight="1">
      <c r="A247" s="739"/>
      <c r="B247" s="322"/>
      <c r="C247" s="1088" t="s">
        <v>87</v>
      </c>
      <c r="D247" s="1101"/>
      <c r="E247" s="1101"/>
      <c r="F247" s="527"/>
      <c r="G247" s="1120"/>
      <c r="H247" s="1091"/>
      <c r="I247" s="1101"/>
      <c r="J247" s="1091"/>
      <c r="K247" s="527"/>
      <c r="L247" s="1090"/>
      <c r="M247" s="1090"/>
      <c r="N247" s="1091"/>
      <c r="O247" s="1101"/>
      <c r="P247" s="1091"/>
      <c r="Q247" s="892"/>
      <c r="R247" s="482"/>
      <c r="S247" s="474"/>
      <c r="T247" s="472"/>
      <c r="U247" s="472"/>
      <c r="V247" s="475"/>
      <c r="W247" s="475"/>
      <c r="X247" s="476"/>
      <c r="Y247" s="477"/>
      <c r="Z247" s="472"/>
      <c r="AA247" s="478"/>
      <c r="AB247" s="479"/>
      <c r="AC247" s="480"/>
      <c r="AD247" s="480"/>
      <c r="AE247" s="480"/>
      <c r="AF247" s="473"/>
      <c r="AG247" s="473"/>
    </row>
    <row r="248" spans="1:33" s="471" customFormat="1" ht="20.100000000000001" hidden="1" customHeight="1">
      <c r="A248" s="739"/>
      <c r="B248" s="322"/>
      <c r="C248" s="1088" t="s">
        <v>159</v>
      </c>
      <c r="D248" s="1101"/>
      <c r="E248" s="1101"/>
      <c r="F248" s="527"/>
      <c r="G248" s="1120"/>
      <c r="H248" s="1091"/>
      <c r="I248" s="1101"/>
      <c r="J248" s="1091"/>
      <c r="K248" s="527"/>
      <c r="L248" s="1090"/>
      <c r="M248" s="1090"/>
      <c r="N248" s="1091"/>
      <c r="O248" s="1435">
        <v>0.8</v>
      </c>
      <c r="P248" s="1436"/>
      <c r="Q248" s="888"/>
      <c r="R248" s="1158"/>
      <c r="S248" s="474"/>
      <c r="T248" s="470"/>
      <c r="U248" s="470"/>
      <c r="V248" s="475"/>
      <c r="W248" s="475"/>
      <c r="X248" s="476"/>
      <c r="Y248" s="477"/>
      <c r="Z248" s="472"/>
      <c r="AA248" s="478"/>
      <c r="AB248" s="479"/>
      <c r="AC248" s="480"/>
      <c r="AD248" s="480"/>
      <c r="AE248" s="480"/>
      <c r="AF248" s="473"/>
      <c r="AG248" s="473"/>
    </row>
    <row r="249" spans="1:33" s="471" customFormat="1" ht="20.100000000000001" hidden="1" customHeight="1">
      <c r="A249" s="739"/>
      <c r="B249" s="322"/>
      <c r="C249" s="1088" t="s">
        <v>160</v>
      </c>
      <c r="D249" s="1101"/>
      <c r="E249" s="1101"/>
      <c r="F249" s="527"/>
      <c r="G249" s="1120"/>
      <c r="H249" s="1091"/>
      <c r="I249" s="1101"/>
      <c r="J249" s="1091"/>
      <c r="K249" s="527"/>
      <c r="L249" s="1090"/>
      <c r="M249" s="1090"/>
      <c r="N249" s="1091"/>
      <c r="O249" s="1318">
        <f>1-O248</f>
        <v>0.19999999999999996</v>
      </c>
      <c r="P249" s="1437"/>
      <c r="Q249" s="889"/>
      <c r="R249" s="1158"/>
      <c r="S249" s="474"/>
      <c r="T249" s="470"/>
      <c r="U249" s="470"/>
      <c r="V249" s="475"/>
      <c r="W249" s="475"/>
      <c r="X249" s="476"/>
      <c r="Y249" s="477"/>
      <c r="Z249" s="472"/>
      <c r="AA249" s="478"/>
      <c r="AB249" s="479"/>
      <c r="AC249" s="480"/>
      <c r="AD249" s="480"/>
      <c r="AE249" s="480"/>
      <c r="AF249" s="473"/>
      <c r="AG249" s="473"/>
    </row>
    <row r="250" spans="1:33" s="471" customFormat="1" ht="20.100000000000001" hidden="1" customHeight="1">
      <c r="A250" s="868" t="s">
        <v>161</v>
      </c>
      <c r="B250" s="1096" t="str">
        <f>"함수율("&amp;물질수지!T43&amp;")%인 경우"</f>
        <v>함수율(99.2)%인 경우</v>
      </c>
      <c r="C250" s="1088"/>
      <c r="D250" s="1088"/>
      <c r="E250" s="1088"/>
      <c r="F250" s="1088"/>
      <c r="G250" s="1088"/>
      <c r="H250" s="1091"/>
      <c r="I250" s="1091"/>
      <c r="J250" s="1091"/>
      <c r="K250" s="1091"/>
      <c r="L250" s="1091"/>
      <c r="M250" s="1091"/>
      <c r="N250" s="1091"/>
      <c r="O250" s="1091"/>
      <c r="P250" s="1091"/>
      <c r="Q250" s="859"/>
      <c r="R250" s="1158"/>
      <c r="S250" s="474"/>
      <c r="T250" s="472"/>
      <c r="U250" s="472"/>
      <c r="V250" s="475"/>
      <c r="W250" s="475"/>
      <c r="X250" s="476"/>
      <c r="Y250" s="477"/>
      <c r="Z250" s="472"/>
      <c r="AA250" s="478"/>
      <c r="AB250" s="479"/>
      <c r="AC250" s="480"/>
      <c r="AD250" s="480"/>
      <c r="AE250" s="480"/>
      <c r="AF250" s="473"/>
      <c r="AG250" s="473"/>
    </row>
    <row r="251" spans="1:33" s="471" customFormat="1" ht="20.100000000000001" hidden="1" customHeight="1">
      <c r="A251" s="859"/>
      <c r="B251" s="1149"/>
      <c r="C251" s="1438">
        <f>O236</f>
        <v>702.16823301520981</v>
      </c>
      <c r="D251" s="1439"/>
      <c r="E251" s="1260" t="s">
        <v>140</v>
      </c>
      <c r="F251" s="1260"/>
      <c r="G251" s="1091" t="s">
        <v>51</v>
      </c>
      <c r="H251" s="1091">
        <v>100</v>
      </c>
      <c r="I251" s="1091" t="s">
        <v>162</v>
      </c>
      <c r="J251" s="1091">
        <v>100</v>
      </c>
      <c r="K251" s="1091" t="s">
        <v>163</v>
      </c>
      <c r="L251" s="1091">
        <v>99.2</v>
      </c>
      <c r="M251" s="1091" t="s">
        <v>164</v>
      </c>
      <c r="N251" s="1440">
        <v>1000</v>
      </c>
      <c r="O251" s="1440"/>
      <c r="P251" s="1091"/>
      <c r="Q251" s="859"/>
      <c r="R251" s="1158"/>
      <c r="S251" s="474"/>
      <c r="T251" s="472"/>
      <c r="U251" s="472"/>
      <c r="V251" s="475"/>
      <c r="W251" s="475"/>
      <c r="X251" s="476"/>
      <c r="Y251" s="477"/>
      <c r="Z251" s="472"/>
      <c r="AA251" s="478"/>
      <c r="AB251" s="479"/>
      <c r="AC251" s="480"/>
      <c r="AD251" s="480"/>
      <c r="AE251" s="480"/>
      <c r="AF251" s="473"/>
      <c r="AG251" s="473"/>
    </row>
    <row r="252" spans="1:33" s="471" customFormat="1" ht="20.100000000000001" hidden="1" customHeight="1">
      <c r="A252" s="859"/>
      <c r="B252" s="1149"/>
      <c r="C252" s="1091" t="s">
        <v>152</v>
      </c>
      <c r="D252" s="1451">
        <f>C251*H251/(J251-L251)/N251</f>
        <v>87.771029126901539</v>
      </c>
      <c r="E252" s="1451"/>
      <c r="F252" s="1257" t="s">
        <v>165</v>
      </c>
      <c r="G252" s="1257"/>
      <c r="H252" s="1091"/>
      <c r="I252" s="1091"/>
      <c r="J252" s="1091"/>
      <c r="K252" s="1091"/>
      <c r="L252" s="1091"/>
      <c r="M252" s="1091"/>
      <c r="N252" s="1091"/>
      <c r="O252" s="1091"/>
      <c r="P252" s="1091"/>
      <c r="Q252" s="859"/>
      <c r="R252" s="1158"/>
      <c r="S252" s="474"/>
      <c r="T252" s="472"/>
      <c r="U252" s="472"/>
      <c r="V252" s="475"/>
      <c r="W252" s="475"/>
      <c r="X252" s="476"/>
      <c r="Y252" s="477"/>
      <c r="Z252" s="472"/>
      <c r="AA252" s="478"/>
      <c r="AB252" s="479"/>
      <c r="AC252" s="480"/>
      <c r="AD252" s="480"/>
      <c r="AE252" s="480"/>
      <c r="AF252" s="473"/>
      <c r="AG252" s="473"/>
    </row>
    <row r="253" spans="1:33" s="471" customFormat="1" ht="20.100000000000001" hidden="1" customHeight="1">
      <c r="A253" s="859"/>
      <c r="B253" s="1149"/>
      <c r="C253" s="1091"/>
      <c r="D253" s="1087"/>
      <c r="E253" s="1087"/>
      <c r="F253" s="1088"/>
      <c r="G253" s="1088"/>
      <c r="H253" s="1091"/>
      <c r="I253" s="1091"/>
      <c r="J253" s="1091"/>
      <c r="K253" s="1091"/>
      <c r="L253" s="1091"/>
      <c r="M253" s="1091"/>
      <c r="N253" s="1091"/>
      <c r="O253" s="1091"/>
      <c r="P253" s="1091"/>
      <c r="Q253" s="859"/>
      <c r="R253" s="1158"/>
      <c r="S253" s="474"/>
      <c r="T253" s="472"/>
      <c r="U253" s="472"/>
      <c r="V253" s="475"/>
      <c r="W253" s="475"/>
      <c r="X253" s="476"/>
      <c r="Y253" s="477"/>
      <c r="Z253" s="472"/>
      <c r="AA253" s="478"/>
      <c r="AB253" s="479"/>
      <c r="AC253" s="480"/>
      <c r="AD253" s="480"/>
      <c r="AE253" s="480"/>
      <c r="AF253" s="473"/>
      <c r="AG253" s="473"/>
    </row>
    <row r="254" spans="1:33" s="471" customFormat="1" ht="20.100000000000001" hidden="1" customHeight="1">
      <c r="A254" s="866" t="s">
        <v>785</v>
      </c>
      <c r="B254" s="1150"/>
      <c r="C254" s="1151"/>
      <c r="D254" s="1091"/>
      <c r="E254" s="1091"/>
      <c r="F254" s="558"/>
      <c r="G254" s="558"/>
      <c r="H254" s="383"/>
      <c r="I254" s="559"/>
      <c r="J254" s="1091"/>
      <c r="K254" s="1091"/>
      <c r="L254" s="1086"/>
      <c r="M254" s="1088"/>
      <c r="N254" s="1088"/>
      <c r="O254" s="1088"/>
      <c r="P254" s="1091"/>
      <c r="Q254" s="859"/>
      <c r="R254" s="1158"/>
      <c r="S254" s="474"/>
      <c r="T254" s="472"/>
      <c r="U254" s="472"/>
      <c r="V254" s="475"/>
      <c r="W254" s="475"/>
      <c r="X254" s="476"/>
      <c r="Y254" s="477"/>
      <c r="Z254" s="472"/>
      <c r="AA254" s="478"/>
      <c r="AB254" s="479"/>
      <c r="AC254" s="480"/>
      <c r="AD254" s="480"/>
      <c r="AE254" s="480"/>
      <c r="AF254" s="473"/>
      <c r="AG254" s="473"/>
    </row>
    <row r="255" spans="1:33" s="471" customFormat="1" ht="20.100000000000001" hidden="1" customHeight="1">
      <c r="A255" s="739" t="s">
        <v>595</v>
      </c>
      <c r="B255" s="1431" t="s">
        <v>596</v>
      </c>
      <c r="C255" s="1447"/>
      <c r="D255" s="1447"/>
      <c r="E255" s="1447"/>
      <c r="F255" s="1447"/>
      <c r="G255" s="1447"/>
      <c r="H255" s="1447"/>
      <c r="I255" s="1447"/>
      <c r="J255" s="1447"/>
      <c r="K255" s="1447"/>
      <c r="L255" s="1447"/>
      <c r="M255" s="1447"/>
      <c r="N255" s="1447"/>
      <c r="O255" s="1447"/>
      <c r="P255" s="1448"/>
      <c r="Q255" s="859"/>
      <c r="R255" s="1158"/>
      <c r="S255" s="474"/>
      <c r="T255" s="472"/>
      <c r="U255" s="472"/>
      <c r="V255" s="475"/>
      <c r="W255" s="475"/>
      <c r="X255" s="476"/>
      <c r="Y255" s="477"/>
      <c r="Z255" s="472"/>
      <c r="AA255" s="478"/>
      <c r="AB255" s="479"/>
      <c r="AC255" s="480"/>
      <c r="AD255" s="480"/>
      <c r="AE255" s="480"/>
      <c r="AF255" s="473"/>
      <c r="AG255" s="473"/>
    </row>
    <row r="256" spans="1:33" s="471" customFormat="1" ht="20.100000000000001" hidden="1" customHeight="1">
      <c r="A256" s="739" t="s">
        <v>597</v>
      </c>
      <c r="B256" s="253" t="str">
        <f>"체류시간 : 유입유량의 "&amp;R256&amp;"시간 정도"</f>
        <v>체류시간 : 유입유량의 3시간 정도</v>
      </c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859"/>
      <c r="R256" s="1158">
        <v>3</v>
      </c>
      <c r="S256" s="474"/>
      <c r="T256" s="472"/>
      <c r="U256" s="472"/>
      <c r="V256" s="475"/>
      <c r="W256" s="475"/>
      <c r="X256" s="476"/>
      <c r="Y256" s="477"/>
      <c r="Z256" s="472"/>
      <c r="AA256" s="478"/>
      <c r="AB256" s="479"/>
      <c r="AC256" s="480"/>
      <c r="AD256" s="480"/>
      <c r="AE256" s="480"/>
      <c r="AF256" s="473"/>
      <c r="AG256" s="473"/>
    </row>
    <row r="257" spans="1:33" s="471" customFormat="1" ht="20.100000000000001" hidden="1" customHeight="1">
      <c r="A257" s="739" t="s">
        <v>598</v>
      </c>
      <c r="B257" s="1444" t="s">
        <v>117</v>
      </c>
      <c r="C257" s="1445"/>
      <c r="D257" s="1445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859"/>
      <c r="R257" s="1158"/>
      <c r="S257" s="474"/>
      <c r="T257" s="472"/>
      <c r="U257" s="472"/>
      <c r="V257" s="475"/>
      <c r="W257" s="475"/>
      <c r="X257" s="476"/>
      <c r="Y257" s="477"/>
      <c r="Z257" s="472"/>
      <c r="AA257" s="478"/>
      <c r="AB257" s="479"/>
      <c r="AC257" s="480"/>
      <c r="AD257" s="480"/>
      <c r="AE257" s="480"/>
      <c r="AF257" s="473"/>
      <c r="AG257" s="473"/>
    </row>
    <row r="258" spans="1:33" s="471" customFormat="1" ht="20.100000000000001" hidden="1" customHeight="1">
      <c r="A258" s="1116"/>
      <c r="B258" s="1150"/>
      <c r="C258" s="1327">
        <f>물질수지!T7</f>
        <v>12185.125776698724</v>
      </c>
      <c r="D258" s="1327"/>
      <c r="E258" s="1327"/>
      <c r="F258" s="1079" t="s">
        <v>51</v>
      </c>
      <c r="G258" s="389">
        <f>R256</f>
        <v>3</v>
      </c>
      <c r="H258" s="1079" t="s">
        <v>30</v>
      </c>
      <c r="I258" s="1430">
        <f>C258*G258/24</f>
        <v>1523.1407220873405</v>
      </c>
      <c r="J258" s="1430"/>
      <c r="K258" s="1091"/>
      <c r="L258" s="1086"/>
      <c r="M258" s="1088"/>
      <c r="N258" s="1088"/>
      <c r="O258" s="1088"/>
      <c r="P258" s="1091"/>
      <c r="Q258" s="859"/>
      <c r="R258" s="1158"/>
      <c r="S258" s="474"/>
      <c r="T258" s="472"/>
      <c r="U258" s="472"/>
      <c r="V258" s="475"/>
      <c r="W258" s="475"/>
      <c r="X258" s="476"/>
      <c r="Y258" s="477"/>
      <c r="Z258" s="472"/>
      <c r="AA258" s="478"/>
      <c r="AB258" s="479"/>
      <c r="AC258" s="480"/>
      <c r="AD258" s="480"/>
      <c r="AE258" s="480"/>
      <c r="AF258" s="473"/>
      <c r="AG258" s="473"/>
    </row>
    <row r="259" spans="1:33" s="471" customFormat="1" ht="20.100000000000001" hidden="1" customHeight="1">
      <c r="A259" s="739" t="s">
        <v>601</v>
      </c>
      <c r="B259" s="253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859"/>
      <c r="R259" s="1158"/>
      <c r="S259" s="474"/>
      <c r="T259" s="472"/>
      <c r="U259" s="472"/>
      <c r="V259" s="475"/>
      <c r="W259" s="475"/>
      <c r="X259" s="476"/>
      <c r="Y259" s="477"/>
      <c r="Z259" s="472"/>
      <c r="AA259" s="478"/>
      <c r="AB259" s="479"/>
      <c r="AC259" s="480"/>
      <c r="AD259" s="480"/>
      <c r="AE259" s="480"/>
      <c r="AF259" s="473"/>
      <c r="AG259" s="473"/>
    </row>
    <row r="260" spans="1:33" s="471" customFormat="1" ht="20.100000000000001" hidden="1" customHeight="1">
      <c r="A260" s="1116" t="s">
        <v>602</v>
      </c>
      <c r="B260" s="253"/>
      <c r="C260" s="1250" t="s">
        <v>603</v>
      </c>
      <c r="D260" s="1250"/>
      <c r="E260" s="1250"/>
      <c r="F260" s="1250"/>
      <c r="G260" s="1250"/>
      <c r="H260" s="1250"/>
      <c r="I260" s="1250"/>
      <c r="J260" s="1250"/>
      <c r="K260" s="1250"/>
      <c r="L260" s="1250"/>
      <c r="M260" s="1250"/>
      <c r="N260" s="1250"/>
      <c r="O260" s="1250"/>
      <c r="P260" s="250"/>
      <c r="Q260" s="859"/>
      <c r="R260" s="1158"/>
      <c r="S260" s="474"/>
      <c r="T260" s="472"/>
      <c r="U260" s="472"/>
      <c r="V260" s="475"/>
      <c r="W260" s="475"/>
      <c r="X260" s="476"/>
      <c r="Y260" s="477"/>
      <c r="Z260" s="472"/>
      <c r="AA260" s="478"/>
      <c r="AB260" s="479"/>
      <c r="AC260" s="480"/>
      <c r="AD260" s="480"/>
      <c r="AE260" s="480"/>
      <c r="AF260" s="473"/>
      <c r="AG260" s="473"/>
    </row>
    <row r="261" spans="1:33" s="471" customFormat="1" ht="20.100000000000001" hidden="1" customHeight="1">
      <c r="A261" s="1116" t="s">
        <v>604</v>
      </c>
      <c r="B261" s="1095" t="s">
        <v>583</v>
      </c>
      <c r="C261" s="309">
        <v>12.7</v>
      </c>
      <c r="D261" s="1079" t="s">
        <v>36</v>
      </c>
      <c r="E261" s="1079" t="s">
        <v>51</v>
      </c>
      <c r="F261" s="1079" t="s">
        <v>108</v>
      </c>
      <c r="G261" s="309">
        <v>17.2</v>
      </c>
      <c r="H261" s="1079" t="s">
        <v>36</v>
      </c>
      <c r="I261" s="1079" t="s">
        <v>51</v>
      </c>
      <c r="J261" s="1250" t="s">
        <v>606</v>
      </c>
      <c r="K261" s="1250"/>
      <c r="L261" s="1079" t="s">
        <v>607</v>
      </c>
      <c r="M261" s="407">
        <v>3.5</v>
      </c>
      <c r="N261" s="1079" t="s">
        <v>36</v>
      </c>
      <c r="O261" s="1079"/>
      <c r="P261" s="250"/>
      <c r="Q261" s="859"/>
      <c r="R261" s="1158"/>
      <c r="S261" s="474"/>
      <c r="T261" s="472"/>
      <c r="U261" s="472"/>
      <c r="V261" s="475"/>
      <c r="W261" s="475"/>
      <c r="X261" s="476"/>
      <c r="Y261" s="477"/>
      <c r="Z261" s="472"/>
      <c r="AA261" s="478"/>
      <c r="AB261" s="479"/>
      <c r="AC261" s="480"/>
      <c r="AD261" s="480"/>
      <c r="AE261" s="480"/>
      <c r="AF261" s="473"/>
      <c r="AG261" s="473"/>
    </row>
    <row r="262" spans="1:33" s="471" customFormat="1" ht="20.100000000000001" hidden="1" customHeight="1">
      <c r="A262" s="1116" t="s">
        <v>125</v>
      </c>
      <c r="B262" s="253"/>
      <c r="C262" s="250"/>
      <c r="D262" s="250"/>
      <c r="E262" s="250"/>
      <c r="F262" s="250"/>
      <c r="G262" s="250"/>
      <c r="H262" s="1079">
        <v>2</v>
      </c>
      <c r="I262" s="250" t="s">
        <v>113</v>
      </c>
      <c r="J262" s="250"/>
      <c r="K262" s="250"/>
      <c r="L262" s="250"/>
      <c r="M262" s="250"/>
      <c r="N262" s="250"/>
      <c r="O262" s="250"/>
      <c r="P262" s="250"/>
      <c r="Q262" s="859"/>
      <c r="R262" s="1158"/>
      <c r="S262" s="474"/>
      <c r="T262" s="472"/>
      <c r="U262" s="472"/>
      <c r="V262" s="475"/>
      <c r="W262" s="475"/>
      <c r="X262" s="476"/>
      <c r="Y262" s="477"/>
      <c r="Z262" s="472"/>
      <c r="AA262" s="478"/>
      <c r="AB262" s="479"/>
      <c r="AC262" s="480"/>
      <c r="AD262" s="480"/>
      <c r="AE262" s="480"/>
      <c r="AF262" s="473"/>
      <c r="AG262" s="473"/>
    </row>
    <row r="263" spans="1:33" s="471" customFormat="1" ht="20.100000000000001" hidden="1" customHeight="1">
      <c r="A263" s="1116" t="s">
        <v>610</v>
      </c>
      <c r="B263" s="1095" t="s">
        <v>611</v>
      </c>
      <c r="C263" s="1079" t="s">
        <v>30</v>
      </c>
      <c r="D263" s="1430">
        <f>C261*G261*M261</f>
        <v>764.53999999999985</v>
      </c>
      <c r="E263" s="1430"/>
      <c r="F263" s="1079" t="s">
        <v>51</v>
      </c>
      <c r="G263" s="1079">
        <f>H262</f>
        <v>2</v>
      </c>
      <c r="H263" s="1079" t="s">
        <v>609</v>
      </c>
      <c r="I263" s="1079" t="s">
        <v>30</v>
      </c>
      <c r="J263" s="1291">
        <f>D263*G263</f>
        <v>1529.0799999999997</v>
      </c>
      <c r="K263" s="1291"/>
      <c r="L263" s="250"/>
      <c r="M263" s="250"/>
      <c r="N263" s="250"/>
      <c r="O263" s="250"/>
      <c r="P263" s="250"/>
      <c r="Q263" s="859"/>
      <c r="R263" s="1158"/>
      <c r="S263" s="474"/>
      <c r="T263" s="472"/>
      <c r="U263" s="472"/>
      <c r="V263" s="475"/>
      <c r="W263" s="475"/>
      <c r="X263" s="476"/>
      <c r="Y263" s="477"/>
      <c r="Z263" s="472"/>
      <c r="AA263" s="478"/>
      <c r="AB263" s="479"/>
      <c r="AC263" s="480"/>
      <c r="AD263" s="480"/>
      <c r="AE263" s="480"/>
      <c r="AF263" s="473"/>
      <c r="AG263" s="473"/>
    </row>
    <row r="264" spans="1:33" s="471" customFormat="1" ht="20.100000000000001" hidden="1" customHeight="1">
      <c r="A264" s="739" t="s">
        <v>480</v>
      </c>
      <c r="B264" s="253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1088"/>
      <c r="P264" s="1091"/>
      <c r="Q264" s="859"/>
      <c r="R264" s="1158"/>
      <c r="S264" s="474"/>
      <c r="T264" s="472"/>
      <c r="U264" s="472"/>
      <c r="V264" s="475"/>
      <c r="W264" s="475"/>
      <c r="X264" s="476"/>
      <c r="Y264" s="477"/>
      <c r="Z264" s="472"/>
      <c r="AA264" s="478"/>
      <c r="AB264" s="479"/>
      <c r="AC264" s="480"/>
      <c r="AD264" s="480"/>
      <c r="AE264" s="480"/>
      <c r="AF264" s="473"/>
      <c r="AG264" s="473"/>
    </row>
    <row r="265" spans="1:33" s="471" customFormat="1" ht="20.100000000000001" hidden="1" customHeight="1">
      <c r="A265" s="1116" t="s">
        <v>613</v>
      </c>
      <c r="B265" s="253"/>
      <c r="C265" s="1291">
        <f>J263</f>
        <v>1529.0799999999997</v>
      </c>
      <c r="D265" s="1291"/>
      <c r="E265" s="1079" t="s">
        <v>52</v>
      </c>
      <c r="F265" s="1327">
        <f>C258</f>
        <v>12185.125776698724</v>
      </c>
      <c r="G265" s="1327"/>
      <c r="H265" s="1327"/>
      <c r="I265" s="1079" t="s">
        <v>51</v>
      </c>
      <c r="J265" s="1304">
        <v>24</v>
      </c>
      <c r="K265" s="1304"/>
      <c r="L265" s="1079" t="s">
        <v>30</v>
      </c>
      <c r="M265" s="1332">
        <f>C265/F265*J265</f>
        <v>3.0116980876944579</v>
      </c>
      <c r="N265" s="1332"/>
      <c r="O265" s="1088"/>
      <c r="P265" s="1091"/>
      <c r="Q265" s="859"/>
      <c r="R265" s="1158"/>
      <c r="S265" s="474"/>
      <c r="T265" s="472"/>
      <c r="U265" s="472"/>
      <c r="V265" s="475"/>
      <c r="W265" s="475"/>
      <c r="X265" s="476"/>
      <c r="Y265" s="477"/>
      <c r="Z265" s="472"/>
      <c r="AA265" s="478"/>
      <c r="AB265" s="479"/>
      <c r="AC265" s="480"/>
      <c r="AD265" s="480"/>
      <c r="AE265" s="480"/>
      <c r="AF265" s="473"/>
      <c r="AG265" s="473"/>
    </row>
    <row r="266" spans="1:33" s="471" customFormat="1" ht="20.100000000000001" hidden="1" customHeight="1">
      <c r="A266" s="1116"/>
      <c r="B266" s="253"/>
      <c r="C266" s="1080"/>
      <c r="D266" s="1080"/>
      <c r="E266" s="1079"/>
      <c r="F266" s="1084"/>
      <c r="G266" s="1084"/>
      <c r="H266" s="1084"/>
      <c r="I266" s="1079"/>
      <c r="J266" s="1081"/>
      <c r="K266" s="1081"/>
      <c r="L266" s="1079"/>
      <c r="M266" s="1083"/>
      <c r="N266" s="1083"/>
      <c r="O266" s="1088"/>
      <c r="P266" s="1091"/>
      <c r="Q266" s="859"/>
      <c r="R266" s="1158"/>
      <c r="S266" s="474"/>
      <c r="T266" s="472"/>
      <c r="U266" s="472"/>
      <c r="V266" s="475"/>
      <c r="W266" s="475"/>
      <c r="X266" s="476"/>
      <c r="Y266" s="477"/>
      <c r="Z266" s="472"/>
      <c r="AA266" s="478"/>
      <c r="AB266" s="479"/>
      <c r="AC266" s="480"/>
      <c r="AD266" s="480"/>
      <c r="AE266" s="480"/>
      <c r="AF266" s="473"/>
      <c r="AG266" s="473"/>
    </row>
    <row r="267" spans="1:33" s="471" customFormat="1" ht="20.100000000000001" hidden="1" customHeight="1">
      <c r="A267" s="867"/>
      <c r="B267" s="841"/>
      <c r="C267" s="1092"/>
      <c r="D267" s="1092"/>
      <c r="E267" s="843"/>
      <c r="F267" s="844"/>
      <c r="G267" s="844"/>
      <c r="H267" s="844"/>
      <c r="I267" s="843"/>
      <c r="J267" s="845"/>
      <c r="K267" s="845"/>
      <c r="L267" s="843"/>
      <c r="M267" s="846"/>
      <c r="N267" s="846"/>
      <c r="O267" s="1102"/>
      <c r="P267" s="1121"/>
      <c r="Q267" s="1119"/>
      <c r="R267" s="1158"/>
      <c r="S267" s="474"/>
      <c r="T267" s="472"/>
      <c r="U267" s="472"/>
      <c r="V267" s="475"/>
      <c r="W267" s="475"/>
      <c r="X267" s="476"/>
      <c r="Y267" s="477"/>
      <c r="Z267" s="472"/>
      <c r="AA267" s="478"/>
      <c r="AB267" s="479"/>
      <c r="AC267" s="480"/>
      <c r="AD267" s="480"/>
      <c r="AE267" s="480"/>
      <c r="AF267" s="473"/>
      <c r="AG267" s="473"/>
    </row>
    <row r="268" spans="1:33" s="112" customFormat="1" ht="21" hidden="1" customHeight="1">
      <c r="A268" s="870" t="s">
        <v>786</v>
      </c>
      <c r="B268" s="847"/>
      <c r="C268" s="848"/>
      <c r="D268" s="848"/>
      <c r="E268" s="849"/>
      <c r="F268" s="850"/>
      <c r="G268" s="850"/>
      <c r="H268" s="850"/>
      <c r="I268" s="849"/>
      <c r="J268" s="851"/>
      <c r="K268" s="848"/>
      <c r="L268" s="849"/>
      <c r="M268" s="852"/>
      <c r="N268" s="852"/>
      <c r="O268" s="1140"/>
      <c r="P268" s="1105"/>
      <c r="Q268" s="893"/>
      <c r="R268" s="783"/>
      <c r="S268" s="1098"/>
      <c r="T268" s="1099"/>
      <c r="U268" s="1099"/>
      <c r="V268" s="1078"/>
      <c r="W268" s="1078"/>
      <c r="X268" s="387"/>
      <c r="Y268" s="1136"/>
      <c r="Z268" s="1099"/>
      <c r="AA268" s="1099"/>
      <c r="AB268" s="1135"/>
      <c r="AC268" s="1127"/>
      <c r="AD268" s="1127"/>
      <c r="AE268" s="1127"/>
      <c r="AF268" s="1099"/>
      <c r="AG268" s="1111"/>
    </row>
    <row r="269" spans="1:33" s="112" customFormat="1" ht="21" hidden="1" customHeight="1">
      <c r="A269" s="871" t="s">
        <v>476</v>
      </c>
      <c r="B269" s="1431" t="s">
        <v>580</v>
      </c>
      <c r="C269" s="1432"/>
      <c r="D269" s="1432"/>
      <c r="E269" s="1432"/>
      <c r="F269" s="1432"/>
      <c r="G269" s="1432"/>
      <c r="H269" s="1432"/>
      <c r="I269" s="1432"/>
      <c r="J269" s="1432"/>
      <c r="K269" s="1432"/>
      <c r="L269" s="1432"/>
      <c r="M269" s="1432"/>
      <c r="N269" s="1432"/>
      <c r="O269" s="1432"/>
      <c r="P269" s="1433"/>
      <c r="Q269" s="894"/>
      <c r="R269" s="783"/>
      <c r="S269" s="1098"/>
      <c r="T269" s="1099"/>
      <c r="U269" s="1099"/>
      <c r="V269" s="1078"/>
      <c r="W269" s="1078"/>
      <c r="X269" s="387"/>
      <c r="Y269" s="1136"/>
      <c r="Z269" s="1099"/>
      <c r="AA269" s="1099"/>
      <c r="AB269" s="1135"/>
      <c r="AC269" s="1127"/>
      <c r="AD269" s="1127"/>
      <c r="AE269" s="1127"/>
      <c r="AF269" s="1099"/>
      <c r="AG269" s="1111"/>
    </row>
    <row r="270" spans="1:33" s="112" customFormat="1" ht="21" hidden="1" customHeight="1">
      <c r="A270" s="871" t="s">
        <v>481</v>
      </c>
      <c r="B270" s="1431" t="str">
        <f>"체류시간 : 유입유량의 "&amp;R270&amp;"시간 정도"</f>
        <v>체류시간 : 유입유량의 1시간 정도</v>
      </c>
      <c r="C270" s="1432"/>
      <c r="D270" s="1432"/>
      <c r="E270" s="1432"/>
      <c r="F270" s="1432"/>
      <c r="G270" s="1432"/>
      <c r="H270" s="406"/>
      <c r="I270" s="250"/>
      <c r="J270" s="250"/>
      <c r="K270" s="250"/>
      <c r="L270" s="250"/>
      <c r="M270" s="250"/>
      <c r="N270" s="250"/>
      <c r="O270" s="250"/>
      <c r="P270" s="250"/>
      <c r="Q270" s="894"/>
      <c r="R270" s="783">
        <v>1</v>
      </c>
      <c r="S270" s="1098"/>
      <c r="T270" s="1099"/>
      <c r="U270" s="1099"/>
      <c r="V270" s="1078"/>
      <c r="W270" s="1078"/>
      <c r="X270" s="387"/>
      <c r="Y270" s="1136"/>
      <c r="Z270" s="1099"/>
      <c r="AA270" s="1099"/>
      <c r="AB270" s="1135"/>
      <c r="AC270" s="1127"/>
      <c r="AD270" s="1127"/>
      <c r="AE270" s="1127"/>
      <c r="AF270" s="1099"/>
      <c r="AG270" s="1111"/>
    </row>
    <row r="271" spans="1:33" s="112" customFormat="1" ht="21" hidden="1" customHeight="1">
      <c r="A271" s="739" t="s">
        <v>477</v>
      </c>
      <c r="B271" s="1444" t="s">
        <v>300</v>
      </c>
      <c r="C271" s="1445"/>
      <c r="D271" s="1445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894"/>
      <c r="R271" s="783"/>
      <c r="S271" s="1098"/>
      <c r="T271" s="1099"/>
      <c r="U271" s="1099"/>
      <c r="V271" s="1078"/>
      <c r="W271" s="1078"/>
      <c r="X271" s="387"/>
      <c r="Y271" s="1136"/>
      <c r="Z271" s="1099"/>
      <c r="AA271" s="1099"/>
      <c r="AB271" s="1135"/>
      <c r="AC271" s="1127"/>
      <c r="AD271" s="1127"/>
      <c r="AE271" s="1127"/>
      <c r="AF271" s="1099"/>
      <c r="AG271" s="1111"/>
    </row>
    <row r="272" spans="1:33" s="112" customFormat="1" ht="21" hidden="1" customHeight="1">
      <c r="A272" s="1116"/>
      <c r="B272" s="1150"/>
      <c r="C272" s="1327">
        <f>물질수지!Z7</f>
        <v>11792.426695</v>
      </c>
      <c r="D272" s="1327"/>
      <c r="E272" s="1327"/>
      <c r="F272" s="1079" t="s">
        <v>51</v>
      </c>
      <c r="G272" s="389">
        <f>R270</f>
        <v>1</v>
      </c>
      <c r="H272" s="1079" t="s">
        <v>298</v>
      </c>
      <c r="I272" s="1430">
        <f>C272*G272/24</f>
        <v>491.35111229166665</v>
      </c>
      <c r="J272" s="1430"/>
      <c r="K272" s="1091"/>
      <c r="L272" s="1086"/>
      <c r="M272" s="1088"/>
      <c r="N272" s="1088"/>
      <c r="O272" s="1088"/>
      <c r="P272" s="1091"/>
      <c r="Q272" s="894"/>
      <c r="R272" s="783"/>
      <c r="S272" s="1098"/>
      <c r="T272" s="1099"/>
      <c r="U272" s="1099"/>
      <c r="V272" s="1078"/>
      <c r="W272" s="1078"/>
      <c r="X272" s="387"/>
      <c r="Y272" s="1136"/>
      <c r="Z272" s="1099"/>
      <c r="AA272" s="1099"/>
      <c r="AB272" s="1135"/>
      <c r="AC272" s="1127"/>
      <c r="AD272" s="1127"/>
      <c r="AE272" s="1127"/>
      <c r="AF272" s="1099"/>
      <c r="AG272" s="1111"/>
    </row>
    <row r="273" spans="1:33" s="112" customFormat="1" ht="21" hidden="1" customHeight="1">
      <c r="A273" s="739" t="s">
        <v>478</v>
      </c>
      <c r="B273" s="253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894"/>
      <c r="R273" s="783"/>
      <c r="S273" s="1098"/>
      <c r="T273" s="1099"/>
      <c r="U273" s="1099"/>
      <c r="V273" s="1078"/>
      <c r="W273" s="1078"/>
      <c r="X273" s="387"/>
      <c r="Y273" s="1136"/>
      <c r="Z273" s="1099"/>
      <c r="AA273" s="1099"/>
      <c r="AB273" s="1135"/>
      <c r="AC273" s="1127"/>
      <c r="AD273" s="1127"/>
      <c r="AE273" s="1127"/>
      <c r="AF273" s="1099"/>
      <c r="AG273" s="1111"/>
    </row>
    <row r="274" spans="1:33" s="112" customFormat="1" ht="21" hidden="1" customHeight="1">
      <c r="A274" s="1116" t="s">
        <v>304</v>
      </c>
      <c r="B274" s="1428" t="s">
        <v>305</v>
      </c>
      <c r="C274" s="1250"/>
      <c r="D274" s="1250"/>
      <c r="E274" s="1250"/>
      <c r="F274" s="1250"/>
      <c r="G274" s="1250"/>
      <c r="H274" s="1250"/>
      <c r="I274" s="1250"/>
      <c r="J274" s="1250"/>
      <c r="K274" s="1250"/>
      <c r="L274" s="1250"/>
      <c r="M274" s="1250"/>
      <c r="N274" s="1250"/>
      <c r="O274" s="1250"/>
      <c r="P274" s="1429"/>
      <c r="Q274" s="894"/>
      <c r="R274" s="783"/>
      <c r="S274" s="1098"/>
      <c r="T274" s="1099"/>
      <c r="U274" s="1099"/>
      <c r="V274" s="1078"/>
      <c r="W274" s="1078"/>
      <c r="X274" s="387"/>
      <c r="Y274" s="1136"/>
      <c r="Z274" s="1099"/>
      <c r="AA274" s="1099"/>
      <c r="AB274" s="1135"/>
      <c r="AC274" s="1127"/>
      <c r="AD274" s="1127"/>
      <c r="AE274" s="1127"/>
      <c r="AF274" s="1099"/>
      <c r="AG274" s="1111"/>
    </row>
    <row r="275" spans="1:33" s="112" customFormat="1" ht="21" hidden="1" customHeight="1">
      <c r="A275" s="1116" t="s">
        <v>122</v>
      </c>
      <c r="B275" s="1095" t="s">
        <v>307</v>
      </c>
      <c r="C275" s="309">
        <f>C261</f>
        <v>12.7</v>
      </c>
      <c r="D275" s="1079" t="s">
        <v>308</v>
      </c>
      <c r="E275" s="1079" t="s">
        <v>51</v>
      </c>
      <c r="F275" s="1079" t="s">
        <v>309</v>
      </c>
      <c r="G275" s="309">
        <v>4.4000000000000004</v>
      </c>
      <c r="H275" s="1079" t="s">
        <v>308</v>
      </c>
      <c r="I275" s="1079" t="s">
        <v>51</v>
      </c>
      <c r="J275" s="1250" t="s">
        <v>310</v>
      </c>
      <c r="K275" s="1250"/>
      <c r="L275" s="1079" t="s">
        <v>311</v>
      </c>
      <c r="M275" s="407">
        <v>4.5</v>
      </c>
      <c r="N275" s="1079" t="s">
        <v>308</v>
      </c>
      <c r="O275" s="1079"/>
      <c r="P275" s="250"/>
      <c r="Q275" s="894"/>
      <c r="R275" s="783"/>
      <c r="S275" s="1098"/>
      <c r="T275" s="1099"/>
      <c r="U275" s="1099"/>
      <c r="V275" s="1078"/>
      <c r="W275" s="1078"/>
      <c r="X275" s="387"/>
      <c r="Y275" s="1136"/>
      <c r="Z275" s="1099"/>
      <c r="AA275" s="1099"/>
      <c r="AB275" s="1135"/>
      <c r="AC275" s="1127"/>
      <c r="AD275" s="1127"/>
      <c r="AE275" s="1127"/>
      <c r="AF275" s="1099"/>
      <c r="AG275" s="1111"/>
    </row>
    <row r="276" spans="1:33" s="112" customFormat="1" ht="21" hidden="1" customHeight="1">
      <c r="A276" s="1116" t="s">
        <v>479</v>
      </c>
      <c r="B276" s="253"/>
      <c r="C276" s="250"/>
      <c r="D276" s="250"/>
      <c r="E276" s="250"/>
      <c r="F276" s="250"/>
      <c r="G276" s="250"/>
      <c r="H276" s="1079">
        <v>2</v>
      </c>
      <c r="I276" s="250" t="s">
        <v>113</v>
      </c>
      <c r="J276" s="250"/>
      <c r="K276" s="250"/>
      <c r="L276" s="250"/>
      <c r="M276" s="250"/>
      <c r="N276" s="250"/>
      <c r="O276" s="250"/>
      <c r="P276" s="250"/>
      <c r="Q276" s="894"/>
      <c r="R276" s="783"/>
      <c r="S276" s="1098"/>
      <c r="T276" s="700">
        <f>G287+G275+G261+0.8</f>
        <v>28.400000000000002</v>
      </c>
      <c r="U276" s="1099"/>
      <c r="V276" s="1078"/>
      <c r="W276" s="1078"/>
      <c r="X276" s="387"/>
      <c r="Y276" s="1136"/>
      <c r="Z276" s="1099"/>
      <c r="AA276" s="1099"/>
      <c r="AB276" s="1135"/>
      <c r="AC276" s="1127"/>
      <c r="AD276" s="1127"/>
      <c r="AE276" s="1127"/>
      <c r="AF276" s="1099"/>
      <c r="AG276" s="1111"/>
    </row>
    <row r="277" spans="1:33" s="112" customFormat="1" ht="21" hidden="1" customHeight="1">
      <c r="A277" s="1116" t="s">
        <v>126</v>
      </c>
      <c r="B277" s="1095" t="s">
        <v>127</v>
      </c>
      <c r="C277" s="1079" t="s">
        <v>298</v>
      </c>
      <c r="D277" s="1430">
        <f>C275*G275*M275</f>
        <v>251.46</v>
      </c>
      <c r="E277" s="1430"/>
      <c r="F277" s="1079" t="s">
        <v>51</v>
      </c>
      <c r="G277" s="1079">
        <f>H276</f>
        <v>2</v>
      </c>
      <c r="H277" s="1079" t="s">
        <v>429</v>
      </c>
      <c r="I277" s="1079" t="s">
        <v>298</v>
      </c>
      <c r="J277" s="1430">
        <f>D277*G277</f>
        <v>502.92</v>
      </c>
      <c r="K277" s="1430"/>
      <c r="L277" s="250"/>
      <c r="M277" s="250"/>
      <c r="N277" s="250"/>
      <c r="O277" s="250"/>
      <c r="P277" s="250"/>
      <c r="Q277" s="894"/>
      <c r="R277" s="783"/>
      <c r="S277" s="1098"/>
      <c r="T277" s="1099">
        <v>28.4</v>
      </c>
      <c r="U277" s="1099"/>
      <c r="V277" s="1078"/>
      <c r="W277" s="1078"/>
      <c r="X277" s="387"/>
      <c r="Y277" s="1136"/>
      <c r="Z277" s="1099"/>
      <c r="AA277" s="1099"/>
      <c r="AB277" s="1135"/>
      <c r="AC277" s="1127"/>
      <c r="AD277" s="1127"/>
      <c r="AE277" s="1127"/>
      <c r="AF277" s="1099"/>
      <c r="AG277" s="1111"/>
    </row>
    <row r="278" spans="1:33" s="112" customFormat="1" ht="21" hidden="1" customHeight="1">
      <c r="A278" s="739" t="s">
        <v>480</v>
      </c>
      <c r="B278" s="253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1088"/>
      <c r="P278" s="1091"/>
      <c r="Q278" s="894"/>
      <c r="R278" s="783"/>
      <c r="S278" s="1098"/>
      <c r="T278" s="1099"/>
      <c r="U278" s="1099"/>
      <c r="V278" s="1078"/>
      <c r="W278" s="1078"/>
      <c r="X278" s="387"/>
      <c r="Y278" s="1136"/>
      <c r="Z278" s="1099"/>
      <c r="AA278" s="1099"/>
      <c r="AB278" s="1135"/>
      <c r="AC278" s="1127"/>
      <c r="AD278" s="1127"/>
      <c r="AE278" s="1127"/>
      <c r="AF278" s="1099"/>
      <c r="AG278" s="1111"/>
    </row>
    <row r="279" spans="1:33" s="112" customFormat="1" ht="21" hidden="1" customHeight="1">
      <c r="A279" s="1116" t="s">
        <v>318</v>
      </c>
      <c r="B279" s="253"/>
      <c r="C279" s="1446">
        <f>J277</f>
        <v>502.92</v>
      </c>
      <c r="D279" s="1446"/>
      <c r="E279" s="1079" t="s">
        <v>52</v>
      </c>
      <c r="F279" s="1327">
        <f>C272</f>
        <v>11792.426695</v>
      </c>
      <c r="G279" s="1327"/>
      <c r="H279" s="1327"/>
      <c r="I279" s="1079" t="s">
        <v>51</v>
      </c>
      <c r="J279" s="1304">
        <v>24</v>
      </c>
      <c r="K279" s="1304"/>
      <c r="L279" s="1079" t="s">
        <v>298</v>
      </c>
      <c r="M279" s="1332">
        <f>C279/F279*J279</f>
        <v>1.0235450524460521</v>
      </c>
      <c r="N279" s="1332"/>
      <c r="O279" s="1088"/>
      <c r="P279" s="1091"/>
      <c r="Q279" s="894"/>
      <c r="R279" s="783"/>
      <c r="S279" s="1098"/>
      <c r="T279" s="1099"/>
      <c r="U279" s="1099"/>
      <c r="V279" s="1078"/>
      <c r="W279" s="1078"/>
      <c r="X279" s="387"/>
      <c r="Y279" s="1136"/>
      <c r="Z279" s="1099"/>
      <c r="AA279" s="1099"/>
      <c r="AB279" s="1135"/>
      <c r="AC279" s="1127"/>
      <c r="AD279" s="1127"/>
      <c r="AE279" s="1127"/>
      <c r="AF279" s="1099"/>
      <c r="AG279" s="1111"/>
    </row>
    <row r="280" spans="1:33" s="112" customFormat="1" ht="21" hidden="1" customHeight="1">
      <c r="A280" s="1116"/>
      <c r="B280" s="250"/>
      <c r="C280" s="1093"/>
      <c r="D280" s="1093"/>
      <c r="E280" s="1079"/>
      <c r="F280" s="1084"/>
      <c r="G280" s="1084"/>
      <c r="H280" s="1084"/>
      <c r="I280" s="1079"/>
      <c r="J280" s="1081"/>
      <c r="K280" s="1081"/>
      <c r="L280" s="1079"/>
      <c r="M280" s="1083"/>
      <c r="N280" s="1083"/>
      <c r="O280" s="1088"/>
      <c r="P280" s="1091"/>
      <c r="Q280" s="894"/>
      <c r="R280" s="783"/>
      <c r="S280" s="1098"/>
      <c r="T280" s="1099"/>
      <c r="U280" s="1099"/>
      <c r="V280" s="1078"/>
      <c r="W280" s="1078"/>
      <c r="X280" s="387"/>
      <c r="Y280" s="1136"/>
      <c r="Z280" s="1099"/>
      <c r="AA280" s="1099"/>
      <c r="AB280" s="1135"/>
      <c r="AC280" s="1127"/>
      <c r="AD280" s="1127"/>
      <c r="AE280" s="1127"/>
      <c r="AF280" s="1099"/>
      <c r="AG280" s="1111"/>
    </row>
    <row r="281" spans="1:33" s="112" customFormat="1" ht="21" hidden="1" customHeight="1">
      <c r="A281" s="738" t="s">
        <v>787</v>
      </c>
      <c r="B281" s="1097"/>
      <c r="C281" s="1097"/>
      <c r="D281" s="1091"/>
      <c r="E281" s="1151"/>
      <c r="F281" s="1091"/>
      <c r="G281" s="1091"/>
      <c r="H281" s="1091"/>
      <c r="I281" s="381"/>
      <c r="J281" s="1091"/>
      <c r="K281" s="391"/>
      <c r="L281" s="391"/>
      <c r="M281" s="1088"/>
      <c r="N281" s="1091"/>
      <c r="O281" s="1086"/>
      <c r="P281" s="1088"/>
      <c r="Q281" s="884"/>
      <c r="R281" s="783"/>
      <c r="S281" s="1098"/>
      <c r="T281" s="1099"/>
      <c r="U281" s="1099"/>
      <c r="V281" s="1078"/>
      <c r="W281" s="1078"/>
      <c r="X281" s="387"/>
      <c r="Y281" s="1136"/>
      <c r="Z281" s="1099"/>
      <c r="AA281" s="1099"/>
      <c r="AB281" s="1135"/>
      <c r="AC281" s="1127"/>
      <c r="AD281" s="1127"/>
      <c r="AE281" s="1127"/>
      <c r="AF281" s="1099"/>
      <c r="AG281" s="1111"/>
    </row>
    <row r="282" spans="1:33" s="112" customFormat="1" ht="21" hidden="1" customHeight="1">
      <c r="A282" s="860" t="s">
        <v>172</v>
      </c>
      <c r="B282" s="1432" t="s">
        <v>762</v>
      </c>
      <c r="C282" s="1445"/>
      <c r="D282" s="1445"/>
      <c r="E282" s="1445"/>
      <c r="F282" s="1445"/>
      <c r="G282" s="1445"/>
      <c r="H282" s="1445"/>
      <c r="I282" s="1445"/>
      <c r="J282" s="1445"/>
      <c r="K282" s="1445"/>
      <c r="L282" s="1445"/>
      <c r="M282" s="1445"/>
      <c r="N282" s="1445"/>
      <c r="O282" s="1445"/>
      <c r="P282" s="1445"/>
      <c r="Q282" s="878"/>
      <c r="R282" s="783"/>
      <c r="S282" s="1098"/>
      <c r="T282" s="1099"/>
      <c r="U282" s="1099"/>
      <c r="V282" s="1360"/>
      <c r="W282" s="1360"/>
      <c r="X282" s="387"/>
      <c r="Y282" s="1136"/>
      <c r="Z282" s="1099"/>
      <c r="AA282" s="1099"/>
      <c r="AB282" s="1135"/>
      <c r="AC282" s="1127"/>
      <c r="AD282" s="1127"/>
      <c r="AE282" s="1127"/>
      <c r="AF282" s="1099"/>
      <c r="AG282" s="1111"/>
    </row>
    <row r="283" spans="1:33" s="112" customFormat="1" ht="21" hidden="1" customHeight="1">
      <c r="A283" s="739" t="s">
        <v>407</v>
      </c>
      <c r="B283" s="1293" t="s">
        <v>173</v>
      </c>
      <c r="C283" s="1257"/>
      <c r="D283" s="1257"/>
      <c r="E283" s="1101"/>
      <c r="F283" s="1101"/>
      <c r="G283" s="1101"/>
      <c r="H283" s="1101"/>
      <c r="I283" s="1101"/>
      <c r="J283" s="1101"/>
      <c r="K283" s="1101"/>
      <c r="L283" s="1101"/>
      <c r="M283" s="1101"/>
      <c r="N283" s="1101"/>
      <c r="O283" s="1101"/>
      <c r="P283" s="1101"/>
      <c r="Q283" s="878"/>
      <c r="R283" s="783"/>
      <c r="S283" s="1098"/>
      <c r="T283" s="1099"/>
      <c r="U283" s="1099"/>
      <c r="V283" s="1078"/>
      <c r="W283" s="1078"/>
      <c r="X283" s="387"/>
      <c r="Y283" s="1136"/>
      <c r="Z283" s="1099"/>
      <c r="AA283" s="1099"/>
      <c r="AB283" s="1135"/>
      <c r="AC283" s="1127"/>
      <c r="AD283" s="1127"/>
      <c r="AE283" s="1127"/>
      <c r="AF283" s="1099"/>
      <c r="AG283" s="1111"/>
    </row>
    <row r="284" spans="1:33" s="112" customFormat="1" ht="21" hidden="1" customHeight="1">
      <c r="A284" s="739"/>
      <c r="B284" s="1101"/>
      <c r="C284" s="1434">
        <f>물질수지!O48</f>
        <v>199.29750000000001</v>
      </c>
      <c r="D284" s="1434"/>
      <c r="E284" s="1434"/>
      <c r="F284" s="1091" t="s">
        <v>51</v>
      </c>
      <c r="G284" s="531">
        <v>3</v>
      </c>
      <c r="H284" s="1091" t="s">
        <v>152</v>
      </c>
      <c r="I284" s="1330">
        <f>C284*G284</f>
        <v>597.89250000000004</v>
      </c>
      <c r="J284" s="1260"/>
      <c r="K284" s="1091" t="s">
        <v>174</v>
      </c>
      <c r="L284" s="1101"/>
      <c r="M284" s="1101"/>
      <c r="N284" s="1101"/>
      <c r="O284" s="1101"/>
      <c r="P284" s="1101"/>
      <c r="Q284" s="878"/>
      <c r="R284" s="783"/>
      <c r="S284" s="1098"/>
      <c r="T284" s="1099"/>
      <c r="U284" s="1099"/>
      <c r="V284" s="1078"/>
      <c r="W284" s="1078"/>
      <c r="X284" s="387"/>
      <c r="Y284" s="1136"/>
      <c r="Z284" s="1099"/>
      <c r="AA284" s="1099"/>
      <c r="AB284" s="1135"/>
      <c r="AC284" s="1127"/>
      <c r="AD284" s="1127"/>
      <c r="AE284" s="1127"/>
      <c r="AF284" s="1099"/>
      <c r="AG284" s="1111"/>
    </row>
    <row r="285" spans="1:33" s="112" customFormat="1" ht="21" hidden="1" customHeight="1">
      <c r="A285" s="739" t="s">
        <v>427</v>
      </c>
      <c r="B285" s="1101"/>
      <c r="C285" s="1260" t="s">
        <v>121</v>
      </c>
      <c r="D285" s="1260"/>
      <c r="E285" s="1260"/>
      <c r="F285" s="1260"/>
      <c r="G285" s="1260"/>
      <c r="H285" s="1260"/>
      <c r="I285" s="1260"/>
      <c r="J285" s="1260"/>
      <c r="K285" s="1260"/>
      <c r="L285" s="1260"/>
      <c r="M285" s="1260"/>
      <c r="N285" s="1260"/>
      <c r="O285" s="1101"/>
      <c r="P285" s="1101"/>
      <c r="Q285" s="878"/>
      <c r="R285" s="783"/>
      <c r="S285" s="1098"/>
      <c r="T285" s="1099"/>
      <c r="U285" s="1099"/>
      <c r="V285" s="1078"/>
      <c r="W285" s="1078"/>
      <c r="X285" s="387"/>
      <c r="Y285" s="1136"/>
      <c r="Z285" s="1099"/>
      <c r="AA285" s="1099"/>
      <c r="AB285" s="1135"/>
      <c r="AC285" s="1127"/>
      <c r="AD285" s="1127"/>
      <c r="AE285" s="1127"/>
      <c r="AF285" s="1099"/>
      <c r="AG285" s="1111"/>
    </row>
    <row r="286" spans="1:33" s="112" customFormat="1" ht="21" hidden="1" customHeight="1">
      <c r="A286" s="1116" t="s">
        <v>175</v>
      </c>
      <c r="B286" s="322"/>
      <c r="C286" s="1101"/>
      <c r="D286" s="1101"/>
      <c r="E286" s="1101"/>
      <c r="F286" s="1101"/>
      <c r="G286" s="1101"/>
      <c r="H286" s="1101"/>
      <c r="I286" s="1101"/>
      <c r="J286" s="1101"/>
      <c r="K286" s="1101"/>
      <c r="L286" s="1101"/>
      <c r="M286" s="1101"/>
      <c r="N286" s="1101"/>
      <c r="O286" s="1101"/>
      <c r="P286" s="1101"/>
      <c r="Q286" s="878"/>
      <c r="R286" s="783"/>
      <c r="S286" s="1098"/>
      <c r="T286" s="1099"/>
      <c r="U286" s="1099"/>
      <c r="V286" s="1078"/>
      <c r="W286" s="1078"/>
      <c r="X286" s="387"/>
      <c r="Y286" s="1136"/>
      <c r="Z286" s="1099"/>
      <c r="AA286" s="1099"/>
      <c r="AB286" s="1135"/>
      <c r="AC286" s="1127"/>
      <c r="AD286" s="1127"/>
      <c r="AE286" s="1127"/>
      <c r="AF286" s="1099"/>
      <c r="AG286" s="1111"/>
    </row>
    <row r="287" spans="1:33" s="112" customFormat="1" ht="21" hidden="1" customHeight="1">
      <c r="A287" s="1116" t="s">
        <v>176</v>
      </c>
      <c r="B287" s="1091" t="s">
        <v>177</v>
      </c>
      <c r="C287" s="309">
        <f>C275</f>
        <v>12.7</v>
      </c>
      <c r="D287" s="1091" t="s">
        <v>178</v>
      </c>
      <c r="E287" s="1091" t="s">
        <v>51</v>
      </c>
      <c r="F287" s="1091" t="s">
        <v>179</v>
      </c>
      <c r="G287" s="309">
        <v>6</v>
      </c>
      <c r="H287" s="1091" t="s">
        <v>178</v>
      </c>
      <c r="I287" s="1091" t="s">
        <v>51</v>
      </c>
      <c r="J287" s="1260" t="s">
        <v>180</v>
      </c>
      <c r="K287" s="1260"/>
      <c r="L287" s="1091" t="s">
        <v>181</v>
      </c>
      <c r="M287" s="309">
        <v>4.5</v>
      </c>
      <c r="N287" s="1091" t="s">
        <v>178</v>
      </c>
      <c r="O287" s="1091"/>
      <c r="P287" s="1101"/>
      <c r="Q287" s="878"/>
      <c r="R287" s="783"/>
      <c r="S287" s="1098"/>
      <c r="T287" s="1099"/>
      <c r="U287" s="1099"/>
      <c r="V287" s="1078"/>
      <c r="W287" s="1078"/>
      <c r="X287" s="387"/>
      <c r="Y287" s="1136"/>
      <c r="Z287" s="1099"/>
      <c r="AA287" s="1099"/>
      <c r="AB287" s="1135"/>
      <c r="AC287" s="1127"/>
      <c r="AD287" s="1127"/>
      <c r="AE287" s="1127"/>
      <c r="AF287" s="1099"/>
      <c r="AG287" s="1111"/>
    </row>
    <row r="288" spans="1:33" s="112" customFormat="1" ht="21" hidden="1" customHeight="1">
      <c r="A288" s="1116" t="s">
        <v>182</v>
      </c>
      <c r="B288" s="1101"/>
      <c r="C288" s="1101"/>
      <c r="D288" s="1101"/>
      <c r="E288" s="1101"/>
      <c r="F288" s="1101"/>
      <c r="G288" s="1101"/>
      <c r="H288" s="1091">
        <v>2</v>
      </c>
      <c r="I288" s="1101" t="s">
        <v>829</v>
      </c>
      <c r="J288" s="1101"/>
      <c r="K288" s="1101"/>
      <c r="L288" s="1101"/>
      <c r="M288" s="1101"/>
      <c r="N288" s="1101"/>
      <c r="O288" s="1101"/>
      <c r="P288" s="1101"/>
      <c r="Q288" s="878"/>
      <c r="R288" s="783"/>
      <c r="S288" s="1098"/>
      <c r="T288" s="1099"/>
      <c r="U288" s="1099"/>
      <c r="V288" s="1078"/>
      <c r="W288" s="1078"/>
      <c r="X288" s="387"/>
      <c r="Y288" s="1136"/>
      <c r="Z288" s="1099"/>
      <c r="AA288" s="1099"/>
      <c r="AB288" s="1135"/>
      <c r="AC288" s="1127"/>
      <c r="AD288" s="1127"/>
      <c r="AE288" s="1127"/>
      <c r="AF288" s="1099"/>
      <c r="AG288" s="1111"/>
    </row>
    <row r="289" spans="1:33" s="112" customFormat="1" ht="21" hidden="1" customHeight="1">
      <c r="A289" s="1116" t="s">
        <v>183</v>
      </c>
      <c r="B289" s="1091" t="s">
        <v>184</v>
      </c>
      <c r="C289" s="1091" t="s">
        <v>152</v>
      </c>
      <c r="D289" s="1260">
        <f>C287*G287*M287</f>
        <v>342.9</v>
      </c>
      <c r="E289" s="1260"/>
      <c r="F289" s="1260" t="s">
        <v>185</v>
      </c>
      <c r="G289" s="1260"/>
      <c r="H289" s="1091" t="s">
        <v>51</v>
      </c>
      <c r="I289" s="1091">
        <f>H288</f>
        <v>2</v>
      </c>
      <c r="J289" s="1091" t="s">
        <v>186</v>
      </c>
      <c r="K289" s="1091" t="s">
        <v>152</v>
      </c>
      <c r="L289" s="1291">
        <f>D289*I289</f>
        <v>685.8</v>
      </c>
      <c r="M289" s="1291"/>
      <c r="N289" s="1101"/>
      <c r="O289" s="1101"/>
      <c r="P289" s="1101"/>
      <c r="Q289" s="878"/>
      <c r="R289" s="783"/>
      <c r="S289" s="1098"/>
      <c r="T289" s="1099"/>
      <c r="U289" s="1099"/>
      <c r="V289" s="1078"/>
      <c r="W289" s="1078"/>
      <c r="X289" s="387"/>
      <c r="Y289" s="1136"/>
      <c r="Z289" s="1099"/>
      <c r="AA289" s="1099"/>
      <c r="AB289" s="1135"/>
      <c r="AC289" s="1127"/>
      <c r="AD289" s="1127"/>
      <c r="AE289" s="1127"/>
      <c r="AF289" s="1099"/>
      <c r="AG289" s="1111"/>
    </row>
    <row r="290" spans="1:33" s="112" customFormat="1" ht="21" hidden="1" customHeight="1">
      <c r="A290" s="739" t="s">
        <v>482</v>
      </c>
      <c r="B290" s="1101"/>
      <c r="C290" s="1101"/>
      <c r="D290" s="1101"/>
      <c r="E290" s="1101"/>
      <c r="F290" s="1101"/>
      <c r="G290" s="1101"/>
      <c r="H290" s="1101"/>
      <c r="I290" s="1101"/>
      <c r="J290" s="1101"/>
      <c r="K290" s="1101"/>
      <c r="L290" s="1101"/>
      <c r="M290" s="1101"/>
      <c r="N290" s="1101"/>
      <c r="O290" s="1101"/>
      <c r="P290" s="1101"/>
      <c r="Q290" s="878"/>
      <c r="R290" s="783"/>
      <c r="S290" s="1098"/>
      <c r="T290" s="1099"/>
      <c r="U290" s="1099"/>
      <c r="V290" s="1078"/>
      <c r="W290" s="1078"/>
      <c r="X290" s="387"/>
      <c r="Y290" s="1136"/>
      <c r="Z290" s="1099"/>
      <c r="AA290" s="1099"/>
      <c r="AB290" s="1135"/>
      <c r="AC290" s="1127"/>
      <c r="AD290" s="1127"/>
      <c r="AE290" s="1127"/>
      <c r="AF290" s="1099"/>
      <c r="AG290" s="1111"/>
    </row>
    <row r="291" spans="1:33" s="112" customFormat="1" ht="21" hidden="1" customHeight="1">
      <c r="A291" s="867" t="s">
        <v>187</v>
      </c>
      <c r="B291" s="1442">
        <f>L289</f>
        <v>685.8</v>
      </c>
      <c r="C291" s="1442"/>
      <c r="D291" s="1121" t="s">
        <v>52</v>
      </c>
      <c r="E291" s="1441">
        <f>C284</f>
        <v>199.29750000000001</v>
      </c>
      <c r="F291" s="1441"/>
      <c r="G291" s="1441"/>
      <c r="H291" s="1121" t="s">
        <v>152</v>
      </c>
      <c r="I291" s="1443">
        <f>B291/E291</f>
        <v>3.4410868174462794</v>
      </c>
      <c r="J291" s="1443"/>
      <c r="K291" s="1123"/>
      <c r="L291" s="1123"/>
      <c r="M291" s="1123"/>
      <c r="N291" s="1123"/>
      <c r="O291" s="1123"/>
      <c r="P291" s="1123"/>
      <c r="Q291" s="879"/>
      <c r="R291" s="783"/>
      <c r="S291" s="1098"/>
      <c r="T291" s="1099"/>
      <c r="U291" s="1099"/>
      <c r="V291" s="1078"/>
      <c r="W291" s="1078"/>
      <c r="X291" s="387"/>
      <c r="Y291" s="1136"/>
      <c r="Z291" s="1099"/>
      <c r="AA291" s="1099"/>
      <c r="AB291" s="1135"/>
      <c r="AC291" s="1127"/>
      <c r="AD291" s="1127"/>
      <c r="AE291" s="1127"/>
      <c r="AF291" s="1099"/>
      <c r="AG291" s="1111"/>
    </row>
    <row r="292" spans="1:33" ht="21.95" customHeight="1">
      <c r="A292" s="322"/>
      <c r="B292" s="1156"/>
      <c r="C292" s="1156"/>
      <c r="D292" s="1156"/>
      <c r="E292" s="1156"/>
      <c r="F292" s="1156"/>
      <c r="G292" s="1156"/>
      <c r="H292" s="1156"/>
      <c r="I292" s="1156"/>
      <c r="J292" s="1156"/>
      <c r="K292" s="1156"/>
      <c r="L292" s="1156"/>
      <c r="M292" s="1156"/>
      <c r="N292" s="1156"/>
      <c r="O292" s="1156"/>
      <c r="P292" s="1156"/>
      <c r="Q292" s="878"/>
      <c r="R292" s="321"/>
      <c r="S292" s="321"/>
      <c r="T292" s="321"/>
      <c r="U292" s="321"/>
      <c r="V292" s="321"/>
      <c r="W292" s="321"/>
      <c r="X292" s="321"/>
      <c r="Y292" s="321"/>
      <c r="Z292" s="321"/>
      <c r="AA292" s="321"/>
      <c r="AB292" s="321"/>
      <c r="AC292" s="321"/>
      <c r="AD292" s="321"/>
      <c r="AE292" s="321"/>
      <c r="AF292" s="321"/>
    </row>
    <row r="293" spans="1:33" ht="21.95" customHeight="1">
      <c r="A293" s="322"/>
      <c r="B293" s="1156"/>
      <c r="C293" s="1156"/>
      <c r="D293" s="1156"/>
      <c r="E293" s="1156"/>
      <c r="F293" s="1156"/>
      <c r="G293" s="1156"/>
      <c r="H293" s="1156"/>
      <c r="I293" s="1156"/>
      <c r="J293" s="1156"/>
      <c r="K293" s="1156"/>
      <c r="L293" s="1156"/>
      <c r="M293" s="1156"/>
      <c r="N293" s="1156"/>
      <c r="O293" s="1156"/>
      <c r="P293" s="1156"/>
      <c r="Q293" s="878"/>
      <c r="R293" s="321"/>
      <c r="S293" s="321"/>
      <c r="T293" s="321"/>
      <c r="U293" s="321"/>
      <c r="V293" s="321"/>
      <c r="W293" s="321"/>
      <c r="X293" s="321"/>
      <c r="Y293" s="321"/>
      <c r="Z293" s="321"/>
      <c r="AA293" s="321"/>
      <c r="AB293" s="321"/>
      <c r="AC293" s="321"/>
      <c r="AD293" s="321"/>
      <c r="AE293" s="321"/>
      <c r="AF293" s="321"/>
    </row>
    <row r="294" spans="1:33" ht="21.95" customHeight="1">
      <c r="A294" s="322"/>
      <c r="B294" s="1156"/>
      <c r="C294" s="1156"/>
      <c r="D294" s="1156"/>
      <c r="E294" s="1156"/>
      <c r="F294" s="662"/>
      <c r="G294" s="1156"/>
      <c r="H294" s="1156"/>
      <c r="I294" s="1156"/>
      <c r="J294" s="1156"/>
      <c r="K294" s="1156"/>
      <c r="L294" s="1156"/>
      <c r="M294" s="1156"/>
      <c r="N294" s="1156"/>
      <c r="O294" s="1156"/>
      <c r="P294" s="1156"/>
      <c r="Q294" s="878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</row>
    <row r="295" spans="1:33" ht="21.95" customHeight="1">
      <c r="A295" s="322"/>
      <c r="B295" s="1156"/>
      <c r="C295" s="1156"/>
      <c r="D295" s="1156"/>
      <c r="E295" s="1156"/>
      <c r="F295" s="1156"/>
      <c r="G295" s="1156"/>
      <c r="H295" s="1156"/>
      <c r="I295" s="662"/>
      <c r="J295" s="1156"/>
      <c r="K295" s="1156"/>
      <c r="L295" s="1156"/>
      <c r="M295" s="1156"/>
      <c r="N295" s="1156"/>
      <c r="O295" s="1156"/>
      <c r="P295" s="1156"/>
      <c r="Q295" s="878"/>
      <c r="R295" s="321"/>
      <c r="S295" s="321"/>
      <c r="T295" s="321"/>
      <c r="U295" s="321"/>
      <c r="V295" s="321"/>
      <c r="W295" s="321"/>
      <c r="X295" s="321"/>
      <c r="Y295" s="321"/>
      <c r="Z295" s="321"/>
      <c r="AA295" s="321"/>
      <c r="AB295" s="321"/>
      <c r="AC295" s="321"/>
      <c r="AD295" s="321"/>
      <c r="AE295" s="321"/>
      <c r="AF295" s="321"/>
    </row>
    <row r="296" spans="1:33" ht="21.95" customHeight="1">
      <c r="A296" s="322"/>
      <c r="B296" s="1156"/>
      <c r="C296" s="1156"/>
      <c r="D296" s="1156"/>
      <c r="E296" s="1156"/>
      <c r="F296" s="1156"/>
      <c r="G296" s="1156"/>
      <c r="H296" s="1156"/>
      <c r="I296" s="1156"/>
      <c r="J296" s="1156"/>
      <c r="K296" s="1156"/>
      <c r="L296" s="1156"/>
      <c r="M296" s="1156"/>
      <c r="N296" s="1156"/>
      <c r="O296" s="1156"/>
      <c r="P296" s="1156"/>
      <c r="Q296" s="878"/>
      <c r="R296" s="321"/>
      <c r="S296" s="321"/>
      <c r="T296" s="321"/>
      <c r="U296" s="321"/>
      <c r="V296" s="321"/>
      <c r="W296" s="321"/>
      <c r="X296" s="321"/>
      <c r="Y296" s="321"/>
      <c r="Z296" s="321"/>
      <c r="AA296" s="321"/>
      <c r="AB296" s="321"/>
      <c r="AC296" s="321"/>
      <c r="AD296" s="321"/>
      <c r="AE296" s="321"/>
      <c r="AF296" s="321"/>
    </row>
    <row r="297" spans="1:33" ht="21.95" customHeight="1">
      <c r="A297" s="322"/>
      <c r="B297" s="1156"/>
      <c r="C297" s="1156"/>
      <c r="D297" s="1156"/>
      <c r="E297" s="1156"/>
      <c r="F297" s="1156"/>
      <c r="G297" s="1156"/>
      <c r="H297" s="1156"/>
      <c r="I297" s="1156"/>
      <c r="J297" s="1156"/>
      <c r="K297" s="1156"/>
      <c r="L297" s="1156"/>
      <c r="M297" s="1156"/>
      <c r="N297" s="1156"/>
      <c r="O297" s="1156"/>
      <c r="P297" s="1156"/>
      <c r="Q297" s="878"/>
      <c r="R297" s="321"/>
      <c r="S297" s="321"/>
      <c r="T297" s="321"/>
      <c r="U297" s="321"/>
      <c r="V297" s="321"/>
      <c r="W297" s="321"/>
      <c r="X297" s="321"/>
      <c r="Y297" s="321"/>
      <c r="Z297" s="321"/>
      <c r="AA297" s="321"/>
      <c r="AB297" s="321"/>
      <c r="AC297" s="321"/>
      <c r="AD297" s="321"/>
      <c r="AE297" s="321"/>
      <c r="AF297" s="321"/>
    </row>
    <row r="298" spans="1:33" ht="21.95" customHeight="1">
      <c r="A298" s="322"/>
      <c r="B298" s="1156"/>
      <c r="C298" s="1156"/>
      <c r="D298" s="1156"/>
      <c r="E298" s="1156"/>
      <c r="F298" s="1156"/>
      <c r="G298" s="1156"/>
      <c r="H298" s="1156"/>
      <c r="I298" s="1156"/>
      <c r="J298" s="1156"/>
      <c r="K298" s="1156"/>
      <c r="L298" s="1156"/>
      <c r="M298" s="1156"/>
      <c r="N298" s="1156"/>
      <c r="O298" s="1156"/>
      <c r="P298" s="1156"/>
      <c r="Q298" s="878"/>
      <c r="R298" s="321"/>
      <c r="S298" s="321"/>
      <c r="T298" s="321"/>
      <c r="U298" s="321"/>
      <c r="V298" s="321"/>
      <c r="W298" s="321"/>
      <c r="X298" s="321"/>
      <c r="Y298" s="321"/>
      <c r="Z298" s="321"/>
      <c r="AA298" s="321"/>
      <c r="AB298" s="321"/>
      <c r="AC298" s="321"/>
      <c r="AD298" s="321"/>
      <c r="AE298" s="321"/>
      <c r="AF298" s="321"/>
    </row>
    <row r="299" spans="1:33" ht="21.95" customHeight="1">
      <c r="A299" s="322"/>
      <c r="B299" s="1156"/>
      <c r="C299" s="1156"/>
      <c r="D299" s="1156"/>
      <c r="E299" s="1156"/>
      <c r="F299" s="1156"/>
      <c r="G299" s="1156"/>
      <c r="H299" s="1156"/>
      <c r="I299" s="1156"/>
      <c r="J299" s="1156"/>
      <c r="K299" s="1156"/>
      <c r="L299" s="1156"/>
      <c r="M299" s="1156"/>
      <c r="N299" s="1156"/>
      <c r="O299" s="1156"/>
      <c r="P299" s="1156"/>
      <c r="Q299" s="878"/>
      <c r="R299" s="321"/>
      <c r="S299" s="321"/>
      <c r="T299" s="321"/>
      <c r="U299" s="321"/>
      <c r="V299" s="321"/>
      <c r="W299" s="321"/>
      <c r="X299" s="321"/>
      <c r="Y299" s="321"/>
      <c r="Z299" s="321"/>
      <c r="AA299" s="321"/>
      <c r="AB299" s="321"/>
      <c r="AC299" s="321"/>
      <c r="AD299" s="321"/>
      <c r="AE299" s="321"/>
      <c r="AF299" s="321"/>
    </row>
    <row r="300" spans="1:33" ht="21.95" customHeight="1">
      <c r="A300" s="322"/>
      <c r="B300" s="1156"/>
      <c r="C300" s="1156"/>
      <c r="D300" s="1156"/>
      <c r="E300" s="1156"/>
      <c r="F300" s="1156"/>
      <c r="G300" s="1156"/>
      <c r="H300" s="1156"/>
      <c r="I300" s="1156"/>
      <c r="J300" s="1156"/>
      <c r="K300" s="1156"/>
      <c r="L300" s="1156"/>
      <c r="M300" s="1156"/>
      <c r="N300" s="1156"/>
      <c r="O300" s="1156"/>
      <c r="P300" s="1156"/>
      <c r="Q300" s="878"/>
      <c r="R300" s="321"/>
      <c r="S300" s="321"/>
      <c r="T300" s="321"/>
      <c r="U300" s="321"/>
      <c r="V300" s="321"/>
      <c r="W300" s="321"/>
      <c r="X300" s="321"/>
      <c r="Y300" s="321"/>
      <c r="Z300" s="321"/>
      <c r="AA300" s="321"/>
      <c r="AB300" s="321"/>
      <c r="AC300" s="321"/>
      <c r="AD300" s="321"/>
      <c r="AE300" s="321"/>
      <c r="AF300" s="321"/>
    </row>
    <row r="301" spans="1:33" ht="21.95" customHeight="1">
      <c r="A301" s="322"/>
      <c r="B301" s="1156"/>
      <c r="C301" s="1156"/>
      <c r="D301" s="1156"/>
      <c r="E301" s="1156"/>
      <c r="F301" s="1156"/>
      <c r="G301" s="1156"/>
      <c r="H301" s="1156"/>
      <c r="I301" s="1156"/>
      <c r="J301" s="1156"/>
      <c r="K301" s="1156"/>
      <c r="L301" s="1156"/>
      <c r="M301" s="1156"/>
      <c r="N301" s="1156"/>
      <c r="O301" s="1156"/>
      <c r="P301" s="1156"/>
      <c r="Q301" s="878"/>
      <c r="R301" s="321"/>
      <c r="S301" s="321"/>
      <c r="T301" s="321"/>
      <c r="U301" s="321"/>
      <c r="V301" s="321"/>
      <c r="W301" s="321"/>
      <c r="X301" s="321"/>
      <c r="Y301" s="321"/>
      <c r="Z301" s="321"/>
      <c r="AA301" s="321"/>
      <c r="AB301" s="321"/>
      <c r="AC301" s="321"/>
      <c r="AD301" s="321"/>
      <c r="AE301" s="321"/>
      <c r="AF301" s="321"/>
    </row>
    <row r="302" spans="1:33" ht="21.95" customHeight="1">
      <c r="A302" s="322"/>
      <c r="B302" s="1156"/>
      <c r="C302" s="1156"/>
      <c r="D302" s="1156"/>
      <c r="E302" s="1156"/>
      <c r="F302" s="1156"/>
      <c r="G302" s="1156"/>
      <c r="H302" s="1156"/>
      <c r="I302" s="1156"/>
      <c r="J302" s="1156"/>
      <c r="K302" s="1156"/>
      <c r="L302" s="1156"/>
      <c r="M302" s="1156"/>
      <c r="N302" s="1156"/>
      <c r="O302" s="1156"/>
      <c r="P302" s="1156"/>
      <c r="Q302" s="878"/>
      <c r="R302" s="321"/>
      <c r="S302" s="321"/>
      <c r="T302" s="321"/>
      <c r="U302" s="321"/>
      <c r="V302" s="321"/>
      <c r="W302" s="321"/>
      <c r="X302" s="321"/>
      <c r="Y302" s="321"/>
      <c r="Z302" s="321"/>
      <c r="AA302" s="321"/>
      <c r="AB302" s="321"/>
      <c r="AC302" s="321"/>
      <c r="AD302" s="321"/>
      <c r="AE302" s="321"/>
      <c r="AF302" s="321"/>
    </row>
    <row r="303" spans="1:33" ht="21.95" customHeight="1">
      <c r="A303" s="322"/>
      <c r="B303" s="1156"/>
      <c r="C303" s="1156"/>
      <c r="D303" s="1156"/>
      <c r="E303" s="1156"/>
      <c r="F303" s="1156"/>
      <c r="G303" s="1156"/>
      <c r="H303" s="1156"/>
      <c r="I303" s="1156"/>
      <c r="J303" s="1156"/>
      <c r="K303" s="1156"/>
      <c r="L303" s="1156"/>
      <c r="M303" s="1156"/>
      <c r="N303" s="1156"/>
      <c r="O303" s="1156"/>
      <c r="P303" s="1156"/>
      <c r="Q303" s="878"/>
      <c r="R303" s="321"/>
      <c r="S303" s="321"/>
      <c r="T303" s="321"/>
      <c r="U303" s="321"/>
      <c r="V303" s="321"/>
      <c r="W303" s="321"/>
      <c r="X303" s="321"/>
      <c r="Y303" s="321"/>
      <c r="Z303" s="321"/>
      <c r="AA303" s="321"/>
      <c r="AB303" s="321"/>
      <c r="AC303" s="321"/>
      <c r="AD303" s="321"/>
      <c r="AE303" s="321"/>
      <c r="AF303" s="321"/>
    </row>
    <row r="304" spans="1:33" ht="21.95" customHeight="1">
      <c r="A304" s="322"/>
      <c r="B304" s="1156"/>
      <c r="C304" s="1156"/>
      <c r="D304" s="1156"/>
      <c r="E304" s="1156"/>
      <c r="F304" s="1156"/>
      <c r="G304" s="1156"/>
      <c r="H304" s="1156"/>
      <c r="I304" s="1156"/>
      <c r="J304" s="1156"/>
      <c r="K304" s="1156"/>
      <c r="L304" s="1156"/>
      <c r="M304" s="1156"/>
      <c r="N304" s="1156"/>
      <c r="O304" s="1156"/>
      <c r="P304" s="1156"/>
      <c r="Q304" s="878"/>
      <c r="R304" s="321"/>
      <c r="S304" s="321"/>
      <c r="T304" s="321"/>
      <c r="U304" s="321"/>
      <c r="V304" s="321"/>
      <c r="W304" s="321"/>
      <c r="X304" s="321"/>
      <c r="Y304" s="321"/>
      <c r="Z304" s="321"/>
      <c r="AA304" s="321"/>
      <c r="AB304" s="321"/>
      <c r="AC304" s="321"/>
      <c r="AD304" s="321"/>
      <c r="AE304" s="321"/>
      <c r="AF304" s="321"/>
    </row>
    <row r="305" spans="1:33" ht="21.95" customHeight="1">
      <c r="A305" s="322"/>
      <c r="B305" s="1156"/>
      <c r="C305" s="1156"/>
      <c r="D305" s="1156"/>
      <c r="E305" s="1156"/>
      <c r="F305" s="1156"/>
      <c r="G305" s="1156"/>
      <c r="H305" s="1156"/>
      <c r="I305" s="1156"/>
      <c r="J305" s="1156"/>
      <c r="K305" s="1156"/>
      <c r="L305" s="1156"/>
      <c r="M305" s="1156"/>
      <c r="N305" s="1156"/>
      <c r="O305" s="1156"/>
      <c r="P305" s="1156"/>
      <c r="Q305" s="878"/>
      <c r="R305" s="321"/>
      <c r="S305" s="321"/>
      <c r="T305" s="321"/>
      <c r="U305" s="321"/>
      <c r="V305" s="321"/>
      <c r="W305" s="321"/>
      <c r="X305" s="321"/>
      <c r="Y305" s="321"/>
      <c r="Z305" s="321"/>
      <c r="AA305" s="321"/>
      <c r="AB305" s="321"/>
      <c r="AC305" s="321"/>
      <c r="AD305" s="321"/>
      <c r="AE305" s="321"/>
      <c r="AF305" s="321"/>
    </row>
    <row r="306" spans="1:33" ht="21.95" customHeight="1">
      <c r="A306" s="322"/>
      <c r="B306" s="1156"/>
      <c r="C306" s="1156"/>
      <c r="D306" s="1156"/>
      <c r="E306" s="1156"/>
      <c r="F306" s="1156"/>
      <c r="G306" s="1156"/>
      <c r="H306" s="1156"/>
      <c r="I306" s="1156"/>
      <c r="J306" s="1156"/>
      <c r="K306" s="1156"/>
      <c r="L306" s="1156"/>
      <c r="M306" s="1156"/>
      <c r="N306" s="1156"/>
      <c r="O306" s="1156"/>
      <c r="P306" s="1156"/>
      <c r="Q306" s="878"/>
      <c r="R306" s="321"/>
      <c r="S306" s="321"/>
      <c r="T306" s="321"/>
      <c r="U306" s="321"/>
      <c r="V306" s="321"/>
      <c r="W306" s="321"/>
      <c r="X306" s="321"/>
      <c r="Y306" s="321"/>
      <c r="Z306" s="321"/>
      <c r="AA306" s="321"/>
      <c r="AB306" s="321"/>
      <c r="AC306" s="321"/>
      <c r="AD306" s="321"/>
      <c r="AE306" s="321"/>
      <c r="AF306" s="321"/>
    </row>
    <row r="307" spans="1:33" ht="21.95" customHeight="1">
      <c r="A307" s="322"/>
      <c r="B307" s="1156"/>
      <c r="C307" s="1156"/>
      <c r="D307" s="1156"/>
      <c r="E307" s="1156"/>
      <c r="F307" s="1156"/>
      <c r="G307" s="1156"/>
      <c r="H307" s="1156"/>
      <c r="I307" s="1156"/>
      <c r="J307" s="1156"/>
      <c r="K307" s="1156"/>
      <c r="L307" s="1156"/>
      <c r="M307" s="1156"/>
      <c r="N307" s="1156"/>
      <c r="O307" s="1156"/>
      <c r="P307" s="1156"/>
      <c r="Q307" s="878"/>
      <c r="R307" s="321"/>
      <c r="S307" s="321"/>
      <c r="T307" s="321"/>
      <c r="U307" s="321"/>
      <c r="V307" s="321"/>
      <c r="W307" s="321"/>
      <c r="X307" s="321"/>
      <c r="Y307" s="321"/>
      <c r="Z307" s="321"/>
      <c r="AA307" s="321"/>
      <c r="AB307" s="321"/>
      <c r="AC307" s="321"/>
      <c r="AD307" s="321"/>
      <c r="AE307" s="321"/>
      <c r="AF307" s="321"/>
    </row>
    <row r="308" spans="1:33" ht="21.95" customHeight="1">
      <c r="A308" s="322"/>
      <c r="B308" s="1156"/>
      <c r="C308" s="1156"/>
      <c r="D308" s="1156"/>
      <c r="E308" s="1156"/>
      <c r="F308" s="1156"/>
      <c r="G308" s="1156"/>
      <c r="H308" s="1156"/>
      <c r="I308" s="1156"/>
      <c r="J308" s="1156"/>
      <c r="K308" s="1156"/>
      <c r="L308" s="1156"/>
      <c r="M308" s="1156"/>
      <c r="N308" s="1156"/>
      <c r="O308" s="1156"/>
      <c r="P308" s="1156"/>
      <c r="Q308" s="878"/>
      <c r="R308" s="321"/>
      <c r="S308" s="321"/>
      <c r="T308" s="321"/>
      <c r="U308" s="321"/>
      <c r="V308" s="321"/>
      <c r="W308" s="321"/>
      <c r="X308" s="321"/>
      <c r="Y308" s="321"/>
      <c r="Z308" s="321"/>
      <c r="AA308" s="321"/>
      <c r="AB308" s="321"/>
      <c r="AC308" s="321"/>
      <c r="AD308" s="321"/>
      <c r="AE308" s="321"/>
      <c r="AF308" s="321"/>
    </row>
    <row r="309" spans="1:33" ht="21.95" customHeight="1">
      <c r="A309" s="322"/>
      <c r="B309" s="1156"/>
      <c r="C309" s="1156"/>
      <c r="D309" s="1156"/>
      <c r="E309" s="1156"/>
      <c r="F309" s="1156"/>
      <c r="G309" s="1156"/>
      <c r="H309" s="1156"/>
      <c r="I309" s="1156"/>
      <c r="J309" s="1156"/>
      <c r="K309" s="1156"/>
      <c r="L309" s="1156"/>
      <c r="M309" s="1156"/>
      <c r="N309" s="1156"/>
      <c r="O309" s="1156"/>
      <c r="P309" s="1156"/>
      <c r="Q309" s="878"/>
      <c r="R309" s="321"/>
      <c r="S309" s="321"/>
      <c r="T309" s="321"/>
      <c r="U309" s="321"/>
      <c r="V309" s="321"/>
      <c r="W309" s="321"/>
      <c r="X309" s="321"/>
      <c r="Y309" s="321"/>
      <c r="Z309" s="321"/>
      <c r="AA309" s="321"/>
      <c r="AB309" s="321"/>
      <c r="AC309" s="321"/>
      <c r="AD309" s="321"/>
      <c r="AE309" s="321"/>
      <c r="AF309" s="321"/>
    </row>
    <row r="310" spans="1:33" ht="21.95" customHeight="1">
      <c r="A310" s="322"/>
      <c r="B310" s="1156"/>
      <c r="C310" s="1156"/>
      <c r="D310" s="1156"/>
      <c r="E310" s="1156"/>
      <c r="F310" s="1156"/>
      <c r="G310" s="1156"/>
      <c r="H310" s="1156"/>
      <c r="I310" s="1156"/>
      <c r="J310" s="1156"/>
      <c r="K310" s="1156"/>
      <c r="L310" s="1156"/>
      <c r="M310" s="1156"/>
      <c r="N310" s="1156"/>
      <c r="O310" s="1156"/>
      <c r="P310" s="1156"/>
      <c r="Q310" s="878"/>
      <c r="R310" s="321"/>
      <c r="S310" s="321"/>
      <c r="T310" s="321"/>
      <c r="U310" s="321"/>
      <c r="V310" s="321"/>
      <c r="W310" s="321"/>
      <c r="X310" s="321"/>
      <c r="Y310" s="321"/>
      <c r="Z310" s="321"/>
      <c r="AA310" s="321"/>
      <c r="AB310" s="321"/>
      <c r="AC310" s="321"/>
      <c r="AD310" s="321"/>
      <c r="AE310" s="321"/>
      <c r="AF310" s="321"/>
    </row>
    <row r="311" spans="1:33" ht="21.95" customHeight="1">
      <c r="A311" s="322"/>
      <c r="B311" s="1156"/>
      <c r="C311" s="1156"/>
      <c r="D311" s="1156"/>
      <c r="E311" s="1156"/>
      <c r="F311" s="1156"/>
      <c r="G311" s="1156"/>
      <c r="H311" s="1156"/>
      <c r="I311" s="1156"/>
      <c r="J311" s="1156"/>
      <c r="K311" s="1156"/>
      <c r="L311" s="1156"/>
      <c r="M311" s="1156"/>
      <c r="N311" s="1156"/>
      <c r="O311" s="1156"/>
      <c r="P311" s="1156"/>
      <c r="Q311" s="878"/>
      <c r="R311" s="321"/>
      <c r="S311" s="321"/>
      <c r="T311" s="321"/>
      <c r="U311" s="321"/>
      <c r="V311" s="321"/>
      <c r="W311" s="321"/>
      <c r="X311" s="321"/>
      <c r="Y311" s="321"/>
      <c r="Z311" s="321"/>
      <c r="AA311" s="321"/>
      <c r="AB311" s="321"/>
      <c r="AC311" s="321"/>
      <c r="AD311" s="321"/>
      <c r="AE311" s="321"/>
      <c r="AF311" s="321"/>
    </row>
    <row r="312" spans="1:33" ht="21.95" customHeight="1">
      <c r="A312" s="322"/>
      <c r="B312" s="1156"/>
      <c r="C312" s="1156"/>
      <c r="D312" s="1156"/>
      <c r="E312" s="1156"/>
      <c r="F312" s="1156"/>
      <c r="G312" s="1156"/>
      <c r="H312" s="1156"/>
      <c r="I312" s="1156"/>
      <c r="J312" s="1156"/>
      <c r="K312" s="1156"/>
      <c r="L312" s="1156"/>
      <c r="M312" s="1156"/>
      <c r="N312" s="1156"/>
      <c r="O312" s="1156"/>
      <c r="P312" s="1156"/>
      <c r="Q312" s="878"/>
      <c r="R312" s="321"/>
      <c r="S312" s="321"/>
      <c r="T312" s="321"/>
      <c r="U312" s="321"/>
      <c r="V312" s="321"/>
      <c r="W312" s="321"/>
      <c r="X312" s="321"/>
      <c r="Y312" s="321"/>
      <c r="Z312" s="321"/>
      <c r="AA312" s="321"/>
      <c r="AB312" s="321"/>
      <c r="AC312" s="321"/>
      <c r="AD312" s="321"/>
      <c r="AE312" s="321"/>
      <c r="AF312" s="321"/>
    </row>
    <row r="313" spans="1:33" ht="21.95" customHeight="1">
      <c r="A313" s="322"/>
      <c r="B313" s="1156"/>
      <c r="C313" s="1156"/>
      <c r="D313" s="1156"/>
      <c r="E313" s="1156"/>
      <c r="F313" s="1156"/>
      <c r="G313" s="1156"/>
      <c r="H313" s="1156"/>
      <c r="I313" s="1156"/>
      <c r="J313" s="1156"/>
      <c r="K313" s="1156"/>
      <c r="L313" s="1156"/>
      <c r="M313" s="1156"/>
      <c r="N313" s="1156"/>
      <c r="O313" s="1156"/>
      <c r="P313" s="1156"/>
      <c r="Q313" s="878"/>
      <c r="R313" s="321"/>
      <c r="S313" s="321"/>
      <c r="T313" s="321"/>
      <c r="U313" s="321"/>
      <c r="V313" s="321"/>
      <c r="W313" s="321"/>
      <c r="X313" s="321"/>
      <c r="Y313" s="321"/>
      <c r="Z313" s="321"/>
      <c r="AA313" s="321"/>
      <c r="AB313" s="321"/>
      <c r="AC313" s="321"/>
      <c r="AD313" s="321"/>
      <c r="AE313" s="321"/>
      <c r="AF313" s="321"/>
    </row>
    <row r="314" spans="1:33" s="112" customFormat="1" ht="21.95" customHeight="1">
      <c r="A314" s="1108"/>
      <c r="B314" s="1155"/>
      <c r="C314" s="1155"/>
      <c r="D314" s="1091"/>
      <c r="E314" s="394"/>
      <c r="F314" s="394"/>
      <c r="G314" s="394"/>
      <c r="H314" s="1091"/>
      <c r="I314" s="395"/>
      <c r="J314" s="395"/>
      <c r="K314" s="1101"/>
      <c r="L314" s="1101"/>
      <c r="M314" s="1101"/>
      <c r="N314" s="1101"/>
      <c r="O314" s="1101"/>
      <c r="P314" s="1101"/>
      <c r="Q314" s="878"/>
      <c r="R314" s="1098"/>
      <c r="S314" s="1098"/>
      <c r="T314" s="1099"/>
      <c r="U314" s="1099"/>
      <c r="V314" s="1078"/>
      <c r="W314" s="1078"/>
      <c r="X314" s="387"/>
      <c r="Y314" s="1136"/>
      <c r="Z314" s="1099"/>
      <c r="AA314" s="1099"/>
      <c r="AB314" s="1135"/>
      <c r="AC314" s="1127"/>
      <c r="AD314" s="1127"/>
      <c r="AE314" s="1127"/>
      <c r="AF314" s="1099"/>
      <c r="AG314" s="1111"/>
    </row>
    <row r="315" spans="1:33" s="112" customFormat="1" ht="21.95" customHeight="1">
      <c r="A315" s="1108"/>
      <c r="B315" s="1155"/>
      <c r="C315" s="1155"/>
      <c r="D315" s="1091"/>
      <c r="E315" s="394"/>
      <c r="F315" s="394"/>
      <c r="G315" s="394"/>
      <c r="H315" s="1091"/>
      <c r="I315" s="395"/>
      <c r="J315" s="395"/>
      <c r="K315" s="1101"/>
      <c r="L315" s="1101"/>
      <c r="M315" s="1101"/>
      <c r="N315" s="1101"/>
      <c r="O315" s="1101"/>
      <c r="P315" s="1101"/>
      <c r="Q315" s="884"/>
      <c r="R315" s="1098"/>
      <c r="S315" s="1098"/>
      <c r="T315" s="1099"/>
      <c r="U315" s="1099"/>
      <c r="V315" s="1078"/>
      <c r="W315" s="1078"/>
      <c r="X315" s="387"/>
      <c r="Y315" s="1136"/>
      <c r="Z315" s="1099"/>
      <c r="AA315" s="1099"/>
      <c r="AB315" s="1135"/>
      <c r="AC315" s="1127"/>
      <c r="AD315" s="1127"/>
      <c r="AE315" s="1127"/>
      <c r="AF315" s="1099"/>
      <c r="AG315" s="1111"/>
    </row>
    <row r="316" spans="1:33" s="112" customFormat="1" ht="21.95" customHeight="1">
      <c r="A316" s="1149"/>
      <c r="B316" s="1091"/>
      <c r="C316" s="1091"/>
      <c r="D316" s="1091"/>
      <c r="E316" s="1091"/>
      <c r="F316" s="1091"/>
      <c r="G316" s="1091"/>
      <c r="H316" s="1091"/>
      <c r="I316" s="1091"/>
      <c r="J316" s="1091"/>
      <c r="K316" s="1091"/>
      <c r="L316" s="1091"/>
      <c r="M316" s="1091"/>
      <c r="N316" s="1091"/>
      <c r="O316" s="1091"/>
      <c r="P316" s="1091"/>
      <c r="Q316" s="884"/>
      <c r="R316" s="1098"/>
      <c r="S316" s="1098"/>
      <c r="T316" s="1099"/>
      <c r="U316" s="1099"/>
      <c r="V316" s="1078"/>
      <c r="W316" s="1078"/>
      <c r="X316" s="387"/>
      <c r="Y316" s="1136"/>
      <c r="Z316" s="1099"/>
      <c r="AA316" s="1099"/>
      <c r="AB316" s="1135"/>
      <c r="AC316" s="1127"/>
      <c r="AD316" s="1127"/>
      <c r="AE316" s="1127"/>
      <c r="AF316" s="1099"/>
      <c r="AG316" s="1111"/>
    </row>
    <row r="317" spans="1:33" s="112" customFormat="1" ht="21.95" customHeight="1">
      <c r="A317" s="1149"/>
      <c r="B317" s="1091"/>
      <c r="C317" s="1091"/>
      <c r="D317" s="1091"/>
      <c r="E317" s="1091"/>
      <c r="F317" s="1091"/>
      <c r="G317" s="1091"/>
      <c r="H317" s="1091"/>
      <c r="I317" s="1091"/>
      <c r="J317" s="1091"/>
      <c r="K317" s="1091"/>
      <c r="L317" s="1091"/>
      <c r="M317" s="1091"/>
      <c r="N317" s="1091"/>
      <c r="O317" s="1091"/>
      <c r="P317" s="1091"/>
      <c r="Q317" s="884"/>
      <c r="R317" s="1098"/>
      <c r="S317" s="1098"/>
      <c r="T317" s="1099"/>
      <c r="U317" s="1099"/>
      <c r="V317" s="1078"/>
      <c r="W317" s="1078"/>
      <c r="X317" s="387"/>
      <c r="Y317" s="1136"/>
      <c r="Z317" s="1099"/>
      <c r="AA317" s="1099"/>
      <c r="AB317" s="1135"/>
      <c r="AC317" s="1127"/>
      <c r="AD317" s="1127"/>
      <c r="AE317" s="1127"/>
      <c r="AF317" s="1099"/>
      <c r="AG317" s="1111"/>
    </row>
    <row r="318" spans="1:33" s="112" customFormat="1" ht="21.95" customHeight="1">
      <c r="A318" s="1149"/>
      <c r="B318" s="1091"/>
      <c r="C318" s="1091"/>
      <c r="D318" s="1091"/>
      <c r="E318" s="1091"/>
      <c r="F318" s="1091"/>
      <c r="G318" s="1091"/>
      <c r="H318" s="1091"/>
      <c r="I318" s="1091"/>
      <c r="J318" s="1091"/>
      <c r="K318" s="1091"/>
      <c r="L318" s="1091"/>
      <c r="M318" s="1091"/>
      <c r="N318" s="1091"/>
      <c r="O318" s="1091"/>
      <c r="P318" s="1091"/>
      <c r="Q318" s="884"/>
      <c r="R318" s="1098"/>
      <c r="S318" s="1098"/>
      <c r="T318" s="1099"/>
      <c r="U318" s="1099"/>
      <c r="V318" s="1078"/>
      <c r="W318" s="1078"/>
      <c r="X318" s="387"/>
      <c r="Y318" s="1136"/>
      <c r="Z318" s="1099"/>
      <c r="AA318" s="1099"/>
      <c r="AB318" s="1135"/>
      <c r="AC318" s="1127"/>
      <c r="AD318" s="1127"/>
      <c r="AE318" s="1127"/>
      <c r="AF318" s="1099"/>
      <c r="AG318" s="1111"/>
    </row>
    <row r="319" spans="1:33" s="112" customFormat="1" ht="21.95" customHeight="1">
      <c r="A319" s="1149"/>
      <c r="B319" s="1091"/>
      <c r="C319" s="1091"/>
      <c r="D319" s="1091"/>
      <c r="E319" s="1091"/>
      <c r="F319" s="1091"/>
      <c r="G319" s="1091"/>
      <c r="H319" s="1091"/>
      <c r="I319" s="1091"/>
      <c r="J319" s="1091"/>
      <c r="K319" s="1091"/>
      <c r="L319" s="1091"/>
      <c r="M319" s="1091"/>
      <c r="N319" s="1091"/>
      <c r="O319" s="1091"/>
      <c r="P319" s="1091"/>
      <c r="Q319" s="884"/>
      <c r="R319" s="396"/>
      <c r="S319" s="1098"/>
      <c r="T319" s="1099"/>
      <c r="U319" s="1099"/>
      <c r="V319" s="1078"/>
      <c r="W319" s="1078"/>
      <c r="X319" s="387"/>
      <c r="Y319" s="1136"/>
      <c r="Z319" s="1099"/>
      <c r="AA319" s="1099"/>
      <c r="AB319" s="1135"/>
      <c r="AC319" s="1127"/>
      <c r="AD319" s="1127"/>
      <c r="AE319" s="1127"/>
      <c r="AF319" s="1099"/>
      <c r="AG319" s="1111"/>
    </row>
    <row r="320" spans="1:33" s="112" customFormat="1" ht="21.95" customHeight="1">
      <c r="A320" s="1149"/>
      <c r="B320" s="1091"/>
      <c r="C320" s="1091"/>
      <c r="D320" s="1091"/>
      <c r="E320" s="1091"/>
      <c r="F320" s="1091"/>
      <c r="G320" s="1091"/>
      <c r="H320" s="1091"/>
      <c r="I320" s="1091"/>
      <c r="J320" s="1091"/>
      <c r="K320" s="1091"/>
      <c r="L320" s="1091"/>
      <c r="M320" s="1091"/>
      <c r="N320" s="1091"/>
      <c r="O320" s="1091"/>
      <c r="P320" s="1091"/>
      <c r="Q320" s="884"/>
      <c r="R320" s="1098"/>
      <c r="S320" s="1098"/>
      <c r="T320" s="1099"/>
      <c r="U320" s="1099"/>
      <c r="V320" s="1078"/>
      <c r="W320" s="1078"/>
      <c r="X320" s="387"/>
      <c r="Y320" s="1136"/>
      <c r="Z320" s="1099"/>
      <c r="AA320" s="1099"/>
      <c r="AB320" s="1135"/>
      <c r="AC320" s="1127"/>
      <c r="AD320" s="1127"/>
      <c r="AE320" s="1127"/>
      <c r="AF320" s="1099"/>
      <c r="AG320" s="1111"/>
    </row>
    <row r="321" spans="1:33" s="112" customFormat="1" ht="21.95" customHeight="1">
      <c r="A321" s="1149"/>
      <c r="B321" s="1091"/>
      <c r="C321" s="1091"/>
      <c r="D321" s="1091"/>
      <c r="E321" s="1091"/>
      <c r="F321" s="1091"/>
      <c r="G321" s="1091"/>
      <c r="H321" s="1091"/>
      <c r="I321" s="1091"/>
      <c r="J321" s="1091"/>
      <c r="K321" s="1091"/>
      <c r="L321" s="1091"/>
      <c r="M321" s="1091"/>
      <c r="N321" s="1091"/>
      <c r="O321" s="1091"/>
      <c r="P321" s="1091"/>
      <c r="Q321" s="884"/>
      <c r="R321" s="1098"/>
      <c r="S321" s="1098"/>
      <c r="T321" s="1099"/>
      <c r="U321" s="1099"/>
      <c r="V321" s="1078"/>
      <c r="W321" s="1078"/>
      <c r="X321" s="387"/>
      <c r="Y321" s="1136"/>
      <c r="Z321" s="1099"/>
      <c r="AA321" s="1099"/>
      <c r="AB321" s="1135"/>
      <c r="AC321" s="1127"/>
      <c r="AD321" s="1127"/>
      <c r="AE321" s="1127"/>
      <c r="AF321" s="1099"/>
      <c r="AG321" s="1111"/>
    </row>
    <row r="322" spans="1:33" s="112" customFormat="1" ht="21.95" customHeight="1">
      <c r="A322" s="1149"/>
      <c r="B322" s="1091"/>
      <c r="C322" s="1091"/>
      <c r="D322" s="1091"/>
      <c r="E322" s="1091"/>
      <c r="F322" s="1091"/>
      <c r="G322" s="1091"/>
      <c r="H322" s="1091"/>
      <c r="I322" s="1091"/>
      <c r="J322" s="1091"/>
      <c r="K322" s="1091"/>
      <c r="L322" s="1091"/>
      <c r="M322" s="1091"/>
      <c r="N322" s="1091"/>
      <c r="O322" s="1091"/>
      <c r="P322" s="1091"/>
      <c r="Q322" s="884"/>
      <c r="R322" s="1098"/>
      <c r="S322" s="1098"/>
      <c r="T322" s="1099"/>
      <c r="U322" s="1099"/>
      <c r="V322" s="1078"/>
      <c r="W322" s="1078"/>
      <c r="X322" s="387"/>
      <c r="Y322" s="1136"/>
      <c r="Z322" s="1099"/>
      <c r="AA322" s="1099"/>
      <c r="AB322" s="1135"/>
      <c r="AC322" s="1127"/>
      <c r="AD322" s="1127"/>
      <c r="AE322" s="1127"/>
      <c r="AF322" s="1099"/>
      <c r="AG322" s="1111"/>
    </row>
    <row r="323" spans="1:33" s="112" customFormat="1" ht="21.95" customHeight="1">
      <c r="A323" s="1149"/>
      <c r="B323" s="1091"/>
      <c r="C323" s="1091"/>
      <c r="D323" s="1091"/>
      <c r="E323" s="1091"/>
      <c r="F323" s="1091"/>
      <c r="G323" s="1091"/>
      <c r="H323" s="1091"/>
      <c r="I323" s="1091"/>
      <c r="J323" s="1091"/>
      <c r="K323" s="1091"/>
      <c r="L323" s="1091"/>
      <c r="M323" s="1091"/>
      <c r="N323" s="1091"/>
      <c r="O323" s="1091"/>
      <c r="P323" s="1091"/>
      <c r="Q323" s="884"/>
      <c r="R323" s="1098"/>
      <c r="S323" s="1098"/>
      <c r="T323" s="1099"/>
      <c r="U323" s="1099"/>
      <c r="V323" s="1078"/>
      <c r="W323" s="1078"/>
      <c r="X323" s="387"/>
      <c r="Y323" s="1136"/>
      <c r="Z323" s="1099"/>
      <c r="AA323" s="1099"/>
      <c r="AB323" s="1135"/>
      <c r="AC323" s="1127"/>
      <c r="AD323" s="1127"/>
      <c r="AE323" s="1127"/>
      <c r="AF323" s="1099"/>
      <c r="AG323" s="1111"/>
    </row>
    <row r="324" spans="1:33" s="112" customFormat="1" ht="21.95" customHeight="1">
      <c r="A324" s="1149"/>
      <c r="B324" s="1091"/>
      <c r="C324" s="1091"/>
      <c r="D324" s="1091"/>
      <c r="E324" s="1091"/>
      <c r="F324" s="1091"/>
      <c r="G324" s="1091"/>
      <c r="H324" s="1091"/>
      <c r="I324" s="1091"/>
      <c r="J324" s="1091"/>
      <c r="K324" s="1091"/>
      <c r="L324" s="1091"/>
      <c r="M324" s="1091"/>
      <c r="N324" s="1091"/>
      <c r="O324" s="1091"/>
      <c r="P324" s="1091"/>
      <c r="Q324" s="884"/>
      <c r="R324" s="1098"/>
      <c r="S324" s="1098"/>
      <c r="T324" s="1099"/>
      <c r="U324" s="1099"/>
      <c r="V324" s="1078"/>
      <c r="W324" s="1078"/>
      <c r="X324" s="387"/>
      <c r="Y324" s="1136"/>
      <c r="Z324" s="1099"/>
      <c r="AA324" s="1099"/>
      <c r="AB324" s="1135"/>
      <c r="AC324" s="1127"/>
      <c r="AD324" s="1127"/>
      <c r="AE324" s="1127"/>
      <c r="AF324" s="1099"/>
      <c r="AG324" s="1111"/>
    </row>
    <row r="325" spans="1:33" s="112" customFormat="1" ht="21.95" customHeight="1">
      <c r="A325" s="1149"/>
      <c r="B325" s="1091"/>
      <c r="C325" s="1091"/>
      <c r="D325" s="1091"/>
      <c r="E325" s="1091"/>
      <c r="F325" s="1091"/>
      <c r="G325" s="1091"/>
      <c r="H325" s="1091"/>
      <c r="I325" s="1091"/>
      <c r="J325" s="1091"/>
      <c r="K325" s="1091"/>
      <c r="L325" s="1091"/>
      <c r="M325" s="1091"/>
      <c r="N325" s="1091"/>
      <c r="O325" s="1091"/>
      <c r="P325" s="1091"/>
      <c r="Q325" s="884"/>
      <c r="R325" s="1098"/>
      <c r="S325" s="1098"/>
      <c r="T325" s="1099"/>
      <c r="U325" s="1099"/>
      <c r="V325" s="1078"/>
      <c r="W325" s="1078"/>
      <c r="X325" s="387"/>
      <c r="Y325" s="1136"/>
      <c r="Z325" s="1099"/>
      <c r="AA325" s="1099"/>
      <c r="AB325" s="1135"/>
      <c r="AC325" s="1127"/>
      <c r="AD325" s="1127"/>
      <c r="AE325" s="1127"/>
      <c r="AF325" s="1099"/>
      <c r="AG325" s="1111"/>
    </row>
    <row r="326" spans="1:33" s="112" customFormat="1" ht="21.95" customHeight="1">
      <c r="A326" s="1149"/>
      <c r="B326" s="1091"/>
      <c r="C326" s="1091"/>
      <c r="D326" s="1091"/>
      <c r="E326" s="1091"/>
      <c r="F326" s="1091"/>
      <c r="G326" s="1091"/>
      <c r="H326" s="1091"/>
      <c r="I326" s="1091"/>
      <c r="J326" s="1091"/>
      <c r="K326" s="1091"/>
      <c r="L326" s="1091"/>
      <c r="M326" s="1091"/>
      <c r="N326" s="1091"/>
      <c r="O326" s="1091"/>
      <c r="P326" s="1091"/>
      <c r="Q326" s="884"/>
      <c r="R326" s="1098"/>
      <c r="S326" s="1098"/>
      <c r="T326" s="1099"/>
      <c r="U326" s="1099"/>
      <c r="V326" s="1078"/>
      <c r="W326" s="1078"/>
      <c r="X326" s="387"/>
      <c r="Y326" s="1136"/>
      <c r="Z326" s="1099"/>
      <c r="AA326" s="1099"/>
      <c r="AB326" s="1135"/>
      <c r="AC326" s="1127"/>
      <c r="AD326" s="1127"/>
      <c r="AE326" s="1127"/>
      <c r="AF326" s="1099"/>
      <c r="AG326" s="1111"/>
    </row>
    <row r="327" spans="1:33" s="112" customFormat="1" ht="21.95" customHeight="1">
      <c r="A327" s="1149"/>
      <c r="B327" s="1091"/>
      <c r="C327" s="1091"/>
      <c r="D327" s="1091"/>
      <c r="E327" s="1091"/>
      <c r="F327" s="1091"/>
      <c r="G327" s="1091"/>
      <c r="H327" s="1091"/>
      <c r="I327" s="1091"/>
      <c r="J327" s="1091"/>
      <c r="K327" s="1091"/>
      <c r="L327" s="1091"/>
      <c r="M327" s="1091"/>
      <c r="N327" s="1091"/>
      <c r="O327" s="1091"/>
      <c r="P327" s="1091"/>
      <c r="Q327" s="884"/>
      <c r="R327" s="1098"/>
      <c r="S327" s="1098"/>
      <c r="T327" s="1099"/>
      <c r="U327" s="1099"/>
      <c r="V327" s="1078"/>
      <c r="W327" s="1078"/>
      <c r="X327" s="387"/>
      <c r="Y327" s="1136"/>
      <c r="Z327" s="1099"/>
      <c r="AA327" s="1099"/>
      <c r="AB327" s="1135"/>
      <c r="AC327" s="1127"/>
      <c r="AD327" s="1127"/>
      <c r="AE327" s="1127"/>
      <c r="AF327" s="1099"/>
      <c r="AG327" s="1111"/>
    </row>
    <row r="328" spans="1:33" s="112" customFormat="1" ht="21.95" customHeight="1">
      <c r="A328" s="1149"/>
      <c r="B328" s="1091"/>
      <c r="C328" s="1091"/>
      <c r="D328" s="1091"/>
      <c r="E328" s="1091"/>
      <c r="F328" s="1091"/>
      <c r="G328" s="1091"/>
      <c r="H328" s="1091"/>
      <c r="I328" s="1091"/>
      <c r="J328" s="1091"/>
      <c r="K328" s="1091"/>
      <c r="L328" s="1091"/>
      <c r="M328" s="1091"/>
      <c r="N328" s="1091"/>
      <c r="O328" s="1091"/>
      <c r="P328" s="1091"/>
      <c r="Q328" s="884"/>
      <c r="R328" s="1098"/>
      <c r="S328" s="1098"/>
      <c r="T328" s="1099"/>
      <c r="U328" s="1099"/>
      <c r="V328" s="1078"/>
      <c r="W328" s="1078"/>
      <c r="X328" s="387"/>
      <c r="Y328" s="1136"/>
      <c r="Z328" s="1099"/>
      <c r="AA328" s="1099"/>
      <c r="AB328" s="1135"/>
      <c r="AC328" s="1127"/>
      <c r="AD328" s="1127"/>
      <c r="AE328" s="1127"/>
      <c r="AF328" s="1099"/>
      <c r="AG328" s="1111"/>
    </row>
    <row r="329" spans="1:33" s="112" customFormat="1" ht="21.95" customHeight="1">
      <c r="A329" s="1149"/>
      <c r="B329" s="1091"/>
      <c r="C329" s="1091"/>
      <c r="D329" s="1091"/>
      <c r="E329" s="1091"/>
      <c r="F329" s="1091"/>
      <c r="G329" s="1091"/>
      <c r="H329" s="1091"/>
      <c r="I329" s="1091"/>
      <c r="J329" s="1091"/>
      <c r="K329" s="1091"/>
      <c r="L329" s="1091"/>
      <c r="M329" s="1091"/>
      <c r="N329" s="1091"/>
      <c r="O329" s="1091"/>
      <c r="P329" s="1091"/>
      <c r="Q329" s="884"/>
      <c r="R329" s="1098"/>
      <c r="S329" s="1098"/>
      <c r="T329" s="1099"/>
      <c r="U329" s="1099"/>
      <c r="V329" s="1078"/>
      <c r="W329" s="1078"/>
      <c r="X329" s="387"/>
      <c r="Y329" s="1136"/>
      <c r="Z329" s="1099"/>
      <c r="AA329" s="1099"/>
      <c r="AB329" s="1135"/>
      <c r="AC329" s="1127"/>
      <c r="AD329" s="1127"/>
      <c r="AE329" s="1127"/>
      <c r="AF329" s="1099"/>
      <c r="AG329" s="1111"/>
    </row>
    <row r="330" spans="1:33" s="112" customFormat="1" ht="21.95" customHeight="1">
      <c r="A330" s="1149"/>
      <c r="B330" s="1091"/>
      <c r="C330" s="1091"/>
      <c r="D330" s="1091"/>
      <c r="E330" s="1091"/>
      <c r="F330" s="1091"/>
      <c r="G330" s="1091"/>
      <c r="H330" s="1091"/>
      <c r="I330" s="1091"/>
      <c r="J330" s="1091"/>
      <c r="K330" s="1091"/>
      <c r="L330" s="1091"/>
      <c r="M330" s="1091"/>
      <c r="N330" s="1091"/>
      <c r="O330" s="1091"/>
      <c r="P330" s="1091"/>
      <c r="Q330" s="884"/>
      <c r="R330" s="1098"/>
      <c r="S330" s="1098"/>
      <c r="T330" s="1099"/>
      <c r="U330" s="1099"/>
      <c r="V330" s="1078"/>
      <c r="W330" s="1078"/>
      <c r="X330" s="387"/>
      <c r="Y330" s="1136"/>
      <c r="Z330" s="1099"/>
      <c r="AA330" s="1099"/>
      <c r="AB330" s="1135"/>
      <c r="AC330" s="1127"/>
      <c r="AD330" s="1127"/>
      <c r="AE330" s="1127"/>
      <c r="AF330" s="1099"/>
      <c r="AG330" s="1111"/>
    </row>
    <row r="331" spans="1:33" s="112" customFormat="1" ht="21.95" customHeight="1">
      <c r="A331" s="1149"/>
      <c r="B331" s="1091"/>
      <c r="C331" s="1091"/>
      <c r="D331" s="1091"/>
      <c r="E331" s="1091"/>
      <c r="F331" s="1091"/>
      <c r="G331" s="1091"/>
      <c r="H331" s="1091"/>
      <c r="I331" s="1091"/>
      <c r="J331" s="1091"/>
      <c r="K331" s="1091"/>
      <c r="L331" s="1091"/>
      <c r="M331" s="1091"/>
      <c r="N331" s="1091"/>
      <c r="O331" s="1091"/>
      <c r="P331" s="1091"/>
      <c r="Q331" s="884"/>
      <c r="R331" s="1098"/>
      <c r="S331" s="1098"/>
      <c r="T331" s="1099"/>
      <c r="U331" s="1099"/>
      <c r="V331" s="1078"/>
      <c r="W331" s="1078"/>
      <c r="X331" s="387"/>
      <c r="Y331" s="1136"/>
      <c r="Z331" s="1099"/>
      <c r="AA331" s="1099"/>
      <c r="AB331" s="1135"/>
      <c r="AC331" s="1127"/>
      <c r="AD331" s="1127"/>
      <c r="AE331" s="1127"/>
      <c r="AF331" s="1099"/>
      <c r="AG331" s="1111"/>
    </row>
    <row r="332" spans="1:33" s="112" customFormat="1" ht="21.95" customHeight="1">
      <c r="A332" s="1149"/>
      <c r="B332" s="1091"/>
      <c r="C332" s="1091"/>
      <c r="D332" s="1091"/>
      <c r="E332" s="1091"/>
      <c r="F332" s="1091"/>
      <c r="G332" s="1091"/>
      <c r="H332" s="1091"/>
      <c r="I332" s="1091"/>
      <c r="J332" s="1091"/>
      <c r="K332" s="1091"/>
      <c r="L332" s="1091"/>
      <c r="M332" s="1091"/>
      <c r="N332" s="1091"/>
      <c r="O332" s="1091"/>
      <c r="P332" s="1091"/>
      <c r="Q332" s="884"/>
      <c r="R332" s="396"/>
      <c r="S332" s="1098"/>
      <c r="T332" s="1099"/>
      <c r="U332" s="1099"/>
      <c r="V332" s="1078"/>
      <c r="W332" s="1078"/>
      <c r="X332" s="387"/>
      <c r="Y332" s="1136"/>
      <c r="Z332" s="1099"/>
      <c r="AA332" s="1099"/>
      <c r="AB332" s="1135"/>
      <c r="AC332" s="1127"/>
      <c r="AD332" s="1127"/>
      <c r="AE332" s="1127"/>
      <c r="AF332" s="1099"/>
      <c r="AG332" s="1111"/>
    </row>
    <row r="333" spans="1:33" s="112" customFormat="1" ht="21.95" customHeight="1">
      <c r="A333" s="1149"/>
      <c r="B333" s="1091"/>
      <c r="C333" s="1091"/>
      <c r="D333" s="1091"/>
      <c r="E333" s="1091"/>
      <c r="F333" s="1091"/>
      <c r="G333" s="1091"/>
      <c r="H333" s="1091"/>
      <c r="I333" s="1091"/>
      <c r="J333" s="1091"/>
      <c r="K333" s="1091"/>
      <c r="L333" s="1091"/>
      <c r="M333" s="1091"/>
      <c r="N333" s="1091"/>
      <c r="O333" s="1091"/>
      <c r="P333" s="1091"/>
      <c r="Q333" s="884"/>
      <c r="R333" s="1098"/>
      <c r="S333" s="1098"/>
      <c r="T333" s="1099"/>
      <c r="U333" s="1099"/>
      <c r="V333" s="1078"/>
      <c r="W333" s="1078"/>
      <c r="X333" s="387"/>
      <c r="Y333" s="1136"/>
      <c r="Z333" s="1099"/>
      <c r="AA333" s="1099"/>
      <c r="AB333" s="1135"/>
      <c r="AC333" s="1127"/>
      <c r="AD333" s="1127"/>
      <c r="AE333" s="1127"/>
      <c r="AF333" s="1099"/>
      <c r="AG333" s="1111"/>
    </row>
    <row r="334" spans="1:33" s="112" customFormat="1" ht="21.95" customHeight="1">
      <c r="A334" s="1149"/>
      <c r="B334" s="1091"/>
      <c r="C334" s="1091"/>
      <c r="D334" s="1091"/>
      <c r="E334" s="1091"/>
      <c r="F334" s="1091"/>
      <c r="G334" s="1091"/>
      <c r="H334" s="1091"/>
      <c r="I334" s="1091"/>
      <c r="J334" s="1091"/>
      <c r="K334" s="1091"/>
      <c r="L334" s="1091"/>
      <c r="M334" s="1091"/>
      <c r="N334" s="1091"/>
      <c r="O334" s="1091"/>
      <c r="P334" s="1091"/>
      <c r="Q334" s="884"/>
      <c r="R334" s="1098"/>
      <c r="S334" s="1098"/>
      <c r="T334" s="1099"/>
      <c r="U334" s="1099"/>
      <c r="V334" s="1078"/>
      <c r="W334" s="1078"/>
      <c r="X334" s="387"/>
      <c r="Y334" s="1136"/>
      <c r="Z334" s="1099"/>
      <c r="AA334" s="1099"/>
      <c r="AB334" s="1135"/>
      <c r="AC334" s="1127"/>
      <c r="AD334" s="1127"/>
      <c r="AE334" s="1127"/>
      <c r="AF334" s="1099"/>
      <c r="AG334" s="1111"/>
    </row>
    <row r="335" spans="1:33" s="112" customFormat="1" ht="21.95" customHeight="1">
      <c r="A335" s="1149"/>
      <c r="B335" s="1091"/>
      <c r="C335" s="1091"/>
      <c r="D335" s="1091"/>
      <c r="E335" s="1091"/>
      <c r="F335" s="1091"/>
      <c r="G335" s="1091"/>
      <c r="H335" s="1091"/>
      <c r="I335" s="1091"/>
      <c r="J335" s="1091"/>
      <c r="K335" s="1091"/>
      <c r="L335" s="1091"/>
      <c r="M335" s="1091"/>
      <c r="N335" s="1091"/>
      <c r="O335" s="1091"/>
      <c r="P335" s="1091"/>
      <c r="Q335" s="895"/>
      <c r="R335" s="1098"/>
      <c r="S335" s="1098"/>
      <c r="T335" s="1099"/>
      <c r="U335" s="1099"/>
      <c r="V335" s="1078"/>
      <c r="W335" s="1078"/>
      <c r="X335" s="387"/>
      <c r="Y335" s="1136"/>
      <c r="Z335" s="1099"/>
      <c r="AA335" s="1099"/>
      <c r="AB335" s="1135"/>
      <c r="AC335" s="1127"/>
      <c r="AD335" s="1127"/>
      <c r="AE335" s="1127"/>
      <c r="AF335" s="1099"/>
      <c r="AG335" s="1111"/>
    </row>
    <row r="336" spans="1:33" s="112" customFormat="1" ht="21.95" customHeight="1">
      <c r="A336" s="872"/>
      <c r="B336" s="408"/>
      <c r="C336" s="408"/>
      <c r="D336" s="408"/>
      <c r="E336" s="408"/>
      <c r="F336" s="408"/>
      <c r="G336" s="408"/>
      <c r="H336" s="408"/>
      <c r="I336" s="408"/>
      <c r="J336" s="408"/>
      <c r="K336" s="408"/>
      <c r="L336" s="408"/>
      <c r="M336" s="408"/>
      <c r="N336" s="408"/>
      <c r="O336" s="408"/>
      <c r="P336" s="408"/>
      <c r="Q336" s="895"/>
      <c r="R336" s="115"/>
      <c r="S336" s="115"/>
      <c r="T336" s="113"/>
      <c r="U336" s="1111"/>
      <c r="V336" s="117"/>
      <c r="W336" s="117"/>
      <c r="X336" s="118"/>
      <c r="Y336" s="119"/>
      <c r="Z336" s="113"/>
      <c r="AA336" s="113"/>
      <c r="AB336" s="111"/>
      <c r="AC336" s="1094"/>
      <c r="AD336" s="1094"/>
      <c r="AE336" s="1094"/>
      <c r="AF336" s="1111"/>
      <c r="AG336" s="1111"/>
    </row>
    <row r="337" spans="1:33" s="112" customFormat="1" ht="21.95" customHeight="1">
      <c r="A337" s="872"/>
      <c r="B337" s="408"/>
      <c r="C337" s="408"/>
      <c r="D337" s="408"/>
      <c r="E337" s="408"/>
      <c r="F337" s="408"/>
      <c r="G337" s="408"/>
      <c r="H337" s="408"/>
      <c r="I337" s="408"/>
      <c r="J337" s="408"/>
      <c r="K337" s="408"/>
      <c r="L337" s="408"/>
      <c r="M337" s="408"/>
      <c r="N337" s="408"/>
      <c r="O337" s="408"/>
      <c r="P337" s="408"/>
      <c r="Q337" s="895"/>
      <c r="R337" s="115"/>
      <c r="S337" s="115"/>
      <c r="T337" s="113"/>
      <c r="U337" s="1111"/>
      <c r="V337" s="117"/>
      <c r="W337" s="117"/>
      <c r="X337" s="118"/>
      <c r="Y337" s="119"/>
      <c r="Z337" s="113"/>
      <c r="AA337" s="113"/>
      <c r="AB337" s="111"/>
      <c r="AC337" s="1094"/>
      <c r="AD337" s="1094"/>
      <c r="AE337" s="1094"/>
      <c r="AF337" s="1111"/>
      <c r="AG337" s="1111"/>
    </row>
    <row r="338" spans="1:33" s="112" customFormat="1" ht="21.95" customHeight="1">
      <c r="A338" s="872"/>
      <c r="B338" s="408"/>
      <c r="C338" s="408"/>
      <c r="D338" s="408"/>
      <c r="E338" s="408"/>
      <c r="F338" s="408"/>
      <c r="G338" s="408"/>
      <c r="H338" s="408"/>
      <c r="I338" s="408"/>
      <c r="J338" s="408"/>
      <c r="K338" s="408"/>
      <c r="L338" s="408"/>
      <c r="M338" s="408"/>
      <c r="N338" s="408"/>
      <c r="O338" s="408"/>
      <c r="P338" s="408"/>
      <c r="Q338" s="895"/>
      <c r="R338" s="115"/>
      <c r="S338" s="115"/>
      <c r="T338" s="113"/>
      <c r="U338" s="1111"/>
      <c r="V338" s="117"/>
      <c r="W338" s="117"/>
      <c r="X338" s="118"/>
      <c r="Y338" s="119"/>
      <c r="Z338" s="113"/>
      <c r="AA338" s="113"/>
      <c r="AB338" s="111"/>
      <c r="AC338" s="1094"/>
      <c r="AD338" s="1094"/>
      <c r="AE338" s="1094"/>
      <c r="AF338" s="1111"/>
      <c r="AG338" s="1111"/>
    </row>
    <row r="339" spans="1:33" s="112" customFormat="1" ht="21.95" customHeight="1">
      <c r="A339" s="872"/>
      <c r="B339" s="408"/>
      <c r="C339" s="408"/>
      <c r="D339" s="408"/>
      <c r="E339" s="408"/>
      <c r="F339" s="408"/>
      <c r="G339" s="408"/>
      <c r="H339" s="408"/>
      <c r="I339" s="408"/>
      <c r="J339" s="408"/>
      <c r="K339" s="408"/>
      <c r="L339" s="408"/>
      <c r="M339" s="408"/>
      <c r="N339" s="408"/>
      <c r="O339" s="408"/>
      <c r="P339" s="408"/>
      <c r="Q339" s="895"/>
      <c r="R339" s="115"/>
      <c r="S339" s="115"/>
      <c r="T339" s="113"/>
      <c r="U339" s="1111"/>
      <c r="V339" s="117"/>
      <c r="W339" s="117"/>
      <c r="X339" s="118"/>
      <c r="Y339" s="119"/>
      <c r="Z339" s="113"/>
      <c r="AA339" s="113"/>
      <c r="AB339" s="111"/>
      <c r="AC339" s="1094"/>
      <c r="AD339" s="1094"/>
      <c r="AE339" s="1094"/>
      <c r="AF339" s="1111"/>
      <c r="AG339" s="1111"/>
    </row>
    <row r="340" spans="1:33" s="112" customFormat="1" ht="21.95" customHeight="1">
      <c r="A340" s="872"/>
      <c r="B340" s="408"/>
      <c r="C340" s="408"/>
      <c r="D340" s="408"/>
      <c r="E340" s="408"/>
      <c r="F340" s="408"/>
      <c r="G340" s="408"/>
      <c r="H340" s="408"/>
      <c r="I340" s="408"/>
      <c r="J340" s="408"/>
      <c r="K340" s="408"/>
      <c r="L340" s="408"/>
      <c r="M340" s="408"/>
      <c r="N340" s="408"/>
      <c r="O340" s="408"/>
      <c r="P340" s="408"/>
      <c r="Q340" s="895"/>
      <c r="R340" s="115"/>
      <c r="S340" s="115"/>
      <c r="T340" s="113"/>
      <c r="U340" s="1111"/>
      <c r="V340" s="117"/>
      <c r="W340" s="117"/>
      <c r="X340" s="118"/>
      <c r="Y340" s="119"/>
      <c r="Z340" s="113"/>
      <c r="AA340" s="113"/>
      <c r="AB340" s="111"/>
      <c r="AC340" s="1094"/>
      <c r="AD340" s="1094"/>
      <c r="AE340" s="1094"/>
      <c r="AF340" s="1111"/>
      <c r="AG340" s="1111"/>
    </row>
    <row r="341" spans="1:33" s="112" customFormat="1" ht="21.95" customHeight="1">
      <c r="A341" s="872"/>
      <c r="B341" s="408"/>
      <c r="C341" s="408"/>
      <c r="D341" s="408"/>
      <c r="E341" s="408"/>
      <c r="F341" s="408"/>
      <c r="G341" s="408"/>
      <c r="H341" s="408"/>
      <c r="I341" s="408"/>
      <c r="J341" s="408"/>
      <c r="K341" s="408"/>
      <c r="L341" s="408"/>
      <c r="M341" s="408"/>
      <c r="N341" s="408"/>
      <c r="O341" s="408"/>
      <c r="P341" s="408"/>
      <c r="Q341" s="895"/>
      <c r="R341" s="115"/>
      <c r="S341" s="115"/>
      <c r="T341" s="113"/>
      <c r="U341" s="1111"/>
      <c r="V341" s="117"/>
      <c r="W341" s="117"/>
      <c r="X341" s="118"/>
      <c r="Y341" s="119"/>
      <c r="Z341" s="113"/>
      <c r="AA341" s="113"/>
      <c r="AB341" s="111"/>
      <c r="AC341" s="1094"/>
      <c r="AD341" s="1094"/>
      <c r="AE341" s="1094"/>
      <c r="AF341" s="1111"/>
      <c r="AG341" s="1111"/>
    </row>
    <row r="342" spans="1:33" s="112" customFormat="1" ht="21.95" customHeight="1">
      <c r="A342" s="872"/>
      <c r="B342" s="408"/>
      <c r="C342" s="408"/>
      <c r="D342" s="408"/>
      <c r="E342" s="408"/>
      <c r="F342" s="408"/>
      <c r="G342" s="408"/>
      <c r="H342" s="408"/>
      <c r="I342" s="408"/>
      <c r="J342" s="408"/>
      <c r="K342" s="408"/>
      <c r="L342" s="408"/>
      <c r="M342" s="408"/>
      <c r="N342" s="408"/>
      <c r="O342" s="408"/>
      <c r="P342" s="408"/>
      <c r="Q342" s="895"/>
      <c r="R342" s="114"/>
      <c r="S342" s="114"/>
      <c r="T342" s="1111"/>
      <c r="U342" s="115"/>
      <c r="V342" s="113"/>
      <c r="W342" s="113"/>
      <c r="X342" s="1111"/>
      <c r="Y342" s="116"/>
      <c r="Z342" s="1111"/>
      <c r="AA342" s="1110"/>
      <c r="AB342" s="113"/>
      <c r="AC342" s="1111"/>
      <c r="AD342" s="1111"/>
      <c r="AE342" s="111"/>
      <c r="AF342" s="1094"/>
      <c r="AG342" s="1111"/>
    </row>
    <row r="343" spans="1:33" s="112" customFormat="1" ht="21.95" customHeight="1">
      <c r="A343" s="872"/>
      <c r="B343" s="408"/>
      <c r="C343" s="408"/>
      <c r="D343" s="408"/>
      <c r="E343" s="408"/>
      <c r="F343" s="408"/>
      <c r="G343" s="408"/>
      <c r="H343" s="408"/>
      <c r="I343" s="408"/>
      <c r="J343" s="408"/>
      <c r="K343" s="408"/>
      <c r="L343" s="408"/>
      <c r="M343" s="408"/>
      <c r="N343" s="408"/>
      <c r="O343" s="408"/>
      <c r="P343" s="408"/>
      <c r="Q343" s="42"/>
      <c r="R343" s="114"/>
      <c r="S343" s="114"/>
      <c r="T343" s="1111"/>
      <c r="U343" s="115"/>
      <c r="V343" s="113"/>
      <c r="W343" s="113"/>
      <c r="X343" s="1111"/>
      <c r="Y343" s="116"/>
      <c r="Z343" s="1111"/>
      <c r="AA343" s="1110"/>
      <c r="AB343" s="113"/>
      <c r="AC343" s="1111"/>
      <c r="AD343" s="1111"/>
      <c r="AE343" s="111"/>
      <c r="AF343" s="1094"/>
      <c r="AG343" s="1111"/>
    </row>
    <row r="344" spans="1:33" s="100" customFormat="1" ht="21.95" customHeight="1">
      <c r="A344" s="873"/>
      <c r="B344" s="409"/>
      <c r="C344" s="409"/>
      <c r="D344" s="409"/>
      <c r="E344" s="409"/>
      <c r="F344" s="409"/>
      <c r="G344" s="409"/>
      <c r="H344" s="409"/>
      <c r="I344" s="409"/>
      <c r="J344" s="409"/>
      <c r="K344" s="409"/>
      <c r="L344" s="409"/>
      <c r="M344" s="409"/>
      <c r="N344" s="409"/>
      <c r="O344" s="409"/>
      <c r="P344" s="409"/>
      <c r="Q344" s="42"/>
      <c r="R344" s="1411"/>
      <c r="S344" s="1411"/>
      <c r="T344" s="1411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102"/>
      <c r="AG344" s="42"/>
    </row>
    <row r="345" spans="1:33" s="100" customFormat="1" ht="21.95" customHeight="1">
      <c r="A345" s="873"/>
      <c r="B345" s="409"/>
      <c r="C345" s="409"/>
      <c r="D345" s="409"/>
      <c r="E345" s="409"/>
      <c r="F345" s="409"/>
      <c r="G345" s="409"/>
      <c r="H345" s="409"/>
      <c r="I345" s="409"/>
      <c r="J345" s="409"/>
      <c r="K345" s="409"/>
      <c r="L345" s="409"/>
      <c r="M345" s="409"/>
      <c r="N345" s="409"/>
      <c r="O345" s="409"/>
      <c r="P345" s="409"/>
      <c r="Q345" s="42"/>
      <c r="R345" s="45"/>
      <c r="S345" s="1415"/>
      <c r="T345" s="1415"/>
      <c r="U345" s="1415"/>
      <c r="V345" s="1111"/>
      <c r="W345" s="103"/>
      <c r="X345" s="1111"/>
      <c r="Y345" s="1412"/>
      <c r="Z345" s="1412"/>
      <c r="AA345" s="45"/>
      <c r="AB345" s="45"/>
      <c r="AC345" s="45"/>
      <c r="AD345" s="45"/>
      <c r="AE345" s="45"/>
      <c r="AF345" s="102"/>
      <c r="AG345" s="42"/>
    </row>
    <row r="346" spans="1:33" s="100" customFormat="1" ht="21.95" customHeight="1">
      <c r="A346" s="873"/>
      <c r="B346" s="409"/>
      <c r="C346" s="409"/>
      <c r="D346" s="409"/>
      <c r="E346" s="409"/>
      <c r="F346" s="409"/>
      <c r="G346" s="409"/>
      <c r="H346" s="409"/>
      <c r="I346" s="409"/>
      <c r="J346" s="409"/>
      <c r="K346" s="409"/>
      <c r="L346" s="409"/>
      <c r="M346" s="409"/>
      <c r="N346" s="409"/>
      <c r="O346" s="409"/>
      <c r="P346" s="409"/>
      <c r="Q346" s="42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102"/>
      <c r="AG346" s="42"/>
    </row>
    <row r="347" spans="1:33" s="100" customFormat="1" ht="21.95" customHeight="1">
      <c r="A347" s="737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2"/>
      <c r="R347" s="1264"/>
      <c r="S347" s="1264"/>
      <c r="T347" s="1264"/>
      <c r="U347" s="1264"/>
      <c r="V347" s="1264"/>
      <c r="W347" s="1264"/>
      <c r="X347" s="1264"/>
      <c r="Y347" s="1264"/>
      <c r="Z347" s="1264"/>
      <c r="AA347" s="1264"/>
      <c r="AB347" s="1264"/>
      <c r="AC347" s="1264"/>
      <c r="AD347" s="1264"/>
      <c r="AE347" s="1264"/>
      <c r="AF347" s="1413"/>
      <c r="AG347" s="42"/>
    </row>
    <row r="348" spans="1:33" s="100" customFormat="1" ht="24.75" customHeight="1">
      <c r="A348" s="737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2"/>
      <c r="R348" s="105"/>
      <c r="S348" s="104"/>
      <c r="T348" s="1094"/>
      <c r="U348" s="1111"/>
      <c r="V348" s="105"/>
      <c r="W348" s="104"/>
      <c r="X348" s="1094"/>
      <c r="Y348" s="1111"/>
      <c r="Z348" s="1264"/>
      <c r="AA348" s="1264"/>
      <c r="AB348" s="105"/>
      <c r="AC348" s="1111"/>
      <c r="AD348" s="1094"/>
      <c r="AE348" s="1111"/>
      <c r="AF348" s="102"/>
      <c r="AG348" s="42"/>
    </row>
    <row r="349" spans="1:33" s="100" customFormat="1" ht="24.75" customHeight="1">
      <c r="A349" s="737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2"/>
      <c r="R349" s="45"/>
      <c r="S349" s="45"/>
      <c r="T349" s="45"/>
      <c r="U349" s="45"/>
      <c r="V349" s="45"/>
      <c r="W349" s="45"/>
      <c r="X349" s="1111"/>
      <c r="Y349" s="45"/>
      <c r="Z349" s="45"/>
      <c r="AA349" s="45"/>
      <c r="AB349" s="45"/>
      <c r="AC349" s="45"/>
      <c r="AD349" s="45"/>
      <c r="AE349" s="45"/>
      <c r="AF349" s="102"/>
      <c r="AG349" s="42"/>
    </row>
    <row r="350" spans="1:33" s="100" customFormat="1" ht="24.75" customHeight="1">
      <c r="A350" s="737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2"/>
      <c r="R350" s="1111"/>
      <c r="S350" s="1111"/>
      <c r="T350" s="1264"/>
      <c r="U350" s="1264"/>
      <c r="V350" s="1264"/>
      <c r="W350" s="1264"/>
      <c r="X350" s="1111"/>
      <c r="Y350" s="1111"/>
      <c r="Z350" s="45"/>
      <c r="AA350" s="1111"/>
      <c r="AB350" s="1411"/>
      <c r="AC350" s="1411"/>
      <c r="AD350" s="45"/>
      <c r="AE350" s="45"/>
      <c r="AF350" s="102"/>
      <c r="AG350" s="42"/>
    </row>
    <row r="351" spans="1:33" s="100" customFormat="1" ht="24.75" customHeight="1">
      <c r="A351" s="737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2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102"/>
      <c r="AG351" s="42"/>
    </row>
    <row r="352" spans="1:33" s="100" customFormat="1" ht="24.75" customHeight="1">
      <c r="A352" s="737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2"/>
      <c r="R352" s="1264"/>
      <c r="S352" s="1264"/>
      <c r="T352" s="1111"/>
      <c r="U352" s="1416"/>
      <c r="V352" s="1416"/>
      <c r="W352" s="1416"/>
      <c r="X352" s="1111"/>
      <c r="Y352" s="1414"/>
      <c r="Z352" s="1414"/>
      <c r="AA352" s="1111"/>
      <c r="AB352" s="1410"/>
      <c r="AC352" s="1410"/>
      <c r="AD352" s="45"/>
      <c r="AE352" s="45"/>
      <c r="AF352" s="102"/>
      <c r="AG352" s="42"/>
    </row>
    <row r="353" spans="1:33" s="100" customFormat="1" ht="24.75" customHeight="1">
      <c r="A353" s="874"/>
      <c r="B353" s="106"/>
      <c r="C353" s="106"/>
      <c r="D353" s="1111"/>
      <c r="E353" s="120"/>
      <c r="F353" s="120"/>
      <c r="G353" s="121"/>
      <c r="H353" s="1111"/>
      <c r="I353" s="122"/>
      <c r="J353" s="122"/>
      <c r="K353" s="45"/>
      <c r="L353" s="45"/>
      <c r="M353" s="45"/>
      <c r="N353" s="45"/>
      <c r="O353" s="45"/>
      <c r="P353" s="45"/>
      <c r="Q353" s="875"/>
      <c r="R353" s="1111"/>
      <c r="S353" s="1111"/>
      <c r="T353" s="1111"/>
      <c r="U353" s="1113"/>
      <c r="V353" s="1113"/>
      <c r="W353" s="1113"/>
      <c r="X353" s="1111"/>
      <c r="Y353" s="1112"/>
      <c r="Z353" s="1112"/>
      <c r="AA353" s="1111"/>
      <c r="AB353" s="1110"/>
      <c r="AC353" s="1110"/>
      <c r="AD353" s="45"/>
      <c r="AE353" s="45"/>
      <c r="AF353" s="45"/>
      <c r="AG353" s="45"/>
    </row>
  </sheetData>
  <mergeCells count="605">
    <mergeCell ref="R352:S352"/>
    <mergeCell ref="U352:W352"/>
    <mergeCell ref="Y352:Z352"/>
    <mergeCell ref="AB352:AC352"/>
    <mergeCell ref="R344:T344"/>
    <mergeCell ref="S345:U345"/>
    <mergeCell ref="Y345:Z345"/>
    <mergeCell ref="R347:AF347"/>
    <mergeCell ref="Z348:AA348"/>
    <mergeCell ref="T350:U350"/>
    <mergeCell ref="V350:W350"/>
    <mergeCell ref="AB350:AC350"/>
    <mergeCell ref="C285:N285"/>
    <mergeCell ref="J287:K287"/>
    <mergeCell ref="D289:E289"/>
    <mergeCell ref="F289:G289"/>
    <mergeCell ref="L289:M289"/>
    <mergeCell ref="B291:C291"/>
    <mergeCell ref="E291:G291"/>
    <mergeCell ref="I291:J291"/>
    <mergeCell ref="M279:N279"/>
    <mergeCell ref="B282:P282"/>
    <mergeCell ref="V282:W282"/>
    <mergeCell ref="B283:D283"/>
    <mergeCell ref="C284:E284"/>
    <mergeCell ref="I284:J284"/>
    <mergeCell ref="J275:K275"/>
    <mergeCell ref="D277:E277"/>
    <mergeCell ref="J277:K277"/>
    <mergeCell ref="C279:D279"/>
    <mergeCell ref="F279:H279"/>
    <mergeCell ref="J279:K279"/>
    <mergeCell ref="B269:P269"/>
    <mergeCell ref="B270:G270"/>
    <mergeCell ref="B271:D271"/>
    <mergeCell ref="C272:E272"/>
    <mergeCell ref="I272:J272"/>
    <mergeCell ref="B274:P274"/>
    <mergeCell ref="D263:E263"/>
    <mergeCell ref="J263:K263"/>
    <mergeCell ref="C265:D265"/>
    <mergeCell ref="F265:H265"/>
    <mergeCell ref="J265:K265"/>
    <mergeCell ref="M265:N265"/>
    <mergeCell ref="B255:P255"/>
    <mergeCell ref="B257:D257"/>
    <mergeCell ref="C258:E258"/>
    <mergeCell ref="I258:J258"/>
    <mergeCell ref="C260:O260"/>
    <mergeCell ref="J261:K261"/>
    <mergeCell ref="O248:P248"/>
    <mergeCell ref="O249:P249"/>
    <mergeCell ref="C251:D251"/>
    <mergeCell ref="E251:F251"/>
    <mergeCell ref="N251:O251"/>
    <mergeCell ref="D252:E252"/>
    <mergeCell ref="F252:G252"/>
    <mergeCell ref="O239:P239"/>
    <mergeCell ref="O241:P241"/>
    <mergeCell ref="O242:P242"/>
    <mergeCell ref="O243:P243"/>
    <mergeCell ref="O245:P245"/>
    <mergeCell ref="O246:P246"/>
    <mergeCell ref="B235:E235"/>
    <mergeCell ref="G235:H235"/>
    <mergeCell ref="O236:P236"/>
    <mergeCell ref="A237:A238"/>
    <mergeCell ref="B237:D238"/>
    <mergeCell ref="E237:H237"/>
    <mergeCell ref="O237:P238"/>
    <mergeCell ref="E238:H238"/>
    <mergeCell ref="B226:D226"/>
    <mergeCell ref="F226:G226"/>
    <mergeCell ref="I226:K226"/>
    <mergeCell ref="R226:T226"/>
    <mergeCell ref="V226:W226"/>
    <mergeCell ref="Y226:AA226"/>
    <mergeCell ref="B225:C225"/>
    <mergeCell ref="E225:G225"/>
    <mergeCell ref="K225:L225"/>
    <mergeCell ref="R225:S225"/>
    <mergeCell ref="U225:W225"/>
    <mergeCell ref="AA225:AB225"/>
    <mergeCell ref="E223:F223"/>
    <mergeCell ref="G223:H223"/>
    <mergeCell ref="M223:N223"/>
    <mergeCell ref="U223:V223"/>
    <mergeCell ref="W223:X223"/>
    <mergeCell ref="AC223:AD223"/>
    <mergeCell ref="C219:O219"/>
    <mergeCell ref="R219:AF219"/>
    <mergeCell ref="I220:J220"/>
    <mergeCell ref="W220:X220"/>
    <mergeCell ref="E222:F222"/>
    <mergeCell ref="G222:H222"/>
    <mergeCell ref="M222:N222"/>
    <mergeCell ref="U222:V222"/>
    <mergeCell ref="W222:X222"/>
    <mergeCell ref="AC222:AD222"/>
    <mergeCell ref="D216:F216"/>
    <mergeCell ref="K216:L216"/>
    <mergeCell ref="T216:V216"/>
    <mergeCell ref="AA216:AB216"/>
    <mergeCell ref="AC216:AE216"/>
    <mergeCell ref="D217:E217"/>
    <mergeCell ref="G217:H217"/>
    <mergeCell ref="T217:U217"/>
    <mergeCell ref="W217:X217"/>
    <mergeCell ref="U214:W214"/>
    <mergeCell ref="X214:Z214"/>
    <mergeCell ref="AA214:AC214"/>
    <mergeCell ref="AD214:AF214"/>
    <mergeCell ref="D215:F215"/>
    <mergeCell ref="L215:M215"/>
    <mergeCell ref="O215:P215"/>
    <mergeCell ref="T215:V215"/>
    <mergeCell ref="U213:W213"/>
    <mergeCell ref="X213:Z213"/>
    <mergeCell ref="AA213:AC213"/>
    <mergeCell ref="AD213:AF213"/>
    <mergeCell ref="B214:D214"/>
    <mergeCell ref="E214:G214"/>
    <mergeCell ref="H214:J214"/>
    <mergeCell ref="K214:M214"/>
    <mergeCell ref="N214:P214"/>
    <mergeCell ref="R214:T214"/>
    <mergeCell ref="B213:D213"/>
    <mergeCell ref="E213:G213"/>
    <mergeCell ref="H213:J213"/>
    <mergeCell ref="K213:M213"/>
    <mergeCell ref="N213:P213"/>
    <mergeCell ref="R213:T213"/>
    <mergeCell ref="C208:D208"/>
    <mergeCell ref="C209:D209"/>
    <mergeCell ref="C210:D210"/>
    <mergeCell ref="G210:J210"/>
    <mergeCell ref="W210:Z210"/>
    <mergeCell ref="C211:D211"/>
    <mergeCell ref="I211:K211"/>
    <mergeCell ref="Y211:AA211"/>
    <mergeCell ref="U205:W205"/>
    <mergeCell ref="X205:Z205"/>
    <mergeCell ref="AA205:AC205"/>
    <mergeCell ref="AD205:AE205"/>
    <mergeCell ref="C207:D207"/>
    <mergeCell ref="I207:K207"/>
    <mergeCell ref="Y207:AA207"/>
    <mergeCell ref="U204:W204"/>
    <mergeCell ref="X204:Z204"/>
    <mergeCell ref="AA204:AC204"/>
    <mergeCell ref="AD204:AE204"/>
    <mergeCell ref="B205:D205"/>
    <mergeCell ref="E205:G205"/>
    <mergeCell ref="H205:J205"/>
    <mergeCell ref="K205:M205"/>
    <mergeCell ref="N205:O205"/>
    <mergeCell ref="R205:T205"/>
    <mergeCell ref="U203:W203"/>
    <mergeCell ref="X203:Z203"/>
    <mergeCell ref="AA203:AC203"/>
    <mergeCell ref="AD203:AE203"/>
    <mergeCell ref="B204:D204"/>
    <mergeCell ref="E204:G204"/>
    <mergeCell ref="H204:J204"/>
    <mergeCell ref="K204:M204"/>
    <mergeCell ref="N204:O204"/>
    <mergeCell ref="R204:T204"/>
    <mergeCell ref="U202:W202"/>
    <mergeCell ref="X202:Z202"/>
    <mergeCell ref="AA202:AC202"/>
    <mergeCell ref="AD202:AE202"/>
    <mergeCell ref="B203:D203"/>
    <mergeCell ref="E203:G203"/>
    <mergeCell ref="H203:J203"/>
    <mergeCell ref="K203:M203"/>
    <mergeCell ref="N203:O203"/>
    <mergeCell ref="R203:T203"/>
    <mergeCell ref="U201:W201"/>
    <mergeCell ref="X201:Z201"/>
    <mergeCell ref="AA201:AC201"/>
    <mergeCell ref="AD201:AE201"/>
    <mergeCell ref="B202:D202"/>
    <mergeCell ref="E202:G202"/>
    <mergeCell ref="H202:J202"/>
    <mergeCell ref="K202:M202"/>
    <mergeCell ref="N202:O202"/>
    <mergeCell ref="R202:T202"/>
    <mergeCell ref="B201:D201"/>
    <mergeCell ref="E201:G201"/>
    <mergeCell ref="H201:J201"/>
    <mergeCell ref="K201:M201"/>
    <mergeCell ref="N201:O201"/>
    <mergeCell ref="R201:T201"/>
    <mergeCell ref="U199:W199"/>
    <mergeCell ref="X199:Z199"/>
    <mergeCell ref="AA199:AC199"/>
    <mergeCell ref="AD199:AE199"/>
    <mergeCell ref="B200:D200"/>
    <mergeCell ref="R200:T200"/>
    <mergeCell ref="U198:W198"/>
    <mergeCell ref="X198:Z198"/>
    <mergeCell ref="AA198:AC198"/>
    <mergeCell ref="AD198:AE198"/>
    <mergeCell ref="B199:D199"/>
    <mergeCell ref="E199:G199"/>
    <mergeCell ref="H199:J199"/>
    <mergeCell ref="K199:M199"/>
    <mergeCell ref="N199:O199"/>
    <mergeCell ref="R199:T199"/>
    <mergeCell ref="U197:W197"/>
    <mergeCell ref="X197:Z197"/>
    <mergeCell ref="AA197:AC197"/>
    <mergeCell ref="AD197:AE197"/>
    <mergeCell ref="B198:D198"/>
    <mergeCell ref="E198:G198"/>
    <mergeCell ref="H198:J198"/>
    <mergeCell ref="K198:M198"/>
    <mergeCell ref="N198:O198"/>
    <mergeCell ref="R198:T198"/>
    <mergeCell ref="U196:W196"/>
    <mergeCell ref="X196:Z196"/>
    <mergeCell ref="AA196:AC196"/>
    <mergeCell ref="AD196:AE196"/>
    <mergeCell ref="B197:D197"/>
    <mergeCell ref="E197:G197"/>
    <mergeCell ref="H197:J197"/>
    <mergeCell ref="K197:M197"/>
    <mergeCell ref="N197:O197"/>
    <mergeCell ref="R197:T197"/>
    <mergeCell ref="U195:W195"/>
    <mergeCell ref="X195:Z195"/>
    <mergeCell ref="AA195:AC195"/>
    <mergeCell ref="AD195:AE195"/>
    <mergeCell ref="B196:D196"/>
    <mergeCell ref="E196:G196"/>
    <mergeCell ref="H196:J196"/>
    <mergeCell ref="K196:M196"/>
    <mergeCell ref="N196:O196"/>
    <mergeCell ref="R196:T196"/>
    <mergeCell ref="B195:D195"/>
    <mergeCell ref="E195:G195"/>
    <mergeCell ref="H195:J195"/>
    <mergeCell ref="K195:M195"/>
    <mergeCell ref="N195:O195"/>
    <mergeCell ref="R195:T195"/>
    <mergeCell ref="R187:S188"/>
    <mergeCell ref="U187:V187"/>
    <mergeCell ref="W187:W188"/>
    <mergeCell ref="X187:AA188"/>
    <mergeCell ref="C188:G188"/>
    <mergeCell ref="B194:C194"/>
    <mergeCell ref="R194:S194"/>
    <mergeCell ref="A187:A188"/>
    <mergeCell ref="C187:D187"/>
    <mergeCell ref="F187:G187"/>
    <mergeCell ref="H187:H188"/>
    <mergeCell ref="I187:K188"/>
    <mergeCell ref="L187:P188"/>
    <mergeCell ref="R185:S186"/>
    <mergeCell ref="U185:V185"/>
    <mergeCell ref="W185:W186"/>
    <mergeCell ref="X185:Y186"/>
    <mergeCell ref="C186:D186"/>
    <mergeCell ref="F186:G186"/>
    <mergeCell ref="U186:V186"/>
    <mergeCell ref="A185:A186"/>
    <mergeCell ref="C185:D185"/>
    <mergeCell ref="F185:G185"/>
    <mergeCell ref="H185:H186"/>
    <mergeCell ref="I185:K186"/>
    <mergeCell ref="L185:P186"/>
    <mergeCell ref="U183:V183"/>
    <mergeCell ref="W183:W184"/>
    <mergeCell ref="X183:AB184"/>
    <mergeCell ref="C184:D184"/>
    <mergeCell ref="F184:G184"/>
    <mergeCell ref="R184:S184"/>
    <mergeCell ref="U184:V184"/>
    <mergeCell ref="A183:A184"/>
    <mergeCell ref="C183:D183"/>
    <mergeCell ref="F183:G183"/>
    <mergeCell ref="H183:H184"/>
    <mergeCell ref="I183:L184"/>
    <mergeCell ref="R183:S183"/>
    <mergeCell ref="AB181:AC181"/>
    <mergeCell ref="B182:C182"/>
    <mergeCell ref="E182:G182"/>
    <mergeCell ref="I182:J182"/>
    <mergeCell ref="L182:M182"/>
    <mergeCell ref="R182:S182"/>
    <mergeCell ref="U182:W182"/>
    <mergeCell ref="Y182:Z182"/>
    <mergeCell ref="AB182:AC182"/>
    <mergeCell ref="D181:E181"/>
    <mergeCell ref="F181:G181"/>
    <mergeCell ref="L181:M181"/>
    <mergeCell ref="R181:S181"/>
    <mergeCell ref="T181:U181"/>
    <mergeCell ref="V181:W181"/>
    <mergeCell ref="C177:D177"/>
    <mergeCell ref="R177:AF177"/>
    <mergeCell ref="J178:K178"/>
    <mergeCell ref="Z178:AA178"/>
    <mergeCell ref="J179:K179"/>
    <mergeCell ref="J180:K180"/>
    <mergeCell ref="I174:J174"/>
    <mergeCell ref="O174:P174"/>
    <mergeCell ref="T174:U174"/>
    <mergeCell ref="X174:Z174"/>
    <mergeCell ref="C175:E175"/>
    <mergeCell ref="G175:H175"/>
    <mergeCell ref="J175:K175"/>
    <mergeCell ref="S175:U175"/>
    <mergeCell ref="W175:X175"/>
    <mergeCell ref="Z175:AA175"/>
    <mergeCell ref="R170:S170"/>
    <mergeCell ref="V170:AF170"/>
    <mergeCell ref="F171:P171"/>
    <mergeCell ref="V171:AF171"/>
    <mergeCell ref="F172:P172"/>
    <mergeCell ref="V172:AF172"/>
    <mergeCell ref="E167:F167"/>
    <mergeCell ref="L167:M167"/>
    <mergeCell ref="E168:F168"/>
    <mergeCell ref="H168:I168"/>
    <mergeCell ref="B170:C170"/>
    <mergeCell ref="F170:P170"/>
    <mergeCell ref="AB148:AC148"/>
    <mergeCell ref="B150:C150"/>
    <mergeCell ref="E150:G150"/>
    <mergeCell ref="I150:J150"/>
    <mergeCell ref="L150:M150"/>
    <mergeCell ref="R150:S150"/>
    <mergeCell ref="U150:W150"/>
    <mergeCell ref="Y150:Z150"/>
    <mergeCell ref="AB150:AC150"/>
    <mergeCell ref="J146:K146"/>
    <mergeCell ref="Z146:AA146"/>
    <mergeCell ref="D148:E148"/>
    <mergeCell ref="F148:G148"/>
    <mergeCell ref="L148:M148"/>
    <mergeCell ref="T148:U148"/>
    <mergeCell ref="V148:W148"/>
    <mergeCell ref="C143:D143"/>
    <mergeCell ref="I143:J143"/>
    <mergeCell ref="S143:U143"/>
    <mergeCell ref="S144:U144"/>
    <mergeCell ref="C145:N145"/>
    <mergeCell ref="S145:U145"/>
    <mergeCell ref="X139:Y139"/>
    <mergeCell ref="H140:I140"/>
    <mergeCell ref="K140:L140"/>
    <mergeCell ref="U140:V140"/>
    <mergeCell ref="Y141:Z141"/>
    <mergeCell ref="AE141:AF141"/>
    <mergeCell ref="C138:D138"/>
    <mergeCell ref="E138:F138"/>
    <mergeCell ref="S138:T138"/>
    <mergeCell ref="U138:V138"/>
    <mergeCell ref="E139:F139"/>
    <mergeCell ref="H139:I139"/>
    <mergeCell ref="H134:I134"/>
    <mergeCell ref="X134:Z134"/>
    <mergeCell ref="C135:D135"/>
    <mergeCell ref="S135:T135"/>
    <mergeCell ref="F136:G136"/>
    <mergeCell ref="H136:I136"/>
    <mergeCell ref="V136:W136"/>
    <mergeCell ref="X136:Y136"/>
    <mergeCell ref="F129:G129"/>
    <mergeCell ref="C132:D132"/>
    <mergeCell ref="H132:P132"/>
    <mergeCell ref="X132:AF132"/>
    <mergeCell ref="H133:I133"/>
    <mergeCell ref="X133:Y133"/>
    <mergeCell ref="AA124:AB124"/>
    <mergeCell ref="AD124:AF124"/>
    <mergeCell ref="B125:K125"/>
    <mergeCell ref="C126:E126"/>
    <mergeCell ref="F127:G127"/>
    <mergeCell ref="F128:G128"/>
    <mergeCell ref="I128:J128"/>
    <mergeCell ref="L128:M128"/>
    <mergeCell ref="G123:J123"/>
    <mergeCell ref="W123:Z123"/>
    <mergeCell ref="B124:E124"/>
    <mergeCell ref="H124:I124"/>
    <mergeCell ref="K124:L124"/>
    <mergeCell ref="N124:O124"/>
    <mergeCell ref="R124:U124"/>
    <mergeCell ref="W124:Y124"/>
    <mergeCell ref="G121:J121"/>
    <mergeCell ref="S121:T121"/>
    <mergeCell ref="W121:AA121"/>
    <mergeCell ref="AB121:AD121"/>
    <mergeCell ref="G122:J122"/>
    <mergeCell ref="W122:Z122"/>
    <mergeCell ref="C118:F118"/>
    <mergeCell ref="H118:I118"/>
    <mergeCell ref="M118:O118"/>
    <mergeCell ref="S118:W118"/>
    <mergeCell ref="Y118:AA118"/>
    <mergeCell ref="G120:J120"/>
    <mergeCell ref="S120:T120"/>
    <mergeCell ref="W120:AC120"/>
    <mergeCell ref="C116:F116"/>
    <mergeCell ref="H116:I116"/>
    <mergeCell ref="M116:N116"/>
    <mergeCell ref="S116:U116"/>
    <mergeCell ref="W116:Y116"/>
    <mergeCell ref="B117:E117"/>
    <mergeCell ref="H117:I117"/>
    <mergeCell ref="W117:X117"/>
    <mergeCell ref="C114:F114"/>
    <mergeCell ref="H114:I114"/>
    <mergeCell ref="S114:W114"/>
    <mergeCell ref="Y114:AA114"/>
    <mergeCell ref="C115:F115"/>
    <mergeCell ref="H115:I115"/>
    <mergeCell ref="S115:W115"/>
    <mergeCell ref="Y115:AA115"/>
    <mergeCell ref="AC111:AD112"/>
    <mergeCell ref="F112:H112"/>
    <mergeCell ref="V112:Y112"/>
    <mergeCell ref="B113:E113"/>
    <mergeCell ref="H113:I113"/>
    <mergeCell ref="X113:Z113"/>
    <mergeCell ref="S111:T112"/>
    <mergeCell ref="U111:U112"/>
    <mergeCell ref="X111:Y111"/>
    <mergeCell ref="Z111:Z112"/>
    <mergeCell ref="AA111:AA112"/>
    <mergeCell ref="AB111:AB112"/>
    <mergeCell ref="C111:D112"/>
    <mergeCell ref="E111:E112"/>
    <mergeCell ref="I111:I112"/>
    <mergeCell ref="J111:J112"/>
    <mergeCell ref="K111:K112"/>
    <mergeCell ref="L111:M112"/>
    <mergeCell ref="U106:U107"/>
    <mergeCell ref="X106:Y106"/>
    <mergeCell ref="Z106:Z107"/>
    <mergeCell ref="AA106:AA107"/>
    <mergeCell ref="F107:I107"/>
    <mergeCell ref="V107:Y107"/>
    <mergeCell ref="C106:D107"/>
    <mergeCell ref="E106:E107"/>
    <mergeCell ref="H106:I106"/>
    <mergeCell ref="J106:J107"/>
    <mergeCell ref="K106:K107"/>
    <mergeCell ref="S106:T107"/>
    <mergeCell ref="U104:U105"/>
    <mergeCell ref="V104:Z104"/>
    <mergeCell ref="AA104:AA105"/>
    <mergeCell ref="AB104:AC105"/>
    <mergeCell ref="F105:G105"/>
    <mergeCell ref="I105:J105"/>
    <mergeCell ref="V105:W105"/>
    <mergeCell ref="Y105:Z105"/>
    <mergeCell ref="C104:D105"/>
    <mergeCell ref="E104:E105"/>
    <mergeCell ref="F104:J104"/>
    <mergeCell ref="K104:K105"/>
    <mergeCell ref="L104:M105"/>
    <mergeCell ref="S104:T105"/>
    <mergeCell ref="V102:W102"/>
    <mergeCell ref="X102:X103"/>
    <mergeCell ref="Y102:Z103"/>
    <mergeCell ref="AA102:AA103"/>
    <mergeCell ref="C103:D103"/>
    <mergeCell ref="F103:G103"/>
    <mergeCell ref="S103:T103"/>
    <mergeCell ref="V103:W103"/>
    <mergeCell ref="R101:S101"/>
    <mergeCell ref="T101:V101"/>
    <mergeCell ref="X101:Z101"/>
    <mergeCell ref="AA101:AC101"/>
    <mergeCell ref="C102:D102"/>
    <mergeCell ref="F102:G102"/>
    <mergeCell ref="H102:H103"/>
    <mergeCell ref="I102:J103"/>
    <mergeCell ref="K102:K103"/>
    <mergeCell ref="S102:T102"/>
    <mergeCell ref="I88:J88"/>
    <mergeCell ref="C89:H89"/>
    <mergeCell ref="H90:I90"/>
    <mergeCell ref="H98:I98"/>
    <mergeCell ref="C101:D101"/>
    <mergeCell ref="E101:F101"/>
    <mergeCell ref="G101:I101"/>
    <mergeCell ref="J101:K101"/>
    <mergeCell ref="Y74:Z74"/>
    <mergeCell ref="AB74:AC74"/>
    <mergeCell ref="AD74:AE74"/>
    <mergeCell ref="W79:X79"/>
    <mergeCell ref="D80:F80"/>
    <mergeCell ref="Z81:AA81"/>
    <mergeCell ref="B74:C74"/>
    <mergeCell ref="E74:G74"/>
    <mergeCell ref="I74:J74"/>
    <mergeCell ref="L74:M74"/>
    <mergeCell ref="R74:S74"/>
    <mergeCell ref="U74:W74"/>
    <mergeCell ref="C69:D69"/>
    <mergeCell ref="R69:AF69"/>
    <mergeCell ref="J70:K70"/>
    <mergeCell ref="Z70:AA70"/>
    <mergeCell ref="D72:E72"/>
    <mergeCell ref="F72:G72"/>
    <mergeCell ref="L72:M72"/>
    <mergeCell ref="T72:U72"/>
    <mergeCell ref="V72:W72"/>
    <mergeCell ref="AB72:AC72"/>
    <mergeCell ref="H57:I57"/>
    <mergeCell ref="X57:Y57"/>
    <mergeCell ref="B65:D65"/>
    <mergeCell ref="R65:T65"/>
    <mergeCell ref="C66:E66"/>
    <mergeCell ref="J66:K66"/>
    <mergeCell ref="S66:U66"/>
    <mergeCell ref="V66:W66"/>
    <mergeCell ref="Y66:Z66"/>
    <mergeCell ref="AB53:AC53"/>
    <mergeCell ref="B55:C55"/>
    <mergeCell ref="E55:G55"/>
    <mergeCell ref="I55:J55"/>
    <mergeCell ref="L55:M55"/>
    <mergeCell ref="R55:S55"/>
    <mergeCell ref="U55:W55"/>
    <mergeCell ref="Y55:Z55"/>
    <mergeCell ref="AB55:AC55"/>
    <mergeCell ref="Y48:Z48"/>
    <mergeCell ref="C50:D50"/>
    <mergeCell ref="R50:AF50"/>
    <mergeCell ref="J51:K51"/>
    <mergeCell ref="Z51:AA51"/>
    <mergeCell ref="D53:E53"/>
    <mergeCell ref="F53:G53"/>
    <mergeCell ref="L53:M53"/>
    <mergeCell ref="T53:U53"/>
    <mergeCell ref="V53:W53"/>
    <mergeCell ref="R46:X46"/>
    <mergeCell ref="B47:D47"/>
    <mergeCell ref="R47:T47"/>
    <mergeCell ref="C48:E48"/>
    <mergeCell ref="I48:J48"/>
    <mergeCell ref="S48:U48"/>
    <mergeCell ref="AB39:AC39"/>
    <mergeCell ref="B41:C41"/>
    <mergeCell ref="E41:G41"/>
    <mergeCell ref="I41:J41"/>
    <mergeCell ref="L41:M41"/>
    <mergeCell ref="R41:S41"/>
    <mergeCell ref="U41:W41"/>
    <mergeCell ref="Y41:Z41"/>
    <mergeCell ref="AB41:AC41"/>
    <mergeCell ref="C36:O36"/>
    <mergeCell ref="J37:K37"/>
    <mergeCell ref="Z37:AA37"/>
    <mergeCell ref="D39:E39"/>
    <mergeCell ref="F39:G39"/>
    <mergeCell ref="L39:M39"/>
    <mergeCell ref="T39:U39"/>
    <mergeCell ref="V39:W39"/>
    <mergeCell ref="B32:L32"/>
    <mergeCell ref="R32:X32"/>
    <mergeCell ref="B33:D33"/>
    <mergeCell ref="R33:T33"/>
    <mergeCell ref="AC33:AD33"/>
    <mergeCell ref="C34:E34"/>
    <mergeCell ref="I34:J34"/>
    <mergeCell ref="Y34:Z34"/>
    <mergeCell ref="C27:D27"/>
    <mergeCell ref="F27:H27"/>
    <mergeCell ref="J27:K27"/>
    <mergeCell ref="M27:N27"/>
    <mergeCell ref="B30:P30"/>
    <mergeCell ref="B31:P31"/>
    <mergeCell ref="U22:W22"/>
    <mergeCell ref="K23:L23"/>
    <mergeCell ref="U23:W23"/>
    <mergeCell ref="E25:F25"/>
    <mergeCell ref="G25:H25"/>
    <mergeCell ref="M25:N25"/>
    <mergeCell ref="C17:O17"/>
    <mergeCell ref="C18:M18"/>
    <mergeCell ref="C19:E19"/>
    <mergeCell ref="D20:F20"/>
    <mergeCell ref="J20:K20"/>
    <mergeCell ref="C22:O22"/>
    <mergeCell ref="C9:O9"/>
    <mergeCell ref="K10:L10"/>
    <mergeCell ref="E12:F12"/>
    <mergeCell ref="G12:H12"/>
    <mergeCell ref="M12:N12"/>
    <mergeCell ref="C14:D14"/>
    <mergeCell ref="F14:H14"/>
    <mergeCell ref="J14:K14"/>
    <mergeCell ref="M14:N14"/>
    <mergeCell ref="B2:P2"/>
    <mergeCell ref="C4:O4"/>
    <mergeCell ref="C5:M5"/>
    <mergeCell ref="C6:E6"/>
    <mergeCell ref="D7:F7"/>
    <mergeCell ref="J7:K7"/>
  </mergeCells>
  <phoneticPr fontId="2" type="noConversion"/>
  <printOptions horizontalCentered="1"/>
  <pageMargins left="0.39370078740157483" right="0.39370078740157483" top="0.98425196850393704" bottom="0.59055118110236227" header="0.39370078740157483" footer="0.3937007874015748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"/>
  <sheetViews>
    <sheetView view="pageBreakPreview" zoomScaleSheetLayoutView="100" workbookViewId="0">
      <selection activeCell="C5" sqref="C5"/>
    </sheetView>
  </sheetViews>
  <sheetFormatPr defaultRowHeight="18.75" customHeight="1"/>
  <cols>
    <col min="1" max="1" width="12.77734375" style="1" customWidth="1"/>
    <col min="2" max="2" width="4.77734375" style="1" customWidth="1"/>
    <col min="3" max="16" width="3.77734375" style="1" customWidth="1"/>
    <col min="17" max="17" width="8.77734375" style="1" customWidth="1"/>
    <col min="18" max="20" width="4" style="1" customWidth="1"/>
    <col min="21" max="36" width="4.77734375" style="1" customWidth="1"/>
    <col min="37" max="16384" width="8.88671875" style="1"/>
  </cols>
  <sheetData>
    <row r="1" spans="1:29" ht="24" customHeight="1">
      <c r="A1" s="1074" t="s">
        <v>927</v>
      </c>
      <c r="B1" s="1074"/>
      <c r="C1" s="1074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29" s="2" customFormat="1" ht="24" customHeight="1" thickBot="1">
      <c r="A2" s="270" t="s">
        <v>924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29" s="2" customFormat="1" ht="24.75" customHeight="1">
      <c r="A3" s="282" t="s">
        <v>270</v>
      </c>
      <c r="B3" s="1244" t="s">
        <v>271</v>
      </c>
      <c r="C3" s="1244"/>
      <c r="D3" s="1244"/>
      <c r="E3" s="1244"/>
      <c r="F3" s="1244"/>
      <c r="G3" s="1244"/>
      <c r="H3" s="1244"/>
      <c r="I3" s="1244"/>
      <c r="J3" s="1244"/>
      <c r="K3" s="1244"/>
      <c r="L3" s="1244"/>
      <c r="M3" s="1244"/>
      <c r="N3" s="1244"/>
      <c r="O3" s="1244"/>
      <c r="P3" s="1245"/>
      <c r="Q3" s="283" t="s">
        <v>49</v>
      </c>
    </row>
    <row r="4" spans="1:29" s="2" customFormat="1" ht="24.75" customHeight="1">
      <c r="A4" s="284" t="s">
        <v>273</v>
      </c>
      <c r="B4" s="272"/>
      <c r="C4" s="1247">
        <v>1550</v>
      </c>
      <c r="D4" s="1247"/>
      <c r="E4" s="1248" t="s">
        <v>274</v>
      </c>
      <c r="F4" s="1248"/>
      <c r="G4" s="958" t="s">
        <v>275</v>
      </c>
      <c r="H4" s="1247">
        <f>C4/24</f>
        <v>64.583333333333329</v>
      </c>
      <c r="I4" s="1247"/>
      <c r="J4" s="1248" t="s">
        <v>276</v>
      </c>
      <c r="K4" s="1248"/>
      <c r="L4" s="958" t="s">
        <v>275</v>
      </c>
      <c r="M4" s="1247">
        <f>H4/60</f>
        <v>1.0763888888888888</v>
      </c>
      <c r="N4" s="1247"/>
      <c r="O4" s="1248" t="s">
        <v>277</v>
      </c>
      <c r="P4" s="1248"/>
      <c r="Q4" s="285"/>
    </row>
    <row r="5" spans="1:29" s="2" customFormat="1" ht="24.75" customHeight="1">
      <c r="A5" s="284" t="s">
        <v>278</v>
      </c>
      <c r="B5" s="272"/>
      <c r="C5" s="274"/>
      <c r="D5" s="274"/>
      <c r="E5" s="275"/>
      <c r="F5" s="275"/>
      <c r="G5" s="276"/>
      <c r="H5" s="276"/>
      <c r="I5" s="274"/>
      <c r="J5" s="274"/>
      <c r="K5" s="1249" t="s">
        <v>279</v>
      </c>
      <c r="L5" s="1249"/>
      <c r="M5" s="1249"/>
      <c r="N5" s="1249"/>
      <c r="O5" s="277"/>
      <c r="P5" s="274"/>
      <c r="Q5" s="285"/>
    </row>
    <row r="6" spans="1:29" s="2" customFormat="1" ht="24.75" customHeight="1">
      <c r="A6" s="284"/>
      <c r="B6" s="272"/>
      <c r="C6" s="1243" t="s">
        <v>270</v>
      </c>
      <c r="D6" s="1243"/>
      <c r="E6" s="1243"/>
      <c r="F6" s="1246" t="s">
        <v>280</v>
      </c>
      <c r="G6" s="1246"/>
      <c r="H6" s="1246"/>
      <c r="I6" s="1246"/>
      <c r="J6" s="1243" t="s">
        <v>281</v>
      </c>
      <c r="K6" s="1243"/>
      <c r="L6" s="1243"/>
      <c r="M6" s="1243"/>
      <c r="N6" s="1243" t="s">
        <v>49</v>
      </c>
      <c r="O6" s="1243"/>
      <c r="P6" s="1243"/>
      <c r="Q6" s="285"/>
    </row>
    <row r="7" spans="1:29" s="2" customFormat="1" ht="24.75" customHeight="1">
      <c r="A7" s="284"/>
      <c r="B7" s="272"/>
      <c r="C7" s="1243" t="s">
        <v>282</v>
      </c>
      <c r="D7" s="1243"/>
      <c r="E7" s="1243"/>
      <c r="F7" s="1242">
        <v>218.7</v>
      </c>
      <c r="G7" s="1242"/>
      <c r="H7" s="1242"/>
      <c r="I7" s="1242"/>
      <c r="J7" s="1242">
        <v>6</v>
      </c>
      <c r="K7" s="1242"/>
      <c r="L7" s="1242"/>
      <c r="M7" s="1242"/>
      <c r="N7" s="1243" t="s">
        <v>283</v>
      </c>
      <c r="O7" s="1243"/>
      <c r="P7" s="1243"/>
      <c r="Q7" s="285"/>
    </row>
    <row r="8" spans="1:29" s="2" customFormat="1" ht="24.75" customHeight="1">
      <c r="A8" s="284"/>
      <c r="B8" s="272"/>
      <c r="C8" s="1243" t="s">
        <v>284</v>
      </c>
      <c r="D8" s="1243"/>
      <c r="E8" s="1243"/>
      <c r="F8" s="1242">
        <v>146.4</v>
      </c>
      <c r="G8" s="1242"/>
      <c r="H8" s="1242"/>
      <c r="I8" s="1242"/>
      <c r="J8" s="1242">
        <v>10</v>
      </c>
      <c r="K8" s="1242"/>
      <c r="L8" s="1242"/>
      <c r="M8" s="1242"/>
      <c r="N8" s="1243"/>
      <c r="O8" s="1243"/>
      <c r="P8" s="1243"/>
      <c r="Q8" s="285"/>
      <c r="AC8" s="2" t="s">
        <v>139</v>
      </c>
    </row>
    <row r="9" spans="1:29" s="2" customFormat="1" ht="24.75" customHeight="1">
      <c r="A9" s="284"/>
      <c r="B9" s="272"/>
      <c r="C9" s="1243" t="s">
        <v>239</v>
      </c>
      <c r="D9" s="1243"/>
      <c r="E9" s="1243"/>
      <c r="F9" s="1242">
        <v>240.2</v>
      </c>
      <c r="G9" s="1242"/>
      <c r="H9" s="1242"/>
      <c r="I9" s="1242"/>
      <c r="J9" s="1242">
        <v>6</v>
      </c>
      <c r="K9" s="1242"/>
      <c r="L9" s="1242"/>
      <c r="M9" s="1242"/>
      <c r="N9" s="1243"/>
      <c r="O9" s="1243"/>
      <c r="P9" s="1243"/>
      <c r="Q9" s="285"/>
      <c r="AC9" s="14">
        <v>7</v>
      </c>
    </row>
    <row r="10" spans="1:29" s="2" customFormat="1" ht="24.75" customHeight="1">
      <c r="A10" s="284"/>
      <c r="B10" s="272"/>
      <c r="C10" s="1243" t="s">
        <v>47</v>
      </c>
      <c r="D10" s="1243"/>
      <c r="E10" s="1243"/>
      <c r="F10" s="1242">
        <v>59.954999999999998</v>
      </c>
      <c r="G10" s="1242"/>
      <c r="H10" s="1242"/>
      <c r="I10" s="1242"/>
      <c r="J10" s="1242">
        <v>20</v>
      </c>
      <c r="K10" s="1242"/>
      <c r="L10" s="1242"/>
      <c r="M10" s="1242"/>
      <c r="N10" s="1243"/>
      <c r="O10" s="1243"/>
      <c r="P10" s="1243"/>
      <c r="Q10" s="286"/>
      <c r="V10" s="13"/>
      <c r="AC10" s="14">
        <v>28</v>
      </c>
    </row>
    <row r="11" spans="1:29" s="2" customFormat="1" ht="24.75" customHeight="1">
      <c r="A11" s="284"/>
      <c r="B11" s="272"/>
      <c r="C11" s="1243" t="s">
        <v>48</v>
      </c>
      <c r="D11" s="1243"/>
      <c r="E11" s="1243"/>
      <c r="F11" s="1242">
        <v>6.89</v>
      </c>
      <c r="G11" s="1242"/>
      <c r="H11" s="1242"/>
      <c r="I11" s="1242"/>
      <c r="J11" s="1242">
        <v>0.3</v>
      </c>
      <c r="K11" s="1242"/>
      <c r="L11" s="1242"/>
      <c r="M11" s="1242"/>
      <c r="N11" s="1243"/>
      <c r="O11" s="1243"/>
      <c r="P11" s="1243"/>
      <c r="Q11" s="286"/>
      <c r="S11" s="2">
        <f>ROUNDDOWN(F8/F11, -0.4)</f>
        <v>21</v>
      </c>
      <c r="AC11" s="14">
        <v>7</v>
      </c>
    </row>
    <row r="12" spans="1:29" s="2" customFormat="1" ht="24.75" customHeight="1">
      <c r="A12" s="284" t="s">
        <v>288</v>
      </c>
      <c r="B12" s="272"/>
      <c r="C12" s="278">
        <v>12</v>
      </c>
      <c r="D12" s="958" t="s">
        <v>289</v>
      </c>
      <c r="E12" s="958"/>
      <c r="F12" s="275"/>
      <c r="G12" s="275"/>
      <c r="H12" s="275"/>
      <c r="I12" s="275"/>
      <c r="J12" s="279"/>
      <c r="K12" s="279"/>
      <c r="L12" s="279"/>
      <c r="M12" s="279"/>
      <c r="N12" s="958"/>
      <c r="O12" s="958"/>
      <c r="P12" s="958"/>
      <c r="Q12" s="286"/>
      <c r="AC12" s="14">
        <v>14</v>
      </c>
    </row>
    <row r="13" spans="1:29" s="2" customFormat="1" ht="24.75" customHeight="1">
      <c r="A13" s="284" t="s">
        <v>290</v>
      </c>
      <c r="B13" s="272" t="s">
        <v>291</v>
      </c>
      <c r="C13" s="1233">
        <v>0.15</v>
      </c>
      <c r="D13" s="1233"/>
      <c r="E13" s="280" t="s">
        <v>292</v>
      </c>
      <c r="F13" s="1233">
        <v>0.5</v>
      </c>
      <c r="G13" s="1233"/>
      <c r="H13" s="275"/>
      <c r="I13" s="1239" t="s">
        <v>293</v>
      </c>
      <c r="J13" s="1239"/>
      <c r="K13" s="1241">
        <f>물질수지!L20</f>
        <v>1.6265217450739531</v>
      </c>
      <c r="L13" s="1241"/>
      <c r="M13" s="958"/>
      <c r="N13" s="958"/>
      <c r="O13" s="277"/>
      <c r="P13" s="274"/>
      <c r="Q13" s="286"/>
      <c r="AC13" s="14">
        <v>1.4</v>
      </c>
    </row>
    <row r="14" spans="1:29" s="2" customFormat="1" ht="24.75" customHeight="1">
      <c r="A14" s="284" t="s">
        <v>294</v>
      </c>
      <c r="B14" s="272" t="s">
        <v>291</v>
      </c>
      <c r="C14" s="1234">
        <v>2000</v>
      </c>
      <c r="D14" s="1234"/>
      <c r="E14" s="280" t="s">
        <v>292</v>
      </c>
      <c r="F14" s="1234">
        <v>5000</v>
      </c>
      <c r="G14" s="1234"/>
      <c r="H14" s="281" t="s">
        <v>295</v>
      </c>
      <c r="I14" s="1239" t="s">
        <v>293</v>
      </c>
      <c r="J14" s="1239"/>
      <c r="K14" s="1236">
        <v>3000</v>
      </c>
      <c r="L14" s="1236"/>
      <c r="M14" s="958"/>
      <c r="N14" s="958"/>
      <c r="O14" s="277"/>
      <c r="P14" s="274"/>
      <c r="Q14" s="286"/>
    </row>
    <row r="15" spans="1:29" s="2" customFormat="1" ht="24.75" customHeight="1">
      <c r="A15" s="284" t="s">
        <v>296</v>
      </c>
      <c r="B15" s="272" t="s">
        <v>291</v>
      </c>
      <c r="C15" s="1234">
        <v>1500</v>
      </c>
      <c r="D15" s="1234"/>
      <c r="E15" s="280" t="s">
        <v>292</v>
      </c>
      <c r="F15" s="1234">
        <v>3500</v>
      </c>
      <c r="G15" s="1234"/>
      <c r="H15" s="281" t="s">
        <v>295</v>
      </c>
      <c r="I15" s="1239" t="s">
        <v>293</v>
      </c>
      <c r="J15" s="1239"/>
      <c r="K15" s="1237">
        <f>K14*0.8</f>
        <v>2400</v>
      </c>
      <c r="L15" s="1237"/>
      <c r="M15" s="958"/>
      <c r="N15" s="958"/>
      <c r="O15" s="277"/>
      <c r="P15" s="274"/>
      <c r="Q15" s="286"/>
    </row>
    <row r="16" spans="1:29" s="2" customFormat="1" ht="24.75" customHeight="1" thickBot="1">
      <c r="A16" s="287" t="s">
        <v>297</v>
      </c>
      <c r="B16" s="288" t="s">
        <v>291</v>
      </c>
      <c r="C16" s="1235">
        <v>6</v>
      </c>
      <c r="D16" s="1235"/>
      <c r="E16" s="289" t="s">
        <v>292</v>
      </c>
      <c r="F16" s="1235">
        <v>8</v>
      </c>
      <c r="G16" s="1235"/>
      <c r="H16" s="290"/>
      <c r="I16" s="1238" t="s">
        <v>293</v>
      </c>
      <c r="J16" s="1238"/>
      <c r="K16" s="1240">
        <v>7</v>
      </c>
      <c r="L16" s="1240"/>
      <c r="M16" s="291"/>
      <c r="N16" s="291"/>
      <c r="O16" s="292"/>
      <c r="P16" s="293"/>
      <c r="Q16" s="294"/>
    </row>
    <row r="242" spans="3:7" ht="18.75" customHeight="1">
      <c r="C242" s="1">
        <f>Q221</f>
        <v>0</v>
      </c>
    </row>
    <row r="243" spans="3:7" ht="18.75" customHeight="1">
      <c r="D243" s="1" t="e">
        <f>C242*H242/(J242-L242)/N242</f>
        <v>#DIV/0!</v>
      </c>
    </row>
    <row r="256" spans="3:7" ht="18.75" customHeight="1">
      <c r="C256" s="1">
        <v>9.6999999999999993</v>
      </c>
      <c r="G256" s="1">
        <v>3</v>
      </c>
    </row>
  </sheetData>
  <mergeCells count="48">
    <mergeCell ref="K5:N5"/>
    <mergeCell ref="C6:E6"/>
    <mergeCell ref="F6:I6"/>
    <mergeCell ref="J6:M6"/>
    <mergeCell ref="B3:P3"/>
    <mergeCell ref="C4:D4"/>
    <mergeCell ref="E4:F4"/>
    <mergeCell ref="H4:I4"/>
    <mergeCell ref="J4:K4"/>
    <mergeCell ref="M4:N4"/>
    <mergeCell ref="O4:P4"/>
    <mergeCell ref="N6:P6"/>
    <mergeCell ref="C8:E8"/>
    <mergeCell ref="F8:I8"/>
    <mergeCell ref="J8:M8"/>
    <mergeCell ref="N8:P8"/>
    <mergeCell ref="C7:E7"/>
    <mergeCell ref="F7:I7"/>
    <mergeCell ref="J7:M7"/>
    <mergeCell ref="N7:P7"/>
    <mergeCell ref="C9:E9"/>
    <mergeCell ref="F9:I9"/>
    <mergeCell ref="J9:M9"/>
    <mergeCell ref="N9:P9"/>
    <mergeCell ref="C10:E10"/>
    <mergeCell ref="F10:I10"/>
    <mergeCell ref="J10:M10"/>
    <mergeCell ref="N10:P10"/>
    <mergeCell ref="C11:E11"/>
    <mergeCell ref="F11:I11"/>
    <mergeCell ref="J11:M11"/>
    <mergeCell ref="N11:P11"/>
    <mergeCell ref="C13:D13"/>
    <mergeCell ref="F13:G13"/>
    <mergeCell ref="I13:J13"/>
    <mergeCell ref="K13:L13"/>
    <mergeCell ref="C16:D16"/>
    <mergeCell ref="F16:G16"/>
    <mergeCell ref="I16:J16"/>
    <mergeCell ref="K16:L16"/>
    <mergeCell ref="C14:D14"/>
    <mergeCell ref="F14:G14"/>
    <mergeCell ref="I14:J14"/>
    <mergeCell ref="K14:L14"/>
    <mergeCell ref="C15:D15"/>
    <mergeCell ref="F15:G15"/>
    <mergeCell ref="I15:J15"/>
    <mergeCell ref="K15:L15"/>
  </mergeCells>
  <phoneticPr fontId="2" type="noConversion"/>
  <printOptions horizontalCentered="1"/>
  <pageMargins left="0.39370078740157483" right="0.39370078740157483" top="0.78740157480314965" bottom="0.59055118110236227" header="0.39370078740157483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53"/>
  <sheetViews>
    <sheetView view="pageBreakPreview" topLeftCell="A129" zoomScale="115" zoomScaleSheetLayoutView="115" workbookViewId="0">
      <selection activeCell="C143" sqref="C143:D143"/>
    </sheetView>
  </sheetViews>
  <sheetFormatPr defaultRowHeight="18.75" customHeight="1"/>
  <cols>
    <col min="1" max="1" width="12.77734375" style="736" customWidth="1"/>
    <col min="2" max="2" width="4.77734375" style="99" customWidth="1"/>
    <col min="3" max="5" width="4.109375" style="99" customWidth="1"/>
    <col min="6" max="6" width="3.77734375" style="99" customWidth="1"/>
    <col min="7" max="7" width="4.44140625" style="99" customWidth="1"/>
    <col min="8" max="16" width="4.109375" style="99" customWidth="1"/>
    <col min="17" max="17" width="7.77734375" style="875" customWidth="1"/>
    <col min="18" max="25" width="3.77734375" style="99" customWidth="1"/>
    <col min="26" max="26" width="7.33203125" style="99" customWidth="1"/>
    <col min="27" max="33" width="3.77734375" style="99" customWidth="1"/>
    <col min="34" max="36" width="4" style="99" customWidth="1"/>
    <col min="37" max="52" width="4.77734375" style="99" customWidth="1"/>
    <col min="53" max="16384" width="8.88671875" style="99"/>
  </cols>
  <sheetData>
    <row r="1" spans="1:33" ht="30" customHeight="1">
      <c r="A1" s="898" t="s">
        <v>928</v>
      </c>
      <c r="B1" s="899"/>
      <c r="C1" s="899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1"/>
      <c r="R1" s="98"/>
      <c r="S1" s="98"/>
    </row>
    <row r="2" spans="1:33" s="100" customFormat="1" ht="21" customHeight="1">
      <c r="A2" s="949" t="s">
        <v>37</v>
      </c>
      <c r="B2" s="1381" t="s">
        <v>135</v>
      </c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950" t="s">
        <v>49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964"/>
    </row>
    <row r="3" spans="1:33" s="100" customFormat="1" ht="21" hidden="1" customHeight="1">
      <c r="A3" s="738" t="s">
        <v>832</v>
      </c>
      <c r="B3" s="960"/>
      <c r="C3" s="963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3"/>
      <c r="Q3" s="876"/>
      <c r="R3" s="734"/>
      <c r="S3" s="734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964"/>
    </row>
    <row r="4" spans="1:33" s="100" customFormat="1" ht="21" hidden="1" customHeight="1">
      <c r="A4" s="739" t="s">
        <v>114</v>
      </c>
      <c r="B4" s="960"/>
      <c r="C4" s="1256" t="s">
        <v>822</v>
      </c>
      <c r="D4" s="1256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963"/>
      <c r="Q4" s="876"/>
      <c r="R4" s="734"/>
      <c r="S4" s="734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964"/>
    </row>
    <row r="5" spans="1:33" s="100" customFormat="1" ht="21" hidden="1" customHeight="1">
      <c r="A5" s="739" t="s">
        <v>115</v>
      </c>
      <c r="B5" s="960"/>
      <c r="C5" s="1257" t="s">
        <v>788</v>
      </c>
      <c r="D5" s="1257"/>
      <c r="E5" s="1257"/>
      <c r="F5" s="1257"/>
      <c r="G5" s="1257"/>
      <c r="H5" s="1257"/>
      <c r="I5" s="1257"/>
      <c r="J5" s="1257"/>
      <c r="K5" s="1257"/>
      <c r="L5" s="1257"/>
      <c r="M5" s="1257"/>
      <c r="N5" s="963"/>
      <c r="O5" s="963"/>
      <c r="P5" s="963"/>
      <c r="Q5" s="876"/>
      <c r="R5" s="734"/>
      <c r="S5" s="734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964"/>
    </row>
    <row r="6" spans="1:33" s="100" customFormat="1" ht="21" hidden="1" customHeight="1">
      <c r="A6" s="739" t="s">
        <v>116</v>
      </c>
      <c r="B6" s="960"/>
      <c r="C6" s="1257" t="s">
        <v>117</v>
      </c>
      <c r="D6" s="1257"/>
      <c r="E6" s="1257"/>
      <c r="F6" s="963"/>
      <c r="G6" s="963"/>
      <c r="H6" s="963"/>
      <c r="I6" s="963"/>
      <c r="J6" s="963"/>
      <c r="K6" s="963"/>
      <c r="L6" s="963"/>
      <c r="M6" s="963"/>
      <c r="N6" s="963"/>
      <c r="O6" s="963"/>
      <c r="P6" s="963"/>
      <c r="Q6" s="876"/>
      <c r="R6" s="734"/>
      <c r="S6" s="73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964"/>
    </row>
    <row r="7" spans="1:33" s="100" customFormat="1" ht="21" hidden="1" customHeight="1">
      <c r="A7" s="739"/>
      <c r="B7" s="960"/>
      <c r="C7" s="963"/>
      <c r="D7" s="1252">
        <f>'설계기준(설계치12)'!H4</f>
        <v>166.66666666666666</v>
      </c>
      <c r="E7" s="1252"/>
      <c r="F7" s="1253"/>
      <c r="G7" s="959" t="s">
        <v>51</v>
      </c>
      <c r="H7" s="535">
        <v>0.5</v>
      </c>
      <c r="I7" s="959" t="s">
        <v>30</v>
      </c>
      <c r="J7" s="1258">
        <f>D7*H7</f>
        <v>83.333333333333329</v>
      </c>
      <c r="K7" s="1259"/>
      <c r="L7" s="963" t="s">
        <v>118</v>
      </c>
      <c r="M7" s="963"/>
      <c r="N7" s="963"/>
      <c r="O7" s="963"/>
      <c r="P7" s="963"/>
      <c r="Q7" s="876"/>
      <c r="R7" s="734"/>
      <c r="S7" s="734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964"/>
    </row>
    <row r="8" spans="1:33" s="100" customFormat="1" ht="21" hidden="1" customHeight="1">
      <c r="A8" s="739" t="s">
        <v>119</v>
      </c>
      <c r="B8" s="960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876"/>
      <c r="R8" s="734"/>
      <c r="S8" s="734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964"/>
    </row>
    <row r="9" spans="1:33" s="100" customFormat="1" ht="21" hidden="1" customHeight="1">
      <c r="A9" s="1021" t="s">
        <v>120</v>
      </c>
      <c r="B9" s="960"/>
      <c r="C9" s="1260" t="s">
        <v>121</v>
      </c>
      <c r="D9" s="1260"/>
      <c r="E9" s="1260"/>
      <c r="F9" s="1260"/>
      <c r="G9" s="1260"/>
      <c r="H9" s="1260"/>
      <c r="I9" s="1260"/>
      <c r="J9" s="1260"/>
      <c r="K9" s="1260"/>
      <c r="L9" s="1260"/>
      <c r="M9" s="1260"/>
      <c r="N9" s="1260"/>
      <c r="O9" s="1260"/>
      <c r="P9" s="963"/>
      <c r="Q9" s="876"/>
      <c r="R9" s="734"/>
      <c r="S9" s="73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964"/>
    </row>
    <row r="10" spans="1:33" s="100" customFormat="1" ht="21" hidden="1" customHeight="1">
      <c r="A10" s="1021"/>
      <c r="B10" s="960"/>
      <c r="C10" s="969" t="s">
        <v>106</v>
      </c>
      <c r="D10" s="971">
        <v>7.5</v>
      </c>
      <c r="E10" s="962" t="s">
        <v>308</v>
      </c>
      <c r="F10" s="959" t="s">
        <v>51</v>
      </c>
      <c r="G10" s="969" t="s">
        <v>108</v>
      </c>
      <c r="H10" s="971">
        <v>6</v>
      </c>
      <c r="I10" s="962" t="s">
        <v>308</v>
      </c>
      <c r="J10" s="959" t="s">
        <v>51</v>
      </c>
      <c r="K10" s="1260" t="s">
        <v>123</v>
      </c>
      <c r="L10" s="1260"/>
      <c r="M10" s="969" t="s">
        <v>311</v>
      </c>
      <c r="N10" s="741">
        <v>3</v>
      </c>
      <c r="O10" s="962" t="s">
        <v>308</v>
      </c>
      <c r="P10" s="963"/>
      <c r="Q10" s="876"/>
      <c r="R10" s="734"/>
      <c r="S10" s="73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964"/>
    </row>
    <row r="11" spans="1:33" s="100" customFormat="1" ht="21" hidden="1" customHeight="1">
      <c r="A11" s="1021" t="s">
        <v>125</v>
      </c>
      <c r="B11" s="960"/>
      <c r="C11" s="963"/>
      <c r="D11" s="963"/>
      <c r="E11" s="963"/>
      <c r="F11" s="963"/>
      <c r="G11" s="963"/>
      <c r="H11" s="963"/>
      <c r="I11" s="959">
        <v>1</v>
      </c>
      <c r="J11" s="963" t="s">
        <v>609</v>
      </c>
      <c r="K11" s="959">
        <v>2</v>
      </c>
      <c r="L11" s="963" t="s">
        <v>113</v>
      </c>
      <c r="M11" s="963"/>
      <c r="N11" s="963"/>
      <c r="O11" s="963"/>
      <c r="P11" s="963"/>
      <c r="Q11" s="876"/>
      <c r="R11" s="734"/>
      <c r="S11" s="73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964"/>
    </row>
    <row r="12" spans="1:33" s="100" customFormat="1" ht="21" hidden="1" customHeight="1">
      <c r="A12" s="1021" t="s">
        <v>126</v>
      </c>
      <c r="B12" s="960"/>
      <c r="C12" s="959" t="s">
        <v>127</v>
      </c>
      <c r="D12" s="959" t="s">
        <v>30</v>
      </c>
      <c r="E12" s="1260">
        <f>D10*H10*N10</f>
        <v>135</v>
      </c>
      <c r="F12" s="1260"/>
      <c r="G12" s="1260" t="s">
        <v>128</v>
      </c>
      <c r="H12" s="1260"/>
      <c r="I12" s="959" t="s">
        <v>51</v>
      </c>
      <c r="J12" s="959">
        <f>I11*K11</f>
        <v>2</v>
      </c>
      <c r="K12" s="963" t="s">
        <v>609</v>
      </c>
      <c r="L12" s="959" t="s">
        <v>30</v>
      </c>
      <c r="M12" s="1261">
        <f>E12*J12</f>
        <v>270</v>
      </c>
      <c r="N12" s="1257"/>
      <c r="O12" s="963"/>
      <c r="P12" s="963"/>
      <c r="Q12" s="876"/>
      <c r="R12" s="734"/>
      <c r="S12" s="73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964"/>
    </row>
    <row r="13" spans="1:33" s="100" customFormat="1" ht="21" hidden="1" customHeight="1">
      <c r="A13" s="739" t="s">
        <v>129</v>
      </c>
      <c r="B13" s="960"/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876"/>
      <c r="R13" s="734"/>
      <c r="S13" s="73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964"/>
    </row>
    <row r="14" spans="1:33" s="100" customFormat="1" ht="21" hidden="1" customHeight="1">
      <c r="A14" s="1021" t="s">
        <v>318</v>
      </c>
      <c r="B14" s="960"/>
      <c r="C14" s="1251">
        <f>M12</f>
        <v>270</v>
      </c>
      <c r="D14" s="1251"/>
      <c r="E14" s="959" t="s">
        <v>52</v>
      </c>
      <c r="F14" s="1252">
        <f>D7</f>
        <v>166.66666666666666</v>
      </c>
      <c r="G14" s="1252"/>
      <c r="H14" s="1253"/>
      <c r="I14" s="959" t="s">
        <v>30</v>
      </c>
      <c r="J14" s="1254">
        <f>C14/F14</f>
        <v>1.62</v>
      </c>
      <c r="K14" s="1254"/>
      <c r="L14" s="959"/>
      <c r="M14" s="1255"/>
      <c r="N14" s="1255"/>
      <c r="O14" s="963"/>
      <c r="P14" s="963"/>
      <c r="Q14" s="876"/>
      <c r="R14" s="734"/>
      <c r="S14" s="73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964"/>
    </row>
    <row r="15" spans="1:33" s="100" customFormat="1" ht="21" hidden="1" customHeight="1">
      <c r="A15" s="738"/>
      <c r="B15" s="960"/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876"/>
      <c r="R15" s="734"/>
      <c r="S15" s="73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964"/>
    </row>
    <row r="16" spans="1:33" s="100" customFormat="1" ht="21" hidden="1" customHeight="1">
      <c r="A16" s="738" t="s">
        <v>781</v>
      </c>
      <c r="B16" s="960"/>
      <c r="C16" s="963"/>
      <c r="D16" s="963"/>
      <c r="E16" s="963"/>
      <c r="F16" s="963"/>
      <c r="G16" s="963"/>
      <c r="H16" s="963"/>
      <c r="I16" s="963"/>
      <c r="J16" s="963"/>
      <c r="K16" s="963"/>
      <c r="L16" s="963"/>
      <c r="M16" s="963"/>
      <c r="N16" s="963"/>
      <c r="O16" s="963"/>
      <c r="P16" s="963"/>
      <c r="Q16" s="876"/>
      <c r="R16" s="734"/>
      <c r="S16" s="73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964"/>
    </row>
    <row r="17" spans="1:33" s="100" customFormat="1" ht="21" hidden="1" customHeight="1">
      <c r="A17" s="739" t="s">
        <v>114</v>
      </c>
      <c r="B17" s="960"/>
      <c r="C17" s="1256" t="s">
        <v>779</v>
      </c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963"/>
      <c r="Q17" s="876"/>
      <c r="R17" s="734"/>
      <c r="S17" s="73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964"/>
    </row>
    <row r="18" spans="1:33" s="100" customFormat="1" ht="21" hidden="1" customHeight="1">
      <c r="A18" s="739" t="s">
        <v>115</v>
      </c>
      <c r="B18" s="960"/>
      <c r="C18" s="1257" t="s">
        <v>820</v>
      </c>
      <c r="D18" s="1257"/>
      <c r="E18" s="1257"/>
      <c r="F18" s="1257"/>
      <c r="G18" s="1257"/>
      <c r="H18" s="1257"/>
      <c r="I18" s="1257"/>
      <c r="J18" s="1257"/>
      <c r="K18" s="1257"/>
      <c r="L18" s="1257"/>
      <c r="M18" s="1257"/>
      <c r="N18" s="963"/>
      <c r="O18" s="963"/>
      <c r="P18" s="963"/>
      <c r="Q18" s="876"/>
      <c r="R18" s="734"/>
      <c r="S18" s="73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964"/>
    </row>
    <row r="19" spans="1:33" s="100" customFormat="1" ht="21" hidden="1" customHeight="1">
      <c r="A19" s="739" t="s">
        <v>116</v>
      </c>
      <c r="B19" s="960"/>
      <c r="C19" s="1257" t="s">
        <v>117</v>
      </c>
      <c r="D19" s="1257"/>
      <c r="E19" s="1257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876"/>
      <c r="R19" s="734"/>
      <c r="S19" s="734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964"/>
    </row>
    <row r="20" spans="1:33" s="100" customFormat="1" ht="21" hidden="1" customHeight="1">
      <c r="A20" s="739"/>
      <c r="B20" s="960"/>
      <c r="C20" s="963"/>
      <c r="D20" s="1252">
        <f>'설계기준(설계치12)'!H4</f>
        <v>166.66666666666666</v>
      </c>
      <c r="E20" s="1252"/>
      <c r="F20" s="1253"/>
      <c r="G20" s="959" t="s">
        <v>51</v>
      </c>
      <c r="H20" s="303">
        <v>2</v>
      </c>
      <c r="I20" s="959" t="s">
        <v>30</v>
      </c>
      <c r="J20" s="1258">
        <f>D20*H20</f>
        <v>333.33333333333331</v>
      </c>
      <c r="K20" s="1259"/>
      <c r="L20" s="963" t="s">
        <v>118</v>
      </c>
      <c r="M20" s="963"/>
      <c r="N20" s="963"/>
      <c r="O20" s="963"/>
      <c r="P20" s="963"/>
      <c r="Q20" s="876"/>
      <c r="R20" s="734"/>
      <c r="S20" s="734"/>
      <c r="T20" s="45"/>
      <c r="U20" s="45"/>
      <c r="V20" s="45"/>
      <c r="W20" s="45"/>
      <c r="X20" s="45"/>
      <c r="Y20" s="45"/>
      <c r="Z20" s="45">
        <f>69*26</f>
        <v>1794</v>
      </c>
      <c r="AA20" s="45"/>
      <c r="AB20" s="45"/>
      <c r="AC20" s="45"/>
      <c r="AD20" s="45"/>
      <c r="AE20" s="45"/>
      <c r="AF20" s="45"/>
      <c r="AG20" s="964"/>
    </row>
    <row r="21" spans="1:33" s="100" customFormat="1" ht="21" hidden="1" customHeight="1">
      <c r="A21" s="739" t="s">
        <v>119</v>
      </c>
      <c r="B21" s="960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876"/>
      <c r="R21" s="734"/>
      <c r="S21" s="73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964"/>
    </row>
    <row r="22" spans="1:33" s="100" customFormat="1" ht="21" hidden="1" customHeight="1">
      <c r="A22" s="1021" t="s">
        <v>120</v>
      </c>
      <c r="B22" s="960"/>
      <c r="C22" s="1260" t="s">
        <v>121</v>
      </c>
      <c r="D22" s="1260"/>
      <c r="E22" s="1260"/>
      <c r="F22" s="1260"/>
      <c r="G22" s="1260"/>
      <c r="H22" s="1260"/>
      <c r="I22" s="1260"/>
      <c r="J22" s="1260"/>
      <c r="K22" s="1260"/>
      <c r="L22" s="1260"/>
      <c r="M22" s="1260"/>
      <c r="N22" s="1260"/>
      <c r="O22" s="1260"/>
      <c r="P22" s="963"/>
      <c r="Q22" s="876"/>
      <c r="R22" s="734"/>
      <c r="S22" s="734"/>
      <c r="T22" s="45"/>
      <c r="U22" s="1263">
        <f>H23+G37+0.4</f>
        <v>28.4</v>
      </c>
      <c r="V22" s="1263"/>
      <c r="W22" s="1263"/>
      <c r="X22" s="45"/>
      <c r="Y22" s="45"/>
      <c r="Z22" s="45"/>
      <c r="AA22" s="45"/>
      <c r="AB22" s="45"/>
      <c r="AC22" s="45"/>
      <c r="AD22" s="45"/>
      <c r="AE22" s="45"/>
      <c r="AF22" s="45"/>
      <c r="AG22" s="964"/>
    </row>
    <row r="23" spans="1:33" s="100" customFormat="1" ht="21" hidden="1" customHeight="1">
      <c r="A23" s="1021"/>
      <c r="B23" s="960"/>
      <c r="C23" s="969" t="s">
        <v>106</v>
      </c>
      <c r="D23" s="971">
        <v>28.8</v>
      </c>
      <c r="E23" s="962" t="s">
        <v>308</v>
      </c>
      <c r="F23" s="959" t="s">
        <v>51</v>
      </c>
      <c r="G23" s="969" t="s">
        <v>108</v>
      </c>
      <c r="H23" s="971">
        <v>4</v>
      </c>
      <c r="I23" s="962" t="s">
        <v>308</v>
      </c>
      <c r="J23" s="959" t="s">
        <v>51</v>
      </c>
      <c r="K23" s="1260" t="s">
        <v>123</v>
      </c>
      <c r="L23" s="1260"/>
      <c r="M23" s="969" t="s">
        <v>311</v>
      </c>
      <c r="N23" s="741">
        <v>4.5</v>
      </c>
      <c r="O23" s="962" t="s">
        <v>308</v>
      </c>
      <c r="P23" s="959"/>
      <c r="Q23" s="876"/>
      <c r="R23" s="734"/>
      <c r="S23" s="734"/>
      <c r="T23" s="45"/>
      <c r="U23" s="1264">
        <v>28.4</v>
      </c>
      <c r="V23" s="1264"/>
      <c r="W23" s="1264"/>
      <c r="X23" s="45"/>
      <c r="Y23" s="45"/>
      <c r="Z23" s="45"/>
      <c r="AA23" s="45"/>
      <c r="AB23" s="45"/>
      <c r="AC23" s="45"/>
      <c r="AD23" s="45"/>
      <c r="AE23" s="45"/>
      <c r="AF23" s="45"/>
      <c r="AG23" s="964"/>
    </row>
    <row r="24" spans="1:33" s="100" customFormat="1" ht="21" hidden="1" customHeight="1">
      <c r="A24" s="1021" t="s">
        <v>125</v>
      </c>
      <c r="B24" s="960"/>
      <c r="C24" s="963"/>
      <c r="D24" s="963"/>
      <c r="E24" s="963"/>
      <c r="F24" s="963"/>
      <c r="G24" s="963"/>
      <c r="H24" s="963"/>
      <c r="I24" s="959">
        <v>2</v>
      </c>
      <c r="J24" s="963" t="s">
        <v>113</v>
      </c>
      <c r="K24" s="959"/>
      <c r="L24" s="963"/>
      <c r="M24" s="963"/>
      <c r="N24" s="963"/>
      <c r="O24" s="963"/>
      <c r="P24" s="963"/>
      <c r="Q24" s="876"/>
      <c r="R24" s="734"/>
      <c r="S24" s="73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964"/>
    </row>
    <row r="25" spans="1:33" s="100" customFormat="1" ht="21" hidden="1" customHeight="1">
      <c r="A25" s="1021" t="s">
        <v>126</v>
      </c>
      <c r="B25" s="960"/>
      <c r="C25" s="959" t="s">
        <v>127</v>
      </c>
      <c r="D25" s="959" t="s">
        <v>30</v>
      </c>
      <c r="E25" s="1260">
        <f>D23*H23*N23</f>
        <v>518.4</v>
      </c>
      <c r="F25" s="1260"/>
      <c r="G25" s="1260" t="s">
        <v>128</v>
      </c>
      <c r="H25" s="1260"/>
      <c r="I25" s="959" t="s">
        <v>51</v>
      </c>
      <c r="J25" s="959">
        <f>I24</f>
        <v>2</v>
      </c>
      <c r="K25" s="963" t="s">
        <v>113</v>
      </c>
      <c r="L25" s="959" t="s">
        <v>30</v>
      </c>
      <c r="M25" s="1261">
        <f>E25*J25</f>
        <v>1036.8</v>
      </c>
      <c r="N25" s="1257"/>
      <c r="O25" s="963"/>
      <c r="P25" s="963"/>
      <c r="Q25" s="876"/>
      <c r="R25" s="734"/>
      <c r="S25" s="734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964"/>
    </row>
    <row r="26" spans="1:33" s="100" customFormat="1" ht="21" hidden="1" customHeight="1">
      <c r="A26" s="739" t="s">
        <v>129</v>
      </c>
      <c r="B26" s="960"/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876"/>
      <c r="R26" s="734"/>
      <c r="S26" s="734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964"/>
    </row>
    <row r="27" spans="1:33" s="100" customFormat="1" ht="21" hidden="1" customHeight="1">
      <c r="A27" s="1021" t="s">
        <v>318</v>
      </c>
      <c r="B27" s="960"/>
      <c r="C27" s="1251">
        <f>M25</f>
        <v>1036.8</v>
      </c>
      <c r="D27" s="1251"/>
      <c r="E27" s="959" t="s">
        <v>52</v>
      </c>
      <c r="F27" s="1252">
        <f>D20</f>
        <v>166.66666666666666</v>
      </c>
      <c r="G27" s="1252"/>
      <c r="H27" s="1253"/>
      <c r="I27" s="959" t="s">
        <v>30</v>
      </c>
      <c r="J27" s="1254">
        <f>C27/F27</f>
        <v>6.2207999999999997</v>
      </c>
      <c r="K27" s="1254"/>
      <c r="L27" s="959"/>
      <c r="M27" s="1255"/>
      <c r="N27" s="1255"/>
      <c r="O27" s="963"/>
      <c r="P27" s="963"/>
      <c r="Q27" s="876"/>
      <c r="R27" s="734"/>
      <c r="S27" s="73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964"/>
    </row>
    <row r="28" spans="1:33" s="100" customFormat="1" ht="21" hidden="1" customHeight="1">
      <c r="A28" s="732"/>
      <c r="B28" s="732"/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87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964"/>
    </row>
    <row r="29" spans="1:33" s="100" customFormat="1" ht="21" hidden="1" customHeight="1">
      <c r="A29" s="854" t="s">
        <v>782</v>
      </c>
      <c r="B29" s="322"/>
      <c r="C29" s="963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878"/>
      <c r="R29" s="980"/>
      <c r="S29" s="980"/>
      <c r="T29" s="980"/>
      <c r="U29" s="980"/>
      <c r="V29" s="980"/>
      <c r="W29" s="980"/>
      <c r="X29" s="980"/>
      <c r="Y29" s="980"/>
      <c r="Z29" s="980"/>
      <c r="AA29" s="980"/>
      <c r="AB29" s="980"/>
      <c r="AC29" s="980"/>
      <c r="AD29" s="980"/>
      <c r="AE29" s="980"/>
      <c r="AF29" s="980"/>
      <c r="AG29" s="45"/>
    </row>
    <row r="30" spans="1:33" s="100" customFormat="1" ht="21" hidden="1" customHeight="1">
      <c r="A30" s="322" t="s">
        <v>114</v>
      </c>
      <c r="B30" s="1384" t="s">
        <v>509</v>
      </c>
      <c r="C30" s="1259"/>
      <c r="D30" s="1259"/>
      <c r="E30" s="1259"/>
      <c r="F30" s="1259"/>
      <c r="G30" s="1259"/>
      <c r="H30" s="1259"/>
      <c r="I30" s="1259"/>
      <c r="J30" s="1259"/>
      <c r="K30" s="1259"/>
      <c r="L30" s="1259"/>
      <c r="M30" s="1259"/>
      <c r="N30" s="1259"/>
      <c r="O30" s="1259"/>
      <c r="P30" s="1385"/>
      <c r="Q30" s="878"/>
      <c r="R30" s="965"/>
      <c r="S30" s="965"/>
      <c r="T30" s="965"/>
      <c r="U30" s="965"/>
      <c r="V30" s="965"/>
      <c r="W30" s="965"/>
      <c r="X30" s="965"/>
      <c r="Y30" s="965"/>
      <c r="Z30" s="965"/>
      <c r="AA30" s="965"/>
      <c r="AB30" s="965"/>
      <c r="AC30" s="965"/>
      <c r="AD30" s="965"/>
      <c r="AE30" s="965"/>
      <c r="AF30" s="965"/>
      <c r="AG30" s="45"/>
    </row>
    <row r="31" spans="1:33" s="100" customFormat="1" ht="21" hidden="1" customHeight="1">
      <c r="A31" s="322"/>
      <c r="B31" s="1384" t="s">
        <v>510</v>
      </c>
      <c r="C31" s="1386"/>
      <c r="D31" s="1386"/>
      <c r="E31" s="1386"/>
      <c r="F31" s="1386"/>
      <c r="G31" s="1386"/>
      <c r="H31" s="1386"/>
      <c r="I31" s="1386"/>
      <c r="J31" s="1386"/>
      <c r="K31" s="1386"/>
      <c r="L31" s="1386"/>
      <c r="M31" s="1386"/>
      <c r="N31" s="1386"/>
      <c r="O31" s="1386"/>
      <c r="P31" s="1387"/>
      <c r="Q31" s="878"/>
      <c r="R31" s="965"/>
      <c r="S31" s="965"/>
      <c r="T31" s="965"/>
      <c r="U31" s="965"/>
      <c r="V31" s="965"/>
      <c r="W31" s="965"/>
      <c r="X31" s="965"/>
      <c r="Y31" s="965"/>
      <c r="Z31" s="965"/>
      <c r="AA31" s="965"/>
      <c r="AB31" s="965"/>
      <c r="AC31" s="965"/>
      <c r="AD31" s="965"/>
      <c r="AE31" s="965"/>
      <c r="AF31" s="965"/>
      <c r="AG31" s="45"/>
    </row>
    <row r="32" spans="1:33" s="100" customFormat="1" ht="21" hidden="1" customHeight="1">
      <c r="A32" s="322" t="s">
        <v>115</v>
      </c>
      <c r="B32" s="1293" t="s">
        <v>821</v>
      </c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963" t="s">
        <v>25</v>
      </c>
      <c r="N32" s="963"/>
      <c r="O32" s="963"/>
      <c r="P32" s="963"/>
      <c r="Q32" s="878"/>
      <c r="R32" s="1265"/>
      <c r="S32" s="1265"/>
      <c r="T32" s="1265"/>
      <c r="U32" s="1265"/>
      <c r="V32" s="1265"/>
      <c r="W32" s="1265"/>
      <c r="X32" s="1265"/>
      <c r="Y32" s="980"/>
      <c r="Z32" s="980"/>
      <c r="AA32" s="980"/>
      <c r="AB32" s="980"/>
      <c r="AC32" s="980"/>
      <c r="AD32" s="980"/>
      <c r="AE32" s="980"/>
      <c r="AF32" s="980"/>
      <c r="AG32" s="45"/>
    </row>
    <row r="33" spans="1:33" s="100" customFormat="1" ht="21" hidden="1" customHeight="1">
      <c r="A33" s="322" t="s">
        <v>116</v>
      </c>
      <c r="B33" s="1293" t="s">
        <v>117</v>
      </c>
      <c r="C33" s="1257"/>
      <c r="D33" s="1257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878"/>
      <c r="R33" s="1265"/>
      <c r="S33" s="1265"/>
      <c r="T33" s="1265"/>
      <c r="U33" s="980"/>
      <c r="V33" s="980"/>
      <c r="W33" s="980"/>
      <c r="X33" s="980"/>
      <c r="Y33" s="980"/>
      <c r="Z33" s="980"/>
      <c r="AA33" s="980"/>
      <c r="AB33" s="980"/>
      <c r="AC33" s="1269" t="s">
        <v>138</v>
      </c>
      <c r="AD33" s="1269"/>
      <c r="AE33" s="980"/>
      <c r="AF33" s="980"/>
      <c r="AG33" s="45"/>
    </row>
    <row r="34" spans="1:33" s="100" customFormat="1" ht="21" hidden="1" customHeight="1">
      <c r="A34" s="896"/>
      <c r="B34" s="896"/>
      <c r="C34" s="1374">
        <f>'설계기준(설계치12)'!C4</f>
        <v>4000</v>
      </c>
      <c r="D34" s="1374"/>
      <c r="E34" s="1375"/>
      <c r="F34" s="992" t="s">
        <v>41</v>
      </c>
      <c r="G34" s="897">
        <v>12</v>
      </c>
      <c r="H34" s="992" t="s">
        <v>30</v>
      </c>
      <c r="I34" s="1383">
        <f>C34*G34/24</f>
        <v>2000</v>
      </c>
      <c r="J34" s="1383"/>
      <c r="K34" s="1015" t="s">
        <v>118</v>
      </c>
      <c r="L34" s="1015"/>
      <c r="M34" s="1015"/>
      <c r="N34" s="1015"/>
      <c r="O34" s="1015"/>
      <c r="P34" s="1015"/>
      <c r="Q34" s="879"/>
      <c r="R34" s="980"/>
      <c r="S34" s="304"/>
      <c r="T34" s="304"/>
      <c r="U34" s="304"/>
      <c r="V34" s="966"/>
      <c r="W34" s="305"/>
      <c r="X34" s="966"/>
      <c r="Y34" s="1308"/>
      <c r="Z34" s="1308"/>
      <c r="AA34" s="980"/>
      <c r="AB34" s="980"/>
      <c r="AC34" s="307">
        <v>7</v>
      </c>
      <c r="AD34" s="980"/>
      <c r="AE34" s="980"/>
      <c r="AF34" s="980"/>
      <c r="AG34" s="45"/>
    </row>
    <row r="35" spans="1:33" s="100" customFormat="1" ht="21" hidden="1" customHeight="1">
      <c r="A35" s="322" t="s">
        <v>119</v>
      </c>
      <c r="B35" s="322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878"/>
      <c r="R35" s="980"/>
      <c r="S35" s="980"/>
      <c r="T35" s="980"/>
      <c r="U35" s="980"/>
      <c r="V35" s="980"/>
      <c r="W35" s="980"/>
      <c r="X35" s="980"/>
      <c r="Y35" s="980"/>
      <c r="Z35" s="980"/>
      <c r="AA35" s="980"/>
      <c r="AB35" s="980"/>
      <c r="AC35" s="307">
        <v>28</v>
      </c>
      <c r="AD35" s="980"/>
      <c r="AE35" s="980"/>
      <c r="AF35" s="980"/>
      <c r="AG35" s="45"/>
    </row>
    <row r="36" spans="1:33" s="100" customFormat="1" ht="21" hidden="1" customHeight="1">
      <c r="A36" s="1016" t="s">
        <v>120</v>
      </c>
      <c r="B36" s="322"/>
      <c r="C36" s="1260" t="s">
        <v>121</v>
      </c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963"/>
      <c r="Q36" s="878"/>
      <c r="R36" s="980"/>
      <c r="S36" s="980"/>
      <c r="T36" s="980"/>
      <c r="U36" s="980"/>
      <c r="V36" s="980"/>
      <c r="W36" s="980"/>
      <c r="X36" s="980"/>
      <c r="Y36" s="980"/>
      <c r="Z36" s="980"/>
      <c r="AA36" s="980"/>
      <c r="AB36" s="980"/>
      <c r="AC36" s="307"/>
      <c r="AD36" s="980"/>
      <c r="AE36" s="980"/>
      <c r="AF36" s="980"/>
      <c r="AG36" s="45"/>
    </row>
    <row r="37" spans="1:33" s="100" customFormat="1" ht="21" hidden="1" customHeight="1">
      <c r="A37" s="1016" t="s">
        <v>122</v>
      </c>
      <c r="B37" s="973" t="s">
        <v>106</v>
      </c>
      <c r="C37" s="309">
        <f>D23</f>
        <v>28.8</v>
      </c>
      <c r="D37" s="959" t="s">
        <v>36</v>
      </c>
      <c r="E37" s="959" t="s">
        <v>51</v>
      </c>
      <c r="F37" s="959" t="s">
        <v>108</v>
      </c>
      <c r="G37" s="309">
        <v>24</v>
      </c>
      <c r="H37" s="959" t="s">
        <v>36</v>
      </c>
      <c r="I37" s="959" t="s">
        <v>51</v>
      </c>
      <c r="J37" s="1260" t="s">
        <v>123</v>
      </c>
      <c r="K37" s="1260"/>
      <c r="L37" s="959" t="s">
        <v>124</v>
      </c>
      <c r="M37" s="309">
        <v>4.5</v>
      </c>
      <c r="N37" s="959" t="s">
        <v>36</v>
      </c>
      <c r="O37" s="959"/>
      <c r="P37" s="959"/>
      <c r="Q37" s="878"/>
      <c r="R37" s="982"/>
      <c r="S37" s="981"/>
      <c r="T37" s="965"/>
      <c r="U37" s="966"/>
      <c r="V37" s="982"/>
      <c r="W37" s="981"/>
      <c r="X37" s="965"/>
      <c r="Y37" s="966"/>
      <c r="Z37" s="1269"/>
      <c r="AA37" s="1269"/>
      <c r="AB37" s="982"/>
      <c r="AC37" s="307">
        <v>14</v>
      </c>
      <c r="AD37" s="965"/>
      <c r="AE37" s="966"/>
      <c r="AF37" s="980"/>
      <c r="AG37" s="45"/>
    </row>
    <row r="38" spans="1:33" s="100" customFormat="1" ht="21" hidden="1" customHeight="1">
      <c r="A38" s="1016" t="s">
        <v>125</v>
      </c>
      <c r="B38" s="322"/>
      <c r="C38" s="963"/>
      <c r="D38" s="963"/>
      <c r="E38" s="963"/>
      <c r="F38" s="963"/>
      <c r="G38" s="963"/>
      <c r="H38" s="959">
        <v>2</v>
      </c>
      <c r="I38" s="959" t="s">
        <v>113</v>
      </c>
      <c r="J38" s="963"/>
      <c r="K38" s="963"/>
      <c r="L38" s="963"/>
      <c r="M38" s="963"/>
      <c r="N38" s="963"/>
      <c r="O38" s="963"/>
      <c r="P38" s="963"/>
      <c r="Q38" s="878"/>
      <c r="R38" s="980"/>
      <c r="S38" s="980"/>
      <c r="T38" s="980"/>
      <c r="U38" s="980"/>
      <c r="V38" s="980"/>
      <c r="W38" s="980"/>
      <c r="X38" s="966"/>
      <c r="Y38" s="980"/>
      <c r="Z38" s="980"/>
      <c r="AA38" s="980"/>
      <c r="AB38" s="980"/>
      <c r="AC38" s="312">
        <v>1.4</v>
      </c>
      <c r="AD38" s="980"/>
      <c r="AE38" s="980"/>
      <c r="AF38" s="980"/>
      <c r="AG38" s="45"/>
    </row>
    <row r="39" spans="1:33" s="100" customFormat="1" ht="21" hidden="1" customHeight="1">
      <c r="A39" s="1016" t="s">
        <v>126</v>
      </c>
      <c r="B39" s="973" t="s">
        <v>127</v>
      </c>
      <c r="C39" s="959" t="s">
        <v>30</v>
      </c>
      <c r="D39" s="1272">
        <f>ROUND(C37*G37*M37,2)</f>
        <v>3110.4</v>
      </c>
      <c r="E39" s="1272"/>
      <c r="F39" s="1260" t="s">
        <v>128</v>
      </c>
      <c r="G39" s="1260"/>
      <c r="H39" s="959" t="s">
        <v>41</v>
      </c>
      <c r="I39" s="959">
        <f>H38</f>
        <v>2</v>
      </c>
      <c r="J39" s="963" t="str">
        <f>I38</f>
        <v>계열</v>
      </c>
      <c r="K39" s="959" t="s">
        <v>30</v>
      </c>
      <c r="L39" s="1291">
        <f>D39*I39</f>
        <v>6220.8</v>
      </c>
      <c r="M39" s="1291"/>
      <c r="N39" s="963"/>
      <c r="O39" s="963"/>
      <c r="P39" s="963"/>
      <c r="Q39" s="878"/>
      <c r="R39" s="966"/>
      <c r="S39" s="966"/>
      <c r="T39" s="1269"/>
      <c r="U39" s="1269"/>
      <c r="V39" s="1269"/>
      <c r="W39" s="1269"/>
      <c r="X39" s="966"/>
      <c r="Y39" s="966"/>
      <c r="Z39" s="980"/>
      <c r="AA39" s="966"/>
      <c r="AB39" s="1265"/>
      <c r="AC39" s="1265"/>
      <c r="AD39" s="980"/>
      <c r="AE39" s="980"/>
      <c r="AF39" s="980"/>
      <c r="AG39" s="45"/>
    </row>
    <row r="40" spans="1:33" s="100" customFormat="1" ht="21" hidden="1" customHeight="1">
      <c r="A40" s="322" t="s">
        <v>129</v>
      </c>
      <c r="B40" s="322"/>
      <c r="C40" s="963"/>
      <c r="D40" s="963"/>
      <c r="E40" s="963"/>
      <c r="F40" s="963"/>
      <c r="G40" s="963"/>
      <c r="H40" s="963"/>
      <c r="I40" s="963"/>
      <c r="J40" s="963"/>
      <c r="K40" s="963"/>
      <c r="L40" s="963"/>
      <c r="M40" s="963"/>
      <c r="N40" s="963"/>
      <c r="O40" s="963"/>
      <c r="P40" s="963"/>
      <c r="Q40" s="878"/>
      <c r="R40" s="980"/>
      <c r="S40" s="980"/>
      <c r="T40" s="980"/>
      <c r="U40" s="980"/>
      <c r="V40" s="980"/>
      <c r="W40" s="980"/>
      <c r="X40" s="980"/>
      <c r="Y40" s="980"/>
      <c r="Z40" s="980"/>
      <c r="AA40" s="980"/>
      <c r="AB40" s="980"/>
      <c r="AC40" s="980"/>
      <c r="AD40" s="980"/>
      <c r="AE40" s="980"/>
      <c r="AF40" s="980"/>
      <c r="AG40" s="45"/>
    </row>
    <row r="41" spans="1:33" s="100" customFormat="1" ht="21" hidden="1" customHeight="1">
      <c r="A41" s="1016" t="s">
        <v>130</v>
      </c>
      <c r="B41" s="1388">
        <f>L39</f>
        <v>6220.8</v>
      </c>
      <c r="C41" s="1291"/>
      <c r="D41" s="959" t="s">
        <v>52</v>
      </c>
      <c r="E41" s="1327">
        <f>C34</f>
        <v>4000</v>
      </c>
      <c r="F41" s="1327"/>
      <c r="G41" s="1328"/>
      <c r="H41" s="959" t="s">
        <v>51</v>
      </c>
      <c r="I41" s="1304">
        <v>24</v>
      </c>
      <c r="J41" s="1304"/>
      <c r="K41" s="959" t="s">
        <v>30</v>
      </c>
      <c r="L41" s="1332">
        <f>B41/E41*I41</f>
        <v>37.324800000000003</v>
      </c>
      <c r="M41" s="1332"/>
      <c r="N41" s="963"/>
      <c r="O41" s="963"/>
      <c r="P41" s="963"/>
      <c r="Q41" s="878"/>
      <c r="R41" s="1269"/>
      <c r="S41" s="1269"/>
      <c r="T41" s="966"/>
      <c r="U41" s="1298"/>
      <c r="V41" s="1298"/>
      <c r="W41" s="1298"/>
      <c r="X41" s="966"/>
      <c r="Y41" s="1299"/>
      <c r="Z41" s="1299"/>
      <c r="AA41" s="966"/>
      <c r="AB41" s="1307"/>
      <c r="AC41" s="1307"/>
      <c r="AD41" s="980"/>
      <c r="AE41" s="980"/>
      <c r="AF41" s="980"/>
      <c r="AG41" s="45"/>
    </row>
    <row r="42" spans="1:33" s="100" customFormat="1" ht="21" hidden="1" customHeight="1">
      <c r="A42" s="1016"/>
      <c r="B42" s="1014"/>
      <c r="C42" s="976"/>
      <c r="D42" s="959"/>
      <c r="E42" s="997"/>
      <c r="F42" s="997"/>
      <c r="G42" s="998"/>
      <c r="H42" s="959"/>
      <c r="I42" s="1000"/>
      <c r="J42" s="1000"/>
      <c r="K42" s="959"/>
      <c r="L42" s="1002"/>
      <c r="M42" s="1002"/>
      <c r="N42" s="963"/>
      <c r="O42" s="963"/>
      <c r="P42" s="963"/>
      <c r="Q42" s="878"/>
      <c r="R42" s="966"/>
      <c r="S42" s="966"/>
      <c r="T42" s="966"/>
      <c r="U42" s="984"/>
      <c r="V42" s="984"/>
      <c r="W42" s="984"/>
      <c r="X42" s="966"/>
      <c r="Y42" s="985"/>
      <c r="Z42" s="985"/>
      <c r="AA42" s="966"/>
      <c r="AB42" s="986"/>
      <c r="AC42" s="986"/>
      <c r="AD42" s="980"/>
      <c r="AE42" s="980"/>
      <c r="AF42" s="980"/>
      <c r="AG42" s="45"/>
    </row>
    <row r="43" spans="1:33" s="100" customFormat="1" ht="21" hidden="1" customHeight="1">
      <c r="A43" s="854" t="s">
        <v>834</v>
      </c>
      <c r="B43" s="322"/>
      <c r="C43" s="963"/>
      <c r="D43" s="963"/>
      <c r="E43" s="963"/>
      <c r="F43" s="963"/>
      <c r="G43" s="963"/>
      <c r="H43" s="963"/>
      <c r="I43" s="963"/>
      <c r="J43" s="963"/>
      <c r="K43" s="963"/>
      <c r="L43" s="963"/>
      <c r="M43" s="963"/>
      <c r="N43" s="963"/>
      <c r="O43" s="963"/>
      <c r="P43" s="963"/>
      <c r="Q43" s="878"/>
      <c r="R43" s="980"/>
      <c r="S43" s="980"/>
      <c r="T43" s="980"/>
      <c r="U43" s="980"/>
      <c r="V43" s="980"/>
      <c r="W43" s="980"/>
      <c r="X43" s="980"/>
      <c r="Y43" s="980"/>
      <c r="Z43" s="980"/>
      <c r="AA43" s="980"/>
      <c r="AB43" s="980"/>
      <c r="AC43" s="980"/>
      <c r="AD43" s="980"/>
      <c r="AE43" s="980"/>
      <c r="AF43" s="980"/>
      <c r="AG43" s="45"/>
    </row>
    <row r="44" spans="1:33" s="100" customFormat="1" ht="21" hidden="1" customHeight="1">
      <c r="A44" s="322" t="s">
        <v>114</v>
      </c>
      <c r="B44" s="978" t="s">
        <v>511</v>
      </c>
      <c r="C44" s="962"/>
      <c r="D44" s="962"/>
      <c r="E44" s="962"/>
      <c r="F44" s="962"/>
      <c r="G44" s="962"/>
      <c r="H44" s="962"/>
      <c r="I44" s="962"/>
      <c r="J44" s="962"/>
      <c r="K44" s="962"/>
      <c r="L44" s="962"/>
      <c r="M44" s="962"/>
      <c r="N44" s="962"/>
      <c r="O44" s="962"/>
      <c r="P44" s="962"/>
      <c r="Q44" s="878"/>
      <c r="R44" s="965"/>
      <c r="S44" s="965"/>
      <c r="T44" s="965"/>
      <c r="U44" s="965"/>
      <c r="V44" s="965"/>
      <c r="W44" s="965"/>
      <c r="X44" s="965"/>
      <c r="Y44" s="965"/>
      <c r="Z44" s="965"/>
      <c r="AA44" s="965"/>
      <c r="AB44" s="965"/>
      <c r="AC44" s="965"/>
      <c r="AD44" s="965"/>
      <c r="AE44" s="965"/>
      <c r="AF44" s="965"/>
      <c r="AG44" s="45"/>
    </row>
    <row r="45" spans="1:33" s="100" customFormat="1" ht="21" hidden="1" customHeight="1">
      <c r="A45" s="322"/>
      <c r="B45" s="978" t="s">
        <v>512</v>
      </c>
      <c r="C45" s="962"/>
      <c r="D45" s="962"/>
      <c r="E45" s="962"/>
      <c r="F45" s="962"/>
      <c r="G45" s="962"/>
      <c r="H45" s="962"/>
      <c r="I45" s="962"/>
      <c r="J45" s="962"/>
      <c r="K45" s="962"/>
      <c r="L45" s="962"/>
      <c r="M45" s="962"/>
      <c r="N45" s="962"/>
      <c r="O45" s="962"/>
      <c r="P45" s="962"/>
      <c r="Q45" s="878"/>
      <c r="R45" s="965"/>
      <c r="S45" s="965"/>
      <c r="T45" s="965"/>
      <c r="U45" s="965"/>
      <c r="V45" s="965"/>
      <c r="W45" s="965"/>
      <c r="X45" s="965"/>
      <c r="Y45" s="965"/>
      <c r="Z45" s="965"/>
      <c r="AA45" s="965"/>
      <c r="AB45" s="965"/>
      <c r="AC45" s="965"/>
      <c r="AD45" s="965"/>
      <c r="AE45" s="965"/>
      <c r="AF45" s="965"/>
      <c r="AG45" s="45"/>
    </row>
    <row r="46" spans="1:33" s="100" customFormat="1" ht="21" hidden="1" customHeight="1">
      <c r="A46" s="322" t="s">
        <v>115</v>
      </c>
      <c r="B46" s="322" t="s">
        <v>828</v>
      </c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963"/>
      <c r="P46" s="963"/>
      <c r="Q46" s="878"/>
      <c r="R46" s="1265"/>
      <c r="S46" s="1265"/>
      <c r="T46" s="1265"/>
      <c r="U46" s="1265"/>
      <c r="V46" s="1265"/>
      <c r="W46" s="1265"/>
      <c r="X46" s="1265"/>
      <c r="Y46" s="980"/>
      <c r="Z46" s="980"/>
      <c r="AA46" s="980"/>
      <c r="AB46" s="980"/>
      <c r="AC46" s="980"/>
      <c r="AD46" s="980"/>
      <c r="AE46" s="980"/>
      <c r="AF46" s="980"/>
      <c r="AG46" s="45"/>
    </row>
    <row r="47" spans="1:33" s="100" customFormat="1" ht="21" hidden="1" customHeight="1">
      <c r="A47" s="322" t="s">
        <v>116</v>
      </c>
      <c r="B47" s="1293" t="s">
        <v>117</v>
      </c>
      <c r="C47" s="1257"/>
      <c r="D47" s="1257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963"/>
      <c r="P47" s="963"/>
      <c r="Q47" s="878"/>
      <c r="R47" s="1265"/>
      <c r="S47" s="1265"/>
      <c r="T47" s="1265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980"/>
      <c r="AG47" s="45"/>
    </row>
    <row r="48" spans="1:33" s="100" customFormat="1" ht="21" hidden="1" customHeight="1">
      <c r="A48" s="739"/>
      <c r="B48" s="963"/>
      <c r="C48" s="1376">
        <f>'설계기준(설계치12)'!C4</f>
        <v>4000</v>
      </c>
      <c r="D48" s="1376"/>
      <c r="E48" s="1377"/>
      <c r="F48" s="959" t="s">
        <v>51</v>
      </c>
      <c r="G48" s="682">
        <v>3</v>
      </c>
      <c r="H48" s="959" t="s">
        <v>30</v>
      </c>
      <c r="I48" s="1291">
        <f>C48*G48/100</f>
        <v>120</v>
      </c>
      <c r="J48" s="1291"/>
      <c r="K48" s="963" t="s">
        <v>118</v>
      </c>
      <c r="L48" s="963"/>
      <c r="M48" s="963"/>
      <c r="N48" s="963"/>
      <c r="O48" s="963"/>
      <c r="P48" s="963"/>
      <c r="Q48" s="878"/>
      <c r="R48" s="980"/>
      <c r="S48" s="1315"/>
      <c r="T48" s="1315"/>
      <c r="U48" s="1315"/>
      <c r="V48" s="966"/>
      <c r="W48" s="305"/>
      <c r="X48" s="966"/>
      <c r="Y48" s="1308"/>
      <c r="Z48" s="1308"/>
      <c r="AA48" s="980"/>
      <c r="AB48" s="980"/>
      <c r="AC48" s="980"/>
      <c r="AD48" s="980"/>
      <c r="AE48" s="980"/>
      <c r="AF48" s="980"/>
      <c r="AG48" s="45"/>
    </row>
    <row r="49" spans="1:35" s="100" customFormat="1" ht="21" hidden="1" customHeight="1">
      <c r="A49" s="739" t="s">
        <v>119</v>
      </c>
      <c r="B49" s="963"/>
      <c r="C49" s="963"/>
      <c r="D49" s="963"/>
      <c r="E49" s="963"/>
      <c r="F49" s="963"/>
      <c r="G49" s="963"/>
      <c r="H49" s="963"/>
      <c r="I49" s="963"/>
      <c r="J49" s="963"/>
      <c r="K49" s="963"/>
      <c r="L49" s="963"/>
      <c r="M49" s="963"/>
      <c r="N49" s="963"/>
      <c r="O49" s="963"/>
      <c r="P49" s="963"/>
      <c r="Q49" s="878"/>
      <c r="R49" s="980"/>
      <c r="S49" s="980"/>
      <c r="T49" s="980"/>
      <c r="U49" s="980"/>
      <c r="V49" s="980"/>
      <c r="W49" s="980"/>
      <c r="X49" s="980"/>
      <c r="Y49" s="980"/>
      <c r="Z49" s="980"/>
      <c r="AA49" s="980"/>
      <c r="AB49" s="980"/>
      <c r="AC49" s="980"/>
      <c r="AD49" s="980"/>
      <c r="AE49" s="980"/>
      <c r="AF49" s="980"/>
      <c r="AG49" s="45"/>
    </row>
    <row r="50" spans="1:35" s="100" customFormat="1" ht="21" hidden="1" customHeight="1">
      <c r="A50" s="1021" t="s">
        <v>120</v>
      </c>
      <c r="B50" s="322"/>
      <c r="C50" s="1260" t="s">
        <v>121</v>
      </c>
      <c r="D50" s="1260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963"/>
      <c r="P50" s="963"/>
      <c r="Q50" s="878"/>
      <c r="R50" s="1269"/>
      <c r="S50" s="1269"/>
      <c r="T50" s="1269"/>
      <c r="U50" s="1269"/>
      <c r="V50" s="1269"/>
      <c r="W50" s="1269"/>
      <c r="X50" s="1269"/>
      <c r="Y50" s="1269"/>
      <c r="Z50" s="1269"/>
      <c r="AA50" s="1269"/>
      <c r="AB50" s="1269"/>
      <c r="AC50" s="1269"/>
      <c r="AD50" s="1269"/>
      <c r="AE50" s="1269"/>
      <c r="AF50" s="1269"/>
      <c r="AG50" s="45"/>
    </row>
    <row r="51" spans="1:35" s="100" customFormat="1" ht="21" hidden="1" customHeight="1">
      <c r="A51" s="1021" t="s">
        <v>122</v>
      </c>
      <c r="B51" s="959" t="s">
        <v>106</v>
      </c>
      <c r="C51" s="309">
        <v>4.2</v>
      </c>
      <c r="D51" s="959" t="s">
        <v>36</v>
      </c>
      <c r="E51" s="959" t="s">
        <v>51</v>
      </c>
      <c r="F51" s="959" t="s">
        <v>108</v>
      </c>
      <c r="G51" s="309">
        <v>5</v>
      </c>
      <c r="H51" s="959" t="s">
        <v>36</v>
      </c>
      <c r="I51" s="959" t="s">
        <v>51</v>
      </c>
      <c r="J51" s="1260" t="s">
        <v>123</v>
      </c>
      <c r="K51" s="1260"/>
      <c r="L51" s="959" t="s">
        <v>124</v>
      </c>
      <c r="M51" s="309">
        <v>4.5</v>
      </c>
      <c r="N51" s="959" t="s">
        <v>36</v>
      </c>
      <c r="O51" s="959"/>
      <c r="P51" s="963"/>
      <c r="Q51" s="878"/>
      <c r="R51" s="982"/>
      <c r="S51" s="981"/>
      <c r="T51" s="965"/>
      <c r="U51" s="966"/>
      <c r="V51" s="982"/>
      <c r="W51" s="981"/>
      <c r="X51" s="965"/>
      <c r="Y51" s="966"/>
      <c r="Z51" s="1269"/>
      <c r="AA51" s="1269"/>
      <c r="AB51" s="982"/>
      <c r="AC51" s="966"/>
      <c r="AD51" s="965"/>
      <c r="AE51" s="966"/>
      <c r="AF51" s="980"/>
      <c r="AG51" s="45"/>
    </row>
    <row r="52" spans="1:35" s="100" customFormat="1" ht="21" hidden="1" customHeight="1">
      <c r="A52" s="1021" t="s">
        <v>131</v>
      </c>
      <c r="B52" s="963"/>
      <c r="C52" s="963"/>
      <c r="D52" s="963"/>
      <c r="E52" s="963"/>
      <c r="F52" s="959"/>
      <c r="G52" s="959"/>
      <c r="H52" s="959">
        <v>4</v>
      </c>
      <c r="I52" s="959" t="s">
        <v>113</v>
      </c>
      <c r="J52" s="963"/>
      <c r="K52" s="963"/>
      <c r="L52" s="963"/>
      <c r="M52" s="963"/>
      <c r="N52" s="963"/>
      <c r="O52" s="963"/>
      <c r="P52" s="963"/>
      <c r="Q52" s="878"/>
      <c r="R52" s="980"/>
      <c r="S52" s="980"/>
      <c r="T52" s="980"/>
      <c r="U52" s="980"/>
      <c r="V52" s="980"/>
      <c r="W52" s="980"/>
      <c r="X52" s="966"/>
      <c r="Y52" s="980"/>
      <c r="Z52" s="980"/>
      <c r="AA52" s="980"/>
      <c r="AB52" s="980"/>
      <c r="AC52" s="980"/>
      <c r="AD52" s="980"/>
      <c r="AE52" s="980"/>
      <c r="AF52" s="980"/>
      <c r="AG52" s="45"/>
    </row>
    <row r="53" spans="1:35" s="100" customFormat="1" ht="21" hidden="1" customHeight="1">
      <c r="A53" s="1021" t="s">
        <v>126</v>
      </c>
      <c r="B53" s="959" t="s">
        <v>127</v>
      </c>
      <c r="C53" s="959" t="s">
        <v>30</v>
      </c>
      <c r="D53" s="1272">
        <f>ROUND(C51*G51*M51,2)</f>
        <v>94.5</v>
      </c>
      <c r="E53" s="1272"/>
      <c r="F53" s="1260" t="s">
        <v>128</v>
      </c>
      <c r="G53" s="1260"/>
      <c r="H53" s="959" t="s">
        <v>51</v>
      </c>
      <c r="I53" s="959">
        <f>H52</f>
        <v>4</v>
      </c>
      <c r="J53" s="959" t="str">
        <f>I52</f>
        <v>계열</v>
      </c>
      <c r="K53" s="959" t="s">
        <v>30</v>
      </c>
      <c r="L53" s="1291">
        <f>D53*I53</f>
        <v>378</v>
      </c>
      <c r="M53" s="1291"/>
      <c r="N53" s="963"/>
      <c r="O53" s="963"/>
      <c r="P53" s="963"/>
      <c r="Q53" s="878"/>
      <c r="R53" s="966"/>
      <c r="S53" s="966"/>
      <c r="T53" s="1269"/>
      <c r="U53" s="1269"/>
      <c r="V53" s="1269"/>
      <c r="W53" s="1269"/>
      <c r="X53" s="966"/>
      <c r="Y53" s="966"/>
      <c r="Z53" s="980"/>
      <c r="AA53" s="966"/>
      <c r="AB53" s="1265"/>
      <c r="AC53" s="1265"/>
      <c r="AD53" s="980"/>
      <c r="AE53" s="980"/>
      <c r="AF53" s="980"/>
      <c r="AG53" s="45"/>
    </row>
    <row r="54" spans="1:35" s="100" customFormat="1" ht="21" hidden="1" customHeight="1">
      <c r="A54" s="739" t="s">
        <v>129</v>
      </c>
      <c r="B54" s="963"/>
      <c r="C54" s="963"/>
      <c r="D54" s="963"/>
      <c r="E54" s="963"/>
      <c r="F54" s="963"/>
      <c r="G54" s="963"/>
      <c r="H54" s="963"/>
      <c r="I54" s="963"/>
      <c r="J54" s="963"/>
      <c r="K54" s="963"/>
      <c r="L54" s="963"/>
      <c r="M54" s="963"/>
      <c r="N54" s="963"/>
      <c r="O54" s="963"/>
      <c r="P54" s="963"/>
      <c r="Q54" s="878"/>
      <c r="R54" s="980"/>
      <c r="S54" s="980"/>
      <c r="T54" s="980"/>
      <c r="U54" s="980"/>
      <c r="V54" s="980"/>
      <c r="W54" s="980"/>
      <c r="X54" s="980"/>
      <c r="Y54" s="980"/>
      <c r="Z54" s="980"/>
      <c r="AA54" s="980"/>
      <c r="AB54" s="980"/>
      <c r="AC54" s="980"/>
      <c r="AD54" s="980"/>
      <c r="AE54" s="980"/>
      <c r="AF54" s="980"/>
      <c r="AG54" s="45"/>
    </row>
    <row r="55" spans="1:35" s="100" customFormat="1" ht="21" hidden="1" customHeight="1">
      <c r="A55" s="1021" t="s">
        <v>130</v>
      </c>
      <c r="B55" s="1291">
        <f>L53</f>
        <v>378</v>
      </c>
      <c r="C55" s="1291"/>
      <c r="D55" s="959" t="s">
        <v>52</v>
      </c>
      <c r="E55" s="1327">
        <f>'설계기준(설계치12)'!C4</f>
        <v>4000</v>
      </c>
      <c r="F55" s="1327"/>
      <c r="G55" s="1328"/>
      <c r="H55" s="959" t="s">
        <v>51</v>
      </c>
      <c r="I55" s="1304">
        <v>24</v>
      </c>
      <c r="J55" s="1304"/>
      <c r="K55" s="959" t="s">
        <v>30</v>
      </c>
      <c r="L55" s="1332">
        <f>B55/E55*I55</f>
        <v>2.2679999999999998</v>
      </c>
      <c r="M55" s="1332"/>
      <c r="N55" s="963"/>
      <c r="O55" s="963"/>
      <c r="P55" s="963"/>
      <c r="Q55" s="878"/>
      <c r="R55" s="1269"/>
      <c r="S55" s="1269"/>
      <c r="T55" s="966"/>
      <c r="U55" s="1298"/>
      <c r="V55" s="1298"/>
      <c r="W55" s="1298"/>
      <c r="X55" s="966"/>
      <c r="Y55" s="1299"/>
      <c r="Z55" s="1299"/>
      <c r="AA55" s="966"/>
      <c r="AB55" s="1307"/>
      <c r="AC55" s="1307"/>
      <c r="AD55" s="980"/>
      <c r="AE55" s="980"/>
      <c r="AF55" s="980"/>
      <c r="AG55" s="45"/>
    </row>
    <row r="56" spans="1:35" s="100" customFormat="1" ht="21" hidden="1" customHeight="1">
      <c r="A56" s="739" t="s">
        <v>132</v>
      </c>
      <c r="B56" s="963"/>
      <c r="C56" s="963"/>
      <c r="D56" s="963"/>
      <c r="E56" s="963"/>
      <c r="F56" s="963"/>
      <c r="G56" s="963"/>
      <c r="H56" s="963"/>
      <c r="I56" s="963"/>
      <c r="J56" s="963"/>
      <c r="K56" s="963"/>
      <c r="L56" s="963"/>
      <c r="M56" s="963"/>
      <c r="N56" s="963"/>
      <c r="O56" s="963"/>
      <c r="P56" s="963"/>
      <c r="Q56" s="878"/>
      <c r="R56" s="980"/>
      <c r="S56" s="980"/>
      <c r="T56" s="980"/>
      <c r="U56" s="980"/>
      <c r="V56" s="980"/>
      <c r="W56" s="980"/>
      <c r="X56" s="980"/>
      <c r="Y56" s="980"/>
      <c r="Z56" s="980"/>
      <c r="AA56" s="980"/>
      <c r="AB56" s="980"/>
      <c r="AC56" s="980"/>
      <c r="AD56" s="980"/>
      <c r="AE56" s="980"/>
      <c r="AF56" s="980"/>
      <c r="AG56" s="45"/>
    </row>
    <row r="57" spans="1:35" s="100" customFormat="1" ht="21" hidden="1" customHeight="1">
      <c r="A57" s="1021" t="s">
        <v>835</v>
      </c>
      <c r="B57" s="963"/>
      <c r="C57" s="963"/>
      <c r="D57" s="963"/>
      <c r="E57" s="959" t="s">
        <v>226</v>
      </c>
      <c r="F57" s="959" t="e">
        <f>#REF!</f>
        <v>#REF!</v>
      </c>
      <c r="G57" s="959" t="s">
        <v>51</v>
      </c>
      <c r="H57" s="1278" t="e">
        <f>#REF!</f>
        <v>#REF!</v>
      </c>
      <c r="I57" s="1278"/>
      <c r="J57" s="959" t="s">
        <v>124</v>
      </c>
      <c r="K57" s="959" t="s">
        <v>51</v>
      </c>
      <c r="L57" s="959" t="e">
        <f>#REF!</f>
        <v>#REF!</v>
      </c>
      <c r="M57" s="959" t="s">
        <v>99</v>
      </c>
      <c r="N57" s="963"/>
      <c r="O57" s="963"/>
      <c r="P57" s="963"/>
      <c r="Q57" s="878"/>
      <c r="R57" s="980"/>
      <c r="S57" s="980"/>
      <c r="T57" s="980"/>
      <c r="U57" s="982"/>
      <c r="V57" s="965"/>
      <c r="W57" s="966"/>
      <c r="X57" s="1314"/>
      <c r="Y57" s="1314"/>
      <c r="Z57" s="980"/>
      <c r="AA57" s="966"/>
      <c r="AB57" s="966"/>
      <c r="AC57" s="980"/>
      <c r="AD57" s="980"/>
      <c r="AE57" s="980"/>
      <c r="AF57" s="980"/>
      <c r="AG57" s="45"/>
    </row>
    <row r="58" spans="1:35" s="100" customFormat="1" ht="21" hidden="1" customHeight="1">
      <c r="A58" s="1016"/>
      <c r="B58" s="322"/>
      <c r="C58" s="963"/>
      <c r="D58" s="963"/>
      <c r="E58" s="959"/>
      <c r="F58" s="959"/>
      <c r="G58" s="959"/>
      <c r="H58" s="970"/>
      <c r="I58" s="970"/>
      <c r="J58" s="959"/>
      <c r="K58" s="959"/>
      <c r="L58" s="959"/>
      <c r="M58" s="959"/>
      <c r="N58" s="963"/>
      <c r="O58" s="963"/>
      <c r="P58" s="963"/>
      <c r="Q58" s="878"/>
      <c r="R58" s="980"/>
      <c r="S58" s="980"/>
      <c r="T58" s="980"/>
      <c r="U58" s="982"/>
      <c r="V58" s="965"/>
      <c r="W58" s="966"/>
      <c r="X58" s="989"/>
      <c r="Y58" s="989"/>
      <c r="Z58" s="980"/>
      <c r="AA58" s="966"/>
      <c r="AB58" s="966"/>
      <c r="AC58" s="980"/>
      <c r="AD58" s="980"/>
      <c r="AE58" s="980"/>
      <c r="AF58" s="980"/>
      <c r="AG58" s="45"/>
    </row>
    <row r="59" spans="1:35" s="100" customFormat="1" ht="21" customHeight="1">
      <c r="A59" s="939" t="s">
        <v>836</v>
      </c>
      <c r="B59" s="939"/>
      <c r="C59" s="940"/>
      <c r="D59" s="940"/>
      <c r="E59" s="940"/>
      <c r="F59" s="940"/>
      <c r="G59" s="940"/>
      <c r="H59" s="963"/>
      <c r="I59" s="963"/>
      <c r="J59" s="963"/>
      <c r="K59" s="963"/>
      <c r="L59" s="963"/>
      <c r="M59" s="963"/>
      <c r="N59" s="963"/>
      <c r="O59" s="963"/>
      <c r="P59" s="963"/>
      <c r="Q59" s="878"/>
      <c r="R59" s="980"/>
      <c r="S59" s="980"/>
      <c r="T59" s="980"/>
      <c r="U59" s="980"/>
      <c r="V59" s="980"/>
      <c r="W59" s="980"/>
      <c r="X59" s="980"/>
      <c r="Y59" s="980"/>
      <c r="Z59" s="980"/>
      <c r="AA59" s="980"/>
      <c r="AB59" s="980"/>
      <c r="AC59" s="980"/>
      <c r="AD59" s="980"/>
      <c r="AE59" s="980"/>
      <c r="AF59" s="980"/>
      <c r="AG59" s="45"/>
    </row>
    <row r="60" spans="1:35" s="100" customFormat="1" ht="21" hidden="1" customHeight="1">
      <c r="A60" s="854" t="s">
        <v>133</v>
      </c>
      <c r="B60" s="322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878"/>
      <c r="R60" s="980"/>
      <c r="S60" s="980"/>
      <c r="T60" s="980"/>
      <c r="U60" s="980"/>
      <c r="V60" s="980"/>
      <c r="W60" s="980"/>
      <c r="X60" s="980"/>
      <c r="Y60" s="980"/>
      <c r="Z60" s="980"/>
      <c r="AA60" s="980"/>
      <c r="AB60" s="980"/>
      <c r="AC60" s="980"/>
      <c r="AD60" s="980"/>
      <c r="AE60" s="980"/>
      <c r="AF60" s="980"/>
      <c r="AG60" s="45"/>
    </row>
    <row r="61" spans="1:35" s="100" customFormat="1" ht="21" hidden="1" customHeight="1">
      <c r="A61" s="739" t="s">
        <v>114</v>
      </c>
      <c r="B61" s="322" t="s">
        <v>134</v>
      </c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878"/>
      <c r="R61" s="965"/>
      <c r="S61" s="965"/>
      <c r="T61" s="965"/>
      <c r="U61" s="965"/>
      <c r="V61" s="965"/>
      <c r="W61" s="965"/>
      <c r="X61" s="965"/>
      <c r="Y61" s="965"/>
      <c r="Z61" s="965"/>
      <c r="AA61" s="965"/>
      <c r="AB61" s="965"/>
      <c r="AC61" s="965"/>
      <c r="AD61" s="965"/>
      <c r="AE61" s="965"/>
      <c r="AF61" s="965"/>
      <c r="AG61" s="45"/>
      <c r="AH61" s="964"/>
      <c r="AI61" s="964"/>
    </row>
    <row r="62" spans="1:35" s="100" customFormat="1" ht="21" hidden="1" customHeight="1">
      <c r="A62" s="739" t="s">
        <v>115</v>
      </c>
      <c r="B62" s="978" t="s">
        <v>513</v>
      </c>
      <c r="C62" s="962"/>
      <c r="D62" s="962"/>
      <c r="E62" s="962"/>
      <c r="F62" s="962"/>
      <c r="G62" s="962"/>
      <c r="H62" s="962"/>
      <c r="I62" s="962"/>
      <c r="J62" s="962"/>
      <c r="K62" s="962"/>
      <c r="L62" s="962"/>
      <c r="M62" s="962"/>
      <c r="N62" s="962"/>
      <c r="O62" s="962"/>
      <c r="P62" s="962"/>
      <c r="Q62" s="878"/>
      <c r="R62" s="965"/>
      <c r="S62" s="965"/>
      <c r="T62" s="965"/>
      <c r="U62" s="965"/>
      <c r="V62" s="965"/>
      <c r="W62" s="965"/>
      <c r="X62" s="965"/>
      <c r="Y62" s="980"/>
      <c r="Z62" s="980"/>
      <c r="AA62" s="980"/>
      <c r="AB62" s="980"/>
      <c r="AC62" s="980"/>
      <c r="AD62" s="980"/>
      <c r="AE62" s="980"/>
      <c r="AF62" s="980"/>
      <c r="AG62" s="45"/>
      <c r="AH62" s="1023"/>
      <c r="AI62" s="1023"/>
    </row>
    <row r="63" spans="1:35" s="100" customFormat="1" ht="21" hidden="1" customHeight="1">
      <c r="A63" s="739"/>
      <c r="B63" s="978" t="s">
        <v>514</v>
      </c>
      <c r="C63" s="962"/>
      <c r="D63" s="962"/>
      <c r="E63" s="962"/>
      <c r="F63" s="962"/>
      <c r="G63" s="962"/>
      <c r="H63" s="962"/>
      <c r="I63" s="962"/>
      <c r="J63" s="962"/>
      <c r="K63" s="962"/>
      <c r="L63" s="962"/>
      <c r="M63" s="962"/>
      <c r="N63" s="962"/>
      <c r="O63" s="962"/>
      <c r="P63" s="962"/>
      <c r="Q63" s="878"/>
      <c r="R63" s="965"/>
      <c r="S63" s="965"/>
      <c r="T63" s="965"/>
      <c r="U63" s="965"/>
      <c r="V63" s="965"/>
      <c r="W63" s="965"/>
      <c r="X63" s="965"/>
      <c r="Y63" s="980"/>
      <c r="Z63" s="980"/>
      <c r="AA63" s="980"/>
      <c r="AB63" s="980"/>
      <c r="AC63" s="980"/>
      <c r="AD63" s="980"/>
      <c r="AE63" s="980"/>
      <c r="AF63" s="980"/>
      <c r="AG63" s="45"/>
      <c r="AH63" s="1023"/>
      <c r="AI63" s="1023"/>
    </row>
    <row r="64" spans="1:35" s="100" customFormat="1" ht="21" hidden="1" customHeight="1">
      <c r="A64" s="739"/>
      <c r="B64" s="1031" t="s">
        <v>146</v>
      </c>
      <c r="C64" s="1032"/>
      <c r="D64" s="1032"/>
      <c r="E64" s="1032"/>
      <c r="F64" s="1032"/>
      <c r="G64" s="1032"/>
      <c r="H64" s="1032"/>
      <c r="I64" s="1032"/>
      <c r="J64" s="1032"/>
      <c r="K64" s="1032"/>
      <c r="L64" s="1032"/>
      <c r="M64" s="1032"/>
      <c r="N64" s="1032"/>
      <c r="O64" s="1032"/>
      <c r="P64" s="1032"/>
      <c r="Q64" s="878"/>
      <c r="R64" s="980"/>
      <c r="S64" s="990"/>
      <c r="T64" s="990"/>
      <c r="U64" s="990"/>
      <c r="V64" s="966"/>
      <c r="W64" s="305"/>
      <c r="X64" s="966"/>
      <c r="Y64" s="979"/>
      <c r="Z64" s="979"/>
      <c r="AA64" s="980"/>
      <c r="AB64" s="980"/>
      <c r="AC64" s="980"/>
      <c r="AD64" s="980"/>
      <c r="AE64" s="980"/>
      <c r="AF64" s="980"/>
      <c r="AG64" s="45"/>
      <c r="AH64" s="1023"/>
      <c r="AI64" s="1023"/>
    </row>
    <row r="65" spans="1:35" s="100" customFormat="1" ht="21" hidden="1" customHeight="1">
      <c r="A65" s="739" t="s">
        <v>299</v>
      </c>
      <c r="B65" s="1257" t="s">
        <v>117</v>
      </c>
      <c r="C65" s="1257"/>
      <c r="D65" s="1257"/>
      <c r="E65" s="963"/>
      <c r="F65" s="963"/>
      <c r="G65" s="963"/>
      <c r="H65" s="963"/>
      <c r="I65" s="963"/>
      <c r="J65" s="963"/>
      <c r="K65" s="963"/>
      <c r="L65" s="963"/>
      <c r="M65" s="963"/>
      <c r="N65" s="963"/>
      <c r="O65" s="963"/>
      <c r="P65" s="963"/>
      <c r="Q65" s="878"/>
      <c r="R65" s="1265"/>
      <c r="S65" s="1265"/>
      <c r="T65" s="1265"/>
      <c r="U65" s="980"/>
      <c r="V65" s="980"/>
      <c r="W65" s="980"/>
      <c r="X65" s="980"/>
      <c r="Y65" s="980"/>
      <c r="Z65" s="980"/>
      <c r="AA65" s="980"/>
      <c r="AB65" s="980"/>
      <c r="AC65" s="980"/>
      <c r="AD65" s="980"/>
      <c r="AE65" s="980"/>
      <c r="AF65" s="980"/>
      <c r="AG65" s="45"/>
      <c r="AI65" s="45"/>
    </row>
    <row r="66" spans="1:35" s="100" customFormat="1" ht="21" hidden="1" customHeight="1">
      <c r="A66" s="739"/>
      <c r="B66" s="963"/>
      <c r="C66" s="1370">
        <f>'설계기준(설계치12)'!H4</f>
        <v>166.66666666666666</v>
      </c>
      <c r="D66" s="1370"/>
      <c r="E66" s="1370"/>
      <c r="F66" s="959" t="s">
        <v>51</v>
      </c>
      <c r="G66" s="397">
        <v>1</v>
      </c>
      <c r="H66" s="959" t="s">
        <v>301</v>
      </c>
      <c r="I66" s="959" t="s">
        <v>30</v>
      </c>
      <c r="J66" s="1330">
        <f>C66*G66</f>
        <v>166.66666666666666</v>
      </c>
      <c r="K66" s="1260"/>
      <c r="L66" s="959" t="s">
        <v>302</v>
      </c>
      <c r="M66" s="959"/>
      <c r="N66" s="963"/>
      <c r="O66" s="963"/>
      <c r="P66" s="963"/>
      <c r="Q66" s="878"/>
      <c r="R66" s="980"/>
      <c r="S66" s="1313"/>
      <c r="T66" s="1313"/>
      <c r="U66" s="1295"/>
      <c r="V66" s="1310"/>
      <c r="W66" s="1310"/>
      <c r="X66" s="966"/>
      <c r="Y66" s="1308"/>
      <c r="Z66" s="1295"/>
      <c r="AA66" s="980"/>
      <c r="AB66" s="980"/>
      <c r="AC66" s="980"/>
      <c r="AD66" s="980"/>
      <c r="AE66" s="980"/>
      <c r="AF66" s="980"/>
      <c r="AG66" s="45"/>
    </row>
    <row r="67" spans="1:35" s="100" customFormat="1" ht="21" hidden="1" customHeight="1">
      <c r="A67" s="855"/>
      <c r="B67" s="1015"/>
      <c r="C67" s="827"/>
      <c r="D67" s="827"/>
      <c r="E67" s="827"/>
      <c r="F67" s="992"/>
      <c r="G67" s="828"/>
      <c r="H67" s="992"/>
      <c r="I67" s="992"/>
      <c r="J67" s="829"/>
      <c r="K67" s="992"/>
      <c r="L67" s="992"/>
      <c r="M67" s="992"/>
      <c r="N67" s="1015"/>
      <c r="O67" s="1015"/>
      <c r="P67" s="1015"/>
      <c r="Q67" s="879"/>
      <c r="R67" s="980"/>
      <c r="S67" s="988"/>
      <c r="T67" s="988"/>
      <c r="U67" s="980"/>
      <c r="V67" s="987"/>
      <c r="W67" s="987"/>
      <c r="X67" s="966"/>
      <c r="Y67" s="979"/>
      <c r="Z67" s="980"/>
      <c r="AA67" s="980"/>
      <c r="AB67" s="980"/>
      <c r="AC67" s="980"/>
      <c r="AD67" s="980"/>
      <c r="AE67" s="980"/>
      <c r="AF67" s="980"/>
      <c r="AG67" s="45"/>
    </row>
    <row r="68" spans="1:35" s="100" customFormat="1" ht="21" hidden="1" customHeight="1">
      <c r="A68" s="856" t="s">
        <v>303</v>
      </c>
      <c r="B68" s="1019"/>
      <c r="C68" s="1019"/>
      <c r="D68" s="1019"/>
      <c r="E68" s="1019"/>
      <c r="F68" s="1019"/>
      <c r="G68" s="1019"/>
      <c r="H68" s="1019"/>
      <c r="I68" s="1019"/>
      <c r="J68" s="1019"/>
      <c r="K68" s="1019"/>
      <c r="L68" s="1019"/>
      <c r="M68" s="1019"/>
      <c r="N68" s="1019"/>
      <c r="O68" s="1019"/>
      <c r="P68" s="1019"/>
      <c r="Q68" s="880"/>
      <c r="R68" s="980"/>
      <c r="S68" s="980"/>
      <c r="T68" s="980"/>
      <c r="U68" s="980"/>
      <c r="V68" s="980"/>
      <c r="W68" s="980"/>
      <c r="X68" s="980"/>
      <c r="Y68" s="980"/>
      <c r="Z68" s="980"/>
      <c r="AA68" s="980"/>
      <c r="AB68" s="980"/>
      <c r="AC68" s="980"/>
      <c r="AD68" s="980"/>
      <c r="AE68" s="980"/>
      <c r="AF68" s="980"/>
      <c r="AG68" s="45"/>
    </row>
    <row r="69" spans="1:35" s="100" customFormat="1" ht="21" hidden="1" customHeight="1">
      <c r="A69" s="1021" t="s">
        <v>304</v>
      </c>
      <c r="B69" s="322"/>
      <c r="C69" s="1260" t="s">
        <v>121</v>
      </c>
      <c r="D69" s="1260"/>
      <c r="E69" s="963"/>
      <c r="F69" s="963"/>
      <c r="G69" s="963"/>
      <c r="H69" s="963"/>
      <c r="I69" s="963"/>
      <c r="J69" s="963"/>
      <c r="K69" s="963"/>
      <c r="L69" s="963"/>
      <c r="M69" s="963"/>
      <c r="N69" s="963"/>
      <c r="O69" s="963"/>
      <c r="P69" s="963"/>
      <c r="Q69" s="878"/>
      <c r="R69" s="1269"/>
      <c r="S69" s="1269"/>
      <c r="T69" s="1269"/>
      <c r="U69" s="1269"/>
      <c r="V69" s="1269"/>
      <c r="W69" s="1269"/>
      <c r="X69" s="1269"/>
      <c r="Y69" s="1269"/>
      <c r="Z69" s="1269"/>
      <c r="AA69" s="1269"/>
      <c r="AB69" s="1269"/>
      <c r="AC69" s="1269"/>
      <c r="AD69" s="1269"/>
      <c r="AE69" s="1269"/>
      <c r="AF69" s="1269"/>
      <c r="AG69" s="45"/>
    </row>
    <row r="70" spans="1:35" s="100" customFormat="1" ht="21" hidden="1" customHeight="1">
      <c r="A70" s="1021" t="s">
        <v>306</v>
      </c>
      <c r="B70" s="959" t="s">
        <v>307</v>
      </c>
      <c r="C70" s="309">
        <v>5.8</v>
      </c>
      <c r="D70" s="959" t="s">
        <v>308</v>
      </c>
      <c r="E70" s="959" t="s">
        <v>51</v>
      </c>
      <c r="F70" s="959" t="s">
        <v>108</v>
      </c>
      <c r="G70" s="309">
        <v>5</v>
      </c>
      <c r="H70" s="959" t="s">
        <v>308</v>
      </c>
      <c r="I70" s="959" t="s">
        <v>51</v>
      </c>
      <c r="J70" s="1260" t="s">
        <v>123</v>
      </c>
      <c r="K70" s="1260"/>
      <c r="L70" s="959" t="s">
        <v>311</v>
      </c>
      <c r="M70" s="309">
        <v>4.5</v>
      </c>
      <c r="N70" s="959" t="s">
        <v>308</v>
      </c>
      <c r="O70" s="959"/>
      <c r="P70" s="963"/>
      <c r="Q70" s="878"/>
      <c r="R70" s="982"/>
      <c r="S70" s="981"/>
      <c r="T70" s="965"/>
      <c r="U70" s="966"/>
      <c r="V70" s="982"/>
      <c r="W70" s="981"/>
      <c r="X70" s="965"/>
      <c r="Y70" s="966"/>
      <c r="Z70" s="1269"/>
      <c r="AA70" s="1269"/>
      <c r="AB70" s="982"/>
      <c r="AC70" s="966"/>
      <c r="AD70" s="965"/>
      <c r="AE70" s="966"/>
      <c r="AF70" s="980"/>
      <c r="AG70" s="45"/>
    </row>
    <row r="71" spans="1:35" s="100" customFormat="1" ht="21" hidden="1" customHeight="1">
      <c r="A71" s="1021" t="s">
        <v>131</v>
      </c>
      <c r="B71" s="963"/>
      <c r="C71" s="963"/>
      <c r="D71" s="963"/>
      <c r="E71" s="963"/>
      <c r="F71" s="963"/>
      <c r="G71" s="963"/>
      <c r="H71" s="959">
        <v>4</v>
      </c>
      <c r="I71" s="963" t="s">
        <v>313</v>
      </c>
      <c r="J71" s="963"/>
      <c r="K71" s="963"/>
      <c r="L71" s="963"/>
      <c r="M71" s="963"/>
      <c r="N71" s="963"/>
      <c r="O71" s="963"/>
      <c r="P71" s="963"/>
      <c r="Q71" s="878"/>
      <c r="R71" s="980"/>
      <c r="S71" s="980"/>
      <c r="T71" s="980"/>
      <c r="U71" s="980"/>
      <c r="V71" s="980"/>
      <c r="W71" s="980"/>
      <c r="X71" s="966"/>
      <c r="Y71" s="980"/>
      <c r="Z71" s="980"/>
      <c r="AA71" s="980"/>
      <c r="AB71" s="980"/>
      <c r="AC71" s="980"/>
      <c r="AD71" s="980"/>
      <c r="AE71" s="980"/>
      <c r="AF71" s="980"/>
      <c r="AG71" s="45"/>
    </row>
    <row r="72" spans="1:35" s="100" customFormat="1" ht="21" hidden="1" customHeight="1">
      <c r="A72" s="1021" t="s">
        <v>314</v>
      </c>
      <c r="B72" s="959" t="s">
        <v>127</v>
      </c>
      <c r="C72" s="959" t="s">
        <v>30</v>
      </c>
      <c r="D72" s="1272">
        <f>ROUND(C70*G70*M70,2)</f>
        <v>130.5</v>
      </c>
      <c r="E72" s="1272"/>
      <c r="F72" s="1260" t="s">
        <v>316</v>
      </c>
      <c r="G72" s="1260"/>
      <c r="H72" s="959" t="s">
        <v>51</v>
      </c>
      <c r="I72" s="959">
        <f>H71</f>
        <v>4</v>
      </c>
      <c r="J72" s="959" t="str">
        <f>I71</f>
        <v>계열</v>
      </c>
      <c r="K72" s="959" t="s">
        <v>30</v>
      </c>
      <c r="L72" s="1291">
        <f>D72*I72</f>
        <v>522</v>
      </c>
      <c r="M72" s="1291"/>
      <c r="N72" s="963"/>
      <c r="O72" s="963"/>
      <c r="P72" s="963"/>
      <c r="Q72" s="878"/>
      <c r="R72" s="966"/>
      <c r="S72" s="966"/>
      <c r="T72" s="1269"/>
      <c r="U72" s="1269"/>
      <c r="V72" s="1269"/>
      <c r="W72" s="1269"/>
      <c r="X72" s="980"/>
      <c r="Y72" s="966"/>
      <c r="Z72" s="980"/>
      <c r="AA72" s="966"/>
      <c r="AB72" s="1269"/>
      <c r="AC72" s="1269"/>
      <c r="AD72" s="980"/>
      <c r="AE72" s="980"/>
      <c r="AF72" s="980"/>
      <c r="AG72" s="45"/>
    </row>
    <row r="73" spans="1:35" s="100" customFormat="1" ht="21" hidden="1" customHeight="1">
      <c r="A73" s="739" t="s">
        <v>317</v>
      </c>
      <c r="B73" s="963"/>
      <c r="C73" s="963"/>
      <c r="D73" s="963"/>
      <c r="E73" s="963"/>
      <c r="F73" s="963"/>
      <c r="G73" s="963"/>
      <c r="H73" s="963"/>
      <c r="I73" s="963"/>
      <c r="J73" s="963"/>
      <c r="K73" s="963"/>
      <c r="L73" s="963"/>
      <c r="M73" s="963"/>
      <c r="N73" s="963"/>
      <c r="O73" s="963"/>
      <c r="P73" s="963"/>
      <c r="Q73" s="878"/>
      <c r="R73" s="980"/>
      <c r="S73" s="980"/>
      <c r="T73" s="980"/>
      <c r="U73" s="980"/>
      <c r="V73" s="980"/>
      <c r="W73" s="980"/>
      <c r="X73" s="980"/>
      <c r="Y73" s="980"/>
      <c r="Z73" s="980"/>
      <c r="AA73" s="980"/>
      <c r="AB73" s="980"/>
      <c r="AC73" s="980"/>
      <c r="AD73" s="980"/>
      <c r="AE73" s="980"/>
      <c r="AF73" s="980"/>
      <c r="AG73" s="45"/>
    </row>
    <row r="74" spans="1:35" s="100" customFormat="1" ht="21" hidden="1" customHeight="1">
      <c r="A74" s="1021" t="s">
        <v>318</v>
      </c>
      <c r="B74" s="1291">
        <f>L72</f>
        <v>522</v>
      </c>
      <c r="C74" s="1291"/>
      <c r="D74" s="959" t="s">
        <v>52</v>
      </c>
      <c r="E74" s="1327">
        <f>'설계기준(설계치12)'!C4</f>
        <v>4000</v>
      </c>
      <c r="F74" s="1327"/>
      <c r="G74" s="1328"/>
      <c r="H74" s="959" t="s">
        <v>51</v>
      </c>
      <c r="I74" s="1304">
        <v>24</v>
      </c>
      <c r="J74" s="1304"/>
      <c r="K74" s="323" t="s">
        <v>30</v>
      </c>
      <c r="L74" s="1332">
        <f>B74/E74*I74</f>
        <v>3.1320000000000001</v>
      </c>
      <c r="M74" s="1332"/>
      <c r="N74" s="348"/>
      <c r="O74" s="348"/>
      <c r="P74" s="959"/>
      <c r="Q74" s="878"/>
      <c r="R74" s="1295"/>
      <c r="S74" s="1295"/>
      <c r="T74" s="966"/>
      <c r="U74" s="1298"/>
      <c r="V74" s="1298"/>
      <c r="W74" s="1298"/>
      <c r="X74" s="966"/>
      <c r="Y74" s="1299"/>
      <c r="Z74" s="1295"/>
      <c r="AA74" s="398"/>
      <c r="AB74" s="1307"/>
      <c r="AC74" s="1307"/>
      <c r="AD74" s="1316"/>
      <c r="AE74" s="1316"/>
      <c r="AF74" s="980"/>
      <c r="AG74" s="45"/>
    </row>
    <row r="75" spans="1:35" s="100" customFormat="1" ht="21" customHeight="1">
      <c r="A75" s="738" t="s">
        <v>839</v>
      </c>
      <c r="B75" s="963"/>
      <c r="C75" s="963"/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63"/>
      <c r="O75" s="963"/>
      <c r="P75" s="963"/>
      <c r="Q75" s="878"/>
      <c r="R75" s="980"/>
      <c r="S75" s="980"/>
      <c r="T75" s="980"/>
      <c r="U75" s="980"/>
      <c r="V75" s="980"/>
      <c r="W75" s="980"/>
      <c r="X75" s="980"/>
      <c r="Y75" s="980"/>
      <c r="Z75" s="980"/>
      <c r="AA75" s="980"/>
      <c r="AB75" s="980"/>
      <c r="AC75" s="980"/>
      <c r="AD75" s="980"/>
      <c r="AE75" s="980"/>
      <c r="AF75" s="980"/>
      <c r="AG75" s="45"/>
    </row>
    <row r="76" spans="1:35" s="100" customFormat="1" ht="21" customHeight="1">
      <c r="A76" s="739" t="s">
        <v>319</v>
      </c>
      <c r="B76" s="978" t="s">
        <v>320</v>
      </c>
      <c r="C76" s="962"/>
      <c r="D76" s="962"/>
      <c r="E76" s="962"/>
      <c r="F76" s="962"/>
      <c r="G76" s="962"/>
      <c r="H76" s="962"/>
      <c r="I76" s="962"/>
      <c r="J76" s="962"/>
      <c r="K76" s="962"/>
      <c r="L76" s="962"/>
      <c r="M76" s="962"/>
      <c r="N76" s="962"/>
      <c r="O76" s="962"/>
      <c r="P76" s="962"/>
      <c r="Q76" s="878"/>
      <c r="R76" s="965"/>
      <c r="S76" s="965"/>
      <c r="T76" s="965"/>
      <c r="U76" s="965"/>
      <c r="V76" s="965"/>
      <c r="W76" s="965"/>
      <c r="X76" s="965"/>
      <c r="Y76" s="965"/>
      <c r="Z76" s="965"/>
      <c r="AA76" s="965"/>
      <c r="AB76" s="965"/>
      <c r="AC76" s="965"/>
      <c r="AD76" s="965"/>
      <c r="AE76" s="965"/>
      <c r="AF76" s="965"/>
      <c r="AG76" s="45"/>
    </row>
    <row r="77" spans="1:35" s="100" customFormat="1" ht="21" customHeight="1">
      <c r="A77" s="739" t="s">
        <v>321</v>
      </c>
      <c r="B77" s="327"/>
      <c r="C77" s="959"/>
      <c r="D77" s="959"/>
      <c r="E77" s="959"/>
      <c r="F77" s="963"/>
      <c r="G77" s="328"/>
      <c r="H77" s="329"/>
      <c r="I77" s="329"/>
      <c r="J77" s="330"/>
      <c r="K77" s="963"/>
      <c r="L77" s="959"/>
      <c r="M77" s="959"/>
      <c r="N77" s="959"/>
      <c r="O77" s="994"/>
      <c r="P77" s="963"/>
      <c r="Q77" s="881"/>
      <c r="R77" s="331"/>
      <c r="S77" s="966"/>
      <c r="T77" s="966"/>
      <c r="U77" s="966"/>
      <c r="V77" s="321"/>
      <c r="W77" s="332"/>
      <c r="X77" s="333"/>
      <c r="Y77" s="333"/>
      <c r="Z77" s="334"/>
      <c r="AA77" s="321"/>
      <c r="AB77" s="966"/>
      <c r="AC77" s="966"/>
      <c r="AD77" s="966"/>
      <c r="AE77" s="991"/>
      <c r="AF77" s="980"/>
      <c r="AG77" s="399"/>
    </row>
    <row r="78" spans="1:35" s="100" customFormat="1" ht="21" customHeight="1">
      <c r="A78" s="857" t="s">
        <v>322</v>
      </c>
      <c r="B78" s="971" t="s">
        <v>323</v>
      </c>
      <c r="C78" s="959" t="s">
        <v>30</v>
      </c>
      <c r="D78" s="971" t="s">
        <v>324</v>
      </c>
      <c r="E78" s="959" t="s">
        <v>51</v>
      </c>
      <c r="F78" s="959" t="s">
        <v>483</v>
      </c>
      <c r="G78" s="959"/>
      <c r="H78" s="959" t="s">
        <v>41</v>
      </c>
      <c r="I78" s="959" t="s">
        <v>326</v>
      </c>
      <c r="J78" s="959" t="s">
        <v>327</v>
      </c>
      <c r="K78" s="959" t="s">
        <v>484</v>
      </c>
      <c r="L78" s="959" t="s">
        <v>524</v>
      </c>
      <c r="M78" s="959" t="s">
        <v>523</v>
      </c>
      <c r="N78" s="959" t="s">
        <v>143</v>
      </c>
      <c r="O78" s="959"/>
      <c r="P78" s="959"/>
      <c r="Q78" s="878"/>
      <c r="R78" s="331"/>
      <c r="S78" s="966"/>
      <c r="T78" s="331"/>
      <c r="U78" s="982"/>
      <c r="V78" s="965"/>
      <c r="W78" s="980"/>
      <c r="X78" s="966"/>
      <c r="Y78" s="966"/>
      <c r="Z78" s="966"/>
      <c r="AA78" s="980"/>
      <c r="AB78" s="966"/>
      <c r="AC78" s="980"/>
      <c r="AD78" s="321"/>
      <c r="AE78" s="321"/>
      <c r="AF78" s="980"/>
      <c r="AG78" s="45"/>
    </row>
    <row r="79" spans="1:35" s="100" customFormat="1" ht="21" customHeight="1">
      <c r="A79" s="857" t="s">
        <v>329</v>
      </c>
      <c r="B79" s="959"/>
      <c r="C79" s="959"/>
      <c r="D79" s="959" t="s">
        <v>527</v>
      </c>
      <c r="E79" s="959">
        <v>1</v>
      </c>
      <c r="F79" s="959" t="s">
        <v>330</v>
      </c>
      <c r="G79" s="959">
        <v>0.83299999999999996</v>
      </c>
      <c r="H79" s="959" t="s">
        <v>141</v>
      </c>
      <c r="I79" s="959">
        <v>7.2</v>
      </c>
      <c r="J79" s="959" t="s">
        <v>330</v>
      </c>
      <c r="K79" s="959" t="s">
        <v>520</v>
      </c>
      <c r="L79" s="959" t="s">
        <v>519</v>
      </c>
      <c r="M79" s="959"/>
      <c r="N79" s="959"/>
      <c r="O79" s="959"/>
      <c r="P79" s="959"/>
      <c r="Q79" s="878"/>
      <c r="R79" s="980"/>
      <c r="S79" s="966"/>
      <c r="T79" s="980"/>
      <c r="U79" s="966"/>
      <c r="V79" s="966"/>
      <c r="W79" s="1269"/>
      <c r="X79" s="1269"/>
      <c r="Y79" s="966"/>
      <c r="Z79" s="966"/>
      <c r="AA79" s="966"/>
      <c r="AB79" s="980"/>
      <c r="AC79" s="980"/>
      <c r="AD79" s="980"/>
      <c r="AE79" s="980"/>
      <c r="AF79" s="980"/>
      <c r="AG79" s="45"/>
    </row>
    <row r="80" spans="1:35" s="100" customFormat="1" ht="21" customHeight="1">
      <c r="A80" s="739"/>
      <c r="B80" s="973" t="s">
        <v>526</v>
      </c>
      <c r="C80" s="971" t="s">
        <v>518</v>
      </c>
      <c r="D80" s="1260" t="s">
        <v>332</v>
      </c>
      <c r="E80" s="1260"/>
      <c r="F80" s="1260"/>
      <c r="G80" s="959" t="s">
        <v>30</v>
      </c>
      <c r="H80" s="959">
        <v>0.47</v>
      </c>
      <c r="I80" s="959" t="s">
        <v>485</v>
      </c>
      <c r="J80" s="959" t="s">
        <v>333</v>
      </c>
      <c r="K80" s="1697">
        <f>+'설계기준(유입수질농도증가12)'!C12</f>
        <v>12</v>
      </c>
      <c r="L80" s="959" t="s">
        <v>334</v>
      </c>
      <c r="M80" s="959" t="s">
        <v>335</v>
      </c>
      <c r="N80" s="959">
        <f>'설계기준(설계치12)'!K16</f>
        <v>7</v>
      </c>
      <c r="O80" s="962" t="s">
        <v>189</v>
      </c>
      <c r="P80" s="963"/>
      <c r="Q80" s="878"/>
      <c r="R80" s="980"/>
      <c r="S80" s="331"/>
      <c r="T80" s="966"/>
      <c r="U80" s="1004"/>
      <c r="V80" s="1005"/>
      <c r="W80" s="1005"/>
      <c r="X80" s="1005"/>
      <c r="Y80" s="980"/>
      <c r="Z80" s="965"/>
      <c r="AA80" s="982"/>
      <c r="AB80" s="966"/>
      <c r="AC80" s="980"/>
      <c r="AD80" s="980"/>
      <c r="AE80" s="966"/>
      <c r="AF80" s="980"/>
      <c r="AG80" s="45"/>
    </row>
    <row r="81" spans="1:33" s="100" customFormat="1" ht="21" customHeight="1">
      <c r="A81" s="739"/>
      <c r="B81" s="963"/>
      <c r="C81" s="327" t="s">
        <v>336</v>
      </c>
      <c r="D81" s="327"/>
      <c r="E81" s="327"/>
      <c r="F81" s="327"/>
      <c r="G81" s="959" t="s">
        <v>30</v>
      </c>
      <c r="H81" s="963" t="s">
        <v>337</v>
      </c>
      <c r="I81" s="309">
        <v>2</v>
      </c>
      <c r="J81" s="963" t="s">
        <v>338</v>
      </c>
      <c r="K81" s="963"/>
      <c r="L81" s="963"/>
      <c r="M81" s="963"/>
      <c r="N81" s="963"/>
      <c r="O81" s="963"/>
      <c r="P81" s="963"/>
      <c r="Q81" s="878"/>
      <c r="R81" s="980"/>
      <c r="S81" s="338"/>
      <c r="T81" s="982"/>
      <c r="U81" s="965"/>
      <c r="V81" s="965"/>
      <c r="W81" s="980"/>
      <c r="X81" s="980"/>
      <c r="Y81" s="966"/>
      <c r="Z81" s="1265"/>
      <c r="AA81" s="1265"/>
      <c r="AB81" s="321"/>
      <c r="AC81" s="321"/>
      <c r="AD81" s="980"/>
      <c r="AE81" s="980"/>
      <c r="AF81" s="980"/>
      <c r="AG81" s="45"/>
    </row>
    <row r="82" spans="1:33" s="100" customFormat="1" ht="21" customHeight="1">
      <c r="A82" s="739"/>
      <c r="B82" s="963"/>
      <c r="C82" s="963" t="s">
        <v>521</v>
      </c>
      <c r="D82" s="963"/>
      <c r="E82" s="963"/>
      <c r="F82" s="963"/>
      <c r="G82" s="959" t="s">
        <v>30</v>
      </c>
      <c r="H82" s="971">
        <v>1.3</v>
      </c>
      <c r="I82" s="963"/>
      <c r="J82" s="963"/>
      <c r="K82" s="963"/>
      <c r="L82" s="963"/>
      <c r="M82" s="963"/>
      <c r="N82" s="963"/>
      <c r="O82" s="963"/>
      <c r="P82" s="963"/>
      <c r="Q82" s="878"/>
      <c r="R82" s="980"/>
      <c r="S82" s="965"/>
      <c r="T82" s="966"/>
      <c r="U82" s="966"/>
      <c r="V82" s="966"/>
      <c r="W82" s="966"/>
      <c r="X82" s="966"/>
      <c r="Y82" s="966"/>
      <c r="Z82" s="980"/>
      <c r="AA82" s="980"/>
      <c r="AB82" s="980"/>
      <c r="AC82" s="980"/>
      <c r="AD82" s="980"/>
      <c r="AE82" s="980"/>
      <c r="AF82" s="980"/>
      <c r="AG82" s="45"/>
    </row>
    <row r="83" spans="1:33" s="100" customFormat="1" ht="21" customHeight="1">
      <c r="A83" s="739"/>
      <c r="B83" s="963"/>
      <c r="C83" s="971" t="s">
        <v>30</v>
      </c>
      <c r="D83" s="959">
        <f>H80</f>
        <v>0.47</v>
      </c>
      <c r="E83" s="959" t="s">
        <v>51</v>
      </c>
      <c r="F83" s="959" t="s">
        <v>483</v>
      </c>
      <c r="G83" s="971"/>
      <c r="H83" s="959" t="s">
        <v>41</v>
      </c>
      <c r="I83" s="309">
        <f>I81</f>
        <v>2</v>
      </c>
      <c r="J83" s="959" t="s">
        <v>522</v>
      </c>
      <c r="K83" s="959">
        <f>H82</f>
        <v>1.3</v>
      </c>
      <c r="L83" s="959" t="s">
        <v>524</v>
      </c>
      <c r="M83" s="309">
        <f>I81</f>
        <v>2</v>
      </c>
      <c r="N83" s="959" t="s">
        <v>143</v>
      </c>
      <c r="O83" s="963"/>
      <c r="P83" s="963"/>
      <c r="Q83" s="878"/>
      <c r="R83" s="982"/>
      <c r="S83" s="981"/>
      <c r="T83" s="965"/>
      <c r="U83" s="982"/>
      <c r="V83" s="965"/>
      <c r="W83" s="981"/>
      <c r="X83" s="966"/>
      <c r="Y83" s="966"/>
      <c r="Z83" s="339"/>
      <c r="AA83" s="966"/>
      <c r="AB83" s="966"/>
      <c r="AC83" s="966"/>
      <c r="AD83" s="980"/>
      <c r="AE83" s="980"/>
      <c r="AF83" s="980"/>
      <c r="AG83" s="45"/>
    </row>
    <row r="84" spans="1:33" s="100" customFormat="1" ht="21" customHeight="1">
      <c r="A84" s="739"/>
      <c r="B84" s="963"/>
      <c r="C84" s="959"/>
      <c r="D84" s="959" t="s">
        <v>527</v>
      </c>
      <c r="E84" s="959">
        <v>1</v>
      </c>
      <c r="F84" s="959" t="s">
        <v>330</v>
      </c>
      <c r="G84" s="959">
        <v>0.83299999999999996</v>
      </c>
      <c r="H84" s="959" t="s">
        <v>331</v>
      </c>
      <c r="I84" s="959">
        <v>7.2</v>
      </c>
      <c r="J84" s="959" t="s">
        <v>330</v>
      </c>
      <c r="K84" s="959">
        <f>N80</f>
        <v>7</v>
      </c>
      <c r="L84" s="959" t="s">
        <v>519</v>
      </c>
      <c r="M84" s="959" t="s">
        <v>30</v>
      </c>
      <c r="N84" s="994">
        <f>D83*EXP(0.098*(K80-15))*I83/(K83+M83)*(E84-G84*(I84-N80))</f>
        <v>0.17692321887597162</v>
      </c>
      <c r="O84" s="959" t="s">
        <v>486</v>
      </c>
      <c r="P84" s="959"/>
      <c r="Q84" s="878"/>
      <c r="R84" s="980"/>
      <c r="S84" s="966"/>
      <c r="T84" s="339"/>
      <c r="U84" s="966"/>
      <c r="V84" s="966"/>
      <c r="W84" s="966"/>
      <c r="X84" s="966"/>
      <c r="Y84" s="339"/>
      <c r="Z84" s="980"/>
      <c r="AA84" s="966"/>
      <c r="AB84" s="980"/>
      <c r="AC84" s="980"/>
      <c r="AD84" s="991"/>
      <c r="AE84" s="991"/>
      <c r="AF84" s="980"/>
      <c r="AG84" s="45"/>
    </row>
    <row r="85" spans="1:33" s="100" customFormat="1" ht="21" customHeight="1">
      <c r="A85" s="739"/>
      <c r="B85" s="510" t="s">
        <v>53</v>
      </c>
      <c r="C85" s="511" t="s">
        <v>340</v>
      </c>
      <c r="D85" s="512"/>
      <c r="E85" s="512"/>
      <c r="F85" s="512"/>
      <c r="G85" s="512"/>
      <c r="H85" s="512"/>
      <c r="I85" s="512"/>
      <c r="J85" s="963"/>
      <c r="K85" s="963"/>
      <c r="L85" s="327"/>
      <c r="M85" s="327"/>
      <c r="N85" s="963"/>
      <c r="O85" s="963"/>
      <c r="P85" s="963"/>
      <c r="Q85" s="878"/>
      <c r="R85" s="966"/>
      <c r="S85" s="965"/>
      <c r="T85" s="965"/>
      <c r="U85" s="965"/>
      <c r="V85" s="965"/>
      <c r="W85" s="965"/>
      <c r="X85" s="965"/>
      <c r="Y85" s="965"/>
      <c r="Z85" s="965"/>
      <c r="AA85" s="980"/>
      <c r="AB85" s="981"/>
      <c r="AC85" s="981"/>
      <c r="AD85" s="980"/>
      <c r="AE85" s="980"/>
      <c r="AF85" s="980"/>
      <c r="AG85" s="45"/>
    </row>
    <row r="86" spans="1:33" s="100" customFormat="1" ht="21" customHeight="1">
      <c r="A86" s="739"/>
      <c r="B86" s="963"/>
      <c r="C86" s="963" t="s">
        <v>487</v>
      </c>
      <c r="D86" s="959" t="s">
        <v>30</v>
      </c>
      <c r="E86" s="959" t="s">
        <v>323</v>
      </c>
      <c r="F86" s="959" t="s">
        <v>330</v>
      </c>
      <c r="G86" s="959" t="s">
        <v>341</v>
      </c>
      <c r="H86" s="959" t="s">
        <v>30</v>
      </c>
      <c r="I86" s="994">
        <f>N84</f>
        <v>0.17692321887597162</v>
      </c>
      <c r="J86" s="959" t="s">
        <v>330</v>
      </c>
      <c r="K86" s="959">
        <f>I87</f>
        <v>0.05</v>
      </c>
      <c r="L86" s="959" t="s">
        <v>30</v>
      </c>
      <c r="M86" s="349">
        <f>I86-K86</f>
        <v>0.12692321887597163</v>
      </c>
      <c r="N86" s="959" t="s">
        <v>486</v>
      </c>
      <c r="O86" s="959"/>
      <c r="P86" s="959"/>
      <c r="Q86" s="878"/>
      <c r="R86" s="980"/>
      <c r="S86" s="966"/>
      <c r="T86" s="966"/>
      <c r="U86" s="966"/>
      <c r="V86" s="980"/>
      <c r="W86" s="966"/>
      <c r="X86" s="980"/>
      <c r="Y86" s="966"/>
      <c r="Z86" s="340"/>
      <c r="AA86" s="966"/>
      <c r="AB86" s="980"/>
      <c r="AC86" s="966"/>
      <c r="AD86" s="341"/>
      <c r="AE86" s="980"/>
      <c r="AF86" s="980"/>
      <c r="AG86" s="45"/>
    </row>
    <row r="87" spans="1:33" s="100" customFormat="1" ht="21" customHeight="1">
      <c r="A87" s="739"/>
      <c r="B87" s="963"/>
      <c r="C87" s="959" t="s">
        <v>28</v>
      </c>
      <c r="D87" s="963" t="s">
        <v>530</v>
      </c>
      <c r="E87" s="963"/>
      <c r="F87" s="963"/>
      <c r="G87" s="963"/>
      <c r="H87" s="963"/>
      <c r="I87" s="513">
        <v>0.05</v>
      </c>
      <c r="J87" s="963" t="s">
        <v>486</v>
      </c>
      <c r="K87" s="963" t="s">
        <v>531</v>
      </c>
      <c r="L87" s="349"/>
      <c r="M87" s="514" t="s">
        <v>143</v>
      </c>
      <c r="N87" s="349"/>
      <c r="O87" s="963"/>
      <c r="P87" s="963"/>
      <c r="Q87" s="878"/>
      <c r="R87" s="980"/>
      <c r="S87" s="980"/>
      <c r="T87" s="965"/>
      <c r="U87" s="966"/>
      <c r="V87" s="966"/>
      <c r="W87" s="966"/>
      <c r="X87" s="966"/>
      <c r="Y87" s="966"/>
      <c r="Z87" s="966"/>
      <c r="AA87" s="966"/>
      <c r="AB87" s="980"/>
      <c r="AC87" s="965"/>
      <c r="AD87" s="341"/>
      <c r="AE87" s="980"/>
      <c r="AF87" s="980"/>
      <c r="AG87" s="45"/>
    </row>
    <row r="88" spans="1:33" s="100" customFormat="1" ht="21" customHeight="1">
      <c r="A88" s="739"/>
      <c r="B88" s="963"/>
      <c r="C88" s="959" t="s">
        <v>342</v>
      </c>
      <c r="D88" s="959" t="s">
        <v>30</v>
      </c>
      <c r="E88" s="959">
        <v>1</v>
      </c>
      <c r="F88" s="959" t="s">
        <v>142</v>
      </c>
      <c r="G88" s="349">
        <f>M86</f>
        <v>0.12692321887597163</v>
      </c>
      <c r="H88" s="959" t="s">
        <v>30</v>
      </c>
      <c r="I88" s="1378">
        <f>E88/G88</f>
        <v>7.8787790670294306</v>
      </c>
      <c r="J88" s="1378"/>
      <c r="K88" s="959"/>
      <c r="L88" s="959"/>
      <c r="M88" s="959"/>
      <c r="N88" s="349"/>
      <c r="O88" s="963"/>
      <c r="P88" s="963"/>
      <c r="Q88" s="878"/>
      <c r="R88" s="980"/>
      <c r="S88" s="966"/>
      <c r="T88" s="966"/>
      <c r="U88" s="966"/>
      <c r="V88" s="980"/>
      <c r="W88" s="966"/>
      <c r="X88" s="342"/>
      <c r="Y88" s="342"/>
      <c r="Z88" s="966"/>
      <c r="AA88" s="343"/>
      <c r="AB88" s="980"/>
      <c r="AC88" s="966"/>
      <c r="AD88" s="341"/>
      <c r="AE88" s="980"/>
      <c r="AF88" s="980"/>
      <c r="AG88" s="45"/>
    </row>
    <row r="89" spans="1:33" s="100" customFormat="1" ht="21" customHeight="1">
      <c r="A89" s="739"/>
      <c r="B89" s="963"/>
      <c r="C89" s="1259" t="s">
        <v>344</v>
      </c>
      <c r="D89" s="1259"/>
      <c r="E89" s="1259"/>
      <c r="F89" s="1259"/>
      <c r="G89" s="1259"/>
      <c r="H89" s="1259"/>
      <c r="I89" s="963"/>
      <c r="J89" s="348"/>
      <c r="K89" s="963"/>
      <c r="L89" s="963"/>
      <c r="M89" s="963"/>
      <c r="N89" s="349"/>
      <c r="O89" s="963"/>
      <c r="P89" s="963"/>
      <c r="Q89" s="878"/>
      <c r="R89" s="980"/>
      <c r="S89" s="966"/>
      <c r="T89" s="966"/>
      <c r="U89" s="966"/>
      <c r="V89" s="966"/>
      <c r="W89" s="966"/>
      <c r="X89" s="966"/>
      <c r="Y89" s="966"/>
      <c r="Z89" s="340"/>
      <c r="AA89" s="980"/>
      <c r="AB89" s="980"/>
      <c r="AC89" s="966"/>
      <c r="AD89" s="341"/>
      <c r="AE89" s="980"/>
      <c r="AF89" s="980"/>
      <c r="AG89" s="45"/>
    </row>
    <row r="90" spans="1:33" s="45" customFormat="1" ht="21" customHeight="1">
      <c r="A90" s="739"/>
      <c r="B90" s="963"/>
      <c r="C90" s="959" t="s">
        <v>345</v>
      </c>
      <c r="D90" s="959" t="s">
        <v>30</v>
      </c>
      <c r="E90" s="959" t="s">
        <v>342</v>
      </c>
      <c r="F90" s="959" t="s">
        <v>51</v>
      </c>
      <c r="G90" s="309">
        <f>+K90/I88</f>
        <v>1.2692321887597162</v>
      </c>
      <c r="H90" s="1318" t="s">
        <v>346</v>
      </c>
      <c r="I90" s="1318"/>
      <c r="J90" s="959" t="s">
        <v>30</v>
      </c>
      <c r="K90" s="1075">
        <v>10</v>
      </c>
      <c r="L90" s="510" t="s">
        <v>532</v>
      </c>
      <c r="M90" s="959"/>
      <c r="N90" s="959"/>
      <c r="O90" s="959"/>
      <c r="P90" s="959"/>
      <c r="Q90" s="878"/>
      <c r="R90" s="980"/>
      <c r="S90" s="966"/>
      <c r="T90" s="966"/>
      <c r="U90" s="966"/>
      <c r="V90" s="966"/>
      <c r="W90" s="966"/>
      <c r="X90" s="966"/>
      <c r="Y90" s="345"/>
      <c r="Z90" s="345"/>
      <c r="AA90" s="966"/>
      <c r="AB90" s="346"/>
      <c r="AC90" s="980"/>
      <c r="AD90" s="980"/>
      <c r="AE90" s="980"/>
      <c r="AF90" s="980"/>
    </row>
    <row r="91" spans="1:33" s="100" customFormat="1" ht="21" customHeight="1">
      <c r="A91" s="739"/>
      <c r="B91" s="959" t="s">
        <v>330</v>
      </c>
      <c r="C91" s="511" t="s">
        <v>533</v>
      </c>
      <c r="D91" s="511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963"/>
      <c r="P91" s="963"/>
      <c r="Q91" s="878"/>
      <c r="R91" s="966"/>
      <c r="S91" s="965"/>
      <c r="T91" s="965"/>
      <c r="U91" s="965"/>
      <c r="V91" s="965"/>
      <c r="W91" s="965"/>
      <c r="X91" s="965"/>
      <c r="Y91" s="965"/>
      <c r="Z91" s="965"/>
      <c r="AA91" s="965"/>
      <c r="AB91" s="965"/>
      <c r="AC91" s="965"/>
      <c r="AD91" s="965"/>
      <c r="AE91" s="980"/>
      <c r="AF91" s="980"/>
      <c r="AG91" s="45"/>
    </row>
    <row r="92" spans="1:33" s="100" customFormat="1" ht="21" customHeight="1">
      <c r="A92" s="739"/>
      <c r="B92" s="963"/>
      <c r="C92" s="959" t="s">
        <v>347</v>
      </c>
      <c r="D92" s="959" t="s">
        <v>30</v>
      </c>
      <c r="E92" s="959" t="s">
        <v>534</v>
      </c>
      <c r="F92" s="959" t="s">
        <v>343</v>
      </c>
      <c r="G92" s="959" t="s">
        <v>345</v>
      </c>
      <c r="H92" s="959" t="s">
        <v>524</v>
      </c>
      <c r="I92" s="959" t="s">
        <v>535</v>
      </c>
      <c r="J92" s="959" t="s">
        <v>41</v>
      </c>
      <c r="K92" s="515">
        <v>1</v>
      </c>
      <c r="L92" s="959" t="s">
        <v>142</v>
      </c>
      <c r="M92" s="959" t="s">
        <v>348</v>
      </c>
      <c r="N92" s="349"/>
      <c r="O92" s="963"/>
      <c r="P92" s="963"/>
      <c r="Q92" s="878"/>
      <c r="R92" s="980"/>
      <c r="S92" s="966"/>
      <c r="T92" s="966"/>
      <c r="U92" s="980"/>
      <c r="V92" s="966"/>
      <c r="W92" s="980"/>
      <c r="X92" s="966"/>
      <c r="Y92" s="980"/>
      <c r="Z92" s="966"/>
      <c r="AA92" s="347"/>
      <c r="AB92" s="966"/>
      <c r="AC92" s="980"/>
      <c r="AD92" s="341"/>
      <c r="AE92" s="980"/>
      <c r="AF92" s="980"/>
      <c r="AG92" s="45"/>
    </row>
    <row r="93" spans="1:33" s="100" customFormat="1" ht="21" customHeight="1">
      <c r="A93" s="739"/>
      <c r="B93" s="963"/>
      <c r="C93" s="959" t="s">
        <v>28</v>
      </c>
      <c r="D93" s="349" t="s">
        <v>536</v>
      </c>
      <c r="E93" s="349"/>
      <c r="F93" s="349"/>
      <c r="G93" s="349"/>
      <c r="H93" s="349"/>
      <c r="I93" s="349"/>
      <c r="J93" s="349"/>
      <c r="K93" s="349"/>
      <c r="L93" s="349"/>
      <c r="M93" s="516">
        <v>0.2</v>
      </c>
      <c r="N93" s="959" t="s">
        <v>143</v>
      </c>
      <c r="O93" s="517"/>
      <c r="P93" s="963"/>
      <c r="Q93" s="878"/>
      <c r="R93" s="342">
        <v>0.1</v>
      </c>
      <c r="S93" s="342" t="s">
        <v>448</v>
      </c>
      <c r="T93" s="342">
        <v>0.3</v>
      </c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980"/>
      <c r="AF93" s="980"/>
      <c r="AG93" s="45"/>
    </row>
    <row r="94" spans="1:33" s="100" customFormat="1" ht="21" customHeight="1">
      <c r="A94" s="739"/>
      <c r="B94" s="963"/>
      <c r="C94" s="963"/>
      <c r="D94" s="959" t="s">
        <v>30</v>
      </c>
      <c r="E94" s="959" t="s">
        <v>534</v>
      </c>
      <c r="F94" s="959" t="s">
        <v>142</v>
      </c>
      <c r="G94" s="959">
        <f>K90</f>
        <v>10</v>
      </c>
      <c r="H94" s="959" t="s">
        <v>524</v>
      </c>
      <c r="I94" s="977">
        <f>I87</f>
        <v>0.05</v>
      </c>
      <c r="J94" s="959" t="s">
        <v>41</v>
      </c>
      <c r="K94" s="515">
        <v>1</v>
      </c>
      <c r="L94" s="959" t="s">
        <v>142</v>
      </c>
      <c r="M94" s="959">
        <f>M93</f>
        <v>0.2</v>
      </c>
      <c r="N94" s="514" t="s">
        <v>30</v>
      </c>
      <c r="O94" s="994">
        <f>(1/G94+I94)*1/M94</f>
        <v>0.75000000000000011</v>
      </c>
      <c r="P94" s="963" t="s">
        <v>486</v>
      </c>
      <c r="Q94" s="878"/>
      <c r="R94" s="980"/>
      <c r="S94" s="966"/>
      <c r="T94" s="966"/>
      <c r="U94" s="980"/>
      <c r="V94" s="966"/>
      <c r="W94" s="966"/>
      <c r="X94" s="966"/>
      <c r="Y94" s="340"/>
      <c r="Z94" s="339"/>
      <c r="AA94" s="966"/>
      <c r="AB94" s="342"/>
      <c r="AC94" s="991"/>
      <c r="AD94" s="980"/>
      <c r="AE94" s="980"/>
      <c r="AF94" s="321"/>
      <c r="AG94" s="45"/>
    </row>
    <row r="95" spans="1:33" s="100" customFormat="1" ht="21" customHeight="1">
      <c r="A95" s="739"/>
      <c r="B95" s="959" t="s">
        <v>53</v>
      </c>
      <c r="C95" s="511" t="s">
        <v>537</v>
      </c>
      <c r="D95" s="511"/>
      <c r="E95" s="511"/>
      <c r="F95" s="511"/>
      <c r="G95" s="963"/>
      <c r="H95" s="963"/>
      <c r="I95" s="963"/>
      <c r="J95" s="348"/>
      <c r="K95" s="963"/>
      <c r="L95" s="963"/>
      <c r="M95" s="963"/>
      <c r="N95" s="349"/>
      <c r="O95" s="963"/>
      <c r="P95" s="963"/>
      <c r="Q95" s="878"/>
      <c r="R95" s="980"/>
      <c r="S95" s="966"/>
      <c r="T95" s="966"/>
      <c r="U95" s="980"/>
      <c r="V95" s="966"/>
      <c r="W95" s="966"/>
      <c r="X95" s="966"/>
      <c r="Y95" s="340"/>
      <c r="Z95" s="339"/>
      <c r="AA95" s="966"/>
      <c r="AB95" s="342"/>
      <c r="AC95" s="991"/>
      <c r="AD95" s="980"/>
      <c r="AE95" s="980"/>
      <c r="AF95" s="321"/>
      <c r="AG95" s="45"/>
    </row>
    <row r="96" spans="1:33" s="100" customFormat="1" ht="21" customHeight="1">
      <c r="A96" s="739"/>
      <c r="B96" s="963"/>
      <c r="C96" s="959" t="s">
        <v>347</v>
      </c>
      <c r="D96" s="959" t="s">
        <v>30</v>
      </c>
      <c r="E96" s="959" t="s">
        <v>349</v>
      </c>
      <c r="F96" s="959" t="s">
        <v>51</v>
      </c>
      <c r="G96" s="959" t="s">
        <v>488</v>
      </c>
      <c r="H96" s="959" t="s">
        <v>350</v>
      </c>
      <c r="I96" s="959" t="s">
        <v>351</v>
      </c>
      <c r="J96" s="994" t="s">
        <v>328</v>
      </c>
      <c r="K96" s="959" t="s">
        <v>489</v>
      </c>
      <c r="L96" s="963"/>
      <c r="M96" s="963"/>
      <c r="N96" s="349"/>
      <c r="O96" s="963"/>
      <c r="P96" s="963"/>
      <c r="Q96" s="878"/>
      <c r="R96" s="980"/>
      <c r="S96" s="966"/>
      <c r="T96" s="966"/>
      <c r="U96" s="980"/>
      <c r="V96" s="966"/>
      <c r="W96" s="966"/>
      <c r="X96" s="966"/>
      <c r="Y96" s="340"/>
      <c r="Z96" s="339"/>
      <c r="AA96" s="966"/>
      <c r="AB96" s="342"/>
      <c r="AC96" s="991"/>
      <c r="AD96" s="980"/>
      <c r="AE96" s="980"/>
      <c r="AF96" s="321"/>
      <c r="AG96" s="45"/>
    </row>
    <row r="97" spans="1:33" s="100" customFormat="1" ht="21" customHeight="1">
      <c r="A97" s="739"/>
      <c r="B97" s="327"/>
      <c r="C97" s="959" t="s">
        <v>488</v>
      </c>
      <c r="D97" s="959" t="s">
        <v>30</v>
      </c>
      <c r="E97" s="959" t="s">
        <v>352</v>
      </c>
      <c r="F97" s="959" t="s">
        <v>51</v>
      </c>
      <c r="G97" s="959" t="s">
        <v>353</v>
      </c>
      <c r="H97" s="959" t="s">
        <v>343</v>
      </c>
      <c r="I97" s="959" t="s">
        <v>349</v>
      </c>
      <c r="J97" s="959" t="s">
        <v>330</v>
      </c>
      <c r="K97" s="959" t="s">
        <v>354</v>
      </c>
      <c r="L97" s="963"/>
      <c r="M97" s="963"/>
      <c r="N97" s="348"/>
      <c r="O97" s="348"/>
      <c r="P97" s="963"/>
      <c r="Q97" s="878"/>
      <c r="R97" s="980"/>
      <c r="S97" s="966"/>
      <c r="T97" s="966"/>
      <c r="U97" s="980"/>
      <c r="V97" s="966"/>
      <c r="W97" s="966"/>
      <c r="X97" s="966"/>
      <c r="Y97" s="340"/>
      <c r="Z97" s="339"/>
      <c r="AA97" s="966"/>
      <c r="AB97" s="342"/>
      <c r="AC97" s="991"/>
      <c r="AD97" s="980"/>
      <c r="AE97" s="980"/>
      <c r="AF97" s="321"/>
      <c r="AG97" s="45"/>
    </row>
    <row r="98" spans="1:33" s="100" customFormat="1" ht="21" customHeight="1">
      <c r="A98" s="739"/>
      <c r="B98" s="963"/>
      <c r="C98" s="963" t="s">
        <v>538</v>
      </c>
      <c r="D98" s="963"/>
      <c r="E98" s="963"/>
      <c r="F98" s="963"/>
      <c r="G98" s="963"/>
      <c r="H98" s="1318" t="s">
        <v>355</v>
      </c>
      <c r="I98" s="1318"/>
      <c r="J98" s="994">
        <f>N84/M93</f>
        <v>0.88461609437985811</v>
      </c>
      <c r="K98" s="959" t="s">
        <v>486</v>
      </c>
      <c r="L98" s="963"/>
      <c r="M98" s="963"/>
      <c r="N98" s="963"/>
      <c r="O98" s="963"/>
      <c r="P98" s="963"/>
      <c r="Q98" s="878"/>
      <c r="R98" s="980"/>
      <c r="S98" s="966"/>
      <c r="T98" s="344"/>
      <c r="U98" s="980"/>
      <c r="V98" s="966"/>
      <c r="W98" s="966"/>
      <c r="X98" s="966"/>
      <c r="Y98" s="340"/>
      <c r="Z98" s="339"/>
      <c r="AA98" s="966"/>
      <c r="AB98" s="342"/>
      <c r="AC98" s="991"/>
      <c r="AD98" s="980"/>
      <c r="AE98" s="980"/>
      <c r="AF98" s="321"/>
      <c r="AG98" s="45"/>
    </row>
    <row r="99" spans="1:33" s="100" customFormat="1" ht="21" customHeight="1">
      <c r="A99" s="739"/>
      <c r="B99" s="322" t="s">
        <v>356</v>
      </c>
      <c r="C99" s="963" t="s">
        <v>539</v>
      </c>
      <c r="D99" s="963"/>
      <c r="E99" s="963" t="s">
        <v>351</v>
      </c>
      <c r="F99" s="959" t="s">
        <v>30</v>
      </c>
      <c r="G99" s="963" t="s">
        <v>566</v>
      </c>
      <c r="H99" s="963"/>
      <c r="I99" s="963"/>
      <c r="J99" s="959" t="s">
        <v>30</v>
      </c>
      <c r="K99" s="412">
        <f>10^(0.051*K80-1.158)</f>
        <v>0.28444611074479159</v>
      </c>
      <c r="L99" s="411"/>
      <c r="M99" s="963"/>
      <c r="N99" s="963"/>
      <c r="O99" s="963"/>
      <c r="P99" s="963"/>
      <c r="Q99" s="878"/>
      <c r="R99" s="980"/>
      <c r="S99" s="966"/>
      <c r="T99" s="966"/>
      <c r="U99" s="980"/>
      <c r="V99" s="966"/>
      <c r="W99" s="966"/>
      <c r="X99" s="966"/>
      <c r="Y99" s="340"/>
      <c r="Z99" s="339"/>
      <c r="AA99" s="966"/>
      <c r="AB99" s="342"/>
      <c r="AC99" s="991"/>
      <c r="AD99" s="980"/>
      <c r="AE99" s="980"/>
      <c r="AF99" s="321"/>
      <c r="AG99" s="45"/>
    </row>
    <row r="100" spans="1:33" s="100" customFormat="1" ht="21" customHeight="1">
      <c r="A100" s="739"/>
      <c r="B100" s="963"/>
      <c r="C100" s="963"/>
      <c r="D100" s="959" t="s">
        <v>30</v>
      </c>
      <c r="E100" s="348">
        <f>O94</f>
        <v>0.75000000000000011</v>
      </c>
      <c r="F100" s="959" t="s">
        <v>51</v>
      </c>
      <c r="G100" s="994">
        <f>K99</f>
        <v>0.28444611074479159</v>
      </c>
      <c r="H100" s="959" t="s">
        <v>142</v>
      </c>
      <c r="I100" s="994">
        <f>J98</f>
        <v>0.88461609437985811</v>
      </c>
      <c r="J100" s="959" t="s">
        <v>330</v>
      </c>
      <c r="K100" s="994">
        <f>O94</f>
        <v>0.75000000000000011</v>
      </c>
      <c r="L100" s="959" t="s">
        <v>30</v>
      </c>
      <c r="M100" s="413">
        <f>(E100*G100)/(I100-K100)</f>
        <v>1.5847628327160415</v>
      </c>
      <c r="N100" s="959" t="s">
        <v>540</v>
      </c>
      <c r="O100" s="963"/>
      <c r="P100" s="963"/>
      <c r="Q100" s="884"/>
      <c r="R100" s="980"/>
      <c r="S100" s="966"/>
      <c r="T100" s="966"/>
      <c r="U100" s="980"/>
      <c r="V100" s="966"/>
      <c r="W100" s="966"/>
      <c r="X100" s="966"/>
      <c r="Y100" s="340"/>
      <c r="Z100" s="339"/>
      <c r="AA100" s="966"/>
      <c r="AB100" s="342"/>
      <c r="AC100" s="991"/>
      <c r="AD100" s="980"/>
      <c r="AE100" s="980"/>
      <c r="AF100" s="321"/>
      <c r="AG100" s="45"/>
    </row>
    <row r="101" spans="1:33" s="112" customFormat="1" ht="21" customHeight="1">
      <c r="A101" s="1021" t="s">
        <v>357</v>
      </c>
      <c r="B101" s="1017"/>
      <c r="C101" s="1260" t="s">
        <v>358</v>
      </c>
      <c r="D101" s="1260"/>
      <c r="E101" s="1379">
        <f>'설계기준(설계치12)'!K14</f>
        <v>3000</v>
      </c>
      <c r="F101" s="1379"/>
      <c r="G101" s="1260" t="s">
        <v>359</v>
      </c>
      <c r="H101" s="1260"/>
      <c r="I101" s="1260"/>
      <c r="J101" s="1379">
        <f>물질수지!U40</f>
        <v>8000</v>
      </c>
      <c r="K101" s="1379"/>
      <c r="L101" s="959"/>
      <c r="M101" s="959"/>
      <c r="N101" s="410"/>
      <c r="O101" s="963"/>
      <c r="P101" s="963"/>
      <c r="Q101" s="884"/>
      <c r="R101" s="1296"/>
      <c r="S101" s="1296"/>
      <c r="T101" s="1294"/>
      <c r="U101" s="1294"/>
      <c r="V101" s="1295"/>
      <c r="W101" s="965"/>
      <c r="X101" s="1296"/>
      <c r="Y101" s="1296"/>
      <c r="Z101" s="1296"/>
      <c r="AA101" s="1311"/>
      <c r="AB101" s="1311"/>
      <c r="AC101" s="1295"/>
      <c r="AD101" s="351"/>
      <c r="AE101" s="966"/>
      <c r="AF101" s="966"/>
      <c r="AG101" s="964"/>
    </row>
    <row r="102" spans="1:33" s="112" customFormat="1" ht="21" customHeight="1">
      <c r="A102" s="1021" t="s">
        <v>360</v>
      </c>
      <c r="B102" s="963"/>
      <c r="C102" s="1278">
        <f>J101</f>
        <v>8000</v>
      </c>
      <c r="D102" s="1260"/>
      <c r="E102" s="959" t="s">
        <v>51</v>
      </c>
      <c r="F102" s="1260" t="s">
        <v>361</v>
      </c>
      <c r="G102" s="1260"/>
      <c r="H102" s="1260" t="s">
        <v>30</v>
      </c>
      <c r="I102" s="1278">
        <f>E101</f>
        <v>3000</v>
      </c>
      <c r="J102" s="1260"/>
      <c r="K102" s="1259" t="s">
        <v>362</v>
      </c>
      <c r="L102" s="963"/>
      <c r="M102" s="963"/>
      <c r="N102" s="963"/>
      <c r="O102" s="963"/>
      <c r="P102" s="963"/>
      <c r="Q102" s="884"/>
      <c r="R102" s="966"/>
      <c r="S102" s="1297"/>
      <c r="T102" s="1269"/>
      <c r="U102" s="966"/>
      <c r="V102" s="1269"/>
      <c r="W102" s="1269"/>
      <c r="X102" s="1269"/>
      <c r="Y102" s="1297"/>
      <c r="Z102" s="1269"/>
      <c r="AA102" s="1269"/>
      <c r="AB102" s="966"/>
      <c r="AC102" s="966"/>
      <c r="AD102" s="966"/>
      <c r="AE102" s="966"/>
      <c r="AF102" s="966"/>
      <c r="AG102" s="964"/>
    </row>
    <row r="103" spans="1:33" s="112" customFormat="1" ht="21" customHeight="1">
      <c r="A103" s="859"/>
      <c r="B103" s="963"/>
      <c r="C103" s="1260" t="s">
        <v>361</v>
      </c>
      <c r="D103" s="1260"/>
      <c r="E103" s="959" t="s">
        <v>328</v>
      </c>
      <c r="F103" s="1260">
        <v>1</v>
      </c>
      <c r="G103" s="1260"/>
      <c r="H103" s="1260"/>
      <c r="I103" s="1260"/>
      <c r="J103" s="1260"/>
      <c r="K103" s="1259"/>
      <c r="L103" s="963"/>
      <c r="M103" s="963"/>
      <c r="N103" s="963"/>
      <c r="O103" s="963"/>
      <c r="P103" s="963"/>
      <c r="Q103" s="884"/>
      <c r="R103" s="966"/>
      <c r="S103" s="1269"/>
      <c r="T103" s="1269"/>
      <c r="U103" s="966"/>
      <c r="V103" s="1269"/>
      <c r="W103" s="1269"/>
      <c r="X103" s="1269"/>
      <c r="Y103" s="1269"/>
      <c r="Z103" s="1269"/>
      <c r="AA103" s="1269"/>
      <c r="AB103" s="966"/>
      <c r="AC103" s="966"/>
      <c r="AD103" s="966"/>
      <c r="AE103" s="966"/>
      <c r="AF103" s="966"/>
      <c r="AG103" s="964"/>
    </row>
    <row r="104" spans="1:33" s="112" customFormat="1" ht="21" customHeight="1">
      <c r="A104" s="859"/>
      <c r="B104" s="963"/>
      <c r="C104" s="1260" t="s">
        <v>361</v>
      </c>
      <c r="D104" s="1260"/>
      <c r="E104" s="1259" t="s">
        <v>30</v>
      </c>
      <c r="F104" s="1278">
        <f>I102</f>
        <v>3000</v>
      </c>
      <c r="G104" s="1260"/>
      <c r="H104" s="1260"/>
      <c r="I104" s="1260"/>
      <c r="J104" s="1260"/>
      <c r="K104" s="1260" t="s">
        <v>30</v>
      </c>
      <c r="L104" s="1270">
        <f>F104/(F105-I105)</f>
        <v>0.6</v>
      </c>
      <c r="M104" s="1270"/>
      <c r="N104" s="963"/>
      <c r="O104" s="963"/>
      <c r="P104" s="963"/>
      <c r="Q104" s="884"/>
      <c r="R104" s="966"/>
      <c r="S104" s="1269"/>
      <c r="T104" s="1269"/>
      <c r="U104" s="1269"/>
      <c r="V104" s="1297"/>
      <c r="W104" s="1269"/>
      <c r="X104" s="1269"/>
      <c r="Y104" s="1269"/>
      <c r="Z104" s="1269"/>
      <c r="AA104" s="1269"/>
      <c r="AB104" s="1309"/>
      <c r="AC104" s="1309"/>
      <c r="AD104" s="966"/>
      <c r="AE104" s="966"/>
      <c r="AF104" s="966"/>
      <c r="AG104" s="964"/>
    </row>
    <row r="105" spans="1:33" s="112" customFormat="1" ht="21" customHeight="1">
      <c r="A105" s="1020"/>
      <c r="B105" s="1015"/>
      <c r="C105" s="1321"/>
      <c r="D105" s="1321"/>
      <c r="E105" s="1380"/>
      <c r="F105" s="1391">
        <f>C102</f>
        <v>8000</v>
      </c>
      <c r="G105" s="1392"/>
      <c r="H105" s="1018" t="s">
        <v>330</v>
      </c>
      <c r="I105" s="1391">
        <f>I102</f>
        <v>3000</v>
      </c>
      <c r="J105" s="1392"/>
      <c r="K105" s="1321"/>
      <c r="L105" s="1312"/>
      <c r="M105" s="1312"/>
      <c r="N105" s="1015"/>
      <c r="O105" s="1015"/>
      <c r="P105" s="1015"/>
      <c r="Q105" s="882"/>
      <c r="R105" s="966"/>
      <c r="S105" s="1269"/>
      <c r="T105" s="1269"/>
      <c r="U105" s="1269"/>
      <c r="V105" s="1297"/>
      <c r="W105" s="1269"/>
      <c r="X105" s="966"/>
      <c r="Y105" s="1297"/>
      <c r="Z105" s="1269"/>
      <c r="AA105" s="1269"/>
      <c r="AB105" s="1309"/>
      <c r="AC105" s="1309"/>
      <c r="AD105" s="966"/>
      <c r="AE105" s="966"/>
      <c r="AF105" s="966"/>
      <c r="AG105" s="964"/>
    </row>
    <row r="106" spans="1:33" s="112" customFormat="1" ht="21" customHeight="1">
      <c r="A106" s="858" t="s">
        <v>363</v>
      </c>
      <c r="B106" s="1019"/>
      <c r="C106" s="1319" t="s">
        <v>364</v>
      </c>
      <c r="D106" s="1319"/>
      <c r="E106" s="1397" t="s">
        <v>30</v>
      </c>
      <c r="F106" s="995" t="s">
        <v>365</v>
      </c>
      <c r="G106" s="995" t="s">
        <v>51</v>
      </c>
      <c r="H106" s="1319" t="s">
        <v>490</v>
      </c>
      <c r="I106" s="1319"/>
      <c r="J106" s="1319" t="s">
        <v>330</v>
      </c>
      <c r="K106" s="1319">
        <v>1</v>
      </c>
      <c r="L106" s="1019"/>
      <c r="M106" s="1019"/>
      <c r="N106" s="1019"/>
      <c r="O106" s="1019"/>
      <c r="P106" s="1019"/>
      <c r="Q106" s="883"/>
      <c r="R106" s="966"/>
      <c r="S106" s="1269"/>
      <c r="T106" s="1269"/>
      <c r="U106" s="1269"/>
      <c r="V106" s="966"/>
      <c r="W106" s="966"/>
      <c r="X106" s="1269"/>
      <c r="Y106" s="1269"/>
      <c r="Z106" s="1269"/>
      <c r="AA106" s="1269"/>
      <c r="AB106" s="966"/>
      <c r="AC106" s="966"/>
      <c r="AD106" s="966"/>
      <c r="AE106" s="966"/>
      <c r="AF106" s="966"/>
      <c r="AG106" s="964"/>
    </row>
    <row r="107" spans="1:33" s="112" customFormat="1" ht="21" customHeight="1">
      <c r="A107" s="1021" t="s">
        <v>366</v>
      </c>
      <c r="B107" s="963"/>
      <c r="C107" s="1260"/>
      <c r="D107" s="1260"/>
      <c r="E107" s="1259"/>
      <c r="F107" s="1319" t="s">
        <v>491</v>
      </c>
      <c r="G107" s="1319"/>
      <c r="H107" s="1319"/>
      <c r="I107" s="1319"/>
      <c r="J107" s="1260"/>
      <c r="K107" s="1260"/>
      <c r="L107" s="963"/>
      <c r="M107" s="963"/>
      <c r="N107" s="963"/>
      <c r="O107" s="963"/>
      <c r="P107" s="963"/>
      <c r="Q107" s="884"/>
      <c r="R107" s="966"/>
      <c r="S107" s="1269"/>
      <c r="T107" s="1269"/>
      <c r="U107" s="1269"/>
      <c r="V107" s="1269"/>
      <c r="W107" s="1269"/>
      <c r="X107" s="1269"/>
      <c r="Y107" s="1269"/>
      <c r="Z107" s="1269"/>
      <c r="AA107" s="1269"/>
      <c r="AB107" s="966"/>
      <c r="AC107" s="966"/>
      <c r="AD107" s="966"/>
      <c r="AE107" s="966"/>
      <c r="AF107" s="966"/>
      <c r="AG107" s="964"/>
    </row>
    <row r="108" spans="1:33" s="112" customFormat="1" ht="21" customHeight="1">
      <c r="A108" s="1021"/>
      <c r="B108" s="963"/>
      <c r="C108" s="963"/>
      <c r="D108" s="963" t="s">
        <v>367</v>
      </c>
      <c r="E108" s="963"/>
      <c r="F108" s="963" t="s">
        <v>541</v>
      </c>
      <c r="G108" s="963"/>
      <c r="H108" s="963"/>
      <c r="I108" s="963"/>
      <c r="J108" s="963"/>
      <c r="K108" s="963"/>
      <c r="L108" s="963"/>
      <c r="M108" s="963"/>
      <c r="N108" s="963"/>
      <c r="O108" s="963"/>
      <c r="P108" s="963"/>
      <c r="Q108" s="884"/>
      <c r="R108" s="966"/>
      <c r="S108" s="966"/>
      <c r="T108" s="965"/>
      <c r="U108" s="966"/>
      <c r="V108" s="965"/>
      <c r="W108" s="966"/>
      <c r="X108" s="966"/>
      <c r="Y108" s="966"/>
      <c r="Z108" s="966"/>
      <c r="AA108" s="966"/>
      <c r="AB108" s="966"/>
      <c r="AC108" s="966"/>
      <c r="AD108" s="966"/>
      <c r="AE108" s="966"/>
      <c r="AF108" s="966"/>
      <c r="AG108" s="964"/>
    </row>
    <row r="109" spans="1:33" s="112" customFormat="1" ht="21" customHeight="1">
      <c r="A109" s="1021"/>
      <c r="B109" s="963"/>
      <c r="C109" s="963"/>
      <c r="D109" s="963"/>
      <c r="E109" s="963"/>
      <c r="F109" s="963" t="s">
        <v>542</v>
      </c>
      <c r="G109" s="963"/>
      <c r="H109" s="963"/>
      <c r="I109" s="963"/>
      <c r="J109" s="963"/>
      <c r="K109" s="963"/>
      <c r="L109" s="963"/>
      <c r="M109" s="963"/>
      <c r="N109" s="963"/>
      <c r="O109" s="963"/>
      <c r="P109" s="963"/>
      <c r="Q109" s="884"/>
      <c r="R109" s="966"/>
      <c r="S109" s="966"/>
      <c r="T109" s="966"/>
      <c r="U109" s="966"/>
      <c r="V109" s="965"/>
      <c r="W109" s="966"/>
      <c r="X109" s="966"/>
      <c r="Y109" s="966"/>
      <c r="Z109" s="966"/>
      <c r="AA109" s="966"/>
      <c r="AB109" s="966"/>
      <c r="AC109" s="966"/>
      <c r="AD109" s="966"/>
      <c r="AE109" s="966"/>
      <c r="AF109" s="966"/>
      <c r="AG109" s="964"/>
    </row>
    <row r="110" spans="1:33" s="112" customFormat="1" ht="21" customHeight="1">
      <c r="A110" s="1021"/>
      <c r="B110" s="963"/>
      <c r="C110" s="963"/>
      <c r="D110" s="963"/>
      <c r="E110" s="963"/>
      <c r="F110" s="963" t="s">
        <v>543</v>
      </c>
      <c r="G110" s="963"/>
      <c r="H110" s="963"/>
      <c r="I110" s="963"/>
      <c r="J110" s="963"/>
      <c r="K110" s="963"/>
      <c r="L110" s="963"/>
      <c r="M110" s="963"/>
      <c r="N110" s="963"/>
      <c r="O110" s="963"/>
      <c r="P110" s="963"/>
      <c r="Q110" s="884"/>
      <c r="R110" s="966"/>
      <c r="S110" s="966"/>
      <c r="T110" s="966"/>
      <c r="U110" s="966"/>
      <c r="V110" s="965"/>
      <c r="W110" s="966"/>
      <c r="X110" s="966"/>
      <c r="Y110" s="966"/>
      <c r="Z110" s="966"/>
      <c r="AA110" s="966"/>
      <c r="AB110" s="966"/>
      <c r="AC110" s="966"/>
      <c r="AD110" s="966"/>
      <c r="AE110" s="966"/>
      <c r="AF110" s="966"/>
      <c r="AG110" s="964"/>
    </row>
    <row r="111" spans="1:33" s="964" customFormat="1" ht="21" customHeight="1">
      <c r="A111" s="859"/>
      <c r="B111" s="963"/>
      <c r="C111" s="1260" t="s">
        <v>364</v>
      </c>
      <c r="D111" s="1260"/>
      <c r="E111" s="1259" t="s">
        <v>30</v>
      </c>
      <c r="F111" s="407">
        <v>0.8</v>
      </c>
      <c r="G111" s="959" t="s">
        <v>51</v>
      </c>
      <c r="H111" s="1695">
        <f>+'설계기준(유입수질농도증가12)'!F10</f>
        <v>59.954999999999998</v>
      </c>
      <c r="I111" s="1260" t="s">
        <v>330</v>
      </c>
      <c r="J111" s="1260">
        <v>1</v>
      </c>
      <c r="K111" s="1260" t="s">
        <v>30</v>
      </c>
      <c r="L111" s="1270">
        <f>(F111*H111/F112)-J111</f>
        <v>1.3982000000000001</v>
      </c>
      <c r="M111" s="1270"/>
      <c r="N111" s="354"/>
      <c r="O111" s="963"/>
      <c r="P111" s="963"/>
      <c r="Q111" s="884"/>
      <c r="R111" s="966"/>
      <c r="S111" s="1269" t="s">
        <v>838</v>
      </c>
      <c r="T111" s="1269"/>
      <c r="U111" s="1269"/>
      <c r="V111" s="966"/>
      <c r="W111" s="966"/>
      <c r="X111" s="1300"/>
      <c r="Y111" s="1269"/>
      <c r="Z111" s="1269"/>
      <c r="AA111" s="1269"/>
      <c r="AB111" s="1269"/>
      <c r="AC111" s="1269"/>
      <c r="AD111" s="1269"/>
      <c r="AE111" s="966"/>
      <c r="AF111" s="966"/>
    </row>
    <row r="112" spans="1:33" s="964" customFormat="1" ht="21" customHeight="1">
      <c r="A112" s="859"/>
      <c r="B112" s="963"/>
      <c r="C112" s="1260"/>
      <c r="D112" s="1260"/>
      <c r="E112" s="1259"/>
      <c r="F112" s="1393">
        <f>+'설계기준(유입수질농도증가12)'!J10</f>
        <v>20</v>
      </c>
      <c r="G112" s="1393"/>
      <c r="H112" s="1393"/>
      <c r="I112" s="1260"/>
      <c r="J112" s="1260"/>
      <c r="K112" s="1260"/>
      <c r="L112" s="1270"/>
      <c r="M112" s="1270"/>
      <c r="N112" s="354"/>
      <c r="O112" s="963"/>
      <c r="P112" s="963"/>
      <c r="Q112" s="884"/>
      <c r="R112" s="966"/>
      <c r="S112" s="1269"/>
      <c r="T112" s="1269"/>
      <c r="U112" s="1269"/>
      <c r="V112" s="1302"/>
      <c r="W112" s="1269"/>
      <c r="X112" s="1269"/>
      <c r="Y112" s="1269"/>
      <c r="Z112" s="1269"/>
      <c r="AA112" s="1269"/>
      <c r="AB112" s="1269"/>
      <c r="AC112" s="1269"/>
      <c r="AD112" s="1269"/>
      <c r="AE112" s="966"/>
      <c r="AF112" s="966"/>
    </row>
    <row r="113" spans="1:33" s="964" customFormat="1" ht="21" customHeight="1">
      <c r="A113" s="1021" t="s">
        <v>368</v>
      </c>
      <c r="B113" s="1389" t="s">
        <v>369</v>
      </c>
      <c r="C113" s="1390"/>
      <c r="D113" s="1390"/>
      <c r="E113" s="1390"/>
      <c r="F113" s="963"/>
      <c r="G113" s="959" t="s">
        <v>30</v>
      </c>
      <c r="H113" s="1418">
        <f>H114-H115</f>
        <v>49.32</v>
      </c>
      <c r="I113" s="1418"/>
      <c r="J113" s="963"/>
      <c r="K113" s="963"/>
      <c r="L113" s="963"/>
      <c r="M113" s="963"/>
      <c r="N113" s="963"/>
      <c r="O113" s="963"/>
      <c r="P113" s="963"/>
      <c r="Q113" s="884"/>
      <c r="R113" s="965"/>
      <c r="S113" s="965"/>
      <c r="T113" s="965"/>
      <c r="U113" s="965"/>
      <c r="V113" s="965"/>
      <c r="W113" s="966"/>
      <c r="X113" s="1301"/>
      <c r="Y113" s="1301"/>
      <c r="Z113" s="1265"/>
      <c r="AA113" s="965"/>
      <c r="AB113" s="966"/>
      <c r="AC113" s="966"/>
      <c r="AD113" s="966"/>
      <c r="AE113" s="966"/>
      <c r="AF113" s="966"/>
    </row>
    <row r="114" spans="1:33" s="964" customFormat="1" ht="21" customHeight="1">
      <c r="A114" s="1021"/>
      <c r="B114" s="968" t="s">
        <v>330</v>
      </c>
      <c r="C114" s="1259" t="s">
        <v>370</v>
      </c>
      <c r="D114" s="1259"/>
      <c r="E114" s="1259"/>
      <c r="F114" s="1259"/>
      <c r="G114" s="959" t="s">
        <v>30</v>
      </c>
      <c r="H114" s="1694">
        <f>+'설계기준(유입수질농도증가12)'!F10</f>
        <v>59.954999999999998</v>
      </c>
      <c r="I114" s="1694"/>
      <c r="J114" s="963"/>
      <c r="K114" s="963"/>
      <c r="L114" s="963"/>
      <c r="M114" s="963"/>
      <c r="N114" s="963"/>
      <c r="O114" s="963"/>
      <c r="P114" s="963"/>
      <c r="Q114" s="884"/>
      <c r="R114" s="982"/>
      <c r="S114" s="1265"/>
      <c r="T114" s="1265"/>
      <c r="U114" s="1265"/>
      <c r="V114" s="1265"/>
      <c r="W114" s="1265"/>
      <c r="X114" s="966"/>
      <c r="Y114" s="1338"/>
      <c r="Z114" s="1265"/>
      <c r="AA114" s="1265"/>
      <c r="AB114" s="966"/>
      <c r="AC114" s="966"/>
      <c r="AD114" s="966"/>
      <c r="AE114" s="966"/>
      <c r="AF114" s="966"/>
    </row>
    <row r="115" spans="1:33" s="964" customFormat="1" ht="21" customHeight="1">
      <c r="A115" s="859"/>
      <c r="B115" s="968" t="s">
        <v>330</v>
      </c>
      <c r="C115" s="1259" t="s">
        <v>371</v>
      </c>
      <c r="D115" s="1259"/>
      <c r="E115" s="1259"/>
      <c r="F115" s="1259"/>
      <c r="G115" s="959" t="s">
        <v>30</v>
      </c>
      <c r="H115" s="1271">
        <f>H116*0.05</f>
        <v>10.635</v>
      </c>
      <c r="I115" s="1271"/>
      <c r="J115" s="1026"/>
      <c r="K115" s="963"/>
      <c r="L115" s="963"/>
      <c r="M115" s="963"/>
      <c r="N115" s="963"/>
      <c r="O115" s="963"/>
      <c r="P115" s="963"/>
      <c r="Q115" s="884"/>
      <c r="R115" s="982"/>
      <c r="S115" s="1265"/>
      <c r="T115" s="1265"/>
      <c r="U115" s="1265"/>
      <c r="V115" s="1265"/>
      <c r="W115" s="1265"/>
      <c r="X115" s="966"/>
      <c r="Y115" s="1342"/>
      <c r="Z115" s="1342"/>
      <c r="AA115" s="1342"/>
      <c r="AB115" s="966"/>
      <c r="AC115" s="966"/>
      <c r="AD115" s="966"/>
      <c r="AE115" s="966"/>
      <c r="AF115" s="966"/>
    </row>
    <row r="116" spans="1:33" s="964" customFormat="1" ht="21" customHeight="1">
      <c r="A116" s="859"/>
      <c r="B116" s="968" t="s">
        <v>330</v>
      </c>
      <c r="C116" s="1257" t="s">
        <v>372</v>
      </c>
      <c r="D116" s="1257"/>
      <c r="E116" s="1257"/>
      <c r="F116" s="1257"/>
      <c r="G116" s="959" t="s">
        <v>30</v>
      </c>
      <c r="H116" s="1694">
        <f>'설계기준(유입수질농도증가12)'!F7-'설계기준(유입수질농도증가12)'!J7</f>
        <v>212.7</v>
      </c>
      <c r="I116" s="1694"/>
      <c r="J116" s="963"/>
      <c r="K116" s="963"/>
      <c r="L116" s="963"/>
      <c r="M116" s="1259"/>
      <c r="N116" s="1259"/>
      <c r="O116" s="963"/>
      <c r="P116" s="963"/>
      <c r="Q116" s="884"/>
      <c r="R116" s="982"/>
      <c r="S116" s="1269"/>
      <c r="T116" s="1269"/>
      <c r="U116" s="1269"/>
      <c r="V116" s="966"/>
      <c r="W116" s="1343"/>
      <c r="X116" s="1343"/>
      <c r="Y116" s="1265"/>
      <c r="Z116" s="965"/>
      <c r="AA116" s="966"/>
      <c r="AB116" s="966"/>
      <c r="AC116" s="966"/>
      <c r="AD116" s="966"/>
      <c r="AE116" s="966"/>
      <c r="AF116" s="966"/>
    </row>
    <row r="117" spans="1:33" s="964" customFormat="1" ht="21" customHeight="1">
      <c r="A117" s="859"/>
      <c r="B117" s="1389" t="s">
        <v>544</v>
      </c>
      <c r="C117" s="1390"/>
      <c r="D117" s="1390"/>
      <c r="E117" s="1390"/>
      <c r="F117" s="963"/>
      <c r="G117" s="959" t="s">
        <v>30</v>
      </c>
      <c r="H117" s="1271">
        <f>+'설계기준(유입수질농도증가12)'!J10</f>
        <v>20</v>
      </c>
      <c r="I117" s="1271"/>
      <c r="J117" s="963"/>
      <c r="K117" s="963"/>
      <c r="L117" s="963"/>
      <c r="M117" s="357"/>
      <c r="N117" s="357"/>
      <c r="O117" s="357"/>
      <c r="P117" s="963"/>
      <c r="Q117" s="884"/>
      <c r="R117" s="965"/>
      <c r="S117" s="965"/>
      <c r="T117" s="965"/>
      <c r="U117" s="965"/>
      <c r="V117" s="966"/>
      <c r="W117" s="1341"/>
      <c r="X117" s="1295"/>
      <c r="Y117" s="965"/>
      <c r="Z117" s="966"/>
      <c r="AA117" s="966"/>
      <c r="AB117" s="966"/>
      <c r="AC117" s="966"/>
      <c r="AD117" s="966"/>
      <c r="AE117" s="966"/>
      <c r="AF117" s="966"/>
    </row>
    <row r="118" spans="1:33" s="112" customFormat="1" ht="21" customHeight="1">
      <c r="A118" s="859"/>
      <c r="B118" s="968" t="s">
        <v>330</v>
      </c>
      <c r="C118" s="1257" t="s">
        <v>492</v>
      </c>
      <c r="D118" s="1257"/>
      <c r="E118" s="1257"/>
      <c r="F118" s="1257"/>
      <c r="G118" s="959" t="s">
        <v>30</v>
      </c>
      <c r="H118" s="1271">
        <f>K121/(G119+K122+K123)</f>
        <v>19.728000000000002</v>
      </c>
      <c r="I118" s="1271"/>
      <c r="J118" s="356"/>
      <c r="K118" s="1026"/>
      <c r="L118" s="963"/>
      <c r="M118" s="1423"/>
      <c r="N118" s="1423"/>
      <c r="O118" s="1423"/>
      <c r="P118" s="963"/>
      <c r="Q118" s="884"/>
      <c r="R118" s="982"/>
      <c r="S118" s="1265"/>
      <c r="T118" s="1265"/>
      <c r="U118" s="1265"/>
      <c r="V118" s="1265"/>
      <c r="W118" s="1265"/>
      <c r="X118" s="966"/>
      <c r="Y118" s="1265"/>
      <c r="Z118" s="1265"/>
      <c r="AA118" s="1340"/>
      <c r="AB118" s="966"/>
      <c r="AC118" s="966"/>
      <c r="AD118" s="966"/>
      <c r="AE118" s="966"/>
      <c r="AF118" s="966"/>
      <c r="AG118" s="964"/>
    </row>
    <row r="119" spans="1:33" s="112" customFormat="1" ht="21" customHeight="1">
      <c r="A119" s="859"/>
      <c r="B119" s="322"/>
      <c r="C119" s="959" t="s">
        <v>373</v>
      </c>
      <c r="D119" s="963" t="s">
        <v>30</v>
      </c>
      <c r="E119" s="959" t="s">
        <v>493</v>
      </c>
      <c r="F119" s="959" t="s">
        <v>327</v>
      </c>
      <c r="G119" s="959">
        <v>1</v>
      </c>
      <c r="H119" s="959" t="s">
        <v>328</v>
      </c>
      <c r="I119" s="959" t="s">
        <v>361</v>
      </c>
      <c r="J119" s="959" t="s">
        <v>328</v>
      </c>
      <c r="K119" s="959" t="s">
        <v>374</v>
      </c>
      <c r="L119" s="963"/>
      <c r="M119" s="963"/>
      <c r="N119" s="963"/>
      <c r="O119" s="963"/>
      <c r="P119" s="963"/>
      <c r="Q119" s="884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/>
      <c r="AB119" s="966"/>
      <c r="AC119" s="966"/>
      <c r="AD119" s="966"/>
      <c r="AE119" s="966"/>
      <c r="AF119" s="966"/>
      <c r="AG119" s="964"/>
    </row>
    <row r="120" spans="1:33" s="112" customFormat="1" ht="21" customHeight="1">
      <c r="A120" s="859"/>
      <c r="B120" s="322"/>
      <c r="C120" s="963" t="s">
        <v>375</v>
      </c>
      <c r="D120" s="963"/>
      <c r="E120" s="963" t="s">
        <v>373</v>
      </c>
      <c r="F120" s="959" t="s">
        <v>30</v>
      </c>
      <c r="G120" s="1257" t="s">
        <v>376</v>
      </c>
      <c r="H120" s="1257"/>
      <c r="I120" s="1257"/>
      <c r="J120" s="1257"/>
      <c r="K120" s="963"/>
      <c r="L120" s="963"/>
      <c r="M120" s="963"/>
      <c r="N120" s="963"/>
      <c r="O120" s="963"/>
      <c r="P120" s="963"/>
      <c r="Q120" s="884"/>
      <c r="R120" s="966">
        <v>27.4</v>
      </c>
      <c r="S120" s="1269">
        <v>600</v>
      </c>
      <c r="T120" s="1269"/>
      <c r="U120" s="966"/>
      <c r="V120" s="966"/>
      <c r="W120" s="1265"/>
      <c r="X120" s="1265"/>
      <c r="Y120" s="1265"/>
      <c r="Z120" s="1265"/>
      <c r="AA120" s="1265"/>
      <c r="AB120" s="1265"/>
      <c r="AC120" s="1265"/>
      <c r="AD120" s="966"/>
      <c r="AE120" s="966"/>
      <c r="AF120" s="966"/>
      <c r="AG120" s="964"/>
    </row>
    <row r="121" spans="1:33" s="112" customFormat="1" ht="21" customHeight="1">
      <c r="A121" s="859"/>
      <c r="B121" s="322"/>
      <c r="C121" s="963"/>
      <c r="D121" s="963"/>
      <c r="E121" s="963" t="s">
        <v>377</v>
      </c>
      <c r="F121" s="959" t="s">
        <v>30</v>
      </c>
      <c r="G121" s="1257" t="s">
        <v>378</v>
      </c>
      <c r="H121" s="1257"/>
      <c r="I121" s="1257"/>
      <c r="J121" s="1257"/>
      <c r="K121" s="413">
        <f>H113</f>
        <v>49.32</v>
      </c>
      <c r="L121" s="963" t="s">
        <v>256</v>
      </c>
      <c r="M121" s="357"/>
      <c r="N121" s="963"/>
      <c r="O121" s="963"/>
      <c r="P121" s="963"/>
      <c r="Q121" s="884"/>
      <c r="R121" s="966">
        <v>2625</v>
      </c>
      <c r="S121" s="1269">
        <v>147.19999999999999</v>
      </c>
      <c r="T121" s="1269"/>
      <c r="U121" s="966"/>
      <c r="V121" s="966"/>
      <c r="W121" s="1265"/>
      <c r="X121" s="1265"/>
      <c r="Y121" s="1265"/>
      <c r="Z121" s="1265"/>
      <c r="AA121" s="1265"/>
      <c r="AB121" s="1344"/>
      <c r="AC121" s="1344"/>
      <c r="AD121" s="1340"/>
      <c r="AE121" s="965"/>
      <c r="AF121" s="966"/>
      <c r="AG121" s="964"/>
    </row>
    <row r="122" spans="1:33" s="112" customFormat="1" ht="21" customHeight="1">
      <c r="A122" s="859"/>
      <c r="B122" s="322"/>
      <c r="C122" s="963"/>
      <c r="D122" s="963"/>
      <c r="E122" s="963" t="s">
        <v>361</v>
      </c>
      <c r="F122" s="959" t="s">
        <v>30</v>
      </c>
      <c r="G122" s="1257" t="s">
        <v>379</v>
      </c>
      <c r="H122" s="1257"/>
      <c r="I122" s="1257"/>
      <c r="J122" s="1257"/>
      <c r="K122" s="483">
        <v>0.5</v>
      </c>
      <c r="L122" s="963" t="s">
        <v>55</v>
      </c>
      <c r="M122" s="963"/>
      <c r="N122" s="963"/>
      <c r="O122" s="963"/>
      <c r="P122" s="963"/>
      <c r="Q122" s="884"/>
      <c r="R122" s="966"/>
      <c r="S122" s="966"/>
      <c r="T122" s="966"/>
      <c r="U122" s="966"/>
      <c r="V122" s="966"/>
      <c r="W122" s="1265"/>
      <c r="X122" s="1265"/>
      <c r="Y122" s="1265"/>
      <c r="Z122" s="1265"/>
      <c r="AA122" s="966"/>
      <c r="AB122" s="965"/>
      <c r="AC122" s="966"/>
      <c r="AD122" s="966"/>
      <c r="AE122" s="966"/>
      <c r="AF122" s="966"/>
      <c r="AG122" s="964"/>
    </row>
    <row r="123" spans="1:33" s="112" customFormat="1" ht="21" customHeight="1">
      <c r="A123" s="859"/>
      <c r="B123" s="322"/>
      <c r="C123" s="963"/>
      <c r="D123" s="963"/>
      <c r="E123" s="963" t="s">
        <v>381</v>
      </c>
      <c r="F123" s="959" t="s">
        <v>30</v>
      </c>
      <c r="G123" s="1259" t="s">
        <v>382</v>
      </c>
      <c r="H123" s="1259"/>
      <c r="I123" s="1259"/>
      <c r="J123" s="1259"/>
      <c r="K123" s="414">
        <v>1</v>
      </c>
      <c r="L123" s="963" t="s">
        <v>55</v>
      </c>
      <c r="M123" s="963"/>
      <c r="N123" s="963"/>
      <c r="O123" s="963"/>
      <c r="P123" s="963"/>
      <c r="Q123" s="884"/>
      <c r="R123" s="966"/>
      <c r="S123" s="966"/>
      <c r="T123" s="966"/>
      <c r="U123" s="966"/>
      <c r="V123" s="966"/>
      <c r="W123" s="1265"/>
      <c r="X123" s="1265"/>
      <c r="Y123" s="1265"/>
      <c r="Z123" s="1265"/>
      <c r="AA123" s="966"/>
      <c r="AB123" s="965"/>
      <c r="AC123" s="966"/>
      <c r="AD123" s="966"/>
      <c r="AE123" s="966"/>
      <c r="AF123" s="966"/>
      <c r="AG123" s="964"/>
    </row>
    <row r="124" spans="1:33" s="112" customFormat="1" ht="21" customHeight="1">
      <c r="A124" s="859"/>
      <c r="B124" s="1389" t="s">
        <v>545</v>
      </c>
      <c r="C124" s="1390"/>
      <c r="D124" s="1390"/>
      <c r="E124" s="1390"/>
      <c r="F124" s="963"/>
      <c r="G124" s="959" t="s">
        <v>30</v>
      </c>
      <c r="H124" s="1271">
        <f>K121</f>
        <v>49.32</v>
      </c>
      <c r="I124" s="1271"/>
      <c r="J124" s="959" t="s">
        <v>547</v>
      </c>
      <c r="K124" s="1320">
        <f>H117-H118</f>
        <v>0.27199999999999847</v>
      </c>
      <c r="L124" s="1320"/>
      <c r="M124" s="959" t="s">
        <v>383</v>
      </c>
      <c r="N124" s="1421">
        <f>H124-K124</f>
        <v>49.048000000000002</v>
      </c>
      <c r="O124" s="1421"/>
      <c r="P124" s="735"/>
      <c r="Q124" s="884"/>
      <c r="R124" s="1339" t="s">
        <v>548</v>
      </c>
      <c r="S124" s="1339"/>
      <c r="T124" s="1339"/>
      <c r="U124" s="1339"/>
      <c r="V124" s="966"/>
      <c r="W124" s="1269"/>
      <c r="X124" s="1269"/>
      <c r="Y124" s="1334"/>
      <c r="Z124" s="965"/>
      <c r="AA124" s="1269"/>
      <c r="AB124" s="1334"/>
      <c r="AC124" s="965"/>
      <c r="AD124" s="1336"/>
      <c r="AE124" s="1336"/>
      <c r="AF124" s="1337"/>
      <c r="AG124" s="964"/>
    </row>
    <row r="125" spans="1:33" s="112" customFormat="1" ht="21" customHeight="1">
      <c r="A125" s="859" t="s">
        <v>384</v>
      </c>
      <c r="B125" s="1389" t="s">
        <v>549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963"/>
      <c r="M125" s="963"/>
      <c r="N125" s="963"/>
      <c r="O125" s="963"/>
      <c r="P125" s="963"/>
      <c r="Q125" s="884"/>
      <c r="R125" s="965"/>
      <c r="S125" s="965"/>
      <c r="T125" s="965"/>
      <c r="U125" s="965"/>
      <c r="V125" s="965"/>
      <c r="W125" s="965"/>
      <c r="X125" s="965"/>
      <c r="Y125" s="965"/>
      <c r="Z125" s="965"/>
      <c r="AA125" s="965"/>
      <c r="AB125" s="965"/>
      <c r="AC125" s="965"/>
      <c r="AD125" s="965"/>
      <c r="AE125" s="965"/>
      <c r="AF125" s="965"/>
      <c r="AG125" s="964"/>
    </row>
    <row r="126" spans="1:33" s="112" customFormat="1" ht="21" customHeight="1">
      <c r="A126" s="859"/>
      <c r="B126" s="508" t="s">
        <v>330</v>
      </c>
      <c r="C126" s="1250" t="s">
        <v>385</v>
      </c>
      <c r="D126" s="1250"/>
      <c r="E126" s="1250"/>
      <c r="F126" s="509">
        <v>0.2</v>
      </c>
      <c r="G126" s="250" t="s">
        <v>386</v>
      </c>
      <c r="H126" s="963"/>
      <c r="I126" s="963"/>
      <c r="J126" s="963"/>
      <c r="K126" s="963"/>
      <c r="L126" s="963"/>
      <c r="M126" s="963"/>
      <c r="N126" s="963"/>
      <c r="O126" s="963"/>
      <c r="P126" s="963"/>
      <c r="Q126" s="884"/>
      <c r="R126" s="965"/>
      <c r="S126" s="965"/>
      <c r="T126" s="965"/>
      <c r="U126" s="965"/>
      <c r="V126" s="965"/>
      <c r="W126" s="965"/>
      <c r="X126" s="965"/>
      <c r="Y126" s="965"/>
      <c r="Z126" s="965"/>
      <c r="AA126" s="965"/>
      <c r="AB126" s="965"/>
      <c r="AC126" s="965"/>
      <c r="AD126" s="965"/>
      <c r="AE126" s="965"/>
      <c r="AF126" s="965"/>
      <c r="AG126" s="964"/>
    </row>
    <row r="127" spans="1:33" s="112" customFormat="1" ht="21" customHeight="1">
      <c r="A127" s="859"/>
      <c r="B127" s="250"/>
      <c r="C127" s="250"/>
      <c r="D127" s="250"/>
      <c r="E127" s="960" t="s">
        <v>30</v>
      </c>
      <c r="F127" s="1320">
        <f>N124*F126</f>
        <v>9.8096000000000014</v>
      </c>
      <c r="G127" s="1320"/>
      <c r="H127" s="833"/>
      <c r="I127" s="250"/>
      <c r="J127" s="963"/>
      <c r="K127" s="963"/>
      <c r="L127" s="963"/>
      <c r="M127" s="963"/>
      <c r="N127" s="963"/>
      <c r="O127" s="963"/>
      <c r="P127" s="963"/>
      <c r="Q127" s="884"/>
      <c r="R127" s="965"/>
      <c r="S127" s="965"/>
      <c r="T127" s="965"/>
      <c r="U127" s="965"/>
      <c r="V127" s="965"/>
      <c r="W127" s="965"/>
      <c r="X127" s="965"/>
      <c r="Y127" s="965"/>
      <c r="Z127" s="965"/>
      <c r="AA127" s="965"/>
      <c r="AB127" s="965"/>
      <c r="AC127" s="965"/>
      <c r="AD127" s="965"/>
      <c r="AE127" s="965"/>
      <c r="AF127" s="965"/>
      <c r="AG127" s="964"/>
    </row>
    <row r="128" spans="1:33" s="112" customFormat="1" ht="21" customHeight="1">
      <c r="A128" s="859"/>
      <c r="B128" s="963"/>
      <c r="C128" s="963"/>
      <c r="D128" s="963"/>
      <c r="E128" s="959" t="s">
        <v>30</v>
      </c>
      <c r="F128" s="1320">
        <f>H113</f>
        <v>49.32</v>
      </c>
      <c r="G128" s="1320"/>
      <c r="H128" s="959" t="s">
        <v>330</v>
      </c>
      <c r="I128" s="1320">
        <f>H117</f>
        <v>20</v>
      </c>
      <c r="J128" s="1320"/>
      <c r="K128" s="358" t="s">
        <v>330</v>
      </c>
      <c r="L128" s="1320">
        <f>F127</f>
        <v>9.8096000000000014</v>
      </c>
      <c r="M128" s="1320"/>
      <c r="N128" s="993"/>
      <c r="O128" s="963"/>
      <c r="P128" s="963"/>
      <c r="Q128" s="884"/>
      <c r="R128" s="966"/>
      <c r="S128" s="966"/>
      <c r="T128" s="966"/>
      <c r="U128" s="966"/>
      <c r="V128" s="966"/>
      <c r="W128" s="966"/>
      <c r="X128" s="321"/>
      <c r="Y128" s="965"/>
      <c r="Z128" s="966"/>
      <c r="AA128" s="966"/>
      <c r="AB128" s="966"/>
      <c r="AC128" s="966"/>
      <c r="AD128" s="966"/>
      <c r="AE128" s="966"/>
      <c r="AF128" s="966"/>
      <c r="AG128" s="964"/>
    </row>
    <row r="129" spans="1:33" s="112" customFormat="1" ht="21" customHeight="1">
      <c r="A129" s="859"/>
      <c r="B129" s="963"/>
      <c r="C129" s="963"/>
      <c r="D129" s="963"/>
      <c r="E129" s="959" t="s">
        <v>30</v>
      </c>
      <c r="F129" s="1320">
        <f>F128-I128-L128</f>
        <v>19.510399999999997</v>
      </c>
      <c r="G129" s="1320"/>
      <c r="H129" s="993"/>
      <c r="I129" s="963"/>
      <c r="J129" s="963"/>
      <c r="K129" s="963"/>
      <c r="L129" s="963"/>
      <c r="M129" s="963"/>
      <c r="N129" s="963"/>
      <c r="O129" s="963"/>
      <c r="P129" s="963"/>
      <c r="Q129" s="884"/>
      <c r="R129" s="966"/>
      <c r="S129" s="966"/>
      <c r="T129" s="966"/>
      <c r="U129" s="966"/>
      <c r="V129" s="966"/>
      <c r="W129" s="966"/>
      <c r="X129" s="321"/>
      <c r="Y129" s="965"/>
      <c r="Z129" s="966"/>
      <c r="AA129" s="966"/>
      <c r="AB129" s="966"/>
      <c r="AC129" s="966"/>
      <c r="AD129" s="966"/>
      <c r="AE129" s="966"/>
      <c r="AF129" s="966"/>
      <c r="AG129" s="964"/>
    </row>
    <row r="130" spans="1:33" s="112" customFormat="1" ht="21" customHeight="1">
      <c r="A130" s="860" t="s">
        <v>840</v>
      </c>
      <c r="B130" s="959"/>
      <c r="C130" s="959"/>
      <c r="D130" s="959"/>
      <c r="E130" s="959"/>
      <c r="F130" s="959"/>
      <c r="G130" s="959"/>
      <c r="H130" s="959"/>
      <c r="I130" s="959"/>
      <c r="J130" s="959"/>
      <c r="K130" s="959"/>
      <c r="L130" s="959"/>
      <c r="M130" s="959"/>
      <c r="N130" s="959"/>
      <c r="O130" s="959"/>
      <c r="P130" s="959"/>
      <c r="Q130" s="884"/>
      <c r="R130" s="966"/>
      <c r="S130" s="1005"/>
      <c r="T130" s="1005"/>
      <c r="U130" s="1005"/>
      <c r="V130" s="1005"/>
      <c r="W130" s="1005"/>
      <c r="X130" s="1005"/>
      <c r="Y130" s="1005"/>
      <c r="Z130" s="1005"/>
      <c r="AA130" s="1005"/>
      <c r="AB130" s="1005"/>
      <c r="AC130" s="1005"/>
      <c r="AD130" s="1005"/>
      <c r="AE130" s="1005"/>
      <c r="AF130" s="966"/>
      <c r="AG130" s="964"/>
    </row>
    <row r="131" spans="1:33" s="112" customFormat="1" ht="21" customHeight="1">
      <c r="A131" s="857" t="s">
        <v>387</v>
      </c>
      <c r="B131" s="959" t="s">
        <v>494</v>
      </c>
      <c r="C131" s="959" t="s">
        <v>30</v>
      </c>
      <c r="D131" s="959" t="s">
        <v>495</v>
      </c>
      <c r="E131" s="959" t="s">
        <v>51</v>
      </c>
      <c r="F131" s="350" t="s">
        <v>550</v>
      </c>
      <c r="G131" s="959"/>
      <c r="H131" s="959" t="s">
        <v>551</v>
      </c>
      <c r="I131" s="959">
        <v>1</v>
      </c>
      <c r="J131" s="959" t="s">
        <v>330</v>
      </c>
      <c r="K131" s="959" t="s">
        <v>326</v>
      </c>
      <c r="L131" s="959" t="s">
        <v>143</v>
      </c>
      <c r="M131" s="959"/>
      <c r="N131" s="959"/>
      <c r="O131" s="959"/>
      <c r="P131" s="959"/>
      <c r="Q131" s="884"/>
      <c r="R131" s="966"/>
      <c r="S131" s="966"/>
      <c r="T131" s="966"/>
      <c r="U131" s="966"/>
      <c r="V131" s="345"/>
      <c r="W131" s="966"/>
      <c r="X131" s="339"/>
      <c r="Y131" s="966"/>
      <c r="Z131" s="966"/>
      <c r="AA131" s="966"/>
      <c r="AB131" s="966"/>
      <c r="AC131" s="1005"/>
      <c r="AD131" s="1005"/>
      <c r="AE131" s="1005"/>
      <c r="AF131" s="1005"/>
      <c r="AG131" s="964"/>
    </row>
    <row r="132" spans="1:33" s="112" customFormat="1" ht="21" customHeight="1">
      <c r="A132" s="1021" t="s">
        <v>496</v>
      </c>
      <c r="B132" s="959"/>
      <c r="C132" s="1260" t="s">
        <v>375</v>
      </c>
      <c r="D132" s="1260"/>
      <c r="E132" s="959"/>
      <c r="F132" s="959" t="s">
        <v>495</v>
      </c>
      <c r="G132" s="959" t="s">
        <v>30</v>
      </c>
      <c r="H132" s="1390" t="s">
        <v>497</v>
      </c>
      <c r="I132" s="1390"/>
      <c r="J132" s="1390"/>
      <c r="K132" s="1390"/>
      <c r="L132" s="1390"/>
      <c r="M132" s="1390"/>
      <c r="N132" s="1390"/>
      <c r="O132" s="1390"/>
      <c r="P132" s="1422"/>
      <c r="Q132" s="902"/>
      <c r="R132" s="966">
        <v>0.03</v>
      </c>
      <c r="S132" s="966" t="s">
        <v>448</v>
      </c>
      <c r="T132" s="966">
        <v>0.11</v>
      </c>
      <c r="U132" s="1005"/>
      <c r="V132" s="966"/>
      <c r="W132" s="966"/>
      <c r="X132" s="1335"/>
      <c r="Y132" s="1335"/>
      <c r="Z132" s="1335"/>
      <c r="AA132" s="1335"/>
      <c r="AB132" s="1335"/>
      <c r="AC132" s="1335"/>
      <c r="AD132" s="1335"/>
      <c r="AE132" s="1335"/>
      <c r="AF132" s="1335"/>
      <c r="AG132" s="964"/>
    </row>
    <row r="133" spans="1:33" s="112" customFormat="1" ht="21" customHeight="1">
      <c r="A133" s="1016"/>
      <c r="B133" s="973"/>
      <c r="C133" s="959"/>
      <c r="D133" s="959"/>
      <c r="E133" s="959"/>
      <c r="F133" s="959" t="s">
        <v>388</v>
      </c>
      <c r="G133" s="959" t="s">
        <v>30</v>
      </c>
      <c r="H133" s="1260" t="s">
        <v>389</v>
      </c>
      <c r="I133" s="1260"/>
      <c r="J133" s="959" t="s">
        <v>54</v>
      </c>
      <c r="K133" s="959"/>
      <c r="L133" s="959"/>
      <c r="M133" s="959"/>
      <c r="N133" s="959"/>
      <c r="O133" s="959"/>
      <c r="P133" s="1027"/>
      <c r="Q133" s="902"/>
      <c r="R133" s="966"/>
      <c r="S133" s="966"/>
      <c r="T133" s="966"/>
      <c r="U133" s="966"/>
      <c r="V133" s="966"/>
      <c r="W133" s="966"/>
      <c r="X133" s="1269"/>
      <c r="Y133" s="1269"/>
      <c r="Z133" s="966"/>
      <c r="AA133" s="966"/>
      <c r="AB133" s="966"/>
      <c r="AC133" s="966"/>
      <c r="AD133" s="966"/>
      <c r="AE133" s="966"/>
      <c r="AF133" s="966"/>
      <c r="AG133" s="964"/>
    </row>
    <row r="134" spans="1:33" s="112" customFormat="1" ht="21" customHeight="1">
      <c r="A134" s="1016"/>
      <c r="B134" s="973"/>
      <c r="C134" s="959"/>
      <c r="D134" s="959"/>
      <c r="E134" s="959"/>
      <c r="F134" s="959" t="s">
        <v>326</v>
      </c>
      <c r="G134" s="959" t="s">
        <v>30</v>
      </c>
      <c r="H134" s="1260" t="s">
        <v>390</v>
      </c>
      <c r="I134" s="1260"/>
      <c r="J134" s="959" t="s">
        <v>391</v>
      </c>
      <c r="K134" s="959" t="s">
        <v>392</v>
      </c>
      <c r="L134" s="959">
        <v>0.2</v>
      </c>
      <c r="M134" s="959" t="s">
        <v>143</v>
      </c>
      <c r="N134" s="959"/>
      <c r="O134" s="959"/>
      <c r="P134" s="1027"/>
      <c r="Q134" s="902"/>
      <c r="R134" s="966">
        <v>15</v>
      </c>
      <c r="S134" s="966"/>
      <c r="T134" s="966"/>
      <c r="U134" s="966"/>
      <c r="V134" s="966"/>
      <c r="W134" s="966"/>
      <c r="X134" s="1269"/>
      <c r="Y134" s="1269"/>
      <c r="Z134" s="1269"/>
      <c r="AA134" s="966"/>
      <c r="AB134" s="966"/>
      <c r="AC134" s="966"/>
      <c r="AD134" s="966"/>
      <c r="AE134" s="966"/>
      <c r="AF134" s="966"/>
      <c r="AG134" s="964"/>
    </row>
    <row r="135" spans="1:33" s="112" customFormat="1" ht="21" customHeight="1">
      <c r="A135" s="1021"/>
      <c r="B135" s="959" t="s">
        <v>494</v>
      </c>
      <c r="C135" s="1260" t="s">
        <v>498</v>
      </c>
      <c r="D135" s="1260"/>
      <c r="E135" s="959" t="s">
        <v>30</v>
      </c>
      <c r="F135" s="948">
        <v>0.11</v>
      </c>
      <c r="G135" s="962" t="s">
        <v>499</v>
      </c>
      <c r="H135" s="962"/>
      <c r="I135" s="959"/>
      <c r="J135" s="959"/>
      <c r="K135" s="350" t="s">
        <v>553</v>
      </c>
      <c r="L135" s="969"/>
      <c r="M135" s="962"/>
      <c r="N135" s="959"/>
      <c r="O135" s="959"/>
      <c r="P135" s="959"/>
      <c r="Q135" s="884"/>
      <c r="R135" s="966"/>
      <c r="S135" s="1269">
        <v>0.18</v>
      </c>
      <c r="T135" s="1269"/>
      <c r="U135" s="966"/>
      <c r="V135" s="966"/>
      <c r="W135" s="965"/>
      <c r="X135" s="965"/>
      <c r="Y135" s="1005"/>
      <c r="Z135" s="1005"/>
      <c r="AA135" s="345"/>
      <c r="AB135" s="982"/>
      <c r="AC135" s="965"/>
      <c r="AD135" s="966"/>
      <c r="AE135" s="966"/>
      <c r="AF135" s="966"/>
      <c r="AG135" s="964"/>
    </row>
    <row r="136" spans="1:33" s="112" customFormat="1" ht="21" customHeight="1">
      <c r="A136" s="1021"/>
      <c r="B136" s="959"/>
      <c r="C136" s="959"/>
      <c r="D136" s="959"/>
      <c r="E136" s="959" t="s">
        <v>30</v>
      </c>
      <c r="F136" s="1317">
        <f>F135*1.09^(K80-20)</f>
        <v>5.5205290764004489E-2</v>
      </c>
      <c r="G136" s="1317"/>
      <c r="H136" s="1257" t="s">
        <v>486</v>
      </c>
      <c r="I136" s="1257"/>
      <c r="J136" s="959"/>
      <c r="K136" s="959"/>
      <c r="L136" s="959"/>
      <c r="M136" s="959"/>
      <c r="N136" s="959"/>
      <c r="O136" s="959"/>
      <c r="P136" s="959"/>
      <c r="Q136" s="884"/>
      <c r="R136" s="966"/>
      <c r="S136" s="966"/>
      <c r="T136" s="966"/>
      <c r="U136" s="966"/>
      <c r="V136" s="1269"/>
      <c r="W136" s="1269"/>
      <c r="X136" s="1265"/>
      <c r="Y136" s="1265"/>
      <c r="Z136" s="966"/>
      <c r="AA136" s="966"/>
      <c r="AB136" s="966"/>
      <c r="AC136" s="966"/>
      <c r="AD136" s="966"/>
      <c r="AE136" s="966"/>
      <c r="AF136" s="966"/>
      <c r="AG136" s="964"/>
    </row>
    <row r="137" spans="1:33" s="112" customFormat="1" ht="21" customHeight="1">
      <c r="A137" s="1021" t="s">
        <v>393</v>
      </c>
      <c r="B137" s="959" t="s">
        <v>394</v>
      </c>
      <c r="C137" s="959" t="s">
        <v>30</v>
      </c>
      <c r="D137" s="959" t="s">
        <v>395</v>
      </c>
      <c r="E137" s="959" t="s">
        <v>343</v>
      </c>
      <c r="F137" s="959" t="s">
        <v>392</v>
      </c>
      <c r="G137" s="959" t="s">
        <v>494</v>
      </c>
      <c r="H137" s="959" t="s">
        <v>51</v>
      </c>
      <c r="I137" s="959" t="s">
        <v>396</v>
      </c>
      <c r="J137" s="959" t="s">
        <v>143</v>
      </c>
      <c r="K137" s="959"/>
      <c r="L137" s="959"/>
      <c r="M137" s="959"/>
      <c r="N137" s="959"/>
      <c r="O137" s="959"/>
      <c r="P137" s="959"/>
      <c r="Q137" s="884"/>
      <c r="R137" s="966"/>
      <c r="S137" s="966"/>
      <c r="T137" s="966"/>
      <c r="U137" s="966"/>
      <c r="V137" s="966"/>
      <c r="W137" s="966"/>
      <c r="X137" s="966"/>
      <c r="Y137" s="966"/>
      <c r="Z137" s="966"/>
      <c r="AA137" s="966"/>
      <c r="AB137" s="966"/>
      <c r="AC137" s="966"/>
      <c r="AD137" s="966"/>
      <c r="AE137" s="966"/>
      <c r="AF137" s="966"/>
      <c r="AG137" s="964"/>
    </row>
    <row r="138" spans="1:33" s="112" customFormat="1" ht="21" customHeight="1">
      <c r="A138" s="1020"/>
      <c r="B138" s="992"/>
      <c r="C138" s="1321" t="s">
        <v>375</v>
      </c>
      <c r="D138" s="1321"/>
      <c r="E138" s="1321" t="s">
        <v>395</v>
      </c>
      <c r="F138" s="1321"/>
      <c r="G138" s="992" t="s">
        <v>30</v>
      </c>
      <c r="H138" s="1028" t="s">
        <v>397</v>
      </c>
      <c r="I138" s="1028"/>
      <c r="J138" s="1028"/>
      <c r="K138" s="1028"/>
      <c r="L138" s="1028"/>
      <c r="M138" s="1028"/>
      <c r="N138" s="1028"/>
      <c r="O138" s="1028"/>
      <c r="P138" s="992"/>
      <c r="Q138" s="882"/>
      <c r="R138" s="966"/>
      <c r="S138" s="1269"/>
      <c r="T138" s="1269"/>
      <c r="U138" s="1269"/>
      <c r="V138" s="1269"/>
      <c r="W138" s="966"/>
      <c r="X138" s="965"/>
      <c r="Y138" s="965"/>
      <c r="Z138" s="965"/>
      <c r="AA138" s="965"/>
      <c r="AB138" s="965"/>
      <c r="AC138" s="965"/>
      <c r="AD138" s="965"/>
      <c r="AE138" s="965"/>
      <c r="AF138" s="966"/>
      <c r="AG138" s="964"/>
    </row>
    <row r="139" spans="1:33" s="112" customFormat="1" ht="21" customHeight="1">
      <c r="A139" s="956"/>
      <c r="B139" s="995"/>
      <c r="C139" s="995"/>
      <c r="D139" s="995"/>
      <c r="E139" s="1319" t="s">
        <v>396</v>
      </c>
      <c r="F139" s="1319"/>
      <c r="G139" s="995" t="s">
        <v>30</v>
      </c>
      <c r="H139" s="1319" t="s">
        <v>398</v>
      </c>
      <c r="I139" s="1319"/>
      <c r="J139" s="996" t="s">
        <v>399</v>
      </c>
      <c r="K139" s="995"/>
      <c r="L139" s="995"/>
      <c r="M139" s="995"/>
      <c r="N139" s="995"/>
      <c r="O139" s="995"/>
      <c r="P139" s="995"/>
      <c r="Q139" s="883"/>
      <c r="R139" s="966"/>
      <c r="S139" s="966"/>
      <c r="T139" s="966"/>
      <c r="U139" s="966"/>
      <c r="V139" s="966"/>
      <c r="W139" s="966"/>
      <c r="X139" s="1269"/>
      <c r="Y139" s="1269"/>
      <c r="Z139" s="965"/>
      <c r="AA139" s="966"/>
      <c r="AB139" s="966"/>
      <c r="AC139" s="966"/>
      <c r="AD139" s="966"/>
      <c r="AE139" s="966"/>
      <c r="AF139" s="966"/>
      <c r="AG139" s="964"/>
    </row>
    <row r="140" spans="1:33" s="112" customFormat="1" ht="21" customHeight="1">
      <c r="A140" s="859"/>
      <c r="B140" s="959"/>
      <c r="C140" s="959" t="s">
        <v>30</v>
      </c>
      <c r="D140" s="359">
        <f>F129</f>
        <v>19.510399999999997</v>
      </c>
      <c r="E140" s="959" t="s">
        <v>327</v>
      </c>
      <c r="F140" s="1038">
        <f>F135</f>
        <v>0.11</v>
      </c>
      <c r="G140" s="959" t="s">
        <v>51</v>
      </c>
      <c r="H140" s="1318" t="s">
        <v>555</v>
      </c>
      <c r="I140" s="1318"/>
      <c r="J140" s="962" t="s">
        <v>400</v>
      </c>
      <c r="K140" s="1278">
        <f>'설계기준(설계치12)'!K15</f>
        <v>2400</v>
      </c>
      <c r="L140" s="1260"/>
      <c r="M140" s="959" t="s">
        <v>143</v>
      </c>
      <c r="N140" s="959" t="s">
        <v>41</v>
      </c>
      <c r="O140" s="959">
        <v>24</v>
      </c>
      <c r="P140" s="959" t="s">
        <v>188</v>
      </c>
      <c r="Q140" s="884"/>
      <c r="R140" s="966"/>
      <c r="S140" s="966"/>
      <c r="T140" s="982"/>
      <c r="U140" s="1349"/>
      <c r="V140" s="1350"/>
      <c r="W140" s="339"/>
      <c r="X140" s="966"/>
      <c r="Y140" s="966"/>
      <c r="Z140" s="345"/>
      <c r="AA140" s="966"/>
      <c r="AB140" s="1005"/>
      <c r="AC140" s="966"/>
      <c r="AD140" s="966"/>
      <c r="AE140" s="966"/>
      <c r="AF140" s="966"/>
      <c r="AG140" s="964"/>
    </row>
    <row r="141" spans="1:33" s="112" customFormat="1" ht="21" customHeight="1">
      <c r="A141" s="859"/>
      <c r="B141" s="959"/>
      <c r="C141" s="959" t="s">
        <v>30</v>
      </c>
      <c r="D141" s="967">
        <f>(D140)/(F140*1.09^(K80-20)*K140)*O140</f>
        <v>3.5341540149483937</v>
      </c>
      <c r="E141" s="959" t="s">
        <v>188</v>
      </c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884"/>
      <c r="R141" s="966">
        <f>+I143/L148</f>
        <v>0.75130825147712443</v>
      </c>
      <c r="S141" s="966"/>
      <c r="T141" s="966"/>
      <c r="U141" s="966"/>
      <c r="V141" s="966"/>
      <c r="W141" s="966"/>
      <c r="X141" s="965"/>
      <c r="Y141" s="1297"/>
      <c r="Z141" s="1269"/>
      <c r="AA141" s="983"/>
      <c r="AB141" s="966"/>
      <c r="AC141" s="966"/>
      <c r="AD141" s="966"/>
      <c r="AE141" s="1307"/>
      <c r="AF141" s="1307"/>
      <c r="AG141" s="964"/>
    </row>
    <row r="142" spans="1:33" s="112" customFormat="1" ht="21" customHeight="1">
      <c r="A142" s="860" t="s">
        <v>401</v>
      </c>
      <c r="B142" s="959"/>
      <c r="C142" s="959"/>
      <c r="D142" s="959"/>
      <c r="E142" s="959"/>
      <c r="F142" s="959"/>
      <c r="G142" s="959"/>
      <c r="H142" s="959"/>
      <c r="I142" s="959"/>
      <c r="J142" s="959"/>
      <c r="K142" s="959"/>
      <c r="L142" s="959"/>
      <c r="M142" s="959"/>
      <c r="N142" s="959"/>
      <c r="O142" s="959"/>
      <c r="P142" s="959"/>
      <c r="Q142" s="884"/>
      <c r="R142" s="966"/>
      <c r="S142" s="966"/>
      <c r="T142" s="966"/>
      <c r="U142" s="966"/>
      <c r="V142" s="966"/>
      <c r="W142" s="966"/>
      <c r="X142" s="966"/>
      <c r="Y142" s="966"/>
      <c r="Z142" s="966"/>
      <c r="AA142" s="966"/>
      <c r="AB142" s="966"/>
      <c r="AC142" s="966"/>
      <c r="AD142" s="966"/>
      <c r="AE142" s="966"/>
      <c r="AF142" s="966"/>
      <c r="AG142" s="964"/>
    </row>
    <row r="143" spans="1:33" s="112" customFormat="1" ht="21" customHeight="1">
      <c r="A143" s="1021" t="s">
        <v>117</v>
      </c>
      <c r="B143" s="959"/>
      <c r="C143" s="1333">
        <f>+'설계기준(유입수질농도증가12)'!H4</f>
        <v>64.583333333333329</v>
      </c>
      <c r="D143" s="1333"/>
      <c r="E143" s="959" t="s">
        <v>51</v>
      </c>
      <c r="F143" s="514">
        <f>D141</f>
        <v>3.5341540149483937</v>
      </c>
      <c r="G143" s="959" t="s">
        <v>188</v>
      </c>
      <c r="H143" s="959" t="s">
        <v>30</v>
      </c>
      <c r="I143" s="1291">
        <f>C143*F143</f>
        <v>228.24744679875042</v>
      </c>
      <c r="J143" s="1291"/>
      <c r="K143" s="959" t="s">
        <v>302</v>
      </c>
      <c r="L143" s="959"/>
      <c r="M143" s="1001"/>
      <c r="N143" s="959"/>
      <c r="O143" s="963"/>
      <c r="P143" s="963"/>
      <c r="Q143" s="884"/>
      <c r="R143" s="1696">
        <f>IF(+L148/I143&gt;1,1,+L148/I143)</f>
        <v>1</v>
      </c>
      <c r="S143" s="1305">
        <f>+R143*R181</f>
        <v>1</v>
      </c>
      <c r="T143" s="1305"/>
      <c r="U143" s="1305"/>
      <c r="V143" s="1005">
        <v>59</v>
      </c>
      <c r="W143" s="1039"/>
      <c r="X143" s="321"/>
      <c r="Y143" s="1005"/>
      <c r="Z143" s="1040"/>
      <c r="AA143" s="321"/>
      <c r="AB143" s="1005"/>
      <c r="AC143" s="945"/>
      <c r="AD143" s="1005"/>
      <c r="AE143" s="321"/>
      <c r="AF143" s="321"/>
      <c r="AG143" s="964"/>
    </row>
    <row r="144" spans="1:33" s="112" customFormat="1" ht="21" customHeight="1">
      <c r="A144" s="860" t="s">
        <v>402</v>
      </c>
      <c r="B144" s="959"/>
      <c r="C144" s="959"/>
      <c r="D144" s="959"/>
      <c r="E144" s="959"/>
      <c r="F144" s="959"/>
      <c r="G144" s="959"/>
      <c r="H144" s="959"/>
      <c r="I144" s="959"/>
      <c r="J144" s="959"/>
      <c r="K144" s="959"/>
      <c r="L144" s="959"/>
      <c r="M144" s="959"/>
      <c r="N144" s="959"/>
      <c r="O144" s="959"/>
      <c r="P144" s="959"/>
      <c r="Q144" s="884"/>
      <c r="R144" s="966"/>
      <c r="S144" s="1305">
        <v>0.8</v>
      </c>
      <c r="T144" s="1305"/>
      <c r="U144" s="1305"/>
      <c r="V144" s="966">
        <v>31</v>
      </c>
      <c r="W144" s="966"/>
      <c r="X144" s="966"/>
      <c r="Y144" s="966"/>
      <c r="Z144" s="966"/>
      <c r="AA144" s="966"/>
      <c r="AB144" s="966"/>
      <c r="AC144" s="966"/>
      <c r="AD144" s="966"/>
      <c r="AE144" s="966"/>
      <c r="AF144" s="966"/>
      <c r="AG144" s="964"/>
    </row>
    <row r="145" spans="1:67" s="112" customFormat="1" ht="21" customHeight="1">
      <c r="A145" s="1021" t="s">
        <v>304</v>
      </c>
      <c r="B145" s="973"/>
      <c r="C145" s="1260" t="s">
        <v>121</v>
      </c>
      <c r="D145" s="1260"/>
      <c r="E145" s="1260"/>
      <c r="F145" s="1260"/>
      <c r="G145" s="1260"/>
      <c r="H145" s="1260"/>
      <c r="I145" s="1260"/>
      <c r="J145" s="1260"/>
      <c r="K145" s="1260"/>
      <c r="L145" s="1260"/>
      <c r="M145" s="1260"/>
      <c r="N145" s="1260"/>
      <c r="O145" s="959"/>
      <c r="P145" s="963"/>
      <c r="Q145" s="884"/>
      <c r="R145" s="980"/>
      <c r="S145" s="1305">
        <f>+S143*S144</f>
        <v>0.8</v>
      </c>
      <c r="T145" s="1305"/>
      <c r="U145" s="1305"/>
      <c r="V145" s="1041">
        <f>1-V144/V143</f>
        <v>0.47457627118644063</v>
      </c>
      <c r="W145" s="980"/>
      <c r="X145" s="980">
        <f>V143-+V143*S145</f>
        <v>11.799999999999997</v>
      </c>
      <c r="Y145" s="980"/>
      <c r="Z145" s="980"/>
      <c r="AA145" s="980"/>
      <c r="AB145" s="980"/>
      <c r="AC145" s="980"/>
      <c r="AD145" s="980"/>
      <c r="AE145" s="980"/>
      <c r="AF145" s="980"/>
      <c r="AG145" s="964"/>
    </row>
    <row r="146" spans="1:67" s="112" customFormat="1" ht="21" customHeight="1">
      <c r="A146" s="1021" t="s">
        <v>306</v>
      </c>
      <c r="B146" s="959" t="s">
        <v>307</v>
      </c>
      <c r="C146" s="309">
        <v>7</v>
      </c>
      <c r="D146" s="959" t="s">
        <v>308</v>
      </c>
      <c r="E146" s="959" t="s">
        <v>51</v>
      </c>
      <c r="F146" s="959" t="s">
        <v>108</v>
      </c>
      <c r="G146" s="309">
        <v>3.5</v>
      </c>
      <c r="H146" s="959" t="s">
        <v>308</v>
      </c>
      <c r="I146" s="959" t="s">
        <v>51</v>
      </c>
      <c r="J146" s="1260" t="s">
        <v>123</v>
      </c>
      <c r="K146" s="1260"/>
      <c r="L146" s="959" t="s">
        <v>311</v>
      </c>
      <c r="M146" s="309">
        <v>6.2</v>
      </c>
      <c r="N146" s="959" t="s">
        <v>308</v>
      </c>
      <c r="O146" s="959"/>
      <c r="P146" s="959"/>
      <c r="Q146" s="884"/>
      <c r="R146" s="982"/>
      <c r="S146" s="981"/>
      <c r="T146" s="965"/>
      <c r="U146" s="966"/>
      <c r="V146" s="982"/>
      <c r="W146" s="981"/>
      <c r="X146" s="965"/>
      <c r="Y146" s="966"/>
      <c r="Z146" s="1269"/>
      <c r="AA146" s="1269"/>
      <c r="AB146" s="982"/>
      <c r="AC146" s="966"/>
      <c r="AD146" s="965"/>
      <c r="AE146" s="966"/>
      <c r="AF146" s="966"/>
      <c r="AG146" s="964"/>
    </row>
    <row r="147" spans="1:67" s="112" customFormat="1" ht="21" customHeight="1">
      <c r="A147" s="1021" t="s">
        <v>131</v>
      </c>
      <c r="B147" s="963"/>
      <c r="C147" s="963"/>
      <c r="D147" s="963"/>
      <c r="E147" s="963"/>
      <c r="F147" s="963"/>
      <c r="G147" s="963"/>
      <c r="H147" s="959">
        <v>2</v>
      </c>
      <c r="I147" s="963" t="s">
        <v>313</v>
      </c>
      <c r="J147" s="963"/>
      <c r="K147" s="963"/>
      <c r="L147" s="963"/>
      <c r="M147" s="963"/>
      <c r="N147" s="963"/>
      <c r="O147" s="959"/>
      <c r="P147" s="959"/>
      <c r="Q147" s="884"/>
      <c r="R147" s="980"/>
      <c r="S147" s="980"/>
      <c r="T147" s="980"/>
      <c r="U147" s="980"/>
      <c r="V147" s="980"/>
      <c r="W147" s="980"/>
      <c r="X147" s="966"/>
      <c r="Y147" s="980"/>
      <c r="Z147" s="980"/>
      <c r="AA147" s="980"/>
      <c r="AB147" s="980"/>
      <c r="AC147" s="980"/>
      <c r="AD147" s="980"/>
      <c r="AE147" s="966"/>
      <c r="AF147" s="966"/>
      <c r="AG147" s="964"/>
    </row>
    <row r="148" spans="1:67" s="112" customFormat="1" ht="21" customHeight="1">
      <c r="A148" s="1021" t="s">
        <v>314</v>
      </c>
      <c r="B148" s="959" t="s">
        <v>127</v>
      </c>
      <c r="C148" s="959" t="s">
        <v>30</v>
      </c>
      <c r="D148" s="1272">
        <f>C146*G146*M146</f>
        <v>151.9</v>
      </c>
      <c r="E148" s="1272"/>
      <c r="F148" s="1260" t="s">
        <v>316</v>
      </c>
      <c r="G148" s="1260"/>
      <c r="H148" s="959" t="s">
        <v>51</v>
      </c>
      <c r="I148" s="959">
        <f>H147</f>
        <v>2</v>
      </c>
      <c r="J148" s="959" t="str">
        <f>I147</f>
        <v>계열</v>
      </c>
      <c r="K148" s="959" t="s">
        <v>30</v>
      </c>
      <c r="L148" s="1291">
        <f>D148*I148</f>
        <v>303.8</v>
      </c>
      <c r="M148" s="1291"/>
      <c r="N148" s="963"/>
      <c r="O148" s="959"/>
      <c r="P148" s="959"/>
      <c r="Q148" s="884"/>
      <c r="R148" s="966"/>
      <c r="S148" s="966"/>
      <c r="T148" s="1269"/>
      <c r="U148" s="1269"/>
      <c r="V148" s="1269"/>
      <c r="W148" s="1269"/>
      <c r="X148" s="980"/>
      <c r="Y148" s="966"/>
      <c r="Z148" s="980"/>
      <c r="AA148" s="980"/>
      <c r="AB148" s="1269"/>
      <c r="AC148" s="1269"/>
      <c r="AD148" s="980"/>
      <c r="AE148" s="966"/>
      <c r="AF148" s="966"/>
      <c r="AG148" s="964"/>
    </row>
    <row r="149" spans="1:67" s="112" customFormat="1" ht="21" customHeight="1">
      <c r="A149" s="860" t="s">
        <v>403</v>
      </c>
      <c r="B149" s="959"/>
      <c r="C149" s="959"/>
      <c r="D149" s="959"/>
      <c r="E149" s="959"/>
      <c r="F149" s="959"/>
      <c r="G149" s="959"/>
      <c r="H149" s="959"/>
      <c r="I149" s="959"/>
      <c r="J149" s="959"/>
      <c r="K149" s="959"/>
      <c r="L149" s="959"/>
      <c r="M149" s="959"/>
      <c r="N149" s="959"/>
      <c r="O149" s="959"/>
      <c r="P149" s="959"/>
      <c r="Q149" s="878"/>
      <c r="R149" s="966"/>
      <c r="S149" s="966"/>
      <c r="T149" s="966"/>
      <c r="U149" s="966"/>
      <c r="V149" s="966"/>
      <c r="W149" s="966"/>
      <c r="X149" s="966"/>
      <c r="Y149" s="966"/>
      <c r="Z149" s="966"/>
      <c r="AA149" s="966"/>
      <c r="AB149" s="966"/>
      <c r="AC149" s="966"/>
      <c r="AD149" s="966"/>
      <c r="AE149" s="966"/>
      <c r="AF149" s="966"/>
      <c r="AG149" s="964"/>
    </row>
    <row r="150" spans="1:67" s="100" customFormat="1" ht="21" customHeight="1">
      <c r="A150" s="1021" t="s">
        <v>404</v>
      </c>
      <c r="B150" s="1291">
        <f>L148</f>
        <v>303.8</v>
      </c>
      <c r="C150" s="1291"/>
      <c r="D150" s="959" t="s">
        <v>405</v>
      </c>
      <c r="E150" s="1327">
        <f>+'설계기준(유입수질농도증가12)'!C4</f>
        <v>1550</v>
      </c>
      <c r="F150" s="1327"/>
      <c r="G150" s="1328"/>
      <c r="H150" s="959" t="s">
        <v>41</v>
      </c>
      <c r="I150" s="1304">
        <v>24</v>
      </c>
      <c r="J150" s="1304"/>
      <c r="K150" s="362" t="s">
        <v>30</v>
      </c>
      <c r="L150" s="1332">
        <f>B150/E150*I150</f>
        <v>4.7040000000000006</v>
      </c>
      <c r="M150" s="1332"/>
      <c r="N150" s="963"/>
      <c r="O150" s="963"/>
      <c r="P150" s="963"/>
      <c r="Q150" s="878"/>
      <c r="R150" s="1269"/>
      <c r="S150" s="1269"/>
      <c r="T150" s="966"/>
      <c r="U150" s="1306"/>
      <c r="V150" s="1295"/>
      <c r="W150" s="1295"/>
      <c r="X150" s="966"/>
      <c r="Y150" s="1348"/>
      <c r="Z150" s="1295"/>
      <c r="AA150" s="364"/>
      <c r="AB150" s="1307"/>
      <c r="AC150" s="1269"/>
      <c r="AD150" s="980"/>
      <c r="AE150" s="980"/>
      <c r="AF150" s="980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101" customFormat="1" ht="21" customHeight="1">
      <c r="A151" s="738" t="s">
        <v>577</v>
      </c>
      <c r="B151" s="322"/>
      <c r="C151" s="963"/>
      <c r="D151" s="963"/>
      <c r="E151" s="963"/>
      <c r="F151" s="963"/>
      <c r="G151" s="963"/>
      <c r="H151" s="963"/>
      <c r="I151" s="963"/>
      <c r="J151" s="963"/>
      <c r="K151" s="963"/>
      <c r="L151" s="963"/>
      <c r="M151" s="963"/>
      <c r="N151" s="963"/>
      <c r="O151" s="963"/>
      <c r="P151" s="963"/>
      <c r="Q151" s="878"/>
      <c r="R151" s="980"/>
      <c r="S151" s="980"/>
      <c r="T151" s="980"/>
      <c r="U151" s="980"/>
      <c r="V151" s="980"/>
      <c r="W151" s="980"/>
      <c r="X151" s="980"/>
      <c r="Y151" s="980"/>
      <c r="Z151" s="980"/>
      <c r="AA151" s="980"/>
      <c r="AB151" s="980"/>
      <c r="AC151" s="980"/>
      <c r="AD151" s="980"/>
      <c r="AE151" s="980"/>
      <c r="AF151" s="980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1:67" s="100" customFormat="1" ht="21" customHeight="1">
      <c r="A152" s="739" t="s">
        <v>406</v>
      </c>
      <c r="B152" s="978" t="s">
        <v>578</v>
      </c>
      <c r="C152" s="962"/>
      <c r="D152" s="962"/>
      <c r="E152" s="962"/>
      <c r="F152" s="962"/>
      <c r="G152" s="962"/>
      <c r="H152" s="962"/>
      <c r="I152" s="962"/>
      <c r="J152" s="962"/>
      <c r="K152" s="962"/>
      <c r="L152" s="962"/>
      <c r="M152" s="962"/>
      <c r="N152" s="962"/>
      <c r="O152" s="962"/>
      <c r="P152" s="962"/>
      <c r="Q152" s="878"/>
      <c r="R152" s="965"/>
      <c r="S152" s="965"/>
      <c r="T152" s="965"/>
      <c r="U152" s="965"/>
      <c r="V152" s="965"/>
      <c r="W152" s="965"/>
      <c r="X152" s="965"/>
      <c r="Y152" s="965"/>
      <c r="Z152" s="965"/>
      <c r="AA152" s="965"/>
      <c r="AB152" s="965"/>
      <c r="AC152" s="965"/>
      <c r="AD152" s="965"/>
      <c r="AE152" s="965"/>
      <c r="AF152" s="965"/>
      <c r="AG152" s="45"/>
    </row>
    <row r="153" spans="1:67" s="100" customFormat="1" ht="21" customHeight="1">
      <c r="A153" s="739"/>
      <c r="B153" s="978" t="s">
        <v>579</v>
      </c>
      <c r="C153" s="962"/>
      <c r="D153" s="962"/>
      <c r="E153" s="962"/>
      <c r="F153" s="962"/>
      <c r="G153" s="962"/>
      <c r="H153" s="962"/>
      <c r="I153" s="962"/>
      <c r="J153" s="962"/>
      <c r="K153" s="962"/>
      <c r="L153" s="962"/>
      <c r="M153" s="962"/>
      <c r="N153" s="962"/>
      <c r="O153" s="962"/>
      <c r="P153" s="962"/>
      <c r="Q153" s="878"/>
      <c r="R153" s="965"/>
      <c r="S153" s="965"/>
      <c r="T153" s="965"/>
      <c r="U153" s="965"/>
      <c r="V153" s="965"/>
      <c r="W153" s="965"/>
      <c r="X153" s="965"/>
      <c r="Y153" s="965"/>
      <c r="Z153" s="965"/>
      <c r="AA153" s="965"/>
      <c r="AB153" s="965"/>
      <c r="AC153" s="965"/>
      <c r="AD153" s="965"/>
      <c r="AE153" s="965"/>
      <c r="AF153" s="965"/>
      <c r="AG153" s="45"/>
    </row>
    <row r="154" spans="1:67" s="100" customFormat="1" ht="21" customHeight="1">
      <c r="A154" s="739" t="s">
        <v>407</v>
      </c>
      <c r="B154" s="963"/>
      <c r="C154" s="963"/>
      <c r="D154" s="963"/>
      <c r="E154" s="963"/>
      <c r="F154" s="963"/>
      <c r="G154" s="963"/>
      <c r="H154" s="963"/>
      <c r="I154" s="963"/>
      <c r="J154" s="963"/>
      <c r="K154" s="963"/>
      <c r="L154" s="963"/>
      <c r="M154" s="963"/>
      <c r="N154" s="963"/>
      <c r="O154" s="963"/>
      <c r="P154" s="963"/>
      <c r="Q154" s="878"/>
      <c r="R154" s="980"/>
      <c r="S154" s="980"/>
      <c r="T154" s="980"/>
      <c r="U154" s="980"/>
      <c r="V154" s="980"/>
      <c r="W154" s="980"/>
      <c r="X154" s="980"/>
      <c r="Y154" s="980"/>
      <c r="Z154" s="980"/>
      <c r="AA154" s="980"/>
      <c r="AB154" s="980"/>
      <c r="AC154" s="980"/>
      <c r="AD154" s="980"/>
      <c r="AE154" s="980"/>
      <c r="AF154" s="980"/>
      <c r="AG154" s="45"/>
    </row>
    <row r="155" spans="1:67" s="100" customFormat="1" ht="21" customHeight="1">
      <c r="A155" s="857" t="s">
        <v>408</v>
      </c>
      <c r="B155" s="963"/>
      <c r="C155" s="959" t="s">
        <v>500</v>
      </c>
      <c r="D155" s="362" t="s">
        <v>30</v>
      </c>
      <c r="E155" s="959" t="s">
        <v>409</v>
      </c>
      <c r="F155" s="959" t="s">
        <v>41</v>
      </c>
      <c r="G155" s="959" t="s">
        <v>410</v>
      </c>
      <c r="H155" s="959" t="s">
        <v>330</v>
      </c>
      <c r="I155" s="959" t="s">
        <v>501</v>
      </c>
      <c r="J155" s="963"/>
      <c r="K155" s="963"/>
      <c r="L155" s="963"/>
      <c r="M155" s="963"/>
      <c r="N155" s="963"/>
      <c r="O155" s="963"/>
      <c r="P155" s="963"/>
      <c r="Q155" s="878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45"/>
    </row>
    <row r="156" spans="1:67" s="100" customFormat="1" ht="21" customHeight="1">
      <c r="A156" s="859" t="s">
        <v>411</v>
      </c>
      <c r="B156" s="963"/>
      <c r="C156" s="959" t="s">
        <v>410</v>
      </c>
      <c r="D156" s="362" t="s">
        <v>30</v>
      </c>
      <c r="E156" s="959" t="s">
        <v>412</v>
      </c>
      <c r="F156" s="959" t="s">
        <v>41</v>
      </c>
      <c r="G156" s="963" t="s">
        <v>556</v>
      </c>
      <c r="H156" s="959" t="s">
        <v>524</v>
      </c>
      <c r="I156" s="959" t="s">
        <v>557</v>
      </c>
      <c r="J156" s="963"/>
      <c r="K156" s="963"/>
      <c r="L156" s="963"/>
      <c r="M156" s="963"/>
      <c r="N156" s="963"/>
      <c r="O156" s="963"/>
      <c r="P156" s="963"/>
      <c r="Q156" s="878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45"/>
    </row>
    <row r="157" spans="1:67" s="100" customFormat="1" ht="21" customHeight="1">
      <c r="A157" s="859" t="s">
        <v>145</v>
      </c>
      <c r="B157" s="963"/>
      <c r="C157" s="963" t="s">
        <v>367</v>
      </c>
      <c r="D157" s="963"/>
      <c r="E157" s="963" t="s">
        <v>502</v>
      </c>
      <c r="F157" s="963"/>
      <c r="G157" s="963"/>
      <c r="H157" s="963"/>
      <c r="I157" s="963"/>
      <c r="J157" s="963"/>
      <c r="K157" s="731">
        <v>0.44</v>
      </c>
      <c r="L157" s="963" t="s">
        <v>413</v>
      </c>
      <c r="M157" s="963"/>
      <c r="N157" s="963"/>
      <c r="O157" s="963"/>
      <c r="P157" s="963"/>
      <c r="Q157" s="878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1"/>
      <c r="AB157" s="321"/>
      <c r="AC157" s="321"/>
      <c r="AD157" s="321"/>
      <c r="AE157" s="321"/>
      <c r="AF157" s="321"/>
      <c r="AG157" s="45"/>
    </row>
    <row r="158" spans="1:67" s="100" customFormat="1" ht="21" customHeight="1">
      <c r="A158" s="859"/>
      <c r="B158" s="963"/>
      <c r="C158" s="963"/>
      <c r="D158" s="963"/>
      <c r="E158" s="963" t="s">
        <v>503</v>
      </c>
      <c r="F158" s="963"/>
      <c r="G158" s="963"/>
      <c r="H158" s="963"/>
      <c r="I158" s="963"/>
      <c r="J158" s="963"/>
      <c r="K158" s="963"/>
      <c r="L158" s="963"/>
      <c r="M158" s="963"/>
      <c r="N158" s="963"/>
      <c r="O158" s="963"/>
      <c r="P158" s="963"/>
      <c r="Q158" s="878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45"/>
    </row>
    <row r="159" spans="1:67" s="100" customFormat="1" ht="21" customHeight="1">
      <c r="A159" s="859"/>
      <c r="B159" s="963"/>
      <c r="C159" s="963"/>
      <c r="D159" s="963"/>
      <c r="E159" s="963" t="s">
        <v>504</v>
      </c>
      <c r="F159" s="963"/>
      <c r="G159" s="963"/>
      <c r="H159" s="963"/>
      <c r="I159" s="963"/>
      <c r="J159" s="963"/>
      <c r="K159" s="963"/>
      <c r="L159" s="963"/>
      <c r="M159" s="963"/>
      <c r="N159" s="963"/>
      <c r="O159" s="963"/>
      <c r="P159" s="963"/>
      <c r="Q159" s="878"/>
      <c r="R159" s="321"/>
      <c r="S159" s="321"/>
      <c r="T159" s="321"/>
      <c r="U159" s="321"/>
      <c r="V159" s="321"/>
      <c r="W159" s="321"/>
      <c r="X159" s="321"/>
      <c r="Y159" s="321"/>
      <c r="Z159" s="321"/>
      <c r="AA159" s="321"/>
      <c r="AB159" s="321"/>
      <c r="AC159" s="321"/>
      <c r="AD159" s="321"/>
      <c r="AE159" s="321"/>
      <c r="AF159" s="321"/>
      <c r="AG159" s="45"/>
    </row>
    <row r="160" spans="1:67" s="100" customFormat="1" ht="21" customHeight="1">
      <c r="A160" s="859"/>
      <c r="B160" s="963"/>
      <c r="C160" s="959" t="s">
        <v>410</v>
      </c>
      <c r="D160" s="362" t="s">
        <v>30</v>
      </c>
      <c r="E160" s="959">
        <v>1</v>
      </c>
      <c r="F160" s="959" t="s">
        <v>343</v>
      </c>
      <c r="G160" s="959">
        <f>K157</f>
        <v>0.44</v>
      </c>
      <c r="H160" s="959" t="s">
        <v>141</v>
      </c>
      <c r="I160" s="959">
        <v>1</v>
      </c>
      <c r="J160" s="959" t="s">
        <v>343</v>
      </c>
      <c r="K160" s="967">
        <f>K90</f>
        <v>10</v>
      </c>
      <c r="L160" s="362" t="s">
        <v>328</v>
      </c>
      <c r="M160" s="941">
        <v>0.04</v>
      </c>
      <c r="N160" s="959" t="s">
        <v>143</v>
      </c>
      <c r="O160" s="959"/>
      <c r="P160" s="959"/>
      <c r="Q160" s="878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45"/>
    </row>
    <row r="161" spans="1:33" s="100" customFormat="1" ht="21" customHeight="1">
      <c r="A161" s="859"/>
      <c r="B161" s="963"/>
      <c r="C161" s="959"/>
      <c r="D161" s="362" t="s">
        <v>30</v>
      </c>
      <c r="E161" s="834">
        <f>(E160/G160)*(I160/K160+M160)</f>
        <v>0.31818181818181823</v>
      </c>
      <c r="F161" s="959" t="s">
        <v>486</v>
      </c>
      <c r="G161" s="959"/>
      <c r="H161" s="959"/>
      <c r="I161" s="959"/>
      <c r="J161" s="959"/>
      <c r="K161" s="959"/>
      <c r="L161" s="959"/>
      <c r="M161" s="959"/>
      <c r="N161" s="959"/>
      <c r="O161" s="959"/>
      <c r="P161" s="959"/>
      <c r="Q161" s="878"/>
      <c r="R161" s="321"/>
      <c r="S161" s="321"/>
      <c r="T161" s="321"/>
      <c r="U161" s="321"/>
      <c r="V161" s="321"/>
      <c r="W161" s="321"/>
      <c r="X161" s="321"/>
      <c r="Y161" s="321"/>
      <c r="Z161" s="321"/>
      <c r="AA161" s="321"/>
      <c r="AB161" s="321"/>
      <c r="AC161" s="321"/>
      <c r="AD161" s="321"/>
      <c r="AE161" s="321"/>
      <c r="AF161" s="321"/>
      <c r="AG161" s="45"/>
    </row>
    <row r="162" spans="1:33" s="100" customFormat="1" ht="21" customHeight="1">
      <c r="A162" s="1021" t="s">
        <v>414</v>
      </c>
      <c r="B162" s="963"/>
      <c r="C162" s="959" t="s">
        <v>410</v>
      </c>
      <c r="D162" s="362" t="s">
        <v>30</v>
      </c>
      <c r="E162" s="959" t="s">
        <v>558</v>
      </c>
      <c r="F162" s="362" t="s">
        <v>330</v>
      </c>
      <c r="G162" s="967" t="s">
        <v>561</v>
      </c>
      <c r="H162" s="967" t="s">
        <v>142</v>
      </c>
      <c r="I162" s="959" t="s">
        <v>559</v>
      </c>
      <c r="J162" s="959" t="s">
        <v>524</v>
      </c>
      <c r="K162" s="959" t="s">
        <v>560</v>
      </c>
      <c r="L162" s="963"/>
      <c r="M162" s="963"/>
      <c r="N162" s="963"/>
      <c r="O162" s="963"/>
      <c r="P162" s="963"/>
      <c r="Q162" s="878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45"/>
    </row>
    <row r="163" spans="1:33" s="100" customFormat="1" ht="21" customHeight="1">
      <c r="A163" s="859" t="s">
        <v>415</v>
      </c>
      <c r="B163" s="963"/>
      <c r="C163" s="963" t="s">
        <v>367</v>
      </c>
      <c r="D163" s="498"/>
      <c r="E163" s="963" t="s">
        <v>505</v>
      </c>
      <c r="F163" s="963"/>
      <c r="G163" s="413"/>
      <c r="H163" s="963"/>
      <c r="I163" s="963"/>
      <c r="J163" s="963"/>
      <c r="K163" s="963"/>
      <c r="L163" s="963"/>
      <c r="M163" s="963"/>
      <c r="N163" s="963"/>
      <c r="O163" s="963"/>
      <c r="P163" s="963"/>
      <c r="Q163" s="878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 s="45"/>
    </row>
    <row r="164" spans="1:33" s="100" customFormat="1" ht="21" customHeight="1">
      <c r="A164" s="861" t="s">
        <v>416</v>
      </c>
      <c r="B164" s="963"/>
      <c r="C164" s="963"/>
      <c r="D164" s="498"/>
      <c r="E164" s="963" t="s">
        <v>417</v>
      </c>
      <c r="F164" s="963"/>
      <c r="G164" s="413"/>
      <c r="H164" s="963"/>
      <c r="I164" s="963"/>
      <c r="J164" s="963"/>
      <c r="K164" s="963"/>
      <c r="L164" s="963"/>
      <c r="M164" s="963"/>
      <c r="N164" s="963"/>
      <c r="O164" s="963"/>
      <c r="P164" s="963"/>
      <c r="Q164" s="878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45"/>
    </row>
    <row r="165" spans="1:33" s="100" customFormat="1" ht="21" customHeight="1">
      <c r="A165" s="861"/>
      <c r="B165" s="963"/>
      <c r="C165" s="963"/>
      <c r="D165" s="498"/>
      <c r="E165" s="963" t="s">
        <v>506</v>
      </c>
      <c r="F165" s="963"/>
      <c r="G165" s="413"/>
      <c r="H165" s="963"/>
      <c r="I165" s="963"/>
      <c r="J165" s="963"/>
      <c r="K165" s="963"/>
      <c r="L165" s="963"/>
      <c r="M165" s="963"/>
      <c r="N165" s="963"/>
      <c r="O165" s="963"/>
      <c r="P165" s="963"/>
      <c r="Q165" s="878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45"/>
    </row>
    <row r="166" spans="1:33" s="100" customFormat="1" ht="21" customHeight="1">
      <c r="A166" s="861"/>
      <c r="B166" s="963"/>
      <c r="C166" s="963"/>
      <c r="D166" s="498"/>
      <c r="E166" s="963" t="s">
        <v>418</v>
      </c>
      <c r="F166" s="963"/>
      <c r="G166" s="413"/>
      <c r="H166" s="963"/>
      <c r="I166" s="963"/>
      <c r="J166" s="963"/>
      <c r="K166" s="963"/>
      <c r="L166" s="963"/>
      <c r="M166" s="963"/>
      <c r="N166" s="963"/>
      <c r="O166" s="963"/>
      <c r="P166" s="963"/>
      <c r="Q166" s="878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45"/>
    </row>
    <row r="167" spans="1:33" s="100" customFormat="1" ht="21" customHeight="1">
      <c r="A167" s="861"/>
      <c r="B167" s="963"/>
      <c r="C167" s="959" t="s">
        <v>102</v>
      </c>
      <c r="D167" s="362" t="s">
        <v>30</v>
      </c>
      <c r="E167" s="1420">
        <f>+'설계기준(유입수질농도증가12)'!F7</f>
        <v>218.7</v>
      </c>
      <c r="F167" s="1420"/>
      <c r="G167" s="951" t="s">
        <v>547</v>
      </c>
      <c r="H167" s="952">
        <f>+'설계기준(유입수질농도증가12)'!J7</f>
        <v>6</v>
      </c>
      <c r="I167" s="959" t="s">
        <v>554</v>
      </c>
      <c r="J167" s="994">
        <f>E161</f>
        <v>0.31818181818181823</v>
      </c>
      <c r="K167" s="959" t="s">
        <v>41</v>
      </c>
      <c r="L167" s="1409">
        <f>'설계기준(설계치12)'!K15</f>
        <v>2400</v>
      </c>
      <c r="M167" s="1409"/>
      <c r="N167" s="1003"/>
      <c r="O167" s="963"/>
      <c r="P167" s="963"/>
      <c r="Q167" s="954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45"/>
    </row>
    <row r="168" spans="1:33" s="100" customFormat="1" ht="21" customHeight="1">
      <c r="A168" s="861"/>
      <c r="B168" s="963"/>
      <c r="C168" s="963"/>
      <c r="D168" s="362" t="s">
        <v>30</v>
      </c>
      <c r="E168" s="1419">
        <f>(E167-H167)/(J167*L167)</f>
        <v>0.27853571428571422</v>
      </c>
      <c r="F168" s="1260"/>
      <c r="G168" s="499" t="s">
        <v>30</v>
      </c>
      <c r="H168" s="1322">
        <f>E168*24</f>
        <v>6.6848571428571413</v>
      </c>
      <c r="I168" s="1323"/>
      <c r="J168" s="963"/>
      <c r="K168" s="963"/>
      <c r="L168" s="963"/>
      <c r="M168" s="963"/>
      <c r="N168" s="963"/>
      <c r="O168" s="963"/>
      <c r="P168" s="963"/>
      <c r="Q168" s="878"/>
      <c r="R168" s="321"/>
      <c r="S168" s="321"/>
      <c r="T168" s="321"/>
      <c r="U168" s="321"/>
      <c r="V168" s="321"/>
      <c r="W168" s="321"/>
      <c r="X168" s="321"/>
      <c r="Y168" s="321"/>
      <c r="Z168" s="321"/>
      <c r="AA168" s="321"/>
      <c r="AB168" s="321"/>
      <c r="AC168" s="321"/>
      <c r="AD168" s="321"/>
      <c r="AE168" s="321"/>
      <c r="AF168" s="321"/>
      <c r="AG168" s="45"/>
    </row>
    <row r="169" spans="1:33" s="100" customFormat="1" ht="21" customHeight="1">
      <c r="A169" s="863" t="s">
        <v>419</v>
      </c>
      <c r="B169" s="959" t="s">
        <v>507</v>
      </c>
      <c r="C169" s="500" t="s">
        <v>392</v>
      </c>
      <c r="D169" s="501" t="s">
        <v>377</v>
      </c>
      <c r="E169" s="963" t="s">
        <v>330</v>
      </c>
      <c r="F169" s="963" t="s">
        <v>373</v>
      </c>
      <c r="G169" s="963" t="s">
        <v>420</v>
      </c>
      <c r="H169" s="502" t="s">
        <v>347</v>
      </c>
      <c r="I169" s="963" t="s">
        <v>41</v>
      </c>
      <c r="J169" s="410" t="s">
        <v>421</v>
      </c>
      <c r="K169" s="963"/>
      <c r="L169" s="963"/>
      <c r="M169" s="963"/>
      <c r="N169" s="963"/>
      <c r="O169" s="963"/>
      <c r="P169" s="963"/>
      <c r="Q169" s="878"/>
      <c r="R169" s="980"/>
      <c r="S169" s="365"/>
      <c r="T169" s="366"/>
      <c r="U169" s="980"/>
      <c r="V169" s="980"/>
      <c r="W169" s="980"/>
      <c r="X169" s="367"/>
      <c r="Y169" s="980"/>
      <c r="Z169" s="368"/>
      <c r="AA169" s="980"/>
      <c r="AB169" s="980"/>
      <c r="AC169" s="980"/>
      <c r="AD169" s="980"/>
      <c r="AE169" s="980"/>
      <c r="AF169" s="980"/>
      <c r="AG169" s="45"/>
    </row>
    <row r="170" spans="1:33" s="100" customFormat="1" ht="21" customHeight="1">
      <c r="A170" s="863" t="s">
        <v>422</v>
      </c>
      <c r="B170" s="1275" t="s">
        <v>367</v>
      </c>
      <c r="C170" s="1276"/>
      <c r="D170" s="959" t="s">
        <v>423</v>
      </c>
      <c r="E170" s="959" t="s">
        <v>30</v>
      </c>
      <c r="F170" s="1257" t="s">
        <v>424</v>
      </c>
      <c r="G170" s="1257"/>
      <c r="H170" s="1257"/>
      <c r="I170" s="1257"/>
      <c r="J170" s="1257"/>
      <c r="K170" s="1257"/>
      <c r="L170" s="1257"/>
      <c r="M170" s="1257"/>
      <c r="N170" s="1257"/>
      <c r="O170" s="1257"/>
      <c r="P170" s="1257"/>
      <c r="Q170" s="878"/>
      <c r="R170" s="1269"/>
      <c r="S170" s="1269"/>
      <c r="T170" s="966"/>
      <c r="U170" s="966"/>
      <c r="V170" s="1265"/>
      <c r="W170" s="1265"/>
      <c r="X170" s="1265"/>
      <c r="Y170" s="1265"/>
      <c r="Z170" s="1265"/>
      <c r="AA170" s="1265"/>
      <c r="AB170" s="1265"/>
      <c r="AC170" s="1265"/>
      <c r="AD170" s="1265"/>
      <c r="AE170" s="1265"/>
      <c r="AF170" s="1265"/>
      <c r="AG170" s="45"/>
    </row>
    <row r="171" spans="1:33" s="100" customFormat="1" ht="21" customHeight="1">
      <c r="A171" s="957" t="s">
        <v>416</v>
      </c>
      <c r="B171" s="1015"/>
      <c r="C171" s="1015"/>
      <c r="D171" s="992" t="s">
        <v>373</v>
      </c>
      <c r="E171" s="992" t="s">
        <v>30</v>
      </c>
      <c r="F171" s="1417" t="s">
        <v>425</v>
      </c>
      <c r="G171" s="1417"/>
      <c r="H171" s="1417"/>
      <c r="I171" s="1417"/>
      <c r="J171" s="1417"/>
      <c r="K171" s="1417"/>
      <c r="L171" s="1417"/>
      <c r="M171" s="1417"/>
      <c r="N171" s="1417"/>
      <c r="O171" s="1417"/>
      <c r="P171" s="1417"/>
      <c r="Q171" s="882"/>
      <c r="R171" s="980"/>
      <c r="S171" s="980"/>
      <c r="T171" s="966"/>
      <c r="U171" s="966"/>
      <c r="V171" s="1265"/>
      <c r="W171" s="1265"/>
      <c r="X171" s="1265"/>
      <c r="Y171" s="1265"/>
      <c r="Z171" s="1265"/>
      <c r="AA171" s="1265"/>
      <c r="AB171" s="1265"/>
      <c r="AC171" s="1265"/>
      <c r="AD171" s="1265"/>
      <c r="AE171" s="1265"/>
      <c r="AF171" s="1265"/>
      <c r="AG171" s="45"/>
    </row>
    <row r="172" spans="1:33" s="112" customFormat="1" ht="21" customHeight="1">
      <c r="A172" s="862"/>
      <c r="B172" s="995"/>
      <c r="C172" s="995"/>
      <c r="D172" s="995" t="s">
        <v>347</v>
      </c>
      <c r="E172" s="995" t="s">
        <v>30</v>
      </c>
      <c r="F172" s="1325" t="s">
        <v>508</v>
      </c>
      <c r="G172" s="1325"/>
      <c r="H172" s="1325"/>
      <c r="I172" s="1325"/>
      <c r="J172" s="1325"/>
      <c r="K172" s="1325"/>
      <c r="L172" s="1325"/>
      <c r="M172" s="1325"/>
      <c r="N172" s="1325"/>
      <c r="O172" s="1325"/>
      <c r="P172" s="1325"/>
      <c r="Q172" s="883"/>
      <c r="R172" s="966"/>
      <c r="S172" s="966"/>
      <c r="T172" s="966"/>
      <c r="U172" s="966"/>
      <c r="V172" s="1265"/>
      <c r="W172" s="1265"/>
      <c r="X172" s="1265"/>
      <c r="Y172" s="1265"/>
      <c r="Z172" s="1265"/>
      <c r="AA172" s="1265"/>
      <c r="AB172" s="1265"/>
      <c r="AC172" s="1265"/>
      <c r="AD172" s="1265"/>
      <c r="AE172" s="1265"/>
      <c r="AF172" s="1265"/>
      <c r="AG172" s="964"/>
    </row>
    <row r="173" spans="1:33" s="112" customFormat="1" ht="21" customHeight="1">
      <c r="A173" s="861"/>
      <c r="B173" s="959"/>
      <c r="C173" s="959"/>
      <c r="D173" s="959" t="s">
        <v>421</v>
      </c>
      <c r="E173" s="959" t="s">
        <v>30</v>
      </c>
      <c r="F173" s="962" t="str">
        <f>"질산화 미생물(㎎/ℓ),["&amp;'설계기준(설계치12)'!K15&amp;"×0.1(질산화미생물비율)]"</f>
        <v>질산화 미생물(㎎/ℓ),[2400×0.1(질산화미생물비율)]</v>
      </c>
      <c r="G173" s="962"/>
      <c r="H173" s="962"/>
      <c r="I173" s="962"/>
      <c r="J173" s="962"/>
      <c r="K173" s="962"/>
      <c r="L173" s="959"/>
      <c r="M173" s="959"/>
      <c r="N173" s="959"/>
      <c r="O173" s="959"/>
      <c r="P173" s="959"/>
      <c r="Q173" s="885"/>
      <c r="R173" s="966"/>
      <c r="S173" s="966"/>
      <c r="T173" s="966"/>
      <c r="U173" s="966"/>
      <c r="V173" s="965"/>
      <c r="W173" s="965"/>
      <c r="X173" s="965"/>
      <c r="Y173" s="965"/>
      <c r="Z173" s="965"/>
      <c r="AA173" s="965"/>
      <c r="AB173" s="966"/>
      <c r="AC173" s="966"/>
      <c r="AD173" s="966"/>
      <c r="AE173" s="966"/>
      <c r="AF173" s="966"/>
      <c r="AG173" s="964"/>
    </row>
    <row r="174" spans="1:33" s="112" customFormat="1" ht="21" customHeight="1">
      <c r="A174" s="861"/>
      <c r="B174" s="959" t="s">
        <v>507</v>
      </c>
      <c r="C174" s="959" t="s">
        <v>28</v>
      </c>
      <c r="D174" s="413">
        <f>H113</f>
        <v>49.32</v>
      </c>
      <c r="E174" s="999" t="s">
        <v>547</v>
      </c>
      <c r="F174" s="967">
        <f>M100</f>
        <v>1.5847628327160415</v>
      </c>
      <c r="G174" s="959" t="s">
        <v>420</v>
      </c>
      <c r="H174" s="994">
        <f>O94</f>
        <v>0.75000000000000011</v>
      </c>
      <c r="I174" s="1331">
        <f>'설계기준(설계치12)'!K15</f>
        <v>2400</v>
      </c>
      <c r="J174" s="1331"/>
      <c r="K174" s="947">
        <v>0.08</v>
      </c>
      <c r="L174" s="959" t="s">
        <v>562</v>
      </c>
      <c r="M174" s="381">
        <v>24</v>
      </c>
      <c r="N174" s="959" t="s">
        <v>30</v>
      </c>
      <c r="O174" s="1324">
        <f>(D174-F174)/(H174*I174*K174)*M174</f>
        <v>7.9558728612139902</v>
      </c>
      <c r="P174" s="1326"/>
      <c r="Q174" s="878"/>
      <c r="R174" s="966"/>
      <c r="S174" s="946">
        <f>+H174*K174</f>
        <v>6.0000000000000012E-2</v>
      </c>
      <c r="T174" s="1371"/>
      <c r="U174" s="1371"/>
      <c r="V174" s="966"/>
      <c r="W174" s="991"/>
      <c r="X174" s="1372"/>
      <c r="Y174" s="1372"/>
      <c r="Z174" s="1372"/>
      <c r="AA174" s="966"/>
      <c r="AB174" s="966"/>
      <c r="AC174" s="369"/>
      <c r="AD174" s="966"/>
      <c r="AE174" s="966"/>
      <c r="AF174" s="964"/>
    </row>
    <row r="175" spans="1:33" s="110" customFormat="1" ht="21" customHeight="1">
      <c r="A175" s="864" t="s">
        <v>426</v>
      </c>
      <c r="B175" s="959"/>
      <c r="C175" s="1273">
        <f>'설계기준(유입수질농도증가12)'!H4</f>
        <v>64.583333333333329</v>
      </c>
      <c r="D175" s="1273"/>
      <c r="E175" s="1274"/>
      <c r="F175" s="959" t="s">
        <v>41</v>
      </c>
      <c r="G175" s="1324">
        <f>MAX(O174,H168)</f>
        <v>7.9558728612139902</v>
      </c>
      <c r="H175" s="1260"/>
      <c r="I175" s="959" t="s">
        <v>30</v>
      </c>
      <c r="J175" s="1330">
        <f>C175*G175</f>
        <v>513.81678895340349</v>
      </c>
      <c r="K175" s="1330"/>
      <c r="L175" s="959" t="s">
        <v>302</v>
      </c>
      <c r="M175" s="959"/>
      <c r="N175" s="963"/>
      <c r="O175" s="959"/>
      <c r="P175" s="959"/>
      <c r="Q175" s="884"/>
      <c r="R175" s="1006"/>
      <c r="S175" s="1345"/>
      <c r="T175" s="1345"/>
      <c r="U175" s="1346"/>
      <c r="V175" s="1006"/>
      <c r="W175" s="1365"/>
      <c r="X175" s="1346"/>
      <c r="Y175" s="1006"/>
      <c r="Z175" s="1373"/>
      <c r="AA175" s="1373"/>
      <c r="AB175" s="1006"/>
      <c r="AC175" s="1006"/>
      <c r="AD175" s="325"/>
      <c r="AE175" s="1006"/>
      <c r="AF175" s="1006"/>
      <c r="AG175" s="964"/>
    </row>
    <row r="176" spans="1:33" s="112" customFormat="1" ht="21" customHeight="1">
      <c r="A176" s="860" t="s">
        <v>427</v>
      </c>
      <c r="B176" s="959"/>
      <c r="C176" s="959"/>
      <c r="D176" s="959"/>
      <c r="E176" s="959"/>
      <c r="F176" s="959"/>
      <c r="G176" s="959"/>
      <c r="H176" s="959"/>
      <c r="I176" s="959"/>
      <c r="J176" s="959"/>
      <c r="K176" s="959"/>
      <c r="L176" s="959"/>
      <c r="M176" s="959"/>
      <c r="N176" s="959"/>
      <c r="O176" s="959"/>
      <c r="P176" s="959"/>
      <c r="Q176" s="884"/>
      <c r="R176" s="966"/>
      <c r="S176" s="966"/>
      <c r="T176" s="966"/>
      <c r="U176" s="966"/>
      <c r="V176" s="966"/>
      <c r="W176" s="966"/>
      <c r="X176" s="966"/>
      <c r="Y176" s="966"/>
      <c r="Z176" s="966"/>
      <c r="AA176" s="966"/>
      <c r="AB176" s="966"/>
      <c r="AC176" s="966"/>
      <c r="AD176" s="966"/>
      <c r="AE176" s="966"/>
      <c r="AF176" s="966"/>
      <c r="AG176" s="964"/>
    </row>
    <row r="177" spans="1:33" s="112" customFormat="1" ht="21" customHeight="1">
      <c r="A177" s="1021" t="s">
        <v>304</v>
      </c>
      <c r="B177" s="322"/>
      <c r="C177" s="1260" t="s">
        <v>121</v>
      </c>
      <c r="D177" s="1260"/>
      <c r="E177" s="963"/>
      <c r="F177" s="963"/>
      <c r="G177" s="963"/>
      <c r="H177" s="963"/>
      <c r="I177" s="963"/>
      <c r="J177" s="963"/>
      <c r="K177" s="963"/>
      <c r="L177" s="963"/>
      <c r="M177" s="963"/>
      <c r="N177" s="963"/>
      <c r="O177" s="963"/>
      <c r="P177" s="963"/>
      <c r="Q177" s="884"/>
      <c r="R177" s="1269"/>
      <c r="S177" s="1269"/>
      <c r="T177" s="1269"/>
      <c r="U177" s="1269"/>
      <c r="V177" s="1269"/>
      <c r="W177" s="1269"/>
      <c r="X177" s="1269"/>
      <c r="Y177" s="1269"/>
      <c r="Z177" s="1269"/>
      <c r="AA177" s="1269"/>
      <c r="AB177" s="1269"/>
      <c r="AC177" s="1269"/>
      <c r="AD177" s="1269"/>
      <c r="AE177" s="1269"/>
      <c r="AF177" s="1269"/>
      <c r="AG177" s="964"/>
    </row>
    <row r="178" spans="1:33" s="112" customFormat="1" ht="21" customHeight="1">
      <c r="A178" s="1021" t="s">
        <v>306</v>
      </c>
      <c r="B178" s="959" t="s">
        <v>307</v>
      </c>
      <c r="C178" s="309">
        <v>7</v>
      </c>
      <c r="D178" s="1091" t="s">
        <v>308</v>
      </c>
      <c r="E178" s="1091" t="s">
        <v>51</v>
      </c>
      <c r="F178" s="1091" t="s">
        <v>108</v>
      </c>
      <c r="G178" s="309">
        <v>6.4</v>
      </c>
      <c r="H178" s="959" t="s">
        <v>308</v>
      </c>
      <c r="I178" s="959" t="s">
        <v>51</v>
      </c>
      <c r="J178" s="1260" t="s">
        <v>428</v>
      </c>
      <c r="K178" s="1260"/>
      <c r="L178" s="309">
        <v>5.8</v>
      </c>
      <c r="M178" s="959" t="s">
        <v>308</v>
      </c>
      <c r="N178" s="959" t="s">
        <v>51</v>
      </c>
      <c r="O178" s="959">
        <v>1</v>
      </c>
      <c r="P178" s="959" t="s">
        <v>429</v>
      </c>
      <c r="Q178" s="884"/>
      <c r="R178" s="982"/>
      <c r="S178" s="981"/>
      <c r="T178" s="965"/>
      <c r="U178" s="966"/>
      <c r="V178" s="982"/>
      <c r="W178" s="981"/>
      <c r="X178" s="965"/>
      <c r="Y178" s="966"/>
      <c r="Z178" s="1269"/>
      <c r="AA178" s="1269"/>
      <c r="AB178" s="966"/>
      <c r="AC178" s="965"/>
      <c r="AD178" s="966"/>
      <c r="AE178" s="966"/>
      <c r="AF178" s="966"/>
      <c r="AG178" s="964"/>
    </row>
    <row r="179" spans="1:33" s="112" customFormat="1" ht="21" hidden="1" customHeight="1">
      <c r="A179" s="1021"/>
      <c r="B179" s="959"/>
      <c r="C179" s="309"/>
      <c r="D179" s="1091"/>
      <c r="E179" s="1091"/>
      <c r="F179" s="1091"/>
      <c r="G179" s="309"/>
      <c r="H179" s="959"/>
      <c r="I179" s="959"/>
      <c r="J179" s="1260"/>
      <c r="K179" s="1260"/>
      <c r="L179" s="309"/>
      <c r="M179" s="959"/>
      <c r="N179" s="959"/>
      <c r="O179" s="959"/>
      <c r="P179" s="959"/>
      <c r="Q179" s="884"/>
      <c r="R179" s="982"/>
      <c r="S179" s="981"/>
      <c r="T179" s="965"/>
      <c r="U179" s="966"/>
      <c r="V179" s="982"/>
      <c r="W179" s="981"/>
      <c r="X179" s="965"/>
      <c r="Y179" s="966"/>
      <c r="Z179" s="966"/>
      <c r="AA179" s="966"/>
      <c r="AB179" s="966"/>
      <c r="AC179" s="965"/>
      <c r="AD179" s="966"/>
      <c r="AE179" s="966"/>
      <c r="AF179" s="966"/>
      <c r="AG179" s="964"/>
    </row>
    <row r="180" spans="1:33" s="112" customFormat="1" ht="21" customHeight="1">
      <c r="A180" s="1021" t="s">
        <v>131</v>
      </c>
      <c r="B180" s="1101"/>
      <c r="C180" s="1101"/>
      <c r="D180" s="1101"/>
      <c r="E180" s="1101"/>
      <c r="F180" s="1101"/>
      <c r="G180" s="1101"/>
      <c r="H180" s="1091">
        <v>2</v>
      </c>
      <c r="I180" s="1101" t="s">
        <v>313</v>
      </c>
      <c r="J180" s="1260"/>
      <c r="K180" s="1260"/>
      <c r="L180" s="309"/>
      <c r="M180" s="959"/>
      <c r="N180" s="959"/>
      <c r="O180" s="959"/>
      <c r="P180" s="959"/>
      <c r="Q180" s="884"/>
      <c r="R180" s="980"/>
      <c r="S180" s="980"/>
      <c r="T180" s="980"/>
      <c r="U180" s="980"/>
      <c r="V180" s="980"/>
      <c r="W180" s="980"/>
      <c r="X180" s="966"/>
      <c r="Y180" s="980"/>
      <c r="Z180" s="980"/>
      <c r="AA180" s="980"/>
      <c r="AB180" s="980"/>
      <c r="AC180" s="980"/>
      <c r="AD180" s="980"/>
      <c r="AE180" s="966"/>
      <c r="AF180" s="966"/>
      <c r="AG180" s="964"/>
    </row>
    <row r="181" spans="1:33" s="112" customFormat="1" ht="21" customHeight="1">
      <c r="A181" s="1021" t="s">
        <v>314</v>
      </c>
      <c r="B181" s="959" t="s">
        <v>127</v>
      </c>
      <c r="C181" s="959" t="s">
        <v>30</v>
      </c>
      <c r="D181" s="1272">
        <f>(C178*G178*L178*O178)+(C179*G179*L179*O179)+(C180*G180*L180*O180)</f>
        <v>259.84000000000003</v>
      </c>
      <c r="E181" s="1272"/>
      <c r="F181" s="1260" t="s">
        <v>128</v>
      </c>
      <c r="G181" s="1260"/>
      <c r="H181" s="959" t="s">
        <v>51</v>
      </c>
      <c r="I181" s="959">
        <v>2</v>
      </c>
      <c r="J181" s="959" t="s">
        <v>837</v>
      </c>
      <c r="K181" s="959" t="s">
        <v>30</v>
      </c>
      <c r="L181" s="1291">
        <f>D181*I181</f>
        <v>519.68000000000006</v>
      </c>
      <c r="M181" s="1291"/>
      <c r="N181" s="963"/>
      <c r="O181" s="959"/>
      <c r="P181" s="959"/>
      <c r="Q181" s="884"/>
      <c r="R181" s="1347">
        <f>IF(+L181/J175&gt;1,1,+L181/J175)</f>
        <v>1</v>
      </c>
      <c r="S181" s="1347"/>
      <c r="T181" s="1265"/>
      <c r="U181" s="1265"/>
      <c r="V181" s="1309">
        <f>+J175/L181</f>
        <v>0.98871765115725718</v>
      </c>
      <c r="W181" s="1309"/>
      <c r="X181" s="980"/>
      <c r="Y181" s="980"/>
      <c r="Z181" s="980"/>
      <c r="AA181" s="980"/>
      <c r="AB181" s="1302"/>
      <c r="AC181" s="1302"/>
      <c r="AD181" s="980"/>
      <c r="AE181" s="966"/>
      <c r="AF181" s="966"/>
      <c r="AG181" s="964"/>
    </row>
    <row r="182" spans="1:33" s="112" customFormat="1" ht="21" customHeight="1">
      <c r="A182" s="1021" t="s">
        <v>430</v>
      </c>
      <c r="B182" s="1291">
        <f>L181</f>
        <v>519.68000000000006</v>
      </c>
      <c r="C182" s="1291"/>
      <c r="D182" s="959" t="s">
        <v>52</v>
      </c>
      <c r="E182" s="1327">
        <f>'설계기준(유입수질농도증가12)'!C4</f>
        <v>1550</v>
      </c>
      <c r="F182" s="1327"/>
      <c r="G182" s="1328"/>
      <c r="H182" s="959" t="s">
        <v>51</v>
      </c>
      <c r="I182" s="1304">
        <v>24</v>
      </c>
      <c r="J182" s="1304"/>
      <c r="K182" s="959" t="s">
        <v>30</v>
      </c>
      <c r="L182" s="1332">
        <f>B182/E182*I182</f>
        <v>8.0466580645161301</v>
      </c>
      <c r="M182" s="1332"/>
      <c r="N182" s="959"/>
      <c r="O182" s="959"/>
      <c r="P182" s="963"/>
      <c r="Q182" s="884"/>
      <c r="R182" s="1362"/>
      <c r="S182" s="1362"/>
      <c r="T182" s="966"/>
      <c r="U182" s="1306"/>
      <c r="V182" s="1269"/>
      <c r="W182" s="1269"/>
      <c r="X182" s="980"/>
      <c r="Y182" s="1348"/>
      <c r="Z182" s="1334"/>
      <c r="AA182" s="966"/>
      <c r="AB182" s="1358"/>
      <c r="AC182" s="1359"/>
      <c r="AD182" s="1005"/>
      <c r="AE182" s="1005"/>
      <c r="AF182" s="980"/>
      <c r="AG182" s="964"/>
    </row>
    <row r="183" spans="1:33" s="112" customFormat="1" ht="21" customHeight="1">
      <c r="A183" s="1406" t="s">
        <v>431</v>
      </c>
      <c r="B183" s="964"/>
      <c r="C183" s="1329">
        <f>E182</f>
        <v>1550</v>
      </c>
      <c r="D183" s="1329"/>
      <c r="E183" s="959" t="s">
        <v>51</v>
      </c>
      <c r="F183" s="1329">
        <f>'설계기준(설계치12)'!F7</f>
        <v>218.7</v>
      </c>
      <c r="G183" s="1329"/>
      <c r="H183" s="1260" t="s">
        <v>30</v>
      </c>
      <c r="I183" s="1408">
        <f>C183*F183/(C184*F184)</f>
        <v>0.21743188115763543</v>
      </c>
      <c r="J183" s="1408"/>
      <c r="K183" s="1408"/>
      <c r="L183" s="1408"/>
      <c r="M183" s="962"/>
      <c r="N183" s="962"/>
      <c r="O183" s="962"/>
      <c r="P183" s="962"/>
      <c r="Q183" s="884"/>
      <c r="R183" s="1300"/>
      <c r="S183" s="1269"/>
      <c r="T183" s="966"/>
      <c r="U183" s="1300"/>
      <c r="V183" s="1269"/>
      <c r="W183" s="1269"/>
      <c r="X183" s="1368"/>
      <c r="Y183" s="1368"/>
      <c r="Z183" s="1368"/>
      <c r="AA183" s="1368"/>
      <c r="AB183" s="1368"/>
      <c r="AC183" s="965"/>
      <c r="AD183" s="965"/>
      <c r="AE183" s="966"/>
      <c r="AF183" s="966"/>
      <c r="AG183" s="964"/>
    </row>
    <row r="184" spans="1:33" s="112" customFormat="1" ht="21" customHeight="1">
      <c r="A184" s="1406"/>
      <c r="B184" s="964"/>
      <c r="C184" s="1396">
        <f>'설계기준(설계치12)'!K14</f>
        <v>3000</v>
      </c>
      <c r="D184" s="1396"/>
      <c r="E184" s="995" t="s">
        <v>51</v>
      </c>
      <c r="F184" s="1393">
        <f>L181</f>
        <v>519.68000000000006</v>
      </c>
      <c r="G184" s="1393"/>
      <c r="H184" s="1260"/>
      <c r="I184" s="1408"/>
      <c r="J184" s="1408"/>
      <c r="K184" s="1408"/>
      <c r="L184" s="1408"/>
      <c r="M184" s="962"/>
      <c r="N184" s="962"/>
      <c r="O184" s="962"/>
      <c r="P184" s="962"/>
      <c r="Q184" s="884"/>
      <c r="R184" s="1297"/>
      <c r="S184" s="1269"/>
      <c r="T184" s="966"/>
      <c r="U184" s="1316"/>
      <c r="V184" s="1269"/>
      <c r="W184" s="1269"/>
      <c r="X184" s="1368"/>
      <c r="Y184" s="1368"/>
      <c r="Z184" s="1368"/>
      <c r="AA184" s="1368"/>
      <c r="AB184" s="1368"/>
      <c r="AC184" s="965"/>
      <c r="AD184" s="965"/>
      <c r="AE184" s="966"/>
      <c r="AF184" s="966"/>
      <c r="AG184" s="964"/>
    </row>
    <row r="185" spans="1:33" s="112" customFormat="1" ht="21" customHeight="1">
      <c r="A185" s="1406" t="s">
        <v>432</v>
      </c>
      <c r="B185" s="964"/>
      <c r="C185" s="1278">
        <f>'설계기준(설계치12)'!K14</f>
        <v>3000</v>
      </c>
      <c r="D185" s="1278"/>
      <c r="E185" s="959" t="s">
        <v>51</v>
      </c>
      <c r="F185" s="1303">
        <f>L181</f>
        <v>519.68000000000006</v>
      </c>
      <c r="G185" s="1303"/>
      <c r="H185" s="1260" t="s">
        <v>30</v>
      </c>
      <c r="I185" s="1378">
        <f>C185*F185/((C186*F186))</f>
        <v>0.97783464418770949</v>
      </c>
      <c r="J185" s="1378"/>
      <c r="K185" s="1378"/>
      <c r="L185" s="1260" t="str">
        <f>"(생물반응조 SRT : "&amp;R185&amp;"day)"</f>
        <v>(생물반응조 SRT : 2.54day)</v>
      </c>
      <c r="M185" s="1260"/>
      <c r="N185" s="1260"/>
      <c r="O185" s="1260"/>
      <c r="P185" s="1426"/>
      <c r="Q185" s="884"/>
      <c r="R185" s="1407">
        <f>ROUNDUP(C185*E205/C186/F186, 2)</f>
        <v>2.5399999999999996</v>
      </c>
      <c r="S185" s="1407"/>
      <c r="T185" s="966"/>
      <c r="U185" s="1316"/>
      <c r="V185" s="1269"/>
      <c r="W185" s="1269"/>
      <c r="X185" s="1367"/>
      <c r="Y185" s="1269"/>
      <c r="Z185" s="966"/>
      <c r="AA185" s="966"/>
      <c r="AB185" s="966"/>
      <c r="AC185" s="966"/>
      <c r="AD185" s="966"/>
      <c r="AE185" s="966"/>
      <c r="AF185" s="966"/>
      <c r="AG185" s="964"/>
    </row>
    <row r="186" spans="1:33" s="964" customFormat="1" ht="21" customHeight="1">
      <c r="A186" s="1406"/>
      <c r="C186" s="1279">
        <f>물질수지!T37</f>
        <v>199.29750000000001</v>
      </c>
      <c r="D186" s="1279"/>
      <c r="E186" s="995" t="s">
        <v>51</v>
      </c>
      <c r="F186" s="1262">
        <f>J101</f>
        <v>8000</v>
      </c>
      <c r="G186" s="1262"/>
      <c r="H186" s="1260"/>
      <c r="I186" s="1378"/>
      <c r="J186" s="1378"/>
      <c r="K186" s="1378"/>
      <c r="L186" s="1260"/>
      <c r="M186" s="1260"/>
      <c r="N186" s="1260"/>
      <c r="O186" s="1260"/>
      <c r="P186" s="1426"/>
      <c r="Q186" s="884"/>
      <c r="R186" s="1407"/>
      <c r="S186" s="1407"/>
      <c r="T186" s="966"/>
      <c r="U186" s="1369"/>
      <c r="V186" s="1369"/>
      <c r="W186" s="1269"/>
      <c r="X186" s="1269"/>
      <c r="Y186" s="1269"/>
      <c r="Z186" s="370"/>
      <c r="AA186" s="965"/>
      <c r="AB186" s="966"/>
      <c r="AC186" s="966"/>
      <c r="AD186" s="966"/>
      <c r="AE186" s="966"/>
      <c r="AF186" s="966"/>
    </row>
    <row r="187" spans="1:33" s="112" customFormat="1" ht="21" customHeight="1">
      <c r="A187" s="1406" t="s">
        <v>433</v>
      </c>
      <c r="B187" s="964"/>
      <c r="C187" s="1277">
        <f>E182</f>
        <v>1550</v>
      </c>
      <c r="D187" s="1277"/>
      <c r="E187" s="959" t="s">
        <v>51</v>
      </c>
      <c r="F187" s="1277">
        <f>F183</f>
        <v>218.7</v>
      </c>
      <c r="G187" s="1277"/>
      <c r="H187" s="1260" t="s">
        <v>30</v>
      </c>
      <c r="I187" s="1394">
        <f>C187*F187/C188/1000</f>
        <v>0.65229564347290636</v>
      </c>
      <c r="J187" s="1394"/>
      <c r="K187" s="1394"/>
      <c r="L187" s="1257" t="str">
        <f>"(생물반응조 : "&amp;R187&amp;"kgBOD/㎥day)"</f>
        <v>(생물반응조 : 0.26kgBOD/㎥day)</v>
      </c>
      <c r="M187" s="1257"/>
      <c r="N187" s="1257"/>
      <c r="O187" s="1257"/>
      <c r="P187" s="1257"/>
      <c r="Q187" s="884"/>
      <c r="R187" s="1407">
        <f>ROUNDUP(C187*F187/(E202+E203+E204)/1000, 2)</f>
        <v>0.26</v>
      </c>
      <c r="S187" s="1407"/>
      <c r="T187" s="966"/>
      <c r="U187" s="1300"/>
      <c r="V187" s="1269"/>
      <c r="W187" s="1269"/>
      <c r="X187" s="1366"/>
      <c r="Y187" s="1366"/>
      <c r="Z187" s="1295"/>
      <c r="AA187" s="1295"/>
      <c r="AB187" s="965"/>
      <c r="AC187" s="965"/>
      <c r="AD187" s="965"/>
      <c r="AE187" s="966"/>
      <c r="AF187" s="966"/>
      <c r="AG187" s="964"/>
    </row>
    <row r="188" spans="1:33" s="112" customFormat="1" ht="21" customHeight="1">
      <c r="A188" s="1406"/>
      <c r="B188" s="964"/>
      <c r="C188" s="1395">
        <f>L181</f>
        <v>519.68000000000006</v>
      </c>
      <c r="D188" s="1395"/>
      <c r="E188" s="1395"/>
      <c r="F188" s="1395"/>
      <c r="G188" s="1395"/>
      <c r="H188" s="1260"/>
      <c r="I188" s="1394"/>
      <c r="J188" s="1394"/>
      <c r="K188" s="1394"/>
      <c r="L188" s="1257"/>
      <c r="M188" s="1257"/>
      <c r="N188" s="1257"/>
      <c r="O188" s="1257"/>
      <c r="P188" s="1257"/>
      <c r="Q188" s="884"/>
      <c r="R188" s="1407"/>
      <c r="S188" s="1407"/>
      <c r="T188" s="965"/>
      <c r="U188" s="965"/>
      <c r="V188" s="965"/>
      <c r="W188" s="1269"/>
      <c r="X188" s="1366"/>
      <c r="Y188" s="1366"/>
      <c r="Z188" s="1295"/>
      <c r="AA188" s="1295"/>
      <c r="AB188" s="965"/>
      <c r="AC188" s="965"/>
      <c r="AD188" s="965"/>
      <c r="AE188" s="966"/>
      <c r="AF188" s="966"/>
      <c r="AG188" s="964"/>
    </row>
    <row r="189" spans="1:33" s="112" customFormat="1" ht="21" customHeight="1">
      <c r="A189" s="1021"/>
      <c r="B189" s="994"/>
      <c r="C189" s="959"/>
      <c r="D189" s="959"/>
      <c r="E189" s="959"/>
      <c r="F189" s="959"/>
      <c r="G189" s="959"/>
      <c r="H189" s="484"/>
      <c r="I189" s="484"/>
      <c r="J189" s="962"/>
      <c r="K189" s="962"/>
      <c r="L189" s="962"/>
      <c r="M189" s="962"/>
      <c r="N189" s="962"/>
      <c r="O189" s="962"/>
      <c r="P189" s="962"/>
      <c r="Q189" s="884"/>
      <c r="R189" s="991"/>
      <c r="S189" s="991"/>
      <c r="T189" s="965"/>
      <c r="U189" s="965"/>
      <c r="V189" s="965"/>
      <c r="W189" s="966"/>
      <c r="X189" s="1013"/>
      <c r="Y189" s="1013"/>
      <c r="Z189" s="980"/>
      <c r="AA189" s="980"/>
      <c r="AB189" s="965"/>
      <c r="AC189" s="965"/>
      <c r="AD189" s="965"/>
      <c r="AE189" s="966"/>
      <c r="AF189" s="966"/>
      <c r="AG189" s="964"/>
    </row>
    <row r="190" spans="1:33" s="112" customFormat="1" ht="21" customHeight="1">
      <c r="A190" s="867"/>
      <c r="B190" s="831"/>
      <c r="C190" s="992"/>
      <c r="D190" s="992"/>
      <c r="E190" s="992"/>
      <c r="F190" s="992"/>
      <c r="G190" s="992"/>
      <c r="H190" s="955"/>
      <c r="I190" s="955"/>
      <c r="J190" s="1028"/>
      <c r="K190" s="1028"/>
      <c r="L190" s="1028"/>
      <c r="M190" s="1028"/>
      <c r="N190" s="1028"/>
      <c r="O190" s="1028"/>
      <c r="P190" s="1028"/>
      <c r="Q190" s="882"/>
      <c r="R190" s="991"/>
      <c r="S190" s="991"/>
      <c r="T190" s="965"/>
      <c r="U190" s="965"/>
      <c r="V190" s="965"/>
      <c r="W190" s="966"/>
      <c r="X190" s="1013"/>
      <c r="Y190" s="1013"/>
      <c r="Z190" s="980"/>
      <c r="AA190" s="980"/>
      <c r="AB190" s="965"/>
      <c r="AC190" s="965"/>
      <c r="AD190" s="965"/>
      <c r="AE190" s="966"/>
      <c r="AF190" s="966"/>
      <c r="AG190" s="964"/>
    </row>
    <row r="191" spans="1:33" s="112" customFormat="1" ht="21" hidden="1" customHeight="1">
      <c r="A191" s="1021"/>
      <c r="B191" s="994"/>
      <c r="C191" s="959"/>
      <c r="D191" s="959"/>
      <c r="E191" s="959"/>
      <c r="F191" s="959"/>
      <c r="G191" s="959"/>
      <c r="H191" s="484"/>
      <c r="I191" s="484"/>
      <c r="J191" s="962"/>
      <c r="K191" s="962"/>
      <c r="L191" s="962"/>
      <c r="M191" s="962"/>
      <c r="N191" s="962"/>
      <c r="O191" s="962"/>
      <c r="P191" s="962"/>
      <c r="Q191" s="884"/>
      <c r="R191" s="991"/>
      <c r="S191" s="991"/>
      <c r="T191" s="965"/>
      <c r="U191" s="965"/>
      <c r="V191" s="965"/>
      <c r="W191" s="966"/>
      <c r="X191" s="1013"/>
      <c r="Y191" s="1013"/>
      <c r="Z191" s="980"/>
      <c r="AA191" s="980"/>
      <c r="AB191" s="965"/>
      <c r="AC191" s="965"/>
      <c r="AD191" s="965"/>
      <c r="AE191" s="966"/>
      <c r="AF191" s="966"/>
      <c r="AG191" s="964"/>
    </row>
    <row r="192" spans="1:33" s="112" customFormat="1" ht="21" hidden="1" customHeight="1">
      <c r="A192" s="1021"/>
      <c r="B192" s="994"/>
      <c r="C192" s="959"/>
      <c r="D192" s="959"/>
      <c r="E192" s="959"/>
      <c r="F192" s="959"/>
      <c r="G192" s="959"/>
      <c r="H192" s="484"/>
      <c r="I192" s="484"/>
      <c r="J192" s="962"/>
      <c r="K192" s="962"/>
      <c r="L192" s="962"/>
      <c r="M192" s="962"/>
      <c r="N192" s="962"/>
      <c r="O192" s="962"/>
      <c r="P192" s="962"/>
      <c r="Q192" s="884"/>
      <c r="R192" s="991"/>
      <c r="S192" s="991"/>
      <c r="T192" s="965"/>
      <c r="U192" s="965"/>
      <c r="V192" s="965"/>
      <c r="W192" s="966"/>
      <c r="X192" s="1013"/>
      <c r="Y192" s="1013"/>
      <c r="Z192" s="980">
        <v>750</v>
      </c>
      <c r="AA192" s="980"/>
      <c r="AB192" s="965"/>
      <c r="AC192" s="965"/>
      <c r="AD192" s="965"/>
      <c r="AE192" s="966"/>
      <c r="AF192" s="966"/>
      <c r="AG192" s="964"/>
    </row>
    <row r="193" spans="1:111" s="112" customFormat="1" ht="21" hidden="1" customHeight="1">
      <c r="A193" s="1021"/>
      <c r="B193" s="994"/>
      <c r="C193" s="959"/>
      <c r="D193" s="959"/>
      <c r="E193" s="959"/>
      <c r="F193" s="959"/>
      <c r="G193" s="959"/>
      <c r="H193" s="484"/>
      <c r="I193" s="484"/>
      <c r="J193" s="962"/>
      <c r="K193" s="962"/>
      <c r="L193" s="962"/>
      <c r="M193" s="962"/>
      <c r="N193" s="962"/>
      <c r="O193" s="962"/>
      <c r="P193" s="962"/>
      <c r="Q193" s="884"/>
      <c r="R193" s="991"/>
      <c r="S193" s="991"/>
      <c r="T193" s="965"/>
      <c r="U193" s="965"/>
      <c r="V193" s="965"/>
      <c r="W193" s="966"/>
      <c r="X193" s="1013"/>
      <c r="Y193" s="1013"/>
      <c r="Z193" s="980">
        <f>Z192/24</f>
        <v>31.25</v>
      </c>
      <c r="AA193" s="980"/>
      <c r="AB193" s="965"/>
      <c r="AC193" s="965"/>
      <c r="AD193" s="965"/>
      <c r="AE193" s="966"/>
      <c r="AF193" s="966"/>
      <c r="AG193" s="964"/>
    </row>
    <row r="194" spans="1:111" s="112" customFormat="1" ht="21" hidden="1" customHeight="1">
      <c r="A194" s="865" t="s">
        <v>434</v>
      </c>
      <c r="B194" s="1260" t="s">
        <v>435</v>
      </c>
      <c r="C194" s="1260"/>
      <c r="D194" s="959"/>
      <c r="E194" s="959"/>
      <c r="F194" s="959"/>
      <c r="G194" s="959"/>
      <c r="H194" s="959"/>
      <c r="I194" s="959"/>
      <c r="J194" s="959"/>
      <c r="K194" s="959"/>
      <c r="L194" s="959"/>
      <c r="M194" s="959"/>
      <c r="N194" s="959"/>
      <c r="O194" s="959"/>
      <c r="P194" s="959"/>
      <c r="Q194" s="884"/>
      <c r="R194" s="1269"/>
      <c r="S194" s="1269"/>
      <c r="T194" s="966"/>
      <c r="U194" s="966"/>
      <c r="V194" s="966"/>
      <c r="W194" s="966"/>
      <c r="X194" s="966"/>
      <c r="Y194" s="966"/>
      <c r="Z194" s="966">
        <f>Z193*2</f>
        <v>62.5</v>
      </c>
      <c r="AA194" s="966"/>
      <c r="AB194" s="966"/>
      <c r="AC194" s="966"/>
      <c r="AD194" s="966"/>
      <c r="AE194" s="966"/>
      <c r="AF194" s="966"/>
      <c r="AG194" s="964"/>
    </row>
    <row r="195" spans="1:111" s="112" customFormat="1" ht="21" hidden="1" customHeight="1">
      <c r="A195" s="865" t="s">
        <v>436</v>
      </c>
      <c r="B195" s="1267" t="s">
        <v>437</v>
      </c>
      <c r="C195" s="1267"/>
      <c r="D195" s="1267"/>
      <c r="E195" s="1266" t="s">
        <v>438</v>
      </c>
      <c r="F195" s="1266"/>
      <c r="G195" s="1266"/>
      <c r="H195" s="1266" t="s">
        <v>439</v>
      </c>
      <c r="I195" s="1266"/>
      <c r="J195" s="1266"/>
      <c r="K195" s="1266" t="s">
        <v>440</v>
      </c>
      <c r="L195" s="1266"/>
      <c r="M195" s="1266"/>
      <c r="N195" s="1266" t="s">
        <v>441</v>
      </c>
      <c r="O195" s="1266"/>
      <c r="P195" s="959"/>
      <c r="Q195" s="884"/>
      <c r="R195" s="1269"/>
      <c r="S195" s="1269"/>
      <c r="T195" s="1269"/>
      <c r="U195" s="1269"/>
      <c r="V195" s="1269"/>
      <c r="W195" s="1269"/>
      <c r="X195" s="1269"/>
      <c r="Y195" s="1269"/>
      <c r="Z195" s="1269"/>
      <c r="AA195" s="1269"/>
      <c r="AB195" s="1269"/>
      <c r="AC195" s="1269"/>
      <c r="AD195" s="1269"/>
      <c r="AE195" s="1269"/>
      <c r="AF195" s="966"/>
      <c r="AG195" s="964"/>
    </row>
    <row r="196" spans="1:111" s="112" customFormat="1" ht="21" hidden="1" customHeight="1">
      <c r="A196" s="859"/>
      <c r="B196" s="1267" t="s">
        <v>442</v>
      </c>
      <c r="C196" s="1267"/>
      <c r="D196" s="1267"/>
      <c r="E196" s="1283">
        <f>J66</f>
        <v>166.66666666666666</v>
      </c>
      <c r="F196" s="1283"/>
      <c r="G196" s="1283"/>
      <c r="H196" s="1283">
        <f>E196/E182*24</f>
        <v>2.5806451612903221</v>
      </c>
      <c r="I196" s="1283"/>
      <c r="J196" s="1283"/>
      <c r="K196" s="1290">
        <f>H196/H199</f>
        <v>0.1834059634409268</v>
      </c>
      <c r="L196" s="1290"/>
      <c r="M196" s="1290"/>
      <c r="N196" s="1266"/>
      <c r="O196" s="1266"/>
      <c r="P196" s="959"/>
      <c r="Q196" s="884"/>
      <c r="R196" s="1269"/>
      <c r="S196" s="1269"/>
      <c r="T196" s="1269"/>
      <c r="U196" s="1353"/>
      <c r="V196" s="1353"/>
      <c r="W196" s="1353"/>
      <c r="X196" s="1353"/>
      <c r="Y196" s="1353"/>
      <c r="Z196" s="1353"/>
      <c r="AA196" s="1355"/>
      <c r="AB196" s="1355"/>
      <c r="AC196" s="1355"/>
      <c r="AD196" s="1269"/>
      <c r="AE196" s="1269"/>
      <c r="AF196" s="966"/>
      <c r="AG196" s="964"/>
    </row>
    <row r="197" spans="1:111" s="112" customFormat="1" ht="21" hidden="1" customHeight="1">
      <c r="A197" s="859"/>
      <c r="B197" s="1404" t="s">
        <v>443</v>
      </c>
      <c r="C197" s="1404"/>
      <c r="D197" s="1404"/>
      <c r="E197" s="1403">
        <f>I143</f>
        <v>228.24744679875042</v>
      </c>
      <c r="F197" s="1403"/>
      <c r="G197" s="1403"/>
      <c r="H197" s="1403">
        <f>E197/E182*24</f>
        <v>3.5341540149483937</v>
      </c>
      <c r="I197" s="1403"/>
      <c r="J197" s="1403"/>
      <c r="K197" s="1399">
        <f>H197/H199</f>
        <v>0.25117165729833907</v>
      </c>
      <c r="L197" s="1399"/>
      <c r="M197" s="1399"/>
      <c r="N197" s="1401"/>
      <c r="O197" s="1401"/>
      <c r="P197" s="959"/>
      <c r="Q197" s="884"/>
      <c r="R197" s="1269"/>
      <c r="S197" s="1269"/>
      <c r="T197" s="1269"/>
      <c r="U197" s="1353"/>
      <c r="V197" s="1353"/>
      <c r="W197" s="1353"/>
      <c r="X197" s="1353"/>
      <c r="Y197" s="1353"/>
      <c r="Z197" s="1353"/>
      <c r="AA197" s="1355"/>
      <c r="AB197" s="1355"/>
      <c r="AC197" s="1355"/>
      <c r="AD197" s="1269"/>
      <c r="AE197" s="1269"/>
      <c r="AF197" s="966"/>
      <c r="AG197" s="964"/>
    </row>
    <row r="198" spans="1:111" s="112" customFormat="1" ht="21" hidden="1" customHeight="1">
      <c r="A198" s="859"/>
      <c r="B198" s="1267" t="s">
        <v>444</v>
      </c>
      <c r="C198" s="1267"/>
      <c r="D198" s="1267"/>
      <c r="E198" s="1283">
        <f>J175</f>
        <v>513.81678895340349</v>
      </c>
      <c r="F198" s="1283"/>
      <c r="G198" s="1283"/>
      <c r="H198" s="1283">
        <f>E198/E182*24</f>
        <v>7.9558728612139893</v>
      </c>
      <c r="I198" s="1283"/>
      <c r="J198" s="1283"/>
      <c r="K198" s="1290">
        <f>H198/H199</f>
        <v>0.56542237926073402</v>
      </c>
      <c r="L198" s="1290"/>
      <c r="M198" s="1290"/>
      <c r="N198" s="1266"/>
      <c r="O198" s="1266"/>
      <c r="P198" s="959"/>
      <c r="Q198" s="884"/>
      <c r="R198" s="1269"/>
      <c r="S198" s="1269"/>
      <c r="T198" s="1269"/>
      <c r="U198" s="1353"/>
      <c r="V198" s="1353"/>
      <c r="W198" s="1353"/>
      <c r="X198" s="1353"/>
      <c r="Y198" s="1353"/>
      <c r="Z198" s="1353"/>
      <c r="AA198" s="1355"/>
      <c r="AB198" s="1355"/>
      <c r="AC198" s="1355"/>
      <c r="AD198" s="1269"/>
      <c r="AE198" s="1269"/>
      <c r="AF198" s="966"/>
      <c r="AG198" s="964"/>
    </row>
    <row r="199" spans="1:111" s="112" customFormat="1" ht="21" hidden="1" customHeight="1">
      <c r="A199" s="1020"/>
      <c r="B199" s="1400" t="s">
        <v>445</v>
      </c>
      <c r="C199" s="1400"/>
      <c r="D199" s="1400"/>
      <c r="E199" s="1402">
        <f>SUM(E196:G198)</f>
        <v>908.73090241882051</v>
      </c>
      <c r="F199" s="1402"/>
      <c r="G199" s="1402"/>
      <c r="H199" s="1405">
        <f>SUM(H196:J198)</f>
        <v>14.070672037452706</v>
      </c>
      <c r="I199" s="1405"/>
      <c r="J199" s="1405"/>
      <c r="K199" s="1427">
        <f>SUM(K196:M198)</f>
        <v>0.99999999999999989</v>
      </c>
      <c r="L199" s="1427"/>
      <c r="M199" s="1427"/>
      <c r="N199" s="1398"/>
      <c r="O199" s="1398"/>
      <c r="P199" s="992"/>
      <c r="Q199" s="882"/>
      <c r="R199" s="1269"/>
      <c r="S199" s="1269"/>
      <c r="T199" s="1269"/>
      <c r="U199" s="1354"/>
      <c r="V199" s="1354"/>
      <c r="W199" s="1354"/>
      <c r="X199" s="1353"/>
      <c r="Y199" s="1353"/>
      <c r="Z199" s="1353"/>
      <c r="AA199" s="1355"/>
      <c r="AB199" s="1355"/>
      <c r="AC199" s="1355"/>
      <c r="AD199" s="1269"/>
      <c r="AE199" s="1269"/>
      <c r="AF199" s="966"/>
      <c r="AG199" s="964"/>
    </row>
    <row r="200" spans="1:111" s="112" customFormat="1" ht="21" hidden="1" customHeight="1">
      <c r="A200" s="859"/>
      <c r="B200" s="1260" t="s">
        <v>446</v>
      </c>
      <c r="C200" s="1260"/>
      <c r="D200" s="1260"/>
      <c r="E200" s="959"/>
      <c r="F200" s="959"/>
      <c r="G200" s="959"/>
      <c r="H200" s="959"/>
      <c r="I200" s="959"/>
      <c r="J200" s="959"/>
      <c r="K200" s="959"/>
      <c r="L200" s="959"/>
      <c r="M200" s="959"/>
      <c r="N200" s="959"/>
      <c r="O200" s="959"/>
      <c r="P200" s="959"/>
      <c r="Q200" s="884"/>
      <c r="R200" s="1269"/>
      <c r="S200" s="1269"/>
      <c r="T200" s="1269"/>
      <c r="U200" s="966"/>
      <c r="V200" s="966"/>
      <c r="W200" s="966"/>
      <c r="X200" s="966"/>
      <c r="Y200" s="966"/>
      <c r="Z200" s="966"/>
      <c r="AA200" s="966"/>
      <c r="AB200" s="966"/>
      <c r="AC200" s="966"/>
      <c r="AD200" s="966"/>
      <c r="AE200" s="966"/>
      <c r="AF200" s="966"/>
      <c r="AG200" s="964"/>
      <c r="AH200" s="964"/>
      <c r="AI200" s="964"/>
      <c r="AJ200" s="964"/>
      <c r="AK200" s="964"/>
      <c r="AL200" s="964"/>
      <c r="AM200" s="964"/>
      <c r="AN200" s="964"/>
      <c r="AO200" s="964"/>
      <c r="AP200" s="964"/>
      <c r="AQ200" s="964"/>
      <c r="AR200" s="964"/>
      <c r="AS200" s="964"/>
      <c r="AT200" s="964"/>
      <c r="AU200" s="964"/>
      <c r="AV200" s="964"/>
      <c r="AW200" s="964"/>
      <c r="AX200" s="964"/>
      <c r="AY200" s="964"/>
      <c r="AZ200" s="964"/>
      <c r="BA200" s="964"/>
      <c r="BB200" s="964"/>
      <c r="BC200" s="964"/>
      <c r="BD200" s="964"/>
      <c r="BE200" s="964"/>
      <c r="BF200" s="964"/>
      <c r="BG200" s="964"/>
      <c r="BH200" s="964"/>
      <c r="BI200" s="964"/>
      <c r="BJ200" s="964"/>
      <c r="BK200" s="964"/>
      <c r="BL200" s="964"/>
      <c r="BM200" s="964"/>
      <c r="BN200" s="964"/>
      <c r="BO200" s="964"/>
      <c r="BP200" s="964"/>
      <c r="BQ200" s="964"/>
      <c r="BR200" s="964"/>
      <c r="BS200" s="964"/>
      <c r="BT200" s="964"/>
      <c r="BU200" s="964"/>
      <c r="BV200" s="964"/>
      <c r="BW200" s="964"/>
      <c r="BX200" s="964"/>
      <c r="BY200" s="964"/>
      <c r="BZ200" s="964"/>
      <c r="CA200" s="964"/>
      <c r="CB200" s="964"/>
      <c r="CC200" s="964"/>
      <c r="CD200" s="964"/>
      <c r="CE200" s="964"/>
      <c r="CF200" s="964"/>
      <c r="CG200" s="964"/>
      <c r="CH200" s="964"/>
      <c r="CI200" s="964"/>
      <c r="CJ200" s="964"/>
      <c r="CK200" s="964"/>
      <c r="CL200" s="964"/>
      <c r="CM200" s="964"/>
      <c r="CN200" s="964"/>
      <c r="CO200" s="964"/>
      <c r="CP200" s="964"/>
      <c r="CQ200" s="964"/>
      <c r="CR200" s="964"/>
      <c r="CS200" s="964"/>
      <c r="CT200" s="964"/>
      <c r="CU200" s="964"/>
      <c r="CV200" s="964"/>
      <c r="CW200" s="964"/>
      <c r="CX200" s="964"/>
      <c r="CY200" s="964"/>
      <c r="CZ200" s="964"/>
      <c r="DA200" s="964"/>
      <c r="DB200" s="964"/>
      <c r="DC200" s="964"/>
      <c r="DD200" s="964"/>
      <c r="DE200" s="964"/>
      <c r="DF200" s="964"/>
      <c r="DG200" s="964"/>
    </row>
    <row r="201" spans="1:111" s="112" customFormat="1" ht="21" hidden="1" customHeight="1">
      <c r="A201" s="859"/>
      <c r="B201" s="1267" t="s">
        <v>437</v>
      </c>
      <c r="C201" s="1267"/>
      <c r="D201" s="1267"/>
      <c r="E201" s="1266" t="s">
        <v>438</v>
      </c>
      <c r="F201" s="1266"/>
      <c r="G201" s="1266"/>
      <c r="H201" s="1266" t="s">
        <v>439</v>
      </c>
      <c r="I201" s="1266"/>
      <c r="J201" s="1266"/>
      <c r="K201" s="1266" t="s">
        <v>440</v>
      </c>
      <c r="L201" s="1266"/>
      <c r="M201" s="1266"/>
      <c r="N201" s="1266" t="s">
        <v>441</v>
      </c>
      <c r="O201" s="1266"/>
      <c r="P201" s="959"/>
      <c r="Q201" s="884"/>
      <c r="R201" s="1269"/>
      <c r="S201" s="1269"/>
      <c r="T201" s="1269"/>
      <c r="U201" s="1269"/>
      <c r="V201" s="1269"/>
      <c r="W201" s="1269"/>
      <c r="X201" s="1269"/>
      <c r="Y201" s="1269"/>
      <c r="Z201" s="1269"/>
      <c r="AA201" s="1269"/>
      <c r="AB201" s="1269"/>
      <c r="AC201" s="1269"/>
      <c r="AD201" s="1269"/>
      <c r="AE201" s="1269"/>
      <c r="AF201" s="966"/>
      <c r="AG201" s="964"/>
      <c r="AH201" s="964"/>
      <c r="AI201" s="964"/>
      <c r="AJ201" s="964"/>
      <c r="AK201" s="964"/>
      <c r="AL201" s="964"/>
      <c r="AM201" s="964"/>
      <c r="AN201" s="964"/>
      <c r="AO201" s="964"/>
      <c r="AP201" s="964"/>
      <c r="AQ201" s="964"/>
      <c r="AR201" s="964"/>
      <c r="AS201" s="964"/>
      <c r="AT201" s="964"/>
      <c r="AU201" s="964"/>
      <c r="AV201" s="964"/>
      <c r="AW201" s="964"/>
      <c r="AX201" s="964"/>
      <c r="AY201" s="964"/>
      <c r="AZ201" s="964"/>
      <c r="BA201" s="964"/>
      <c r="BB201" s="964"/>
      <c r="BC201" s="964"/>
      <c r="BD201" s="964"/>
      <c r="BE201" s="964"/>
      <c r="BF201" s="964"/>
      <c r="BG201" s="964"/>
      <c r="BH201" s="964"/>
      <c r="BI201" s="964"/>
      <c r="BJ201" s="964"/>
      <c r="BK201" s="964"/>
      <c r="BL201" s="964"/>
      <c r="BM201" s="964"/>
      <c r="BN201" s="964"/>
      <c r="BO201" s="964"/>
      <c r="BP201" s="964"/>
      <c r="BQ201" s="964"/>
      <c r="BR201" s="964"/>
      <c r="BS201" s="964"/>
      <c r="BT201" s="964"/>
      <c r="BU201" s="964"/>
      <c r="BV201" s="964"/>
      <c r="BW201" s="964"/>
      <c r="BX201" s="964"/>
      <c r="BY201" s="964"/>
      <c r="BZ201" s="964"/>
      <c r="CA201" s="964"/>
      <c r="CB201" s="964"/>
      <c r="CC201" s="964"/>
      <c r="CD201" s="964"/>
      <c r="CE201" s="964"/>
      <c r="CF201" s="964"/>
      <c r="CG201" s="964"/>
      <c r="CH201" s="964"/>
      <c r="CI201" s="964"/>
      <c r="CJ201" s="964"/>
      <c r="CK201" s="964"/>
      <c r="CL201" s="964"/>
      <c r="CM201" s="964"/>
      <c r="CN201" s="964"/>
      <c r="CO201" s="964"/>
      <c r="CP201" s="964"/>
      <c r="CQ201" s="964"/>
      <c r="CR201" s="964"/>
      <c r="CS201" s="964"/>
      <c r="CT201" s="964"/>
      <c r="CU201" s="964"/>
      <c r="CV201" s="964"/>
      <c r="CW201" s="964"/>
      <c r="CX201" s="964"/>
      <c r="CY201" s="964"/>
      <c r="CZ201" s="964"/>
      <c r="DA201" s="964"/>
      <c r="DB201" s="964"/>
      <c r="DC201" s="964"/>
      <c r="DD201" s="964"/>
      <c r="DE201" s="964"/>
      <c r="DF201" s="964"/>
      <c r="DG201" s="964"/>
    </row>
    <row r="202" spans="1:111" s="112" customFormat="1" ht="21" hidden="1" customHeight="1">
      <c r="A202" s="859"/>
      <c r="B202" s="1267" t="s">
        <v>442</v>
      </c>
      <c r="C202" s="1267"/>
      <c r="D202" s="1267"/>
      <c r="E202" s="1283">
        <f>L72</f>
        <v>522</v>
      </c>
      <c r="F202" s="1283"/>
      <c r="G202" s="1283"/>
      <c r="H202" s="1283">
        <f>L74</f>
        <v>3.1320000000000001</v>
      </c>
      <c r="I202" s="1283"/>
      <c r="J202" s="1283"/>
      <c r="K202" s="1290">
        <f>H202/H205</f>
        <v>0.19719621157098915</v>
      </c>
      <c r="L202" s="1290"/>
      <c r="M202" s="1290"/>
      <c r="N202" s="1266"/>
      <c r="O202" s="1266"/>
      <c r="P202" s="959"/>
      <c r="Q202" s="884"/>
      <c r="R202" s="1269"/>
      <c r="S202" s="1269"/>
      <c r="T202" s="1269"/>
      <c r="U202" s="1353"/>
      <c r="V202" s="1353"/>
      <c r="W202" s="1353"/>
      <c r="X202" s="1353"/>
      <c r="Y202" s="1353"/>
      <c r="Z202" s="1353"/>
      <c r="AA202" s="1355"/>
      <c r="AB202" s="1355"/>
      <c r="AC202" s="1355"/>
      <c r="AD202" s="1269"/>
      <c r="AE202" s="1269"/>
      <c r="AF202" s="966"/>
      <c r="AG202" s="964"/>
      <c r="AH202" s="964"/>
      <c r="AI202" s="964"/>
      <c r="AJ202" s="964"/>
      <c r="AK202" s="964"/>
      <c r="AL202" s="964"/>
      <c r="AM202" s="964"/>
      <c r="AN202" s="964"/>
      <c r="AO202" s="964"/>
      <c r="AP202" s="964"/>
      <c r="AQ202" s="964"/>
      <c r="AR202" s="964"/>
      <c r="AS202" s="964"/>
      <c r="AT202" s="964"/>
      <c r="AU202" s="964"/>
      <c r="AV202" s="964"/>
      <c r="AW202" s="964"/>
      <c r="AX202" s="964"/>
      <c r="AY202" s="964"/>
      <c r="AZ202" s="964"/>
      <c r="BA202" s="964"/>
      <c r="BB202" s="964"/>
      <c r="BC202" s="964"/>
      <c r="BD202" s="964"/>
      <c r="BE202" s="964"/>
      <c r="BF202" s="964"/>
      <c r="BG202" s="964"/>
      <c r="BH202" s="964"/>
      <c r="BI202" s="964"/>
      <c r="BJ202" s="964"/>
      <c r="BK202" s="964"/>
      <c r="BL202" s="964"/>
      <c r="BM202" s="964"/>
      <c r="BN202" s="964"/>
      <c r="BO202" s="964"/>
      <c r="BP202" s="964"/>
      <c r="BQ202" s="964"/>
      <c r="BR202" s="964"/>
      <c r="BS202" s="964"/>
      <c r="BT202" s="964"/>
      <c r="BU202" s="964"/>
      <c r="BV202" s="964"/>
      <c r="BW202" s="964"/>
      <c r="BX202" s="964"/>
      <c r="BY202" s="964"/>
      <c r="BZ202" s="964"/>
      <c r="CA202" s="964"/>
      <c r="CB202" s="964"/>
      <c r="CC202" s="964"/>
      <c r="CD202" s="964"/>
      <c r="CE202" s="964"/>
      <c r="CF202" s="964"/>
      <c r="CG202" s="964"/>
      <c r="CH202" s="964"/>
      <c r="CI202" s="964"/>
      <c r="CJ202" s="964"/>
      <c r="CK202" s="964"/>
      <c r="CL202" s="964"/>
      <c r="CM202" s="964"/>
      <c r="CN202" s="964"/>
      <c r="CO202" s="964"/>
      <c r="CP202" s="964"/>
      <c r="CQ202" s="964"/>
      <c r="CR202" s="964"/>
      <c r="CS202" s="964"/>
      <c r="CT202" s="964"/>
      <c r="CU202" s="964"/>
      <c r="CV202" s="964"/>
      <c r="CW202" s="964"/>
      <c r="CX202" s="964"/>
      <c r="CY202" s="964"/>
      <c r="CZ202" s="964"/>
      <c r="DA202" s="964"/>
      <c r="DB202" s="964"/>
      <c r="DC202" s="964"/>
      <c r="DD202" s="964"/>
      <c r="DE202" s="964"/>
      <c r="DF202" s="964"/>
      <c r="DG202" s="964"/>
    </row>
    <row r="203" spans="1:111" s="112" customFormat="1" ht="21" hidden="1" customHeight="1">
      <c r="A203" s="859"/>
      <c r="B203" s="1267" t="s">
        <v>443</v>
      </c>
      <c r="C203" s="1267"/>
      <c r="D203" s="1267"/>
      <c r="E203" s="1283">
        <f>L148</f>
        <v>303.8</v>
      </c>
      <c r="F203" s="1283"/>
      <c r="G203" s="1283"/>
      <c r="H203" s="1283">
        <f>E203/E182*24</f>
        <v>4.7040000000000006</v>
      </c>
      <c r="I203" s="1283"/>
      <c r="J203" s="1283"/>
      <c r="K203" s="1290">
        <f>H203/H205</f>
        <v>0.29617208787673471</v>
      </c>
      <c r="L203" s="1290"/>
      <c r="M203" s="1290"/>
      <c r="N203" s="1266"/>
      <c r="O203" s="1266"/>
      <c r="P203" s="959"/>
      <c r="Q203" s="884"/>
      <c r="R203" s="1269"/>
      <c r="S203" s="1269"/>
      <c r="T203" s="1269"/>
      <c r="U203" s="1353"/>
      <c r="V203" s="1353"/>
      <c r="W203" s="1353"/>
      <c r="X203" s="1353"/>
      <c r="Y203" s="1353"/>
      <c r="Z203" s="1353"/>
      <c r="AA203" s="1355"/>
      <c r="AB203" s="1355"/>
      <c r="AC203" s="1355"/>
      <c r="AD203" s="1269"/>
      <c r="AE203" s="1269"/>
      <c r="AF203" s="966"/>
      <c r="AG203" s="964"/>
      <c r="AH203" s="964"/>
      <c r="AI203" s="964"/>
      <c r="AJ203" s="964"/>
      <c r="AK203" s="964"/>
      <c r="AL203" s="964"/>
      <c r="AM203" s="964"/>
      <c r="AN203" s="964"/>
      <c r="AO203" s="964"/>
      <c r="AP203" s="964"/>
      <c r="AQ203" s="964"/>
      <c r="AR203" s="964"/>
      <c r="AS203" s="964"/>
      <c r="AT203" s="964"/>
      <c r="AU203" s="964"/>
      <c r="AV203" s="964"/>
      <c r="AW203" s="964"/>
      <c r="AX203" s="964"/>
      <c r="AY203" s="964"/>
      <c r="AZ203" s="964"/>
      <c r="BA203" s="964"/>
      <c r="BB203" s="964"/>
      <c r="BC203" s="964"/>
      <c r="BD203" s="964"/>
      <c r="BE203" s="964"/>
      <c r="BF203" s="964"/>
      <c r="BG203" s="964"/>
      <c r="BH203" s="964"/>
      <c r="BI203" s="964"/>
      <c r="BJ203" s="964"/>
      <c r="BK203" s="964"/>
      <c r="BL203" s="964"/>
      <c r="BM203" s="964"/>
      <c r="BN203" s="964"/>
      <c r="BO203" s="964"/>
      <c r="BP203" s="964"/>
      <c r="BQ203" s="964"/>
      <c r="BR203" s="964"/>
      <c r="BS203" s="964"/>
      <c r="BT203" s="964"/>
      <c r="BU203" s="964"/>
      <c r="BV203" s="964"/>
      <c r="BW203" s="964"/>
      <c r="BX203" s="964"/>
      <c r="BY203" s="964"/>
      <c r="BZ203" s="964"/>
      <c r="CA203" s="964"/>
      <c r="CB203" s="964"/>
      <c r="CC203" s="964"/>
      <c r="CD203" s="964"/>
      <c r="CE203" s="964"/>
      <c r="CF203" s="964"/>
      <c r="CG203" s="964"/>
      <c r="CH203" s="964"/>
      <c r="CI203" s="964"/>
      <c r="CJ203" s="964"/>
      <c r="CK203" s="964"/>
      <c r="CL203" s="964"/>
      <c r="CM203" s="964"/>
      <c r="CN203" s="964"/>
      <c r="CO203" s="964"/>
      <c r="CP203" s="964"/>
      <c r="CQ203" s="964"/>
      <c r="CR203" s="964"/>
      <c r="CS203" s="964"/>
      <c r="CT203" s="964"/>
      <c r="CU203" s="964"/>
      <c r="CV203" s="964"/>
      <c r="CW203" s="964"/>
      <c r="CX203" s="964"/>
      <c r="CY203" s="964"/>
      <c r="CZ203" s="964"/>
      <c r="DA203" s="964"/>
      <c r="DB203" s="964"/>
      <c r="DC203" s="964"/>
      <c r="DD203" s="964"/>
      <c r="DE203" s="964"/>
      <c r="DF203" s="964"/>
      <c r="DG203" s="964"/>
    </row>
    <row r="204" spans="1:111" s="112" customFormat="1" ht="21" hidden="1" customHeight="1">
      <c r="A204" s="859"/>
      <c r="B204" s="1267" t="s">
        <v>444</v>
      </c>
      <c r="C204" s="1267"/>
      <c r="D204" s="1267"/>
      <c r="E204" s="1283">
        <f>L181</f>
        <v>519.68000000000006</v>
      </c>
      <c r="F204" s="1283"/>
      <c r="G204" s="1283"/>
      <c r="H204" s="1283">
        <f>E204/E182*24</f>
        <v>8.0466580645161301</v>
      </c>
      <c r="I204" s="1283"/>
      <c r="J204" s="1283"/>
      <c r="K204" s="1290">
        <f>H204/H205</f>
        <v>0.50663170055227613</v>
      </c>
      <c r="L204" s="1290"/>
      <c r="M204" s="1290"/>
      <c r="N204" s="1266"/>
      <c r="O204" s="1266"/>
      <c r="P204" s="959"/>
      <c r="Q204" s="884"/>
      <c r="R204" s="1269"/>
      <c r="S204" s="1269"/>
      <c r="T204" s="1269"/>
      <c r="U204" s="1353"/>
      <c r="V204" s="1353"/>
      <c r="W204" s="1353"/>
      <c r="X204" s="1353"/>
      <c r="Y204" s="1353"/>
      <c r="Z204" s="1353"/>
      <c r="AA204" s="1355"/>
      <c r="AB204" s="1355"/>
      <c r="AC204" s="1355"/>
      <c r="AD204" s="1269"/>
      <c r="AE204" s="1269"/>
      <c r="AF204" s="966"/>
      <c r="AG204" s="964"/>
      <c r="AH204" s="964"/>
      <c r="AI204" s="964"/>
      <c r="AJ204" s="964"/>
      <c r="AK204" s="964"/>
      <c r="AL204" s="964"/>
      <c r="AM204" s="964"/>
      <c r="AN204" s="964"/>
      <c r="AO204" s="964"/>
      <c r="AP204" s="964"/>
      <c r="AQ204" s="964"/>
      <c r="AR204" s="964"/>
      <c r="AS204" s="964"/>
      <c r="AT204" s="964"/>
      <c r="AU204" s="964"/>
      <c r="AV204" s="964"/>
      <c r="AW204" s="964"/>
      <c r="AX204" s="964"/>
      <c r="AY204" s="964"/>
      <c r="AZ204" s="964"/>
      <c r="BA204" s="964"/>
      <c r="BB204" s="964"/>
      <c r="BC204" s="964"/>
      <c r="BD204" s="964"/>
      <c r="BE204" s="964"/>
      <c r="BF204" s="964"/>
      <c r="BG204" s="964"/>
      <c r="BH204" s="964"/>
      <c r="BI204" s="964"/>
      <c r="BJ204" s="964"/>
      <c r="BK204" s="964"/>
      <c r="BL204" s="964"/>
      <c r="BM204" s="964"/>
      <c r="BN204" s="964"/>
      <c r="BO204" s="964"/>
      <c r="BP204" s="964"/>
      <c r="BQ204" s="964"/>
      <c r="BR204" s="964"/>
      <c r="BS204" s="964"/>
      <c r="BT204" s="964"/>
      <c r="BU204" s="964"/>
      <c r="BV204" s="964"/>
      <c r="BW204" s="964"/>
      <c r="BX204" s="964"/>
      <c r="BY204" s="964"/>
      <c r="BZ204" s="964"/>
      <c r="CA204" s="964"/>
      <c r="CB204" s="964"/>
      <c r="CC204" s="964"/>
      <c r="CD204" s="964"/>
      <c r="CE204" s="964"/>
      <c r="CF204" s="964"/>
      <c r="CG204" s="964"/>
      <c r="CH204" s="964"/>
      <c r="CI204" s="964"/>
      <c r="CJ204" s="964"/>
      <c r="CK204" s="964"/>
      <c r="CL204" s="964"/>
      <c r="CM204" s="964"/>
      <c r="CN204" s="964"/>
      <c r="CO204" s="964"/>
      <c r="CP204" s="964"/>
      <c r="CQ204" s="964"/>
      <c r="CR204" s="964"/>
      <c r="CS204" s="964"/>
      <c r="CT204" s="964"/>
      <c r="CU204" s="964"/>
      <c r="CV204" s="964"/>
      <c r="CW204" s="964"/>
      <c r="CX204" s="964"/>
      <c r="CY204" s="964"/>
      <c r="CZ204" s="964"/>
      <c r="DA204" s="964"/>
      <c r="DB204" s="964"/>
      <c r="DC204" s="964"/>
      <c r="DD204" s="964"/>
      <c r="DE204" s="964"/>
      <c r="DF204" s="964"/>
      <c r="DG204" s="964"/>
    </row>
    <row r="205" spans="1:111" s="110" customFormat="1" ht="21" hidden="1" customHeight="1">
      <c r="A205" s="859"/>
      <c r="B205" s="1266" t="s">
        <v>445</v>
      </c>
      <c r="C205" s="1266"/>
      <c r="D205" s="1266"/>
      <c r="E205" s="1289">
        <f>SUM(E202:G204)</f>
        <v>1345.48</v>
      </c>
      <c r="F205" s="1289"/>
      <c r="G205" s="1289"/>
      <c r="H205" s="1283">
        <f>SUM(H202:J204)</f>
        <v>15.88265806451613</v>
      </c>
      <c r="I205" s="1283"/>
      <c r="J205" s="1283"/>
      <c r="K205" s="1290">
        <f>SUM(K202:M204)</f>
        <v>1</v>
      </c>
      <c r="L205" s="1290"/>
      <c r="M205" s="1290"/>
      <c r="N205" s="1266"/>
      <c r="O205" s="1266"/>
      <c r="P205" s="973"/>
      <c r="Q205" s="884"/>
      <c r="R205" s="1269"/>
      <c r="S205" s="1269"/>
      <c r="T205" s="1269"/>
      <c r="U205" s="1354"/>
      <c r="V205" s="1354"/>
      <c r="W205" s="1354"/>
      <c r="X205" s="1353"/>
      <c r="Y205" s="1353"/>
      <c r="Z205" s="1353"/>
      <c r="AA205" s="1355"/>
      <c r="AB205" s="1355"/>
      <c r="AC205" s="1355"/>
      <c r="AD205" s="1269"/>
      <c r="AE205" s="1269"/>
      <c r="AF205" s="966"/>
      <c r="AG205" s="964"/>
      <c r="AH205" s="964"/>
      <c r="AI205" s="964"/>
      <c r="AJ205" s="964"/>
      <c r="AK205" s="964"/>
      <c r="AL205" s="964"/>
      <c r="AM205" s="964"/>
      <c r="AN205" s="964"/>
      <c r="AO205" s="964"/>
      <c r="AP205" s="964"/>
      <c r="AQ205" s="964"/>
      <c r="AR205" s="964"/>
      <c r="AS205" s="964"/>
      <c r="AT205" s="964"/>
      <c r="AU205" s="964"/>
      <c r="AV205" s="964"/>
      <c r="AW205" s="964"/>
      <c r="AX205" s="964"/>
      <c r="AY205" s="964"/>
      <c r="AZ205" s="964"/>
      <c r="BA205" s="964"/>
      <c r="BB205" s="964"/>
      <c r="BC205" s="964"/>
      <c r="BD205" s="964"/>
      <c r="BE205" s="964"/>
      <c r="BF205" s="964"/>
      <c r="BG205" s="964"/>
      <c r="BH205" s="964"/>
      <c r="BI205" s="964"/>
      <c r="BJ205" s="964"/>
      <c r="BK205" s="964"/>
      <c r="BL205" s="964"/>
      <c r="BM205" s="964"/>
      <c r="BN205" s="964"/>
      <c r="BO205" s="964"/>
      <c r="BP205" s="964"/>
      <c r="BQ205" s="964"/>
      <c r="BR205" s="964"/>
      <c r="BS205" s="964"/>
      <c r="BT205" s="964"/>
      <c r="BU205" s="964"/>
      <c r="BV205" s="964"/>
      <c r="BW205" s="964"/>
      <c r="BX205" s="964"/>
      <c r="BY205" s="964"/>
      <c r="BZ205" s="964"/>
      <c r="CA205" s="964"/>
      <c r="CB205" s="964"/>
      <c r="CC205" s="964"/>
      <c r="CD205" s="964"/>
      <c r="CE205" s="964"/>
      <c r="CF205" s="964"/>
      <c r="CG205" s="964"/>
      <c r="CH205" s="964"/>
      <c r="CI205" s="964"/>
      <c r="CJ205" s="964"/>
      <c r="CK205" s="964"/>
      <c r="CL205" s="964"/>
      <c r="CM205" s="964"/>
      <c r="CN205" s="964"/>
      <c r="CO205" s="964"/>
      <c r="CP205" s="964"/>
      <c r="CQ205" s="964"/>
      <c r="CR205" s="964"/>
      <c r="CS205" s="964"/>
      <c r="CT205" s="964"/>
      <c r="CU205" s="964"/>
      <c r="CV205" s="964"/>
      <c r="CW205" s="964"/>
      <c r="CX205" s="964"/>
      <c r="CY205" s="964"/>
      <c r="CZ205" s="964"/>
      <c r="DA205" s="964"/>
      <c r="DB205" s="964"/>
      <c r="DC205" s="964"/>
      <c r="DD205" s="964"/>
      <c r="DE205" s="964"/>
      <c r="DF205" s="964"/>
      <c r="DG205" s="964"/>
    </row>
    <row r="206" spans="1:111" s="964" customFormat="1" ht="21" hidden="1" customHeight="1">
      <c r="A206" s="859"/>
      <c r="B206" s="959"/>
      <c r="C206" s="959"/>
      <c r="D206" s="959"/>
      <c r="E206" s="372"/>
      <c r="F206" s="372"/>
      <c r="G206" s="372"/>
      <c r="H206" s="373"/>
      <c r="I206" s="373"/>
      <c r="J206" s="373"/>
      <c r="K206" s="374"/>
      <c r="L206" s="374"/>
      <c r="M206" s="374"/>
      <c r="N206" s="959"/>
      <c r="O206" s="959"/>
      <c r="P206" s="959"/>
      <c r="Q206" s="884"/>
      <c r="R206" s="966"/>
      <c r="S206" s="966"/>
      <c r="T206" s="966"/>
      <c r="U206" s="1009"/>
      <c r="V206" s="1009"/>
      <c r="W206" s="1009"/>
      <c r="X206" s="1008"/>
      <c r="Y206" s="1008"/>
      <c r="Z206" s="1008"/>
      <c r="AA206" s="1010"/>
      <c r="AB206" s="1010"/>
      <c r="AC206" s="1010"/>
      <c r="AD206" s="966"/>
      <c r="AE206" s="966"/>
      <c r="AF206" s="966"/>
    </row>
    <row r="207" spans="1:111" s="112" customFormat="1" ht="21" hidden="1" customHeight="1">
      <c r="A207" s="866" t="s">
        <v>783</v>
      </c>
      <c r="B207" s="378" t="s">
        <v>56</v>
      </c>
      <c r="C207" s="1268" t="s">
        <v>447</v>
      </c>
      <c r="D207" s="1268"/>
      <c r="E207" s="969"/>
      <c r="F207" s="402">
        <v>20</v>
      </c>
      <c r="G207" s="959" t="s">
        <v>448</v>
      </c>
      <c r="H207" s="402">
        <v>30</v>
      </c>
      <c r="I207" s="1257" t="s">
        <v>449</v>
      </c>
      <c r="J207" s="1257"/>
      <c r="K207" s="1257"/>
      <c r="L207" s="959"/>
      <c r="M207" s="959"/>
      <c r="N207" s="959"/>
      <c r="O207" s="959"/>
      <c r="P207" s="959"/>
      <c r="Q207" s="884"/>
      <c r="R207" s="400"/>
      <c r="S207" s="982"/>
      <c r="T207" s="982"/>
      <c r="U207" s="982"/>
      <c r="V207" s="966"/>
      <c r="W207" s="966"/>
      <c r="X207" s="966"/>
      <c r="Y207" s="1265"/>
      <c r="Z207" s="1265"/>
      <c r="AA207" s="1265"/>
      <c r="AB207" s="966"/>
      <c r="AC207" s="966"/>
      <c r="AD207" s="966"/>
      <c r="AE207" s="966"/>
      <c r="AF207" s="966"/>
      <c r="AG207" s="964"/>
      <c r="AH207" s="964"/>
      <c r="AI207" s="964"/>
      <c r="AJ207" s="964"/>
      <c r="AK207" s="964"/>
      <c r="AL207" s="964"/>
      <c r="AM207" s="964"/>
      <c r="AN207" s="964"/>
      <c r="AO207" s="964"/>
      <c r="AP207" s="964"/>
      <c r="AQ207" s="964"/>
      <c r="AR207" s="964"/>
      <c r="AS207" s="964"/>
      <c r="AT207" s="964"/>
      <c r="AU207" s="964"/>
      <c r="AV207" s="964"/>
      <c r="AW207" s="964"/>
      <c r="AX207" s="964"/>
      <c r="AY207" s="964"/>
      <c r="AZ207" s="964"/>
      <c r="BA207" s="964"/>
      <c r="BB207" s="964"/>
      <c r="BC207" s="964"/>
      <c r="BD207" s="964"/>
      <c r="BE207" s="964"/>
      <c r="BF207" s="964"/>
      <c r="BG207" s="964"/>
      <c r="BH207" s="964"/>
      <c r="BI207" s="964"/>
      <c r="BJ207" s="964"/>
      <c r="BK207" s="964"/>
      <c r="BL207" s="964"/>
      <c r="BM207" s="964"/>
      <c r="BN207" s="964"/>
      <c r="BO207" s="964"/>
      <c r="BP207" s="964"/>
      <c r="BQ207" s="964"/>
      <c r="BR207" s="964"/>
      <c r="BS207" s="964"/>
      <c r="BT207" s="964"/>
      <c r="BU207" s="964"/>
      <c r="BV207" s="964"/>
      <c r="BW207" s="964"/>
      <c r="BX207" s="964"/>
      <c r="BY207" s="964"/>
      <c r="BZ207" s="964"/>
      <c r="CA207" s="964"/>
      <c r="CB207" s="964"/>
      <c r="CC207" s="964"/>
      <c r="CD207" s="964"/>
      <c r="CE207" s="964"/>
      <c r="CF207" s="964"/>
      <c r="CG207" s="964"/>
      <c r="CH207" s="964"/>
      <c r="CI207" s="964"/>
      <c r="CJ207" s="964"/>
      <c r="CK207" s="964"/>
      <c r="CL207" s="964"/>
      <c r="CM207" s="964"/>
      <c r="CN207" s="964"/>
      <c r="CO207" s="964"/>
      <c r="CP207" s="964"/>
      <c r="CQ207" s="964"/>
      <c r="CR207" s="964"/>
      <c r="CS207" s="964"/>
      <c r="CT207" s="964"/>
      <c r="CU207" s="964"/>
      <c r="CV207" s="964"/>
      <c r="CW207" s="964"/>
      <c r="CX207" s="964"/>
      <c r="CY207" s="964"/>
      <c r="CZ207" s="964"/>
      <c r="DA207" s="964"/>
      <c r="DB207" s="964"/>
      <c r="DC207" s="964"/>
      <c r="DD207" s="964"/>
      <c r="DE207" s="964"/>
      <c r="DF207" s="964"/>
      <c r="DG207" s="964"/>
    </row>
    <row r="208" spans="1:111" s="112" customFormat="1" ht="21" hidden="1" customHeight="1">
      <c r="A208" s="860" t="s">
        <v>450</v>
      </c>
      <c r="B208" s="378" t="s">
        <v>56</v>
      </c>
      <c r="C208" s="1268" t="s">
        <v>451</v>
      </c>
      <c r="D208" s="1268"/>
      <c r="E208" s="969"/>
      <c r="F208" s="403">
        <v>2.5</v>
      </c>
      <c r="G208" s="959" t="s">
        <v>448</v>
      </c>
      <c r="H208" s="403">
        <v>4</v>
      </c>
      <c r="I208" s="959" t="s">
        <v>308</v>
      </c>
      <c r="J208" s="959"/>
      <c r="K208" s="959"/>
      <c r="L208" s="959"/>
      <c r="M208" s="959"/>
      <c r="N208" s="959"/>
      <c r="O208" s="959"/>
      <c r="P208" s="959"/>
      <c r="Q208" s="884"/>
      <c r="R208" s="400"/>
      <c r="S208" s="982"/>
      <c r="T208" s="982"/>
      <c r="U208" s="982"/>
      <c r="V208" s="966"/>
      <c r="W208" s="966"/>
      <c r="X208" s="966"/>
      <c r="Y208" s="966"/>
      <c r="Z208" s="966"/>
      <c r="AA208" s="966"/>
      <c r="AB208" s="966"/>
      <c r="AC208" s="966"/>
      <c r="AD208" s="966"/>
      <c r="AE208" s="966"/>
      <c r="AF208" s="966"/>
      <c r="AG208" s="964"/>
      <c r="AH208" s="964"/>
      <c r="AI208" s="964"/>
      <c r="AJ208" s="964"/>
      <c r="AK208" s="964"/>
      <c r="AL208" s="964"/>
      <c r="AM208" s="964"/>
      <c r="AN208" s="964"/>
      <c r="AO208" s="964"/>
      <c r="AP208" s="964"/>
      <c r="AQ208" s="964"/>
      <c r="AR208" s="964"/>
      <c r="AS208" s="964"/>
      <c r="AT208" s="964"/>
      <c r="AU208" s="964"/>
      <c r="AV208" s="964"/>
      <c r="AW208" s="964"/>
      <c r="AX208" s="964"/>
      <c r="AY208" s="964"/>
      <c r="AZ208" s="964"/>
      <c r="BA208" s="964"/>
      <c r="BB208" s="964"/>
      <c r="BC208" s="964"/>
      <c r="BD208" s="964"/>
      <c r="BE208" s="964"/>
      <c r="BF208" s="964"/>
      <c r="BG208" s="964"/>
      <c r="BH208" s="964"/>
      <c r="BI208" s="964"/>
      <c r="BJ208" s="964"/>
      <c r="BK208" s="964"/>
      <c r="BL208" s="964"/>
      <c r="BM208" s="964"/>
      <c r="BN208" s="964"/>
      <c r="BO208" s="964"/>
      <c r="BP208" s="964"/>
      <c r="BQ208" s="964"/>
      <c r="BR208" s="964"/>
      <c r="BS208" s="964"/>
      <c r="BT208" s="964"/>
      <c r="BU208" s="964"/>
      <c r="BV208" s="964"/>
      <c r="BW208" s="964"/>
      <c r="BX208" s="964"/>
      <c r="BY208" s="964"/>
      <c r="BZ208" s="964"/>
      <c r="CA208" s="964"/>
      <c r="CB208" s="964"/>
      <c r="CC208" s="964"/>
      <c r="CD208" s="964"/>
      <c r="CE208" s="964"/>
      <c r="CF208" s="964"/>
      <c r="CG208" s="964"/>
      <c r="CH208" s="964"/>
      <c r="CI208" s="964"/>
      <c r="CJ208" s="964"/>
      <c r="CK208" s="964"/>
      <c r="CL208" s="964"/>
      <c r="CM208" s="964"/>
      <c r="CN208" s="964"/>
      <c r="CO208" s="964"/>
      <c r="CP208" s="964"/>
      <c r="CQ208" s="964"/>
      <c r="CR208" s="964"/>
      <c r="CS208" s="964"/>
      <c r="CT208" s="964"/>
      <c r="CU208" s="964"/>
      <c r="CV208" s="964"/>
      <c r="CW208" s="964"/>
      <c r="CX208" s="964"/>
      <c r="CY208" s="964"/>
      <c r="CZ208" s="964"/>
      <c r="DA208" s="964"/>
      <c r="DB208" s="964"/>
      <c r="DC208" s="964"/>
      <c r="DD208" s="964"/>
      <c r="DE208" s="964"/>
      <c r="DF208" s="964"/>
      <c r="DG208" s="964"/>
    </row>
    <row r="209" spans="1:111" s="112" customFormat="1" ht="21" hidden="1" customHeight="1">
      <c r="A209" s="859"/>
      <c r="B209" s="378" t="s">
        <v>56</v>
      </c>
      <c r="C209" s="1268" t="s">
        <v>452</v>
      </c>
      <c r="D209" s="1268"/>
      <c r="E209" s="969"/>
      <c r="F209" s="402">
        <v>3</v>
      </c>
      <c r="G209" s="959" t="s">
        <v>448</v>
      </c>
      <c r="H209" s="402">
        <v>5</v>
      </c>
      <c r="I209" s="959" t="s">
        <v>301</v>
      </c>
      <c r="J209" s="959"/>
      <c r="K209" s="959"/>
      <c r="L209" s="959"/>
      <c r="M209" s="959"/>
      <c r="N209" s="959"/>
      <c r="O209" s="959"/>
      <c r="P209" s="959"/>
      <c r="Q209" s="884"/>
      <c r="R209" s="400"/>
      <c r="S209" s="982"/>
      <c r="T209" s="982"/>
      <c r="U209" s="982"/>
      <c r="V209" s="966"/>
      <c r="W209" s="966"/>
      <c r="X209" s="966"/>
      <c r="Y209" s="966"/>
      <c r="Z209" s="966"/>
      <c r="AA209" s="966"/>
      <c r="AB209" s="966"/>
      <c r="AC209" s="966"/>
      <c r="AD209" s="966"/>
      <c r="AE209" s="966"/>
      <c r="AF209" s="966"/>
      <c r="AG209" s="964"/>
      <c r="AH209" s="964"/>
      <c r="AI209" s="964"/>
      <c r="AJ209" s="964"/>
      <c r="AK209" s="964"/>
      <c r="AL209" s="964"/>
      <c r="AM209" s="964"/>
      <c r="AN209" s="964"/>
      <c r="AO209" s="964"/>
      <c r="AP209" s="964"/>
      <c r="AQ209" s="964"/>
      <c r="AR209" s="964"/>
      <c r="AS209" s="964"/>
      <c r="AT209" s="964"/>
      <c r="AU209" s="964"/>
      <c r="AV209" s="964"/>
      <c r="AW209" s="964"/>
      <c r="AX209" s="964"/>
      <c r="AY209" s="964"/>
      <c r="AZ209" s="964"/>
      <c r="BA209" s="964"/>
      <c r="BB209" s="964"/>
      <c r="BC209" s="964"/>
      <c r="BD209" s="964"/>
      <c r="BE209" s="964"/>
      <c r="BF209" s="964"/>
      <c r="BG209" s="964"/>
      <c r="BH209" s="964"/>
      <c r="BI209" s="964"/>
      <c r="BJ209" s="964"/>
      <c r="BK209" s="964"/>
      <c r="BL209" s="964"/>
      <c r="BM209" s="964"/>
      <c r="BN209" s="964"/>
      <c r="BO209" s="964"/>
      <c r="BP209" s="964"/>
      <c r="BQ209" s="964"/>
      <c r="BR209" s="964"/>
      <c r="BS209" s="964"/>
      <c r="BT209" s="964"/>
      <c r="BU209" s="964"/>
      <c r="BV209" s="964"/>
      <c r="BW209" s="964"/>
      <c r="BX209" s="964"/>
      <c r="BY209" s="964"/>
      <c r="BZ209" s="964"/>
      <c r="CA209" s="964"/>
      <c r="CB209" s="964"/>
      <c r="CC209" s="964"/>
      <c r="CD209" s="964"/>
      <c r="CE209" s="964"/>
      <c r="CF209" s="964"/>
      <c r="CG209" s="964"/>
      <c r="CH209" s="964"/>
      <c r="CI209" s="964"/>
      <c r="CJ209" s="964"/>
      <c r="CK209" s="964"/>
      <c r="CL209" s="964"/>
      <c r="CM209" s="964"/>
      <c r="CN209" s="964"/>
      <c r="CO209" s="964"/>
      <c r="CP209" s="964"/>
      <c r="CQ209" s="964"/>
      <c r="CR209" s="964"/>
      <c r="CS209" s="964"/>
      <c r="CT209" s="964"/>
      <c r="CU209" s="964"/>
      <c r="CV209" s="964"/>
      <c r="CW209" s="964"/>
      <c r="CX209" s="964"/>
      <c r="CY209" s="964"/>
      <c r="CZ209" s="964"/>
      <c r="DA209" s="964"/>
      <c r="DB209" s="964"/>
      <c r="DC209" s="964"/>
      <c r="DD209" s="964"/>
      <c r="DE209" s="964"/>
      <c r="DF209" s="964"/>
      <c r="DG209" s="964"/>
    </row>
    <row r="210" spans="1:111" s="112" customFormat="1" ht="21" hidden="1" customHeight="1">
      <c r="A210" s="859"/>
      <c r="B210" s="378" t="s">
        <v>56</v>
      </c>
      <c r="C210" s="1268" t="s">
        <v>453</v>
      </c>
      <c r="D210" s="1268"/>
      <c r="E210" s="969"/>
      <c r="F210" s="402">
        <v>190</v>
      </c>
      <c r="G210" s="1257" t="s">
        <v>454</v>
      </c>
      <c r="H210" s="1257"/>
      <c r="I210" s="1257"/>
      <c r="J210" s="1257"/>
      <c r="K210" s="959"/>
      <c r="L210" s="959"/>
      <c r="M210" s="959"/>
      <c r="N210" s="959"/>
      <c r="O210" s="959"/>
      <c r="P210" s="959"/>
      <c r="Q210" s="884"/>
      <c r="R210" s="400"/>
      <c r="S210" s="982"/>
      <c r="T210" s="982"/>
      <c r="U210" s="982"/>
      <c r="V210" s="966"/>
      <c r="W210" s="1269"/>
      <c r="X210" s="1269"/>
      <c r="Y210" s="1269"/>
      <c r="Z210" s="1269"/>
      <c r="AA210" s="966"/>
      <c r="AB210" s="966"/>
      <c r="AC210" s="966"/>
      <c r="AD210" s="966"/>
      <c r="AE210" s="966"/>
      <c r="AF210" s="966"/>
      <c r="AG210" s="964"/>
      <c r="AH210" s="964"/>
      <c r="AI210" s="964"/>
      <c r="AJ210" s="964"/>
      <c r="AK210" s="964"/>
      <c r="AL210" s="964"/>
      <c r="AM210" s="964"/>
      <c r="AN210" s="964"/>
      <c r="AO210" s="964"/>
      <c r="AP210" s="964"/>
      <c r="AQ210" s="964"/>
      <c r="AR210" s="964"/>
      <c r="AS210" s="964"/>
      <c r="AT210" s="964"/>
      <c r="AU210" s="964"/>
      <c r="AV210" s="964"/>
      <c r="AW210" s="964"/>
      <c r="AX210" s="964"/>
      <c r="AY210" s="964"/>
      <c r="AZ210" s="964"/>
      <c r="BA210" s="964"/>
      <c r="BB210" s="964"/>
      <c r="BC210" s="964"/>
      <c r="BD210" s="964"/>
      <c r="BE210" s="964"/>
      <c r="BF210" s="964"/>
      <c r="BG210" s="964"/>
      <c r="BH210" s="964"/>
      <c r="BI210" s="964"/>
      <c r="BJ210" s="964"/>
      <c r="BK210" s="964"/>
      <c r="BL210" s="964"/>
      <c r="BM210" s="964"/>
      <c r="BN210" s="964"/>
      <c r="BO210" s="964"/>
      <c r="BP210" s="964"/>
      <c r="BQ210" s="964"/>
      <c r="BR210" s="964"/>
      <c r="BS210" s="964"/>
      <c r="BT210" s="964"/>
      <c r="BU210" s="964"/>
      <c r="BV210" s="964"/>
      <c r="BW210" s="964"/>
      <c r="BX210" s="964"/>
      <c r="BY210" s="964"/>
      <c r="BZ210" s="964"/>
      <c r="CA210" s="964"/>
      <c r="CB210" s="964"/>
      <c r="CC210" s="964"/>
      <c r="CD210" s="964"/>
      <c r="CE210" s="964"/>
      <c r="CF210" s="964"/>
      <c r="CG210" s="964"/>
      <c r="CH210" s="964"/>
      <c r="CI210" s="964"/>
      <c r="CJ210" s="964"/>
      <c r="CK210" s="964"/>
      <c r="CL210" s="964"/>
      <c r="CM210" s="964"/>
      <c r="CN210" s="964"/>
      <c r="CO210" s="964"/>
      <c r="CP210" s="964"/>
      <c r="CQ210" s="964"/>
      <c r="CR210" s="964"/>
      <c r="CS210" s="964"/>
      <c r="CT210" s="964"/>
      <c r="CU210" s="964"/>
      <c r="CV210" s="964"/>
      <c r="CW210" s="964"/>
      <c r="CX210" s="964"/>
      <c r="CY210" s="964"/>
      <c r="CZ210" s="964"/>
      <c r="DA210" s="964"/>
      <c r="DB210" s="964"/>
      <c r="DC210" s="964"/>
      <c r="DD210" s="964"/>
      <c r="DE210" s="964"/>
      <c r="DF210" s="964"/>
      <c r="DG210" s="964"/>
    </row>
    <row r="211" spans="1:111" s="110" customFormat="1" ht="21" hidden="1" customHeight="1">
      <c r="A211" s="859"/>
      <c r="B211" s="378" t="s">
        <v>56</v>
      </c>
      <c r="C211" s="1268" t="s">
        <v>455</v>
      </c>
      <c r="D211" s="1268"/>
      <c r="E211" s="969"/>
      <c r="F211" s="402">
        <v>95</v>
      </c>
      <c r="G211" s="959" t="s">
        <v>448</v>
      </c>
      <c r="H211" s="402">
        <v>145</v>
      </c>
      <c r="I211" s="1257" t="s">
        <v>456</v>
      </c>
      <c r="J211" s="1257"/>
      <c r="K211" s="1257"/>
      <c r="L211" s="959"/>
      <c r="M211" s="959"/>
      <c r="N211" s="959"/>
      <c r="O211" s="959"/>
      <c r="P211" s="959"/>
      <c r="Q211" s="884"/>
      <c r="R211" s="400"/>
      <c r="S211" s="982"/>
      <c r="T211" s="982"/>
      <c r="U211" s="982"/>
      <c r="V211" s="966"/>
      <c r="W211" s="966"/>
      <c r="X211" s="966"/>
      <c r="Y211" s="1265"/>
      <c r="Z211" s="1265"/>
      <c r="AA211" s="1265"/>
      <c r="AB211" s="966"/>
      <c r="AC211" s="966"/>
      <c r="AD211" s="966"/>
      <c r="AE211" s="966"/>
      <c r="AF211" s="966"/>
      <c r="AG211" s="964"/>
      <c r="AH211" s="964"/>
      <c r="AI211" s="964"/>
      <c r="AJ211" s="964"/>
      <c r="AK211" s="964"/>
      <c r="AL211" s="964"/>
      <c r="AM211" s="964"/>
      <c r="AN211" s="964"/>
      <c r="AO211" s="964"/>
      <c r="AP211" s="964"/>
      <c r="AQ211" s="964"/>
      <c r="AR211" s="964"/>
      <c r="AS211" s="964"/>
      <c r="AT211" s="964"/>
      <c r="AU211" s="964"/>
      <c r="AV211" s="964"/>
      <c r="AW211" s="964"/>
      <c r="AX211" s="964"/>
      <c r="AY211" s="964"/>
      <c r="AZ211" s="964"/>
      <c r="BA211" s="964"/>
      <c r="BB211" s="964"/>
      <c r="BC211" s="964"/>
      <c r="BD211" s="964"/>
      <c r="BE211" s="964"/>
      <c r="BF211" s="964"/>
      <c r="BG211" s="964"/>
      <c r="BH211" s="964"/>
      <c r="BI211" s="964"/>
      <c r="BJ211" s="964"/>
      <c r="BK211" s="964"/>
      <c r="BL211" s="964"/>
      <c r="BM211" s="964"/>
      <c r="BN211" s="964"/>
      <c r="BO211" s="964"/>
      <c r="BP211" s="964"/>
      <c r="BQ211" s="964"/>
      <c r="BR211" s="964"/>
      <c r="BS211" s="964"/>
      <c r="BT211" s="964"/>
      <c r="BU211" s="964"/>
      <c r="BV211" s="964"/>
      <c r="BW211" s="964"/>
      <c r="BX211" s="964"/>
      <c r="BY211" s="964"/>
      <c r="BZ211" s="964"/>
      <c r="CA211" s="964"/>
      <c r="CB211" s="964"/>
      <c r="CC211" s="964"/>
      <c r="CD211" s="964"/>
      <c r="CE211" s="964"/>
      <c r="CF211" s="964"/>
      <c r="CG211" s="964"/>
      <c r="CH211" s="964"/>
      <c r="CI211" s="964"/>
      <c r="CJ211" s="964"/>
      <c r="CK211" s="964"/>
      <c r="CL211" s="964"/>
      <c r="CM211" s="964"/>
      <c r="CN211" s="964"/>
      <c r="CO211" s="964"/>
      <c r="CP211" s="964"/>
      <c r="CQ211" s="964"/>
      <c r="CR211" s="964"/>
      <c r="CS211" s="964"/>
      <c r="CT211" s="964"/>
      <c r="CU211" s="964"/>
      <c r="CV211" s="964"/>
      <c r="CW211" s="964"/>
      <c r="CX211" s="964"/>
      <c r="CY211" s="964"/>
      <c r="CZ211" s="964"/>
      <c r="DA211" s="964"/>
      <c r="DB211" s="964"/>
      <c r="DC211" s="964"/>
      <c r="DD211" s="964"/>
      <c r="DE211" s="964"/>
      <c r="DF211" s="964"/>
      <c r="DG211" s="964"/>
    </row>
    <row r="212" spans="1:111" s="112" customFormat="1" ht="21" hidden="1" customHeight="1">
      <c r="A212" s="860" t="s">
        <v>457</v>
      </c>
      <c r="B212" s="962"/>
      <c r="C212" s="962"/>
      <c r="D212" s="962"/>
      <c r="E212" s="962"/>
      <c r="F212" s="962"/>
      <c r="G212" s="962"/>
      <c r="H212" s="962"/>
      <c r="I212" s="962"/>
      <c r="J212" s="962"/>
      <c r="K212" s="959"/>
      <c r="L212" s="959"/>
      <c r="M212" s="959"/>
      <c r="N212" s="959"/>
      <c r="O212" s="959"/>
      <c r="P212" s="959"/>
      <c r="Q212" s="884"/>
      <c r="R212" s="965"/>
      <c r="S212" s="965"/>
      <c r="T212" s="965"/>
      <c r="U212" s="965"/>
      <c r="V212" s="965"/>
      <c r="W212" s="965"/>
      <c r="X212" s="965"/>
      <c r="Y212" s="965"/>
      <c r="Z212" s="965"/>
      <c r="AA212" s="966"/>
      <c r="AB212" s="966"/>
      <c r="AC212" s="966"/>
      <c r="AD212" s="966"/>
      <c r="AE212" s="966"/>
      <c r="AF212" s="966"/>
      <c r="AG212" s="964"/>
      <c r="AH212" s="964"/>
      <c r="AI212" s="964"/>
      <c r="AJ212" s="964"/>
      <c r="AK212" s="964"/>
      <c r="AL212" s="964"/>
      <c r="AM212" s="964"/>
      <c r="AN212" s="964"/>
      <c r="AO212" s="964"/>
      <c r="AP212" s="964"/>
      <c r="AQ212" s="964"/>
      <c r="AR212" s="964"/>
      <c r="AS212" s="964"/>
      <c r="AT212" s="964"/>
      <c r="AU212" s="964"/>
      <c r="AV212" s="964"/>
      <c r="AW212" s="964"/>
      <c r="AX212" s="964"/>
      <c r="AY212" s="964"/>
      <c r="AZ212" s="964"/>
      <c r="BA212" s="964"/>
      <c r="BB212" s="964"/>
      <c r="BC212" s="964"/>
      <c r="BD212" s="964"/>
      <c r="BE212" s="964"/>
      <c r="BF212" s="964"/>
      <c r="BG212" s="964"/>
      <c r="BH212" s="964"/>
      <c r="BI212" s="964"/>
      <c r="BJ212" s="964"/>
      <c r="BK212" s="964"/>
      <c r="BL212" s="964"/>
      <c r="BM212" s="964"/>
      <c r="BN212" s="964"/>
      <c r="BO212" s="964"/>
      <c r="BP212" s="964"/>
      <c r="BQ212" s="964"/>
      <c r="BR212" s="964"/>
      <c r="BS212" s="964"/>
      <c r="BT212" s="964"/>
      <c r="BU212" s="964"/>
      <c r="BV212" s="964"/>
      <c r="BW212" s="964"/>
      <c r="BX212" s="964"/>
      <c r="BY212" s="964"/>
      <c r="BZ212" s="964"/>
      <c r="CA212" s="964"/>
      <c r="CB212" s="964"/>
      <c r="CC212" s="964"/>
      <c r="CD212" s="964"/>
      <c r="CE212" s="964"/>
      <c r="CF212" s="964"/>
      <c r="CG212" s="964"/>
      <c r="CH212" s="964"/>
      <c r="CI212" s="964"/>
      <c r="CJ212" s="964"/>
      <c r="CK212" s="964"/>
      <c r="CL212" s="964"/>
      <c r="CM212" s="964"/>
      <c r="CN212" s="964"/>
      <c r="CO212" s="964"/>
      <c r="CP212" s="964"/>
      <c r="CQ212" s="964"/>
      <c r="CR212" s="964"/>
      <c r="CS212" s="964"/>
      <c r="CT212" s="964"/>
      <c r="CU212" s="964"/>
      <c r="CV212" s="964"/>
      <c r="CW212" s="964"/>
      <c r="CX212" s="964"/>
      <c r="CY212" s="964"/>
      <c r="CZ212" s="964"/>
      <c r="DA212" s="964"/>
      <c r="DB212" s="964"/>
      <c r="DC212" s="964"/>
      <c r="DD212" s="964"/>
      <c r="DE212" s="964"/>
      <c r="DF212" s="964"/>
      <c r="DG212" s="964"/>
    </row>
    <row r="213" spans="1:111" s="112" customFormat="1" ht="21" hidden="1" customHeight="1">
      <c r="A213" s="1021" t="s">
        <v>458</v>
      </c>
      <c r="B213" s="1449" t="s">
        <v>515</v>
      </c>
      <c r="C213" s="1450"/>
      <c r="D213" s="1450"/>
      <c r="E213" s="1266" t="s">
        <v>44</v>
      </c>
      <c r="F213" s="1266"/>
      <c r="G213" s="1266"/>
      <c r="H213" s="1266" t="s">
        <v>276</v>
      </c>
      <c r="I213" s="1266"/>
      <c r="J213" s="1266"/>
      <c r="K213" s="1266" t="s">
        <v>277</v>
      </c>
      <c r="L213" s="1266"/>
      <c r="M213" s="1266"/>
      <c r="N213" s="1266" t="s">
        <v>462</v>
      </c>
      <c r="O213" s="1266"/>
      <c r="P213" s="1266"/>
      <c r="Q213" s="884"/>
      <c r="R213" s="1351"/>
      <c r="S213" s="1265"/>
      <c r="T213" s="1265"/>
      <c r="U213" s="1269"/>
      <c r="V213" s="1269"/>
      <c r="W213" s="1269"/>
      <c r="X213" s="1269"/>
      <c r="Y213" s="1269"/>
      <c r="Z213" s="1269"/>
      <c r="AA213" s="1269"/>
      <c r="AB213" s="1269"/>
      <c r="AC213" s="1269"/>
      <c r="AD213" s="1269"/>
      <c r="AE213" s="1269"/>
      <c r="AF213" s="1269"/>
      <c r="AG213" s="964"/>
      <c r="AH213" s="964"/>
      <c r="AI213" s="964"/>
      <c r="AJ213" s="964"/>
      <c r="AK213" s="964"/>
      <c r="AL213" s="964"/>
      <c r="AM213" s="964"/>
      <c r="AN213" s="964"/>
      <c r="AO213" s="964"/>
      <c r="AP213" s="964"/>
      <c r="AQ213" s="964"/>
      <c r="AR213" s="964"/>
      <c r="AS213" s="964"/>
      <c r="AT213" s="964"/>
      <c r="AU213" s="964"/>
      <c r="AV213" s="964"/>
      <c r="AW213" s="964"/>
      <c r="AX213" s="964"/>
      <c r="AY213" s="964"/>
      <c r="AZ213" s="964"/>
      <c r="BA213" s="964"/>
      <c r="BB213" s="964"/>
      <c r="BC213" s="964"/>
      <c r="BD213" s="964"/>
      <c r="BE213" s="964"/>
      <c r="BF213" s="964"/>
      <c r="BG213" s="964"/>
      <c r="BH213" s="964"/>
      <c r="BI213" s="964"/>
      <c r="BJ213" s="964"/>
      <c r="BK213" s="964"/>
      <c r="BL213" s="964"/>
      <c r="BM213" s="964"/>
      <c r="BN213" s="964"/>
      <c r="BO213" s="964"/>
      <c r="BP213" s="964"/>
      <c r="BQ213" s="964"/>
      <c r="BR213" s="964"/>
      <c r="BS213" s="964"/>
      <c r="BT213" s="964"/>
      <c r="BU213" s="964"/>
      <c r="BV213" s="964"/>
      <c r="BW213" s="964"/>
      <c r="BX213" s="964"/>
      <c r="BY213" s="964"/>
      <c r="BZ213" s="964"/>
      <c r="CA213" s="964"/>
      <c r="CB213" s="964"/>
      <c r="CC213" s="964"/>
      <c r="CD213" s="964"/>
      <c r="CE213" s="964"/>
      <c r="CF213" s="964"/>
      <c r="CG213" s="964"/>
      <c r="CH213" s="964"/>
      <c r="CI213" s="964"/>
      <c r="CJ213" s="964"/>
      <c r="CK213" s="964"/>
      <c r="CL213" s="964"/>
      <c r="CM213" s="964"/>
      <c r="CN213" s="964"/>
      <c r="CO213" s="964"/>
      <c r="CP213" s="964"/>
      <c r="CQ213" s="964"/>
      <c r="CR213" s="964"/>
      <c r="CS213" s="964"/>
      <c r="CT213" s="964"/>
      <c r="CU213" s="964"/>
      <c r="CV213" s="964"/>
      <c r="CW213" s="964"/>
      <c r="CX213" s="964"/>
      <c r="CY213" s="964"/>
      <c r="CZ213" s="964"/>
      <c r="DA213" s="964"/>
      <c r="DB213" s="964"/>
      <c r="DC213" s="964"/>
      <c r="DD213" s="964"/>
      <c r="DE213" s="964"/>
      <c r="DF213" s="964"/>
      <c r="DG213" s="964"/>
    </row>
    <row r="214" spans="1:111" s="112" customFormat="1" ht="21" hidden="1" customHeight="1">
      <c r="A214" s="1021"/>
      <c r="B214" s="1266" t="s">
        <v>463</v>
      </c>
      <c r="C214" s="1266"/>
      <c r="D214" s="1266"/>
      <c r="E214" s="1284">
        <f>C187</f>
        <v>1550</v>
      </c>
      <c r="F214" s="1284"/>
      <c r="G214" s="1284"/>
      <c r="H214" s="1284">
        <f>E214/24</f>
        <v>64.583333333333329</v>
      </c>
      <c r="I214" s="1284"/>
      <c r="J214" s="1284"/>
      <c r="K214" s="1284">
        <f>H214/60</f>
        <v>1.0763888888888888</v>
      </c>
      <c r="L214" s="1284"/>
      <c r="M214" s="1284"/>
      <c r="N214" s="1266">
        <f>K214/60</f>
        <v>1.7939814814814815E-2</v>
      </c>
      <c r="O214" s="1266"/>
      <c r="P214" s="1266"/>
      <c r="Q214" s="884"/>
      <c r="R214" s="1269"/>
      <c r="S214" s="1269"/>
      <c r="T214" s="1269"/>
      <c r="U214" s="1300"/>
      <c r="V214" s="1269"/>
      <c r="W214" s="1269"/>
      <c r="X214" s="1316"/>
      <c r="Y214" s="1316"/>
      <c r="Z214" s="1316"/>
      <c r="AA214" s="1316"/>
      <c r="AB214" s="1316"/>
      <c r="AC214" s="1316"/>
      <c r="AD214" s="1269"/>
      <c r="AE214" s="1269"/>
      <c r="AF214" s="1269"/>
      <c r="AG214" s="964"/>
      <c r="AH214" s="964"/>
      <c r="AI214" s="964"/>
      <c r="AJ214" s="964"/>
      <c r="AK214" s="964"/>
      <c r="AL214" s="964"/>
      <c r="AM214" s="964"/>
      <c r="AN214" s="964"/>
      <c r="AO214" s="964"/>
      <c r="AP214" s="964"/>
      <c r="AQ214" s="964"/>
      <c r="AR214" s="964"/>
      <c r="AS214" s="964"/>
      <c r="AT214" s="964"/>
      <c r="AU214" s="964"/>
      <c r="AV214" s="964"/>
      <c r="AW214" s="964"/>
      <c r="AX214" s="964"/>
      <c r="AY214" s="964"/>
      <c r="AZ214" s="964"/>
      <c r="BA214" s="964"/>
      <c r="BB214" s="964"/>
      <c r="BC214" s="964"/>
      <c r="BD214" s="964"/>
      <c r="BE214" s="964"/>
      <c r="BF214" s="964"/>
      <c r="BG214" s="964"/>
      <c r="BH214" s="964"/>
      <c r="BI214" s="964"/>
      <c r="BJ214" s="964"/>
      <c r="BK214" s="964"/>
      <c r="BL214" s="964"/>
      <c r="BM214" s="964"/>
      <c r="BN214" s="964"/>
      <c r="BO214" s="964"/>
      <c r="BP214" s="964"/>
      <c r="BQ214" s="964"/>
      <c r="BR214" s="964"/>
      <c r="BS214" s="964"/>
      <c r="BT214" s="964"/>
      <c r="BU214" s="964"/>
      <c r="BV214" s="964"/>
      <c r="BW214" s="964"/>
      <c r="BX214" s="964"/>
      <c r="BY214" s="964"/>
      <c r="BZ214" s="964"/>
      <c r="CA214" s="964"/>
      <c r="CB214" s="964"/>
      <c r="CC214" s="964"/>
      <c r="CD214" s="964"/>
      <c r="CE214" s="964"/>
      <c r="CF214" s="964"/>
      <c r="CG214" s="964"/>
      <c r="CH214" s="964"/>
      <c r="CI214" s="964"/>
      <c r="CJ214" s="964"/>
      <c r="CK214" s="964"/>
      <c r="CL214" s="964"/>
      <c r="CM214" s="964"/>
      <c r="CN214" s="964"/>
      <c r="CO214" s="964"/>
      <c r="CP214" s="964"/>
      <c r="CQ214" s="964"/>
      <c r="CR214" s="964"/>
      <c r="CS214" s="964"/>
      <c r="CT214" s="964"/>
      <c r="CU214" s="964"/>
      <c r="CV214" s="964"/>
      <c r="CW214" s="964"/>
      <c r="CX214" s="964"/>
      <c r="CY214" s="964"/>
      <c r="CZ214" s="964"/>
      <c r="DA214" s="964"/>
      <c r="DB214" s="964"/>
      <c r="DC214" s="964"/>
      <c r="DD214" s="964"/>
      <c r="DE214" s="964"/>
      <c r="DF214" s="964"/>
      <c r="DG214" s="964"/>
    </row>
    <row r="215" spans="1:111" s="112" customFormat="1" ht="21" hidden="1" customHeight="1">
      <c r="A215" s="1021" t="s">
        <v>464</v>
      </c>
      <c r="B215" s="959" t="s">
        <v>127</v>
      </c>
      <c r="C215" s="959" t="s">
        <v>30</v>
      </c>
      <c r="D215" s="1370">
        <f>H214</f>
        <v>64.583333333333329</v>
      </c>
      <c r="E215" s="1370"/>
      <c r="F215" s="1370"/>
      <c r="G215" s="959" t="s">
        <v>51</v>
      </c>
      <c r="H215" s="404">
        <f>F209</f>
        <v>3</v>
      </c>
      <c r="I215" s="959" t="s">
        <v>448</v>
      </c>
      <c r="J215" s="405">
        <f>H209</f>
        <v>5</v>
      </c>
      <c r="K215" s="959" t="s">
        <v>30</v>
      </c>
      <c r="L215" s="1424">
        <f>D215*H215</f>
        <v>193.75</v>
      </c>
      <c r="M215" s="1424"/>
      <c r="N215" s="959" t="s">
        <v>448</v>
      </c>
      <c r="O215" s="1425">
        <f>D215*J215</f>
        <v>322.91666666666663</v>
      </c>
      <c r="P215" s="1425"/>
      <c r="Q215" s="884"/>
      <c r="R215" s="966"/>
      <c r="S215" s="966"/>
      <c r="T215" s="1357"/>
      <c r="U215" s="1357"/>
      <c r="V215" s="1269"/>
      <c r="W215" s="966"/>
      <c r="X215" s="379"/>
      <c r="Y215" s="966"/>
      <c r="Z215" s="380"/>
      <c r="AA215" s="966"/>
      <c r="AB215" s="966"/>
      <c r="AC215" s="966"/>
      <c r="AD215" s="966"/>
      <c r="AE215" s="966"/>
      <c r="AF215" s="966"/>
      <c r="AG215" s="964"/>
      <c r="AH215" s="964"/>
      <c r="AI215" s="964"/>
      <c r="AJ215" s="964"/>
      <c r="AK215" s="964"/>
      <c r="AL215" s="964"/>
      <c r="AM215" s="964"/>
      <c r="AN215" s="964"/>
      <c r="AO215" s="964"/>
      <c r="AP215" s="964"/>
      <c r="AQ215" s="964"/>
      <c r="AR215" s="964"/>
      <c r="AS215" s="964"/>
      <c r="AT215" s="964"/>
      <c r="AU215" s="964"/>
      <c r="AV215" s="964"/>
      <c r="AW215" s="964"/>
      <c r="AX215" s="964"/>
      <c r="AY215" s="964"/>
      <c r="AZ215" s="964"/>
      <c r="BA215" s="964"/>
      <c r="BB215" s="964"/>
      <c r="BC215" s="964"/>
      <c r="BD215" s="964"/>
      <c r="BE215" s="964"/>
      <c r="BF215" s="964"/>
      <c r="BG215" s="964"/>
      <c r="BH215" s="964"/>
      <c r="BI215" s="964"/>
      <c r="BJ215" s="964"/>
      <c r="BK215" s="964"/>
      <c r="BL215" s="964"/>
      <c r="BM215" s="964"/>
      <c r="BN215" s="964"/>
      <c r="BO215" s="964"/>
      <c r="BP215" s="964"/>
      <c r="BQ215" s="964"/>
      <c r="BR215" s="964"/>
      <c r="BS215" s="964"/>
      <c r="BT215" s="964"/>
      <c r="BU215" s="964"/>
      <c r="BV215" s="964"/>
      <c r="BW215" s="964"/>
      <c r="BX215" s="964"/>
      <c r="BY215" s="964"/>
      <c r="BZ215" s="964"/>
      <c r="CA215" s="964"/>
      <c r="CB215" s="964"/>
      <c r="CC215" s="964"/>
      <c r="CD215" s="964"/>
      <c r="CE215" s="964"/>
      <c r="CF215" s="964"/>
      <c r="CG215" s="964"/>
      <c r="CH215" s="964"/>
      <c r="CI215" s="964"/>
      <c r="CJ215" s="964"/>
      <c r="CK215" s="964"/>
      <c r="CL215" s="964"/>
      <c r="CM215" s="964"/>
      <c r="CN215" s="964"/>
      <c r="CO215" s="964"/>
      <c r="CP215" s="964"/>
      <c r="CQ215" s="964"/>
      <c r="CR215" s="964"/>
      <c r="CS215" s="964"/>
      <c r="CT215" s="964"/>
      <c r="CU215" s="964"/>
      <c r="CV215" s="964"/>
      <c r="CW215" s="964"/>
      <c r="CX215" s="964"/>
      <c r="CY215" s="964"/>
      <c r="CZ215" s="964"/>
      <c r="DA215" s="964"/>
      <c r="DB215" s="964"/>
      <c r="DC215" s="964"/>
      <c r="DD215" s="964"/>
      <c r="DE215" s="964"/>
      <c r="DF215" s="964"/>
      <c r="DG215" s="964"/>
    </row>
    <row r="216" spans="1:111" s="112" customFormat="1" ht="21" hidden="1" customHeight="1">
      <c r="A216" s="1021" t="s">
        <v>465</v>
      </c>
      <c r="B216" s="959" t="s">
        <v>466</v>
      </c>
      <c r="C216" s="959" t="s">
        <v>30</v>
      </c>
      <c r="D216" s="1327">
        <f>E214</f>
        <v>1550</v>
      </c>
      <c r="E216" s="1327"/>
      <c r="F216" s="1327"/>
      <c r="G216" s="959" t="s">
        <v>52</v>
      </c>
      <c r="H216" s="404">
        <f>F207</f>
        <v>20</v>
      </c>
      <c r="I216" s="959" t="s">
        <v>448</v>
      </c>
      <c r="J216" s="959">
        <v>30</v>
      </c>
      <c r="K216" s="1260" t="s">
        <v>516</v>
      </c>
      <c r="L216" s="1260"/>
      <c r="M216" s="959" t="s">
        <v>830</v>
      </c>
      <c r="N216" s="959"/>
      <c r="O216" s="959"/>
      <c r="P216" s="959"/>
      <c r="Q216" s="884"/>
      <c r="R216" s="966"/>
      <c r="S216" s="966"/>
      <c r="T216" s="1306"/>
      <c r="U216" s="1306"/>
      <c r="V216" s="1269"/>
      <c r="W216" s="966"/>
      <c r="X216" s="379"/>
      <c r="Y216" s="966"/>
      <c r="Z216" s="966"/>
      <c r="AA216" s="1269"/>
      <c r="AB216" s="1269"/>
      <c r="AC216" s="1265"/>
      <c r="AD216" s="1265"/>
      <c r="AE216" s="1265"/>
      <c r="AF216" s="966"/>
      <c r="AG216" s="964"/>
      <c r="AH216" s="964"/>
      <c r="AI216" s="964"/>
      <c r="AJ216" s="964"/>
      <c r="AK216" s="964"/>
      <c r="AL216" s="964"/>
      <c r="AM216" s="964"/>
      <c r="AN216" s="964"/>
      <c r="AO216" s="964"/>
      <c r="AP216" s="964"/>
      <c r="AQ216" s="964"/>
      <c r="AR216" s="964"/>
      <c r="AS216" s="964"/>
      <c r="AT216" s="964"/>
      <c r="AU216" s="964"/>
      <c r="AV216" s="964"/>
      <c r="AW216" s="964"/>
      <c r="AX216" s="964"/>
      <c r="AY216" s="964"/>
      <c r="AZ216" s="964"/>
      <c r="BA216" s="964"/>
      <c r="BB216" s="964"/>
      <c r="BC216" s="964"/>
      <c r="BD216" s="964"/>
      <c r="BE216" s="964"/>
      <c r="BF216" s="964"/>
      <c r="BG216" s="964"/>
      <c r="BH216" s="964"/>
      <c r="BI216" s="964"/>
      <c r="BJ216" s="964"/>
      <c r="BK216" s="964"/>
      <c r="BL216" s="964"/>
      <c r="BM216" s="964"/>
      <c r="BN216" s="964"/>
      <c r="BO216" s="964"/>
      <c r="BP216" s="964"/>
      <c r="BQ216" s="964"/>
      <c r="BR216" s="964"/>
      <c r="BS216" s="964"/>
      <c r="BT216" s="964"/>
      <c r="BU216" s="964"/>
      <c r="BV216" s="964"/>
      <c r="BW216" s="964"/>
      <c r="BX216" s="964"/>
      <c r="BY216" s="964"/>
      <c r="BZ216" s="964"/>
      <c r="CA216" s="964"/>
      <c r="CB216" s="964"/>
      <c r="CC216" s="964"/>
      <c r="CD216" s="964"/>
      <c r="CE216" s="964"/>
      <c r="CF216" s="964"/>
      <c r="CG216" s="964"/>
      <c r="CH216" s="964"/>
      <c r="CI216" s="964"/>
      <c r="CJ216" s="964"/>
      <c r="CK216" s="964"/>
      <c r="CL216" s="964"/>
      <c r="CM216" s="964"/>
      <c r="CN216" s="964"/>
      <c r="CO216" s="964"/>
      <c r="CP216" s="964"/>
      <c r="CQ216" s="964"/>
      <c r="CR216" s="964"/>
      <c r="CS216" s="964"/>
      <c r="CT216" s="964"/>
      <c r="CU216" s="964"/>
      <c r="CV216" s="964"/>
      <c r="CW216" s="964"/>
      <c r="CX216" s="964"/>
      <c r="CY216" s="964"/>
      <c r="CZ216" s="964"/>
      <c r="DA216" s="964"/>
      <c r="DB216" s="964"/>
      <c r="DC216" s="964"/>
      <c r="DD216" s="964"/>
      <c r="DE216" s="964"/>
      <c r="DF216" s="964"/>
      <c r="DG216" s="964"/>
    </row>
    <row r="217" spans="1:111" s="112" customFormat="1" ht="21" hidden="1" customHeight="1">
      <c r="A217" s="1021"/>
      <c r="B217" s="959"/>
      <c r="C217" s="959" t="s">
        <v>30</v>
      </c>
      <c r="D217" s="1424">
        <f>D216/J216</f>
        <v>51.666666666666664</v>
      </c>
      <c r="E217" s="1424"/>
      <c r="F217" s="959" t="s">
        <v>448</v>
      </c>
      <c r="G217" s="1292">
        <f>D216/H216</f>
        <v>77.5</v>
      </c>
      <c r="H217" s="1292"/>
      <c r="I217" s="959" t="s">
        <v>467</v>
      </c>
      <c r="J217" s="959"/>
      <c r="K217" s="959"/>
      <c r="L217" s="959"/>
      <c r="M217" s="959"/>
      <c r="N217" s="959"/>
      <c r="O217" s="959"/>
      <c r="P217" s="959"/>
      <c r="Q217" s="884"/>
      <c r="R217" s="966"/>
      <c r="S217" s="966"/>
      <c r="T217" s="1352"/>
      <c r="U217" s="1352"/>
      <c r="V217" s="966"/>
      <c r="W217" s="1363"/>
      <c r="X217" s="1363"/>
      <c r="Y217" s="966"/>
      <c r="Z217" s="966"/>
      <c r="AA217" s="966"/>
      <c r="AB217" s="966"/>
      <c r="AC217" s="966"/>
      <c r="AD217" s="966"/>
      <c r="AE217" s="966"/>
      <c r="AF217" s="966"/>
      <c r="AG217" s="964"/>
      <c r="AH217" s="964"/>
      <c r="AI217" s="964"/>
      <c r="AJ217" s="964"/>
      <c r="AK217" s="964"/>
      <c r="AL217" s="964"/>
      <c r="AM217" s="964"/>
      <c r="AN217" s="964"/>
      <c r="AO217" s="964"/>
      <c r="AP217" s="964"/>
      <c r="AQ217" s="964"/>
      <c r="AR217" s="964"/>
      <c r="AS217" s="964"/>
      <c r="AT217" s="964"/>
      <c r="AU217" s="964"/>
      <c r="AV217" s="964"/>
      <c r="AW217" s="964"/>
      <c r="AX217" s="964"/>
      <c r="AY217" s="964"/>
      <c r="AZ217" s="964"/>
      <c r="BA217" s="964"/>
      <c r="BB217" s="964"/>
      <c r="BC217" s="964"/>
      <c r="BD217" s="964"/>
      <c r="BE217" s="964"/>
      <c r="BF217" s="964"/>
      <c r="BG217" s="964"/>
      <c r="BH217" s="964"/>
      <c r="BI217" s="964"/>
      <c r="BJ217" s="964"/>
      <c r="BK217" s="964"/>
      <c r="BL217" s="964"/>
      <c r="BM217" s="964"/>
      <c r="BN217" s="964"/>
      <c r="BO217" s="964"/>
      <c r="BP217" s="964"/>
      <c r="BQ217" s="964"/>
      <c r="BR217" s="964"/>
      <c r="BS217" s="964"/>
      <c r="BT217" s="964"/>
      <c r="BU217" s="964"/>
      <c r="BV217" s="964"/>
      <c r="BW217" s="964"/>
      <c r="BX217" s="964"/>
      <c r="BY217" s="964"/>
      <c r="BZ217" s="964"/>
      <c r="CA217" s="964"/>
      <c r="CB217" s="964"/>
      <c r="CC217" s="964"/>
      <c r="CD217" s="964"/>
      <c r="CE217" s="964"/>
      <c r="CF217" s="964"/>
      <c r="CG217" s="964"/>
      <c r="CH217" s="964"/>
      <c r="CI217" s="964"/>
      <c r="CJ217" s="964"/>
      <c r="CK217" s="964"/>
      <c r="CL217" s="964"/>
      <c r="CM217" s="964"/>
      <c r="CN217" s="964"/>
      <c r="CO217" s="964"/>
      <c r="CP217" s="964"/>
      <c r="CQ217" s="964"/>
      <c r="CR217" s="964"/>
      <c r="CS217" s="964"/>
      <c r="CT217" s="964"/>
      <c r="CU217" s="964"/>
      <c r="CV217" s="964"/>
      <c r="CW217" s="964"/>
      <c r="CX217" s="964"/>
      <c r="CY217" s="964"/>
      <c r="CZ217" s="964"/>
      <c r="DA217" s="964"/>
      <c r="DB217" s="964"/>
      <c r="DC217" s="964"/>
      <c r="DD217" s="964"/>
      <c r="DE217" s="964"/>
      <c r="DF217" s="964"/>
      <c r="DG217" s="964"/>
    </row>
    <row r="218" spans="1:111" s="112" customFormat="1" ht="21" hidden="1" customHeight="1">
      <c r="A218" s="860" t="s">
        <v>427</v>
      </c>
      <c r="B218" s="959"/>
      <c r="C218" s="959"/>
      <c r="D218" s="959"/>
      <c r="E218" s="959"/>
      <c r="F218" s="959"/>
      <c r="G218" s="959"/>
      <c r="H218" s="959"/>
      <c r="I218" s="959"/>
      <c r="J218" s="959"/>
      <c r="K218" s="959"/>
      <c r="L218" s="959"/>
      <c r="M218" s="959"/>
      <c r="N218" s="959"/>
      <c r="O218" s="959"/>
      <c r="P218" s="959"/>
      <c r="Q218" s="884"/>
      <c r="R218" s="966"/>
      <c r="S218" s="966"/>
      <c r="T218" s="966"/>
      <c r="U218" s="966"/>
      <c r="V218" s="966"/>
      <c r="W218" s="966"/>
      <c r="X218" s="966"/>
      <c r="Y218" s="966"/>
      <c r="Z218" s="966"/>
      <c r="AA218" s="966"/>
      <c r="AB218" s="966"/>
      <c r="AC218" s="966"/>
      <c r="AD218" s="966"/>
      <c r="AE218" s="966"/>
      <c r="AF218" s="966"/>
      <c r="AG218" s="964"/>
      <c r="AH218" s="964"/>
      <c r="AI218" s="964"/>
      <c r="AJ218" s="964"/>
      <c r="AK218" s="964"/>
      <c r="AL218" s="964"/>
      <c r="AM218" s="964"/>
      <c r="AN218" s="964"/>
      <c r="AO218" s="964"/>
      <c r="AP218" s="964"/>
      <c r="AQ218" s="964"/>
      <c r="AR218" s="964"/>
      <c r="AS218" s="964"/>
      <c r="AT218" s="964"/>
      <c r="AU218" s="964"/>
      <c r="AV218" s="964"/>
      <c r="AW218" s="964"/>
      <c r="AX218" s="964"/>
      <c r="AY218" s="964"/>
      <c r="AZ218" s="964"/>
      <c r="BA218" s="964"/>
      <c r="BB218" s="964"/>
      <c r="BC218" s="964"/>
      <c r="BD218" s="964"/>
      <c r="BE218" s="964"/>
      <c r="BF218" s="964"/>
      <c r="BG218" s="964"/>
      <c r="BH218" s="964"/>
      <c r="BI218" s="964"/>
      <c r="BJ218" s="964"/>
      <c r="BK218" s="964"/>
      <c r="BL218" s="964"/>
      <c r="BM218" s="964"/>
      <c r="BN218" s="964"/>
      <c r="BO218" s="964"/>
      <c r="BP218" s="964"/>
      <c r="BQ218" s="964"/>
      <c r="BR218" s="964"/>
      <c r="BS218" s="964"/>
      <c r="BT218" s="964"/>
      <c r="BU218" s="964"/>
      <c r="BV218" s="964"/>
      <c r="BW218" s="964"/>
      <c r="BX218" s="964"/>
      <c r="BY218" s="964"/>
      <c r="BZ218" s="964"/>
      <c r="CA218" s="964"/>
      <c r="CB218" s="964"/>
      <c r="CC218" s="964"/>
      <c r="CD218" s="964"/>
      <c r="CE218" s="964"/>
      <c r="CF218" s="964"/>
      <c r="CG218" s="964"/>
      <c r="CH218" s="964"/>
      <c r="CI218" s="964"/>
      <c r="CJ218" s="964"/>
      <c r="CK218" s="964"/>
      <c r="CL218" s="964"/>
      <c r="CM218" s="964"/>
      <c r="CN218" s="964"/>
      <c r="CO218" s="964"/>
      <c r="CP218" s="964"/>
      <c r="CQ218" s="964"/>
      <c r="CR218" s="964"/>
      <c r="CS218" s="964"/>
      <c r="CT218" s="964"/>
      <c r="CU218" s="964"/>
      <c r="CV218" s="964"/>
      <c r="CW218" s="964"/>
      <c r="CX218" s="964"/>
      <c r="CY218" s="964"/>
      <c r="CZ218" s="964"/>
      <c r="DA218" s="964"/>
      <c r="DB218" s="964"/>
      <c r="DC218" s="964"/>
      <c r="DD218" s="964"/>
      <c r="DE218" s="964"/>
      <c r="DF218" s="964"/>
      <c r="DG218" s="964"/>
    </row>
    <row r="219" spans="1:111" s="112" customFormat="1" ht="21" hidden="1" customHeight="1">
      <c r="A219" s="1021" t="s">
        <v>304</v>
      </c>
      <c r="B219" s="322"/>
      <c r="C219" s="1260" t="s">
        <v>468</v>
      </c>
      <c r="D219" s="1260"/>
      <c r="E219" s="1260"/>
      <c r="F219" s="1260"/>
      <c r="G219" s="1260"/>
      <c r="H219" s="1260"/>
      <c r="I219" s="1260"/>
      <c r="J219" s="1260"/>
      <c r="K219" s="1260"/>
      <c r="L219" s="1260"/>
      <c r="M219" s="1260"/>
      <c r="N219" s="1260"/>
      <c r="O219" s="1260"/>
      <c r="P219" s="963"/>
      <c r="Q219" s="884"/>
      <c r="R219" s="1269"/>
      <c r="S219" s="1364"/>
      <c r="T219" s="1364"/>
      <c r="U219" s="1364"/>
      <c r="V219" s="1364"/>
      <c r="W219" s="1364"/>
      <c r="X219" s="1364"/>
      <c r="Y219" s="1364"/>
      <c r="Z219" s="1364"/>
      <c r="AA219" s="1364"/>
      <c r="AB219" s="1364"/>
      <c r="AC219" s="1364"/>
      <c r="AD219" s="1364"/>
      <c r="AE219" s="1364"/>
      <c r="AF219" s="1364"/>
      <c r="AG219" s="964"/>
      <c r="AH219" s="964"/>
      <c r="AI219" s="964"/>
      <c r="AJ219" s="964"/>
      <c r="AK219" s="964"/>
      <c r="AL219" s="964"/>
      <c r="AM219" s="964"/>
      <c r="AN219" s="964"/>
      <c r="AO219" s="964"/>
      <c r="AP219" s="964"/>
      <c r="AQ219" s="964"/>
      <c r="AR219" s="964"/>
      <c r="AS219" s="964"/>
      <c r="AT219" s="964"/>
      <c r="AU219" s="964"/>
      <c r="AV219" s="964"/>
      <c r="AW219" s="964"/>
      <c r="AX219" s="964"/>
      <c r="AY219" s="964"/>
      <c r="AZ219" s="964"/>
      <c r="BA219" s="964"/>
      <c r="BB219" s="964"/>
      <c r="BC219" s="964"/>
      <c r="BD219" s="964"/>
      <c r="BE219" s="964"/>
      <c r="BF219" s="964"/>
      <c r="BG219" s="964"/>
      <c r="BH219" s="964"/>
      <c r="BI219" s="964"/>
      <c r="BJ219" s="964"/>
      <c r="BK219" s="964"/>
      <c r="BL219" s="964"/>
      <c r="BM219" s="964"/>
      <c r="BN219" s="964"/>
      <c r="BO219" s="964"/>
      <c r="BP219" s="964"/>
      <c r="BQ219" s="964"/>
      <c r="BR219" s="964"/>
      <c r="BS219" s="964"/>
      <c r="BT219" s="964"/>
      <c r="BU219" s="964"/>
      <c r="BV219" s="964"/>
      <c r="BW219" s="964"/>
      <c r="BX219" s="964"/>
      <c r="BY219" s="964"/>
      <c r="BZ219" s="964"/>
      <c r="CA219" s="964"/>
      <c r="CB219" s="964"/>
      <c r="CC219" s="964"/>
      <c r="CD219" s="964"/>
      <c r="CE219" s="964"/>
      <c r="CF219" s="964"/>
      <c r="CG219" s="964"/>
      <c r="CH219" s="964"/>
      <c r="CI219" s="964"/>
      <c r="CJ219" s="964"/>
      <c r="CK219" s="964"/>
      <c r="CL219" s="964"/>
      <c r="CM219" s="964"/>
      <c r="CN219" s="964"/>
      <c r="CO219" s="964"/>
      <c r="CP219" s="964"/>
      <c r="CQ219" s="964"/>
      <c r="CR219" s="964"/>
      <c r="CS219" s="964"/>
      <c r="CT219" s="964"/>
      <c r="CU219" s="964"/>
      <c r="CV219" s="964"/>
      <c r="CW219" s="964"/>
      <c r="CX219" s="964"/>
      <c r="CY219" s="964"/>
      <c r="CZ219" s="964"/>
      <c r="DA219" s="964"/>
      <c r="DB219" s="964"/>
      <c r="DC219" s="964"/>
      <c r="DD219" s="964"/>
      <c r="DE219" s="964"/>
      <c r="DF219" s="964"/>
      <c r="DG219" s="964"/>
    </row>
    <row r="220" spans="1:111" s="112" customFormat="1" ht="21" hidden="1" customHeight="1">
      <c r="A220" s="1021" t="s">
        <v>306</v>
      </c>
      <c r="B220" s="969"/>
      <c r="C220" s="971"/>
      <c r="D220" s="959"/>
      <c r="E220" s="959" t="s">
        <v>469</v>
      </c>
      <c r="F220" s="518">
        <v>12</v>
      </c>
      <c r="G220" s="959" t="s">
        <v>308</v>
      </c>
      <c r="H220" s="959" t="s">
        <v>51</v>
      </c>
      <c r="I220" s="1260" t="s">
        <v>123</v>
      </c>
      <c r="J220" s="1260"/>
      <c r="K220" s="959" t="s">
        <v>311</v>
      </c>
      <c r="L220" s="519">
        <v>4.0999999999999996</v>
      </c>
      <c r="M220" s="959" t="s">
        <v>308</v>
      </c>
      <c r="N220" s="962"/>
      <c r="O220" s="959"/>
      <c r="P220" s="963"/>
      <c r="Q220" s="884"/>
      <c r="R220" s="966"/>
      <c r="S220" s="966"/>
      <c r="T220" s="981"/>
      <c r="U220" s="966"/>
      <c r="V220" s="966"/>
      <c r="W220" s="1269"/>
      <c r="X220" s="1269"/>
      <c r="Y220" s="966"/>
      <c r="Z220" s="966"/>
      <c r="AA220" s="965"/>
      <c r="AB220" s="966"/>
      <c r="AC220" s="966"/>
      <c r="AD220" s="966"/>
      <c r="AE220" s="966"/>
      <c r="AF220" s="966"/>
      <c r="AG220" s="964"/>
      <c r="AH220" s="964"/>
      <c r="AI220" s="964"/>
      <c r="AJ220" s="964"/>
      <c r="AK220" s="964"/>
      <c r="AL220" s="964"/>
      <c r="AM220" s="964"/>
      <c r="AN220" s="964"/>
      <c r="AO220" s="964"/>
      <c r="AP220" s="964"/>
      <c r="AQ220" s="964"/>
      <c r="AR220" s="964"/>
      <c r="AS220" s="964"/>
      <c r="AT220" s="964"/>
      <c r="AU220" s="964"/>
      <c r="AV220" s="964"/>
      <c r="AW220" s="964"/>
      <c r="AX220" s="964"/>
      <c r="AY220" s="964"/>
      <c r="AZ220" s="964"/>
      <c r="BA220" s="964"/>
      <c r="BB220" s="964"/>
      <c r="BC220" s="964"/>
      <c r="BD220" s="964"/>
      <c r="BE220" s="964"/>
      <c r="BF220" s="964"/>
      <c r="BG220" s="964"/>
      <c r="BH220" s="964"/>
      <c r="BI220" s="964"/>
      <c r="BJ220" s="964"/>
      <c r="BK220" s="964"/>
      <c r="BL220" s="964"/>
      <c r="BM220" s="964"/>
      <c r="BN220" s="964"/>
      <c r="BO220" s="964"/>
      <c r="BP220" s="964"/>
      <c r="BQ220" s="964"/>
      <c r="BR220" s="964"/>
      <c r="BS220" s="964"/>
      <c r="BT220" s="964"/>
      <c r="BU220" s="964"/>
      <c r="BV220" s="964"/>
      <c r="BW220" s="964"/>
      <c r="BX220" s="964"/>
      <c r="BY220" s="964"/>
      <c r="BZ220" s="964"/>
      <c r="CA220" s="964"/>
      <c r="CB220" s="964"/>
      <c r="CC220" s="964"/>
      <c r="CD220" s="964"/>
      <c r="CE220" s="964"/>
      <c r="CF220" s="964"/>
      <c r="CG220" s="964"/>
      <c r="CH220" s="964"/>
      <c r="CI220" s="964"/>
      <c r="CJ220" s="964"/>
      <c r="CK220" s="964"/>
      <c r="CL220" s="964"/>
      <c r="CM220" s="964"/>
      <c r="CN220" s="964"/>
      <c r="CO220" s="964"/>
      <c r="CP220" s="964"/>
      <c r="CQ220" s="964"/>
      <c r="CR220" s="964"/>
      <c r="CS220" s="964"/>
      <c r="CT220" s="964"/>
      <c r="CU220" s="964"/>
      <c r="CV220" s="964"/>
      <c r="CW220" s="964"/>
      <c r="CX220" s="964"/>
      <c r="CY220" s="964"/>
      <c r="CZ220" s="964"/>
      <c r="DA220" s="964"/>
      <c r="DB220" s="964"/>
      <c r="DC220" s="964"/>
      <c r="DD220" s="964"/>
      <c r="DE220" s="964"/>
      <c r="DF220" s="964"/>
      <c r="DG220" s="964"/>
    </row>
    <row r="221" spans="1:111" s="112" customFormat="1" ht="21" hidden="1" customHeight="1">
      <c r="A221" s="1021" t="s">
        <v>131</v>
      </c>
      <c r="B221" s="959"/>
      <c r="C221" s="959"/>
      <c r="D221" s="959"/>
      <c r="E221" s="959"/>
      <c r="F221" s="959"/>
      <c r="G221" s="959">
        <v>4</v>
      </c>
      <c r="H221" s="959" t="s">
        <v>313</v>
      </c>
      <c r="I221" s="959"/>
      <c r="J221" s="959"/>
      <c r="K221" s="959"/>
      <c r="L221" s="959"/>
      <c r="M221" s="959"/>
      <c r="N221" s="959"/>
      <c r="O221" s="959"/>
      <c r="P221" s="959"/>
      <c r="Q221" s="884"/>
      <c r="R221" s="966"/>
      <c r="S221" s="966"/>
      <c r="T221" s="966"/>
      <c r="U221" s="966"/>
      <c r="V221" s="966"/>
      <c r="W221" s="966"/>
      <c r="X221" s="966"/>
      <c r="Y221" s="966"/>
      <c r="Z221" s="966"/>
      <c r="AA221" s="966"/>
      <c r="AB221" s="966"/>
      <c r="AC221" s="966"/>
      <c r="AD221" s="966"/>
      <c r="AE221" s="966"/>
      <c r="AF221" s="966"/>
      <c r="AG221" s="964"/>
      <c r="AH221" s="964"/>
      <c r="AI221" s="964"/>
      <c r="AJ221" s="964"/>
      <c r="AK221" s="964"/>
      <c r="AL221" s="964"/>
      <c r="AM221" s="964"/>
      <c r="AN221" s="964"/>
      <c r="AO221" s="964"/>
      <c r="AP221" s="964"/>
      <c r="AQ221" s="964"/>
      <c r="AR221" s="964"/>
      <c r="AS221" s="964"/>
      <c r="AT221" s="964"/>
      <c r="AU221" s="964"/>
      <c r="AV221" s="964"/>
      <c r="AW221" s="964"/>
      <c r="AX221" s="964"/>
      <c r="AY221" s="964"/>
      <c r="AZ221" s="964"/>
      <c r="BA221" s="964"/>
      <c r="BB221" s="964"/>
      <c r="BC221" s="964"/>
      <c r="BD221" s="964"/>
      <c r="BE221" s="964"/>
      <c r="BF221" s="964"/>
      <c r="BG221" s="964"/>
      <c r="BH221" s="964"/>
      <c r="BI221" s="964"/>
      <c r="BJ221" s="964"/>
      <c r="BK221" s="964"/>
      <c r="BL221" s="964"/>
      <c r="BM221" s="964"/>
      <c r="BN221" s="964"/>
      <c r="BO221" s="964"/>
      <c r="BP221" s="964"/>
      <c r="BQ221" s="964"/>
      <c r="BR221" s="964"/>
      <c r="BS221" s="964"/>
      <c r="BT221" s="964"/>
      <c r="BU221" s="964"/>
      <c r="BV221" s="964"/>
      <c r="BW221" s="964"/>
      <c r="BX221" s="964"/>
      <c r="BY221" s="964"/>
      <c r="BZ221" s="964"/>
      <c r="CA221" s="964"/>
      <c r="CB221" s="964"/>
      <c r="CC221" s="964"/>
      <c r="CD221" s="964"/>
      <c r="CE221" s="964"/>
      <c r="CF221" s="964"/>
      <c r="CG221" s="964"/>
      <c r="CH221" s="964"/>
      <c r="CI221" s="964"/>
      <c r="CJ221" s="964"/>
      <c r="CK221" s="964"/>
      <c r="CL221" s="964"/>
      <c r="CM221" s="964"/>
      <c r="CN221" s="964"/>
      <c r="CO221" s="964"/>
      <c r="CP221" s="964"/>
      <c r="CQ221" s="964"/>
      <c r="CR221" s="964"/>
      <c r="CS221" s="964"/>
      <c r="CT221" s="964"/>
      <c r="CU221" s="964"/>
      <c r="CV221" s="964"/>
      <c r="CW221" s="964"/>
      <c r="CX221" s="964"/>
      <c r="CY221" s="964"/>
      <c r="CZ221" s="964"/>
      <c r="DA221" s="964"/>
      <c r="DB221" s="964"/>
      <c r="DC221" s="964"/>
      <c r="DD221" s="964"/>
      <c r="DE221" s="964"/>
      <c r="DF221" s="964"/>
      <c r="DG221" s="964"/>
    </row>
    <row r="222" spans="1:111" s="112" customFormat="1" ht="21" hidden="1" customHeight="1">
      <c r="A222" s="1021" t="s">
        <v>314</v>
      </c>
      <c r="B222" s="959"/>
      <c r="C222" s="959" t="s">
        <v>127</v>
      </c>
      <c r="D222" s="959" t="s">
        <v>30</v>
      </c>
      <c r="E222" s="1288">
        <f>ROUND(3.14*F220^2/4*L220,2)</f>
        <v>463.46</v>
      </c>
      <c r="F222" s="1288"/>
      <c r="G222" s="1260" t="s">
        <v>316</v>
      </c>
      <c r="H222" s="1260"/>
      <c r="I222" s="959" t="s">
        <v>51</v>
      </c>
      <c r="J222" s="402">
        <f>G221</f>
        <v>4</v>
      </c>
      <c r="K222" s="959" t="str">
        <f>H221</f>
        <v>계열</v>
      </c>
      <c r="L222" s="959" t="s">
        <v>30</v>
      </c>
      <c r="M222" s="1291">
        <f>E222*J222</f>
        <v>1853.84</v>
      </c>
      <c r="N222" s="1291"/>
      <c r="O222" s="962"/>
      <c r="P222" s="959"/>
      <c r="Q222" s="884"/>
      <c r="R222" s="966"/>
      <c r="S222" s="966"/>
      <c r="T222" s="966"/>
      <c r="U222" s="1356"/>
      <c r="V222" s="1356"/>
      <c r="W222" s="1269"/>
      <c r="X222" s="1269"/>
      <c r="Y222" s="966"/>
      <c r="Z222" s="966"/>
      <c r="AA222" s="966"/>
      <c r="AB222" s="966"/>
      <c r="AC222" s="1362"/>
      <c r="AD222" s="1362"/>
      <c r="AE222" s="965"/>
      <c r="AF222" s="966"/>
      <c r="AG222" s="964"/>
      <c r="AH222" s="964"/>
      <c r="AI222" s="964"/>
      <c r="AJ222" s="964"/>
      <c r="AK222" s="964"/>
      <c r="AL222" s="964"/>
      <c r="AM222" s="964"/>
      <c r="AN222" s="964"/>
      <c r="AO222" s="964"/>
      <c r="AP222" s="964"/>
      <c r="AQ222" s="964"/>
      <c r="AR222" s="964"/>
      <c r="AS222" s="964"/>
      <c r="AT222" s="964"/>
      <c r="AU222" s="964"/>
      <c r="AV222" s="964"/>
      <c r="AW222" s="964"/>
      <c r="AX222" s="964"/>
      <c r="AY222" s="964"/>
      <c r="AZ222" s="964"/>
      <c r="BA222" s="964"/>
      <c r="BB222" s="964"/>
      <c r="BC222" s="964"/>
      <c r="BD222" s="964"/>
      <c r="BE222" s="964"/>
      <c r="BF222" s="964"/>
      <c r="BG222" s="964"/>
      <c r="BH222" s="964"/>
      <c r="BI222" s="964"/>
      <c r="BJ222" s="964"/>
      <c r="BK222" s="964"/>
      <c r="BL222" s="964"/>
      <c r="BM222" s="964"/>
      <c r="BN222" s="964"/>
      <c r="BO222" s="964"/>
      <c r="BP222" s="964"/>
      <c r="BQ222" s="964"/>
      <c r="BR222" s="964"/>
      <c r="BS222" s="964"/>
      <c r="BT222" s="964"/>
      <c r="BU222" s="964"/>
      <c r="BV222" s="964"/>
      <c r="BW222" s="964"/>
      <c r="BX222" s="964"/>
      <c r="BY222" s="964"/>
      <c r="BZ222" s="964"/>
      <c r="CA222" s="964"/>
      <c r="CB222" s="964"/>
      <c r="CC222" s="964"/>
      <c r="CD222" s="964"/>
      <c r="CE222" s="964"/>
      <c r="CF222" s="964"/>
      <c r="CG222" s="964"/>
      <c r="CH222" s="964"/>
      <c r="CI222" s="964"/>
      <c r="CJ222" s="964"/>
      <c r="CK222" s="964"/>
      <c r="CL222" s="964"/>
      <c r="CM222" s="964"/>
      <c r="CN222" s="964"/>
      <c r="CO222" s="964"/>
      <c r="CP222" s="964"/>
      <c r="CQ222" s="964"/>
      <c r="CR222" s="964"/>
      <c r="CS222" s="964"/>
      <c r="CT222" s="964"/>
      <c r="CU222" s="964"/>
      <c r="CV222" s="964"/>
      <c r="CW222" s="964"/>
      <c r="CX222" s="964"/>
      <c r="CY222" s="964"/>
      <c r="CZ222" s="964"/>
      <c r="DA222" s="964"/>
      <c r="DB222" s="964"/>
      <c r="DC222" s="964"/>
      <c r="DD222" s="964"/>
      <c r="DE222" s="964"/>
      <c r="DF222" s="964"/>
      <c r="DG222" s="964"/>
    </row>
    <row r="223" spans="1:111" s="112" customFormat="1" ht="21" hidden="1" customHeight="1">
      <c r="A223" s="1021" t="s">
        <v>470</v>
      </c>
      <c r="B223" s="959"/>
      <c r="C223" s="959" t="s">
        <v>466</v>
      </c>
      <c r="D223" s="959" t="s">
        <v>30</v>
      </c>
      <c r="E223" s="1288">
        <f>ROUND(3.14*F220^2/4,2)</f>
        <v>113.04</v>
      </c>
      <c r="F223" s="1288"/>
      <c r="G223" s="1260" t="s">
        <v>517</v>
      </c>
      <c r="H223" s="1260"/>
      <c r="I223" s="959" t="s">
        <v>51</v>
      </c>
      <c r="J223" s="402">
        <f>G221</f>
        <v>4</v>
      </c>
      <c r="K223" s="959" t="str">
        <f>H221</f>
        <v>계열</v>
      </c>
      <c r="L223" s="959" t="s">
        <v>30</v>
      </c>
      <c r="M223" s="1287">
        <f>E223*J223</f>
        <v>452.16</v>
      </c>
      <c r="N223" s="1287"/>
      <c r="O223" s="962"/>
      <c r="P223" s="959"/>
      <c r="Q223" s="884"/>
      <c r="R223" s="966"/>
      <c r="S223" s="966"/>
      <c r="T223" s="966"/>
      <c r="U223" s="1356"/>
      <c r="V223" s="1356"/>
      <c r="W223" s="1269"/>
      <c r="X223" s="1269"/>
      <c r="Y223" s="966"/>
      <c r="Z223" s="966"/>
      <c r="AA223" s="966"/>
      <c r="AB223" s="966"/>
      <c r="AC223" s="1362"/>
      <c r="AD223" s="1362"/>
      <c r="AE223" s="965"/>
      <c r="AF223" s="966"/>
      <c r="AG223" s="964"/>
      <c r="AH223" s="964"/>
      <c r="AI223" s="964"/>
      <c r="AJ223" s="964"/>
      <c r="AK223" s="964"/>
      <c r="AL223" s="964"/>
      <c r="AM223" s="964"/>
      <c r="AN223" s="964"/>
      <c r="AO223" s="964"/>
      <c r="AP223" s="964"/>
      <c r="AQ223" s="964"/>
      <c r="AR223" s="964"/>
      <c r="AS223" s="964"/>
      <c r="AT223" s="964"/>
      <c r="AU223" s="964"/>
      <c r="AV223" s="964"/>
      <c r="AW223" s="964"/>
      <c r="AX223" s="964"/>
      <c r="AY223" s="964"/>
      <c r="AZ223" s="964"/>
      <c r="BA223" s="964"/>
      <c r="BB223" s="964"/>
      <c r="BC223" s="964"/>
      <c r="BD223" s="964"/>
      <c r="BE223" s="964"/>
      <c r="BF223" s="964"/>
      <c r="BG223" s="964"/>
      <c r="BH223" s="964"/>
      <c r="BI223" s="964"/>
      <c r="BJ223" s="964"/>
      <c r="BK223" s="964"/>
      <c r="BL223" s="964"/>
      <c r="BM223" s="964"/>
      <c r="BN223" s="964"/>
      <c r="BO223" s="964"/>
      <c r="BP223" s="964"/>
      <c r="BQ223" s="964"/>
      <c r="BR223" s="964"/>
      <c r="BS223" s="964"/>
      <c r="BT223" s="964"/>
      <c r="BU223" s="964"/>
      <c r="BV223" s="964"/>
      <c r="BW223" s="964"/>
      <c r="BX223" s="964"/>
      <c r="BY223" s="964"/>
      <c r="BZ223" s="964"/>
      <c r="CA223" s="964"/>
      <c r="CB223" s="964"/>
      <c r="CC223" s="964"/>
      <c r="CD223" s="964"/>
      <c r="CE223" s="964"/>
      <c r="CF223" s="964"/>
      <c r="CG223" s="964"/>
      <c r="CH223" s="964"/>
      <c r="CI223" s="964"/>
      <c r="CJ223" s="964"/>
      <c r="CK223" s="964"/>
      <c r="CL223" s="964"/>
      <c r="CM223" s="964"/>
      <c r="CN223" s="964"/>
      <c r="CO223" s="964"/>
      <c r="CP223" s="964"/>
      <c r="CQ223" s="964"/>
      <c r="CR223" s="964"/>
      <c r="CS223" s="964"/>
      <c r="CT223" s="964"/>
      <c r="CU223" s="964"/>
      <c r="CV223" s="964"/>
      <c r="CW223" s="964"/>
      <c r="CX223" s="964"/>
      <c r="CY223" s="964"/>
      <c r="CZ223" s="964"/>
      <c r="DA223" s="964"/>
      <c r="DB223" s="964"/>
      <c r="DC223" s="964"/>
      <c r="DD223" s="964"/>
      <c r="DE223" s="964"/>
      <c r="DF223" s="964"/>
      <c r="DG223" s="964"/>
    </row>
    <row r="224" spans="1:111" s="112" customFormat="1" ht="21" hidden="1" customHeight="1">
      <c r="A224" s="860" t="s">
        <v>471</v>
      </c>
      <c r="B224" s="959"/>
      <c r="C224" s="959"/>
      <c r="D224" s="959"/>
      <c r="E224" s="959"/>
      <c r="F224" s="959"/>
      <c r="G224" s="959"/>
      <c r="H224" s="959"/>
      <c r="I224" s="959"/>
      <c r="J224" s="959"/>
      <c r="K224" s="959"/>
      <c r="L224" s="959"/>
      <c r="M224" s="959"/>
      <c r="N224" s="959"/>
      <c r="O224" s="959"/>
      <c r="P224" s="959"/>
      <c r="Q224" s="884"/>
      <c r="R224" s="966"/>
      <c r="S224" s="966"/>
      <c r="T224" s="966"/>
      <c r="U224" s="966"/>
      <c r="V224" s="966"/>
      <c r="W224" s="966"/>
      <c r="X224" s="966"/>
      <c r="Y224" s="966"/>
      <c r="Z224" s="966"/>
      <c r="AA224" s="966"/>
      <c r="AB224" s="966"/>
      <c r="AC224" s="966"/>
      <c r="AD224" s="966"/>
      <c r="AE224" s="966"/>
      <c r="AF224" s="966"/>
      <c r="AG224" s="964"/>
      <c r="AH224" s="964"/>
      <c r="AI224" s="964"/>
      <c r="AJ224" s="964"/>
      <c r="AK224" s="964"/>
      <c r="AL224" s="964"/>
      <c r="AM224" s="964"/>
      <c r="AN224" s="964"/>
      <c r="AO224" s="964"/>
      <c r="AP224" s="964"/>
      <c r="AQ224" s="964"/>
      <c r="AR224" s="964"/>
      <c r="AS224" s="964"/>
      <c r="AT224" s="964"/>
      <c r="AU224" s="964"/>
      <c r="AV224" s="964"/>
      <c r="AW224" s="964"/>
      <c r="AX224" s="964"/>
      <c r="AY224" s="964"/>
      <c r="AZ224" s="964"/>
      <c r="BA224" s="964"/>
      <c r="BB224" s="964"/>
      <c r="BC224" s="964"/>
      <c r="BD224" s="964"/>
      <c r="BE224" s="964"/>
      <c r="BF224" s="964"/>
      <c r="BG224" s="964"/>
      <c r="BH224" s="964"/>
      <c r="BI224" s="964"/>
      <c r="BJ224" s="964"/>
      <c r="BK224" s="964"/>
      <c r="BL224" s="964"/>
      <c r="BM224" s="964"/>
      <c r="BN224" s="964"/>
      <c r="BO224" s="964"/>
      <c r="BP224" s="964"/>
      <c r="BQ224" s="964"/>
      <c r="BR224" s="964"/>
      <c r="BS224" s="964"/>
      <c r="BT224" s="964"/>
      <c r="BU224" s="964"/>
      <c r="BV224" s="964"/>
      <c r="BW224" s="964"/>
      <c r="BX224" s="964"/>
      <c r="BY224" s="964"/>
      <c r="BZ224" s="964"/>
      <c r="CA224" s="964"/>
      <c r="CB224" s="964"/>
      <c r="CC224" s="964"/>
      <c r="CD224" s="964"/>
      <c r="CE224" s="964"/>
      <c r="CF224" s="964"/>
      <c r="CG224" s="964"/>
      <c r="CH224" s="964"/>
      <c r="CI224" s="964"/>
      <c r="CJ224" s="964"/>
      <c r="CK224" s="964"/>
      <c r="CL224" s="964"/>
      <c r="CM224" s="964"/>
      <c r="CN224" s="964"/>
      <c r="CO224" s="964"/>
      <c r="CP224" s="964"/>
      <c r="CQ224" s="964"/>
      <c r="CR224" s="964"/>
      <c r="CS224" s="964"/>
      <c r="CT224" s="964"/>
      <c r="CU224" s="964"/>
      <c r="CV224" s="964"/>
      <c r="CW224" s="964"/>
      <c r="CX224" s="964"/>
      <c r="CY224" s="964"/>
      <c r="CZ224" s="964"/>
      <c r="DA224" s="964"/>
      <c r="DB224" s="964"/>
      <c r="DC224" s="964"/>
      <c r="DD224" s="964"/>
      <c r="DE224" s="964"/>
      <c r="DF224" s="964"/>
      <c r="DG224" s="964"/>
    </row>
    <row r="225" spans="1:111" s="112" customFormat="1" ht="21" hidden="1" customHeight="1">
      <c r="A225" s="1021" t="s">
        <v>472</v>
      </c>
      <c r="B225" s="1291">
        <f>M222</f>
        <v>1853.84</v>
      </c>
      <c r="C225" s="1291"/>
      <c r="D225" s="959" t="s">
        <v>52</v>
      </c>
      <c r="E225" s="1327">
        <f>E214</f>
        <v>1550</v>
      </c>
      <c r="F225" s="1327"/>
      <c r="G225" s="1327"/>
      <c r="H225" s="959" t="s">
        <v>51</v>
      </c>
      <c r="I225" s="303">
        <v>24</v>
      </c>
      <c r="J225" s="959" t="s">
        <v>30</v>
      </c>
      <c r="K225" s="1324">
        <f>B225/E225*24</f>
        <v>28.704619354838712</v>
      </c>
      <c r="L225" s="1324"/>
      <c r="M225" s="962" t="s">
        <v>473</v>
      </c>
      <c r="N225" s="959"/>
      <c r="O225" s="994"/>
      <c r="P225" s="962"/>
      <c r="Q225" s="884"/>
      <c r="R225" s="1362"/>
      <c r="S225" s="1362"/>
      <c r="T225" s="966"/>
      <c r="U225" s="1306"/>
      <c r="V225" s="1269"/>
      <c r="W225" s="1269"/>
      <c r="X225" s="966"/>
      <c r="Y225" s="369"/>
      <c r="Z225" s="966"/>
      <c r="AA225" s="1307"/>
      <c r="AB225" s="1269"/>
      <c r="AC225" s="966"/>
      <c r="AD225" s="966"/>
      <c r="AE225" s="991"/>
      <c r="AF225" s="965"/>
      <c r="AG225" s="964"/>
      <c r="AH225" s="964"/>
      <c r="AI225" s="964"/>
      <c r="AJ225" s="964"/>
      <c r="AK225" s="964"/>
      <c r="AL225" s="964"/>
      <c r="AM225" s="964"/>
      <c r="AN225" s="964"/>
      <c r="AO225" s="964"/>
      <c r="AP225" s="964"/>
      <c r="AQ225" s="964"/>
      <c r="AR225" s="964"/>
      <c r="AS225" s="964"/>
      <c r="AT225" s="964"/>
      <c r="AU225" s="964"/>
      <c r="AV225" s="964"/>
      <c r="AW225" s="964"/>
      <c r="AX225" s="964"/>
      <c r="AY225" s="964"/>
      <c r="AZ225" s="964"/>
      <c r="BA225" s="964"/>
      <c r="BB225" s="964"/>
      <c r="BC225" s="964"/>
      <c r="BD225" s="964"/>
      <c r="BE225" s="964"/>
      <c r="BF225" s="964"/>
      <c r="BG225" s="964"/>
      <c r="BH225" s="964"/>
      <c r="BI225" s="964"/>
      <c r="BJ225" s="964"/>
      <c r="BK225" s="964"/>
      <c r="BL225" s="964"/>
      <c r="BM225" s="964"/>
      <c r="BN225" s="964"/>
      <c r="BO225" s="964"/>
      <c r="BP225" s="964"/>
      <c r="BQ225" s="964"/>
      <c r="BR225" s="964"/>
      <c r="BS225" s="964"/>
      <c r="BT225" s="964"/>
      <c r="BU225" s="964"/>
      <c r="BV225" s="964"/>
      <c r="BW225" s="964"/>
      <c r="BX225" s="964"/>
      <c r="BY225" s="964"/>
      <c r="BZ225" s="964"/>
      <c r="CA225" s="964"/>
      <c r="CB225" s="964"/>
      <c r="CC225" s="964"/>
      <c r="CD225" s="964"/>
      <c r="CE225" s="964"/>
      <c r="CF225" s="964"/>
      <c r="CG225" s="964"/>
      <c r="CH225" s="964"/>
      <c r="CI225" s="964"/>
      <c r="CJ225" s="964"/>
      <c r="CK225" s="964"/>
      <c r="CL225" s="964"/>
      <c r="CM225" s="964"/>
      <c r="CN225" s="964"/>
      <c r="CO225" s="964"/>
      <c r="CP225" s="964"/>
      <c r="CQ225" s="964"/>
      <c r="CR225" s="964"/>
      <c r="CS225" s="964"/>
      <c r="CT225" s="964"/>
      <c r="CU225" s="964"/>
      <c r="CV225" s="964"/>
      <c r="CW225" s="964"/>
      <c r="CX225" s="964"/>
      <c r="CY225" s="964"/>
      <c r="CZ225" s="964"/>
      <c r="DA225" s="964"/>
      <c r="DB225" s="964"/>
      <c r="DC225" s="964"/>
      <c r="DD225" s="964"/>
      <c r="DE225" s="964"/>
      <c r="DF225" s="964"/>
      <c r="DG225" s="964"/>
    </row>
    <row r="226" spans="1:111" s="112" customFormat="1" ht="21" hidden="1" customHeight="1">
      <c r="A226" s="1021" t="s">
        <v>474</v>
      </c>
      <c r="B226" s="1285">
        <f>E214</f>
        <v>1550</v>
      </c>
      <c r="C226" s="1286"/>
      <c r="D226" s="1260"/>
      <c r="E226" s="959" t="s">
        <v>405</v>
      </c>
      <c r="F226" s="1287">
        <f>M223</f>
        <v>452.16</v>
      </c>
      <c r="G226" s="1287"/>
      <c r="H226" s="383" t="s">
        <v>30</v>
      </c>
      <c r="I226" s="1457">
        <f>B226/F226</f>
        <v>3.4279900920028306</v>
      </c>
      <c r="J226" s="1458"/>
      <c r="K226" s="1458"/>
      <c r="L226" s="994"/>
      <c r="M226" s="962" t="s">
        <v>473</v>
      </c>
      <c r="N226" s="962"/>
      <c r="O226" s="962"/>
      <c r="P226" s="959"/>
      <c r="Q226" s="884"/>
      <c r="R226" s="1306"/>
      <c r="S226" s="1306"/>
      <c r="T226" s="1269"/>
      <c r="U226" s="966"/>
      <c r="V226" s="1360"/>
      <c r="W226" s="1360"/>
      <c r="X226" s="387"/>
      <c r="Y226" s="1361"/>
      <c r="Z226" s="1269"/>
      <c r="AA226" s="1269"/>
      <c r="AB226" s="991"/>
      <c r="AC226" s="965"/>
      <c r="AD226" s="965"/>
      <c r="AE226" s="965"/>
      <c r="AF226" s="966"/>
      <c r="AG226" s="964"/>
      <c r="AH226" s="964"/>
      <c r="AI226" s="964"/>
      <c r="AJ226" s="964"/>
      <c r="AK226" s="964"/>
      <c r="AL226" s="964"/>
      <c r="AM226" s="964"/>
      <c r="AN226" s="964"/>
      <c r="AO226" s="964"/>
      <c r="AP226" s="964"/>
      <c r="AQ226" s="964"/>
      <c r="AR226" s="964"/>
      <c r="AS226" s="964"/>
      <c r="AT226" s="964"/>
      <c r="AU226" s="964"/>
    </row>
    <row r="227" spans="1:111" s="112" customFormat="1" ht="21" hidden="1" customHeight="1">
      <c r="A227" s="1021" t="s">
        <v>475</v>
      </c>
      <c r="B227" s="975"/>
      <c r="C227" s="309">
        <v>1</v>
      </c>
      <c r="D227" s="384" t="s">
        <v>448</v>
      </c>
      <c r="E227" s="959">
        <v>1.5</v>
      </c>
      <c r="F227" s="959" t="s">
        <v>308</v>
      </c>
      <c r="G227" s="384"/>
      <c r="H227" s="383"/>
      <c r="I227" s="385"/>
      <c r="J227" s="385"/>
      <c r="K227" s="385"/>
      <c r="L227" s="994"/>
      <c r="M227" s="962"/>
      <c r="N227" s="962"/>
      <c r="O227" s="962"/>
      <c r="P227" s="959"/>
      <c r="Q227" s="884"/>
      <c r="R227" s="1007"/>
      <c r="S227" s="1007"/>
      <c r="T227" s="966"/>
      <c r="U227" s="966"/>
      <c r="V227" s="1011"/>
      <c r="W227" s="1011"/>
      <c r="X227" s="387"/>
      <c r="Y227" s="1012"/>
      <c r="Z227" s="966"/>
      <c r="AA227" s="966"/>
      <c r="AB227" s="991"/>
      <c r="AC227" s="965"/>
      <c r="AD227" s="965"/>
      <c r="AE227" s="965"/>
      <c r="AF227" s="966"/>
      <c r="AG227" s="964"/>
      <c r="AH227" s="964"/>
      <c r="AI227" s="964"/>
      <c r="AJ227" s="964"/>
      <c r="AK227" s="964"/>
      <c r="AL227" s="964"/>
      <c r="AM227" s="964"/>
      <c r="AN227" s="964"/>
      <c r="AO227" s="964"/>
      <c r="AP227" s="964"/>
      <c r="AQ227" s="964"/>
      <c r="AR227" s="964"/>
      <c r="AS227" s="964"/>
      <c r="AT227" s="964"/>
      <c r="AU227" s="964"/>
    </row>
    <row r="228" spans="1:111" s="112" customFormat="1" ht="21" hidden="1" customHeight="1">
      <c r="A228" s="1021"/>
      <c r="B228" s="975"/>
      <c r="C228" s="309"/>
      <c r="D228" s="384"/>
      <c r="E228" s="959"/>
      <c r="F228" s="959"/>
      <c r="G228" s="384"/>
      <c r="H228" s="383"/>
      <c r="I228" s="385"/>
      <c r="J228" s="385"/>
      <c r="K228" s="385"/>
      <c r="L228" s="994"/>
      <c r="M228" s="962"/>
      <c r="N228" s="962"/>
      <c r="O228" s="962"/>
      <c r="P228" s="959"/>
      <c r="Q228" s="884"/>
      <c r="R228" s="1007"/>
      <c r="S228" s="1007"/>
      <c r="T228" s="966"/>
      <c r="U228" s="966"/>
      <c r="V228" s="1011"/>
      <c r="W228" s="1011"/>
      <c r="X228" s="387"/>
      <c r="Y228" s="1012"/>
      <c r="Z228" s="966"/>
      <c r="AA228" s="966"/>
      <c r="AB228" s="991"/>
      <c r="AC228" s="965"/>
      <c r="AD228" s="965"/>
      <c r="AE228" s="965"/>
      <c r="AF228" s="966"/>
      <c r="AG228" s="964"/>
      <c r="AH228" s="964"/>
      <c r="AI228" s="964"/>
      <c r="AJ228" s="964"/>
      <c r="AK228" s="964"/>
      <c r="AL228" s="964"/>
      <c r="AM228" s="964"/>
      <c r="AN228" s="964"/>
      <c r="AO228" s="964"/>
      <c r="AP228" s="964"/>
      <c r="AQ228" s="964"/>
      <c r="AR228" s="964"/>
      <c r="AS228" s="964"/>
      <c r="AT228" s="964"/>
      <c r="AU228" s="964"/>
    </row>
    <row r="229" spans="1:111" s="112" customFormat="1" ht="21" hidden="1" customHeight="1">
      <c r="A229" s="1021"/>
      <c r="B229" s="975"/>
      <c r="C229" s="309"/>
      <c r="D229" s="384"/>
      <c r="E229" s="959"/>
      <c r="F229" s="959"/>
      <c r="G229" s="384"/>
      <c r="H229" s="383"/>
      <c r="I229" s="385"/>
      <c r="J229" s="385"/>
      <c r="K229" s="385"/>
      <c r="L229" s="994"/>
      <c r="M229" s="962"/>
      <c r="N229" s="962"/>
      <c r="O229" s="962"/>
      <c r="P229" s="959"/>
      <c r="Q229" s="884"/>
      <c r="R229" s="1007"/>
      <c r="S229" s="1007"/>
      <c r="T229" s="966"/>
      <c r="U229" s="966"/>
      <c r="V229" s="1011"/>
      <c r="W229" s="1011"/>
      <c r="X229" s="387"/>
      <c r="Y229" s="1012"/>
      <c r="Z229" s="966"/>
      <c r="AA229" s="966"/>
      <c r="AB229" s="991"/>
      <c r="AC229" s="965"/>
      <c r="AD229" s="965"/>
      <c r="AE229" s="965"/>
      <c r="AF229" s="966"/>
      <c r="AG229" s="964"/>
      <c r="AH229" s="964"/>
      <c r="AI229" s="964"/>
      <c r="AJ229" s="964"/>
      <c r="AK229" s="964"/>
      <c r="AL229" s="964"/>
      <c r="AM229" s="964"/>
      <c r="AN229" s="964"/>
      <c r="AO229" s="964"/>
      <c r="AP229" s="964"/>
      <c r="AQ229" s="964"/>
      <c r="AR229" s="964"/>
      <c r="AS229" s="964"/>
      <c r="AT229" s="964"/>
      <c r="AU229" s="964"/>
    </row>
    <row r="230" spans="1:111" s="112" customFormat="1" ht="21" hidden="1" customHeight="1">
      <c r="A230" s="1021"/>
      <c r="B230" s="975"/>
      <c r="C230" s="309"/>
      <c r="D230" s="384"/>
      <c r="E230" s="959"/>
      <c r="F230" s="959"/>
      <c r="G230" s="384"/>
      <c r="H230" s="383"/>
      <c r="I230" s="385"/>
      <c r="J230" s="385"/>
      <c r="K230" s="385"/>
      <c r="L230" s="994"/>
      <c r="M230" s="962"/>
      <c r="N230" s="962"/>
      <c r="O230" s="962"/>
      <c r="P230" s="959"/>
      <c r="Q230" s="884"/>
      <c r="R230" s="1007"/>
      <c r="S230" s="1007"/>
      <c r="T230" s="966"/>
      <c r="U230" s="966"/>
      <c r="V230" s="1011"/>
      <c r="W230" s="1011"/>
      <c r="X230" s="387"/>
      <c r="Y230" s="1012"/>
      <c r="Z230" s="966"/>
      <c r="AA230" s="966"/>
      <c r="AB230" s="991"/>
      <c r="AC230" s="965"/>
      <c r="AD230" s="965"/>
      <c r="AE230" s="965"/>
      <c r="AF230" s="966"/>
      <c r="AG230" s="964"/>
      <c r="AH230" s="964"/>
      <c r="AI230" s="964"/>
      <c r="AJ230" s="964"/>
      <c r="AK230" s="964"/>
      <c r="AL230" s="964"/>
      <c r="AM230" s="964"/>
      <c r="AN230" s="964"/>
      <c r="AO230" s="964"/>
      <c r="AP230" s="964"/>
      <c r="AQ230" s="964"/>
      <c r="AR230" s="964"/>
      <c r="AS230" s="964"/>
      <c r="AT230" s="964"/>
      <c r="AU230" s="964"/>
    </row>
    <row r="231" spans="1:111" s="112" customFormat="1" ht="21" hidden="1" customHeight="1">
      <c r="A231" s="1021"/>
      <c r="B231" s="975"/>
      <c r="C231" s="309"/>
      <c r="D231" s="384"/>
      <c r="E231" s="959"/>
      <c r="F231" s="959"/>
      <c r="G231" s="384"/>
      <c r="H231" s="383"/>
      <c r="I231" s="385"/>
      <c r="J231" s="385"/>
      <c r="K231" s="385"/>
      <c r="L231" s="994"/>
      <c r="M231" s="962"/>
      <c r="N231" s="962"/>
      <c r="O231" s="962"/>
      <c r="P231" s="959"/>
      <c r="Q231" s="884"/>
      <c r="R231" s="1007"/>
      <c r="S231" s="1007"/>
      <c r="T231" s="966"/>
      <c r="U231" s="966"/>
      <c r="V231" s="1011"/>
      <c r="W231" s="1011"/>
      <c r="X231" s="387"/>
      <c r="Y231" s="1012"/>
      <c r="Z231" s="966"/>
      <c r="AA231" s="966"/>
      <c r="AB231" s="991"/>
      <c r="AC231" s="965"/>
      <c r="AD231" s="965"/>
      <c r="AE231" s="965"/>
      <c r="AF231" s="966"/>
      <c r="AG231" s="964"/>
      <c r="AH231" s="964"/>
      <c r="AI231" s="964"/>
      <c r="AJ231" s="964"/>
      <c r="AK231" s="964"/>
      <c r="AL231" s="964"/>
      <c r="AM231" s="964"/>
      <c r="AN231" s="964"/>
      <c r="AO231" s="964"/>
      <c r="AP231" s="964"/>
      <c r="AQ231" s="964"/>
      <c r="AR231" s="964"/>
      <c r="AS231" s="964"/>
      <c r="AT231" s="964"/>
      <c r="AU231" s="964"/>
    </row>
    <row r="232" spans="1:111" s="112" customFormat="1" ht="21" hidden="1" customHeight="1">
      <c r="A232" s="867"/>
      <c r="B232" s="835"/>
      <c r="C232" s="836"/>
      <c r="D232" s="837"/>
      <c r="E232" s="992"/>
      <c r="F232" s="992"/>
      <c r="G232" s="837"/>
      <c r="H232" s="838"/>
      <c r="I232" s="839"/>
      <c r="J232" s="839"/>
      <c r="K232" s="839"/>
      <c r="L232" s="831"/>
      <c r="M232" s="1028"/>
      <c r="N232" s="1028"/>
      <c r="O232" s="1028"/>
      <c r="P232" s="992"/>
      <c r="Q232" s="882"/>
      <c r="R232" s="1007"/>
      <c r="S232" s="1007"/>
      <c r="T232" s="966"/>
      <c r="U232" s="966"/>
      <c r="V232" s="1011"/>
      <c r="W232" s="1011"/>
      <c r="X232" s="387"/>
      <c r="Y232" s="1012"/>
      <c r="Z232" s="966"/>
      <c r="AA232" s="966"/>
      <c r="AB232" s="991"/>
      <c r="AC232" s="965"/>
      <c r="AD232" s="965"/>
      <c r="AE232" s="965"/>
      <c r="AF232" s="966"/>
      <c r="AG232" s="964"/>
      <c r="AH232" s="964"/>
      <c r="AI232" s="964"/>
      <c r="AJ232" s="964"/>
      <c r="AK232" s="964"/>
      <c r="AL232" s="964"/>
      <c r="AM232" s="964"/>
      <c r="AN232" s="964"/>
      <c r="AO232" s="964"/>
      <c r="AP232" s="964"/>
      <c r="AQ232" s="964"/>
      <c r="AR232" s="964"/>
      <c r="AS232" s="964"/>
      <c r="AT232" s="964"/>
      <c r="AU232" s="964"/>
    </row>
    <row r="233" spans="1:111" s="471" customFormat="1" ht="20.100000000000001" hidden="1" customHeight="1">
      <c r="A233" s="866" t="s">
        <v>784</v>
      </c>
      <c r="B233" s="974"/>
      <c r="C233" s="309"/>
      <c r="D233" s="384"/>
      <c r="E233" s="959"/>
      <c r="F233" s="959"/>
      <c r="G233" s="384"/>
      <c r="H233" s="383"/>
      <c r="I233" s="385"/>
      <c r="J233" s="385"/>
      <c r="K233" s="385"/>
      <c r="L233" s="994"/>
      <c r="M233" s="962"/>
      <c r="N233" s="962"/>
      <c r="O233" s="962"/>
      <c r="P233" s="959"/>
      <c r="Q233" s="859"/>
      <c r="R233" s="469"/>
      <c r="S233" s="474"/>
      <c r="T233" s="472"/>
      <c r="U233" s="472"/>
      <c r="V233" s="475"/>
      <c r="W233" s="475"/>
      <c r="X233" s="476"/>
      <c r="Y233" s="477"/>
      <c r="Z233" s="472"/>
      <c r="AA233" s="478"/>
      <c r="AB233" s="479"/>
      <c r="AC233" s="480"/>
      <c r="AD233" s="480"/>
      <c r="AE233" s="480"/>
      <c r="AF233" s="473"/>
      <c r="AG233" s="473"/>
    </row>
    <row r="234" spans="1:111" s="471" customFormat="1" ht="20.100000000000001" hidden="1" customHeight="1">
      <c r="A234" s="1021" t="s">
        <v>0</v>
      </c>
      <c r="B234" s="322"/>
      <c r="C234" s="963"/>
      <c r="D234" s="963"/>
      <c r="E234" s="963"/>
      <c r="F234" s="963"/>
      <c r="G234" s="963"/>
      <c r="H234" s="963"/>
      <c r="I234" s="963"/>
      <c r="J234" s="963"/>
      <c r="K234" s="963"/>
      <c r="L234" s="963"/>
      <c r="M234" s="963"/>
      <c r="N234" s="963"/>
      <c r="O234" s="963"/>
      <c r="P234" s="963"/>
      <c r="Q234" s="739"/>
      <c r="R234" s="467"/>
      <c r="S234" s="474"/>
      <c r="T234" s="472"/>
      <c r="U234" s="472"/>
      <c r="V234" s="475"/>
      <c r="W234" s="475"/>
      <c r="X234" s="476"/>
      <c r="Y234" s="477"/>
      <c r="Z234" s="472"/>
      <c r="AA234" s="478"/>
      <c r="AB234" s="479"/>
      <c r="AC234" s="480"/>
      <c r="AD234" s="480"/>
      <c r="AE234" s="480"/>
      <c r="AF234" s="473"/>
      <c r="AG234" s="473"/>
    </row>
    <row r="235" spans="1:111" s="471" customFormat="1" ht="20.100000000000001" hidden="1" customHeight="1">
      <c r="A235" s="868" t="s">
        <v>53</v>
      </c>
      <c r="B235" s="1293" t="s">
        <v>69</v>
      </c>
      <c r="C235" s="1257"/>
      <c r="D235" s="1257"/>
      <c r="E235" s="1257"/>
      <c r="F235" s="941">
        <v>3</v>
      </c>
      <c r="G235" s="1257" t="s">
        <v>570</v>
      </c>
      <c r="H235" s="1257"/>
      <c r="I235" s="963"/>
      <c r="J235" s="963"/>
      <c r="K235" s="963"/>
      <c r="L235" s="963"/>
      <c r="M235" s="963"/>
      <c r="N235" s="963"/>
      <c r="O235" s="963"/>
      <c r="P235" s="963"/>
      <c r="Q235" s="739"/>
      <c r="R235" s="467"/>
      <c r="S235" s="474"/>
      <c r="T235" s="472"/>
      <c r="U235" s="472"/>
      <c r="V235" s="475"/>
      <c r="W235" s="475"/>
      <c r="X235" s="476"/>
      <c r="Y235" s="477"/>
      <c r="Z235" s="472"/>
      <c r="AA235" s="478"/>
      <c r="AB235" s="479"/>
      <c r="AC235" s="480"/>
      <c r="AD235" s="480"/>
      <c r="AE235" s="480"/>
      <c r="AF235" s="473"/>
      <c r="AG235" s="473"/>
    </row>
    <row r="236" spans="1:111" s="471" customFormat="1" ht="20.100000000000001" hidden="1" customHeight="1">
      <c r="A236" s="1021" t="s">
        <v>151</v>
      </c>
      <c r="B236" s="322"/>
      <c r="C236" s="962" t="s">
        <v>571</v>
      </c>
      <c r="D236" s="963"/>
      <c r="E236" s="962"/>
      <c r="F236" s="962"/>
      <c r="G236" s="962"/>
      <c r="H236" s="962"/>
      <c r="I236" s="525"/>
      <c r="J236" s="525"/>
      <c r="K236" s="525"/>
      <c r="L236" s="525"/>
      <c r="M236" s="959" t="s">
        <v>152</v>
      </c>
      <c r="N236" s="964"/>
      <c r="O236" s="1303">
        <f>O237+O243</f>
        <v>702.16823301520981</v>
      </c>
      <c r="P236" s="1452"/>
      <c r="Q236" s="886"/>
      <c r="R236" s="1037"/>
      <c r="S236" s="470"/>
      <c r="T236" s="470"/>
      <c r="U236" s="472"/>
      <c r="V236" s="475"/>
      <c r="W236" s="475"/>
      <c r="X236" s="476"/>
      <c r="Y236" s="477"/>
      <c r="Z236" s="472"/>
      <c r="AA236" s="478"/>
      <c r="AB236" s="479"/>
      <c r="AC236" s="480"/>
      <c r="AD236" s="480"/>
      <c r="AE236" s="480"/>
      <c r="AF236" s="473"/>
      <c r="AG236" s="473"/>
    </row>
    <row r="237" spans="1:111" s="471" customFormat="1" ht="20.100000000000001" hidden="1" customHeight="1">
      <c r="A237" s="1280" t="s">
        <v>572</v>
      </c>
      <c r="B237" s="1281" t="s">
        <v>153</v>
      </c>
      <c r="C237" s="1260"/>
      <c r="D237" s="1260"/>
      <c r="E237" s="1260" t="s">
        <v>573</v>
      </c>
      <c r="F237" s="1260"/>
      <c r="G237" s="1260"/>
      <c r="H237" s="1260"/>
      <c r="I237" s="959"/>
      <c r="J237" s="963"/>
      <c r="K237" s="959"/>
      <c r="L237" s="959"/>
      <c r="M237" s="962"/>
      <c r="N237" s="964"/>
      <c r="O237" s="1303">
        <f>O239*'설계기준(설계치12)'!C4*('설계기준(설계치12)'!F9-'설계기준(설계치12)'!J9)/1000/(1+O241*O242)</f>
        <v>364.92023301520976</v>
      </c>
      <c r="P237" s="1452"/>
      <c r="Q237" s="886"/>
      <c r="R237" s="1037"/>
      <c r="S237" s="474"/>
      <c r="T237" s="472"/>
      <c r="U237" s="472"/>
      <c r="V237" s="475"/>
      <c r="W237" s="475"/>
      <c r="X237" s="476"/>
      <c r="Y237" s="477"/>
      <c r="Z237" s="472"/>
      <c r="AA237" s="478"/>
      <c r="AB237" s="479"/>
      <c r="AC237" s="480"/>
      <c r="AD237" s="480"/>
      <c r="AE237" s="480"/>
      <c r="AF237" s="473"/>
      <c r="AG237" s="473"/>
    </row>
    <row r="238" spans="1:111" s="471" customFormat="1" ht="20.100000000000001" hidden="1" customHeight="1">
      <c r="A238" s="1280"/>
      <c r="B238" s="1281"/>
      <c r="C238" s="1260"/>
      <c r="D238" s="1260"/>
      <c r="E238" s="1282" t="s">
        <v>154</v>
      </c>
      <c r="F238" s="1282"/>
      <c r="G238" s="1282"/>
      <c r="H238" s="1282"/>
      <c r="I238" s="959"/>
      <c r="J238" s="963"/>
      <c r="K238" s="959"/>
      <c r="L238" s="959"/>
      <c r="M238" s="963"/>
      <c r="N238" s="964"/>
      <c r="O238" s="1303"/>
      <c r="P238" s="1452"/>
      <c r="Q238" s="886"/>
      <c r="R238" s="1037"/>
      <c r="S238" s="474"/>
      <c r="T238" s="472"/>
      <c r="U238" s="472"/>
      <c r="V238" s="475"/>
      <c r="W238" s="475"/>
      <c r="X238" s="476"/>
      <c r="Y238" s="477"/>
      <c r="Z238" s="472"/>
      <c r="AA238" s="478"/>
      <c r="AB238" s="479"/>
      <c r="AC238" s="480"/>
      <c r="AD238" s="480"/>
      <c r="AE238" s="480"/>
      <c r="AF238" s="473"/>
      <c r="AG238" s="473"/>
    </row>
    <row r="239" spans="1:111" s="471" customFormat="1" ht="20.100000000000001" hidden="1" customHeight="1">
      <c r="A239" s="972"/>
      <c r="B239" s="322"/>
      <c r="C239" s="527" t="s">
        <v>155</v>
      </c>
      <c r="D239" s="959" t="s">
        <v>156</v>
      </c>
      <c r="E239" s="962" t="s">
        <v>147</v>
      </c>
      <c r="F239" s="963"/>
      <c r="G239" s="963"/>
      <c r="H239" s="962"/>
      <c r="I239" s="962"/>
      <c r="J239" s="962"/>
      <c r="K239" s="962"/>
      <c r="L239" s="962"/>
      <c r="M239" s="528" t="s">
        <v>574</v>
      </c>
      <c r="N239" s="964"/>
      <c r="O239" s="1453">
        <f>K157</f>
        <v>0.44</v>
      </c>
      <c r="P239" s="1454"/>
      <c r="Q239" s="887"/>
      <c r="R239" s="1037"/>
      <c r="S239" s="474"/>
      <c r="T239" s="470"/>
      <c r="U239" s="470"/>
      <c r="V239" s="475"/>
      <c r="W239" s="475"/>
      <c r="X239" s="476"/>
      <c r="Y239" s="477"/>
      <c r="Z239" s="472"/>
      <c r="AA239" s="478"/>
      <c r="AB239" s="479"/>
      <c r="AC239" s="480"/>
      <c r="AD239" s="480"/>
      <c r="AE239" s="480"/>
      <c r="AF239" s="473"/>
      <c r="AG239" s="473"/>
    </row>
    <row r="240" spans="1:111" s="471" customFormat="1" ht="20.100000000000001" hidden="1" customHeight="1">
      <c r="A240" s="972"/>
      <c r="B240" s="322"/>
      <c r="C240" s="959" t="s">
        <v>148</v>
      </c>
      <c r="D240" s="527" t="s">
        <v>156</v>
      </c>
      <c r="E240" s="962" t="s">
        <v>575</v>
      </c>
      <c r="F240" s="963"/>
      <c r="G240" s="963"/>
      <c r="H240" s="962"/>
      <c r="I240" s="962"/>
      <c r="J240" s="962"/>
      <c r="K240" s="962"/>
      <c r="L240" s="962"/>
      <c r="M240" s="962"/>
      <c r="N240" s="964"/>
      <c r="O240" s="963"/>
      <c r="P240" s="963"/>
      <c r="Q240" s="860"/>
      <c r="R240" s="468"/>
      <c r="S240" s="474"/>
      <c r="T240" s="470"/>
      <c r="U240" s="470"/>
      <c r="V240" s="475"/>
      <c r="W240" s="475"/>
      <c r="X240" s="476"/>
      <c r="Y240" s="477"/>
      <c r="Z240" s="472"/>
      <c r="AA240" s="478"/>
      <c r="AB240" s="479"/>
      <c r="AC240" s="480"/>
      <c r="AD240" s="480"/>
      <c r="AE240" s="480"/>
      <c r="AF240" s="473"/>
      <c r="AG240" s="473"/>
    </row>
    <row r="241" spans="1:33" s="471" customFormat="1" ht="20.100000000000001" hidden="1" customHeight="1">
      <c r="A241" s="972"/>
      <c r="B241" s="322"/>
      <c r="C241" s="959" t="s">
        <v>157</v>
      </c>
      <c r="D241" s="527" t="s">
        <v>156</v>
      </c>
      <c r="E241" s="962" t="s">
        <v>158</v>
      </c>
      <c r="F241" s="963"/>
      <c r="G241" s="963"/>
      <c r="H241" s="962"/>
      <c r="I241" s="962"/>
      <c r="J241" s="962"/>
      <c r="K241" s="962"/>
      <c r="L241" s="962"/>
      <c r="M241" s="963" t="s">
        <v>594</v>
      </c>
      <c r="N241" s="964"/>
      <c r="O241" s="1435">
        <v>5.0999999999999997E-2</v>
      </c>
      <c r="P241" s="1436"/>
      <c r="Q241" s="888"/>
      <c r="R241" s="1037"/>
      <c r="S241" s="474"/>
      <c r="T241" s="470"/>
      <c r="U241" s="470"/>
      <c r="V241" s="475"/>
      <c r="W241" s="475"/>
      <c r="X241" s="476"/>
      <c r="Y241" s="477"/>
      <c r="Z241" s="472"/>
      <c r="AA241" s="478"/>
      <c r="AB241" s="479"/>
      <c r="AC241" s="480"/>
      <c r="AD241" s="480"/>
      <c r="AE241" s="480"/>
      <c r="AF241" s="473"/>
      <c r="AG241" s="473"/>
    </row>
    <row r="242" spans="1:33" s="471" customFormat="1" ht="20.100000000000001" hidden="1" customHeight="1">
      <c r="A242" s="972"/>
      <c r="B242" s="322"/>
      <c r="C242" s="959" t="s">
        <v>149</v>
      </c>
      <c r="D242" s="527" t="s">
        <v>156</v>
      </c>
      <c r="E242" s="530" t="s">
        <v>150</v>
      </c>
      <c r="F242" s="963"/>
      <c r="G242" s="963"/>
      <c r="H242" s="959"/>
      <c r="I242" s="963"/>
      <c r="J242" s="959"/>
      <c r="K242" s="959"/>
      <c r="L242" s="963"/>
      <c r="M242" s="963"/>
      <c r="N242" s="962"/>
      <c r="O242" s="1318">
        <f>R185</f>
        <v>2.5399999999999996</v>
      </c>
      <c r="P242" s="1437"/>
      <c r="Q242" s="889"/>
      <c r="R242" s="1037"/>
      <c r="S242" s="474"/>
      <c r="T242" s="472"/>
      <c r="U242" s="470"/>
      <c r="V242" s="470"/>
      <c r="W242" s="475"/>
      <c r="X242" s="476"/>
      <c r="Y242" s="477"/>
      <c r="Z242" s="472"/>
      <c r="AA242" s="478"/>
      <c r="AB242" s="479"/>
      <c r="AC242" s="480"/>
      <c r="AD242" s="480"/>
      <c r="AE242" s="480"/>
      <c r="AF242" s="473"/>
      <c r="AG242" s="473"/>
    </row>
    <row r="243" spans="1:33" s="471" customFormat="1" ht="20.100000000000001" hidden="1" customHeight="1">
      <c r="A243" s="972" t="s">
        <v>567</v>
      </c>
      <c r="B243" s="322" t="s">
        <v>576</v>
      </c>
      <c r="C243" s="963"/>
      <c r="D243" s="963"/>
      <c r="E243" s="962"/>
      <c r="F243" s="527"/>
      <c r="G243" s="970"/>
      <c r="H243" s="959"/>
      <c r="I243" s="963"/>
      <c r="J243" s="959"/>
      <c r="K243" s="527"/>
      <c r="L243" s="1035"/>
      <c r="M243" s="1035"/>
      <c r="N243" s="959"/>
      <c r="O243" s="1455">
        <f>('설계기준(설계치12)'!F9-'설계기준(설계치12)'!J9)*(O245+O246*O249)*'설계기준(설계치12)'!C4/1000</f>
        <v>337.24799999999999</v>
      </c>
      <c r="P243" s="1456"/>
      <c r="Q243" s="890"/>
      <c r="R243" s="1037"/>
      <c r="S243" s="474"/>
      <c r="T243" s="472"/>
      <c r="U243" s="472"/>
      <c r="V243" s="475"/>
      <c r="W243" s="475"/>
      <c r="X243" s="476"/>
      <c r="Y243" s="477"/>
      <c r="Z243" s="472"/>
      <c r="AA243" s="478"/>
      <c r="AB243" s="479"/>
      <c r="AC243" s="480"/>
      <c r="AD243" s="480"/>
      <c r="AE243" s="480"/>
      <c r="AF243" s="473"/>
      <c r="AG243" s="473"/>
    </row>
    <row r="244" spans="1:33" s="471" customFormat="1" ht="20.100000000000001" hidden="1" customHeight="1">
      <c r="A244" s="739"/>
      <c r="B244" s="322"/>
      <c r="C244" s="962" t="s">
        <v>86</v>
      </c>
      <c r="D244" s="963"/>
      <c r="E244" s="963"/>
      <c r="F244" s="527"/>
      <c r="G244" s="970"/>
      <c r="H244" s="959"/>
      <c r="I244" s="963"/>
      <c r="J244" s="959"/>
      <c r="K244" s="527"/>
      <c r="L244" s="1035"/>
      <c r="M244" s="1035"/>
      <c r="N244" s="959"/>
      <c r="O244" s="963"/>
      <c r="P244" s="963"/>
      <c r="Q244" s="891"/>
      <c r="R244" s="481"/>
      <c r="S244" s="474"/>
      <c r="T244" s="472"/>
      <c r="U244" s="472"/>
      <c r="V244" s="475"/>
      <c r="W244" s="475"/>
      <c r="X244" s="476"/>
      <c r="Y244" s="477"/>
      <c r="Z244" s="472"/>
      <c r="AA244" s="478"/>
      <c r="AB244" s="479"/>
      <c r="AC244" s="480"/>
      <c r="AD244" s="480"/>
      <c r="AE244" s="480"/>
      <c r="AF244" s="473"/>
      <c r="AG244" s="473"/>
    </row>
    <row r="245" spans="1:33" s="471" customFormat="1" ht="20.100000000000001" hidden="1" customHeight="1">
      <c r="A245" s="739"/>
      <c r="B245" s="322"/>
      <c r="C245" s="962" t="s">
        <v>568</v>
      </c>
      <c r="D245" s="963"/>
      <c r="E245" s="963"/>
      <c r="F245" s="527"/>
      <c r="G245" s="970"/>
      <c r="H245" s="959"/>
      <c r="I245" s="963"/>
      <c r="J245" s="959"/>
      <c r="K245" s="527"/>
      <c r="L245" s="1035"/>
      <c r="M245" s="1035"/>
      <c r="N245" s="959"/>
      <c r="O245" s="1435">
        <v>0.2</v>
      </c>
      <c r="P245" s="1436"/>
      <c r="Q245" s="888"/>
      <c r="R245" s="1037"/>
      <c r="S245" s="474"/>
      <c r="T245" s="470"/>
      <c r="U245" s="470"/>
      <c r="V245" s="470"/>
      <c r="W245" s="475"/>
      <c r="X245" s="476"/>
      <c r="Y245" s="477"/>
      <c r="Z245" s="472"/>
      <c r="AA245" s="478"/>
      <c r="AB245" s="479"/>
      <c r="AC245" s="480"/>
      <c r="AD245" s="480"/>
      <c r="AE245" s="480"/>
      <c r="AF245" s="473"/>
      <c r="AG245" s="473"/>
    </row>
    <row r="246" spans="1:33" s="471" customFormat="1" ht="20.100000000000001" hidden="1" customHeight="1">
      <c r="A246" s="739"/>
      <c r="B246" s="322"/>
      <c r="C246" s="962" t="s">
        <v>569</v>
      </c>
      <c r="D246" s="963"/>
      <c r="E246" s="963"/>
      <c r="F246" s="527"/>
      <c r="G246" s="970"/>
      <c r="H246" s="959"/>
      <c r="I246" s="963"/>
      <c r="J246" s="959"/>
      <c r="K246" s="527"/>
      <c r="L246" s="1035"/>
      <c r="M246" s="1035"/>
      <c r="N246" s="959"/>
      <c r="O246" s="1318">
        <f>1-O245</f>
        <v>0.8</v>
      </c>
      <c r="P246" s="1437"/>
      <c r="Q246" s="889"/>
      <c r="R246" s="1037"/>
      <c r="S246" s="474"/>
      <c r="T246" s="472"/>
      <c r="U246" s="472"/>
      <c r="V246" s="475"/>
      <c r="W246" s="475"/>
      <c r="X246" s="476"/>
      <c r="Y246" s="477"/>
      <c r="Z246" s="472"/>
      <c r="AA246" s="478"/>
      <c r="AB246" s="479"/>
      <c r="AC246" s="480"/>
      <c r="AD246" s="480"/>
      <c r="AE246" s="480"/>
      <c r="AF246" s="473"/>
      <c r="AG246" s="473"/>
    </row>
    <row r="247" spans="1:33" s="471" customFormat="1" ht="20.100000000000001" hidden="1" customHeight="1">
      <c r="A247" s="739"/>
      <c r="B247" s="322"/>
      <c r="C247" s="962" t="s">
        <v>87</v>
      </c>
      <c r="D247" s="963"/>
      <c r="E247" s="963"/>
      <c r="F247" s="527"/>
      <c r="G247" s="970"/>
      <c r="H247" s="959"/>
      <c r="I247" s="963"/>
      <c r="J247" s="959"/>
      <c r="K247" s="527"/>
      <c r="L247" s="1035"/>
      <c r="M247" s="1035"/>
      <c r="N247" s="959"/>
      <c r="O247" s="963"/>
      <c r="P247" s="959"/>
      <c r="Q247" s="892"/>
      <c r="R247" s="482"/>
      <c r="S247" s="474"/>
      <c r="T247" s="472"/>
      <c r="U247" s="472"/>
      <c r="V247" s="475"/>
      <c r="W247" s="475"/>
      <c r="X247" s="476"/>
      <c r="Y247" s="477"/>
      <c r="Z247" s="472"/>
      <c r="AA247" s="478"/>
      <c r="AB247" s="479"/>
      <c r="AC247" s="480"/>
      <c r="AD247" s="480"/>
      <c r="AE247" s="480"/>
      <c r="AF247" s="473"/>
      <c r="AG247" s="473"/>
    </row>
    <row r="248" spans="1:33" s="471" customFormat="1" ht="20.100000000000001" hidden="1" customHeight="1">
      <c r="A248" s="739"/>
      <c r="B248" s="322"/>
      <c r="C248" s="962" t="s">
        <v>159</v>
      </c>
      <c r="D248" s="963"/>
      <c r="E248" s="963"/>
      <c r="F248" s="527"/>
      <c r="G248" s="970"/>
      <c r="H248" s="959"/>
      <c r="I248" s="963"/>
      <c r="J248" s="959"/>
      <c r="K248" s="527"/>
      <c r="L248" s="1035"/>
      <c r="M248" s="1035"/>
      <c r="N248" s="959"/>
      <c r="O248" s="1435">
        <v>0.8</v>
      </c>
      <c r="P248" s="1436"/>
      <c r="Q248" s="888"/>
      <c r="R248" s="1037"/>
      <c r="S248" s="474"/>
      <c r="T248" s="470"/>
      <c r="U248" s="470"/>
      <c r="V248" s="475"/>
      <c r="W248" s="475"/>
      <c r="X248" s="476"/>
      <c r="Y248" s="477"/>
      <c r="Z248" s="472"/>
      <c r="AA248" s="478"/>
      <c r="AB248" s="479"/>
      <c r="AC248" s="480"/>
      <c r="AD248" s="480"/>
      <c r="AE248" s="480"/>
      <c r="AF248" s="473"/>
      <c r="AG248" s="473"/>
    </row>
    <row r="249" spans="1:33" s="471" customFormat="1" ht="20.100000000000001" hidden="1" customHeight="1">
      <c r="A249" s="739"/>
      <c r="B249" s="322"/>
      <c r="C249" s="962" t="s">
        <v>160</v>
      </c>
      <c r="D249" s="963"/>
      <c r="E249" s="963"/>
      <c r="F249" s="527"/>
      <c r="G249" s="970"/>
      <c r="H249" s="959"/>
      <c r="I249" s="963"/>
      <c r="J249" s="959"/>
      <c r="K249" s="527"/>
      <c r="L249" s="1035"/>
      <c r="M249" s="1035"/>
      <c r="N249" s="959"/>
      <c r="O249" s="1318">
        <f>1-O248</f>
        <v>0.19999999999999996</v>
      </c>
      <c r="P249" s="1437"/>
      <c r="Q249" s="889"/>
      <c r="R249" s="1037"/>
      <c r="S249" s="474"/>
      <c r="T249" s="470"/>
      <c r="U249" s="470"/>
      <c r="V249" s="475"/>
      <c r="W249" s="475"/>
      <c r="X249" s="476"/>
      <c r="Y249" s="477"/>
      <c r="Z249" s="472"/>
      <c r="AA249" s="478"/>
      <c r="AB249" s="479"/>
      <c r="AC249" s="480"/>
      <c r="AD249" s="480"/>
      <c r="AE249" s="480"/>
      <c r="AF249" s="473"/>
      <c r="AG249" s="473"/>
    </row>
    <row r="250" spans="1:33" s="471" customFormat="1" ht="20.100000000000001" hidden="1" customHeight="1">
      <c r="A250" s="868" t="s">
        <v>161</v>
      </c>
      <c r="B250" s="978" t="str">
        <f>"함수율("&amp;물질수지!T43&amp;")%인 경우"</f>
        <v>함수율(99.2)%인 경우</v>
      </c>
      <c r="C250" s="962"/>
      <c r="D250" s="962"/>
      <c r="E250" s="962"/>
      <c r="F250" s="962"/>
      <c r="G250" s="962"/>
      <c r="H250" s="959"/>
      <c r="I250" s="959"/>
      <c r="J250" s="959"/>
      <c r="K250" s="959"/>
      <c r="L250" s="959"/>
      <c r="M250" s="959"/>
      <c r="N250" s="959"/>
      <c r="O250" s="959"/>
      <c r="P250" s="959"/>
      <c r="Q250" s="859"/>
      <c r="R250" s="1037"/>
      <c r="S250" s="474"/>
      <c r="T250" s="472"/>
      <c r="U250" s="472"/>
      <c r="V250" s="475"/>
      <c r="W250" s="475"/>
      <c r="X250" s="476"/>
      <c r="Y250" s="477"/>
      <c r="Z250" s="472"/>
      <c r="AA250" s="478"/>
      <c r="AB250" s="479"/>
      <c r="AC250" s="480"/>
      <c r="AD250" s="480"/>
      <c r="AE250" s="480"/>
      <c r="AF250" s="473"/>
      <c r="AG250" s="473"/>
    </row>
    <row r="251" spans="1:33" s="471" customFormat="1" ht="20.100000000000001" hidden="1" customHeight="1">
      <c r="A251" s="859"/>
      <c r="B251" s="973"/>
      <c r="C251" s="1438">
        <f>O236</f>
        <v>702.16823301520981</v>
      </c>
      <c r="D251" s="1439"/>
      <c r="E251" s="1260" t="s">
        <v>140</v>
      </c>
      <c r="F251" s="1260"/>
      <c r="G251" s="959" t="s">
        <v>51</v>
      </c>
      <c r="H251" s="959">
        <v>100</v>
      </c>
      <c r="I251" s="959" t="s">
        <v>162</v>
      </c>
      <c r="J251" s="959">
        <v>100</v>
      </c>
      <c r="K251" s="959" t="s">
        <v>163</v>
      </c>
      <c r="L251" s="959">
        <v>99.2</v>
      </c>
      <c r="M251" s="959" t="s">
        <v>164</v>
      </c>
      <c r="N251" s="1440">
        <v>1000</v>
      </c>
      <c r="O251" s="1440"/>
      <c r="P251" s="959"/>
      <c r="Q251" s="859"/>
      <c r="R251" s="1037"/>
      <c r="S251" s="474"/>
      <c r="T251" s="472"/>
      <c r="U251" s="472"/>
      <c r="V251" s="475"/>
      <c r="W251" s="475"/>
      <c r="X251" s="476"/>
      <c r="Y251" s="477"/>
      <c r="Z251" s="472"/>
      <c r="AA251" s="478"/>
      <c r="AB251" s="479"/>
      <c r="AC251" s="480"/>
      <c r="AD251" s="480"/>
      <c r="AE251" s="480"/>
      <c r="AF251" s="473"/>
      <c r="AG251" s="473"/>
    </row>
    <row r="252" spans="1:33" s="471" customFormat="1" ht="20.100000000000001" hidden="1" customHeight="1">
      <c r="A252" s="859"/>
      <c r="B252" s="973"/>
      <c r="C252" s="959" t="s">
        <v>152</v>
      </c>
      <c r="D252" s="1451">
        <f>C251*H251/(J251-L251)/N251</f>
        <v>87.771029126901539</v>
      </c>
      <c r="E252" s="1451"/>
      <c r="F252" s="1257" t="s">
        <v>165</v>
      </c>
      <c r="G252" s="1257"/>
      <c r="H252" s="959"/>
      <c r="I252" s="959"/>
      <c r="J252" s="959"/>
      <c r="K252" s="959"/>
      <c r="L252" s="959"/>
      <c r="M252" s="959"/>
      <c r="N252" s="959"/>
      <c r="O252" s="959"/>
      <c r="P252" s="959"/>
      <c r="Q252" s="859"/>
      <c r="R252" s="1037"/>
      <c r="S252" s="474"/>
      <c r="T252" s="472"/>
      <c r="U252" s="472"/>
      <c r="V252" s="475"/>
      <c r="W252" s="475"/>
      <c r="X252" s="476"/>
      <c r="Y252" s="477"/>
      <c r="Z252" s="472"/>
      <c r="AA252" s="478"/>
      <c r="AB252" s="479"/>
      <c r="AC252" s="480"/>
      <c r="AD252" s="480"/>
      <c r="AE252" s="480"/>
      <c r="AF252" s="473"/>
      <c r="AG252" s="473"/>
    </row>
    <row r="253" spans="1:33" s="471" customFormat="1" ht="20.100000000000001" hidden="1" customHeight="1">
      <c r="A253" s="859"/>
      <c r="B253" s="973"/>
      <c r="C253" s="959"/>
      <c r="D253" s="1034"/>
      <c r="E253" s="1034"/>
      <c r="F253" s="962"/>
      <c r="G253" s="962"/>
      <c r="H253" s="959"/>
      <c r="I253" s="959"/>
      <c r="J253" s="959"/>
      <c r="K253" s="959"/>
      <c r="L253" s="959"/>
      <c r="M253" s="959"/>
      <c r="N253" s="959"/>
      <c r="O253" s="959"/>
      <c r="P253" s="959"/>
      <c r="Q253" s="859"/>
      <c r="R253" s="1037"/>
      <c r="S253" s="474"/>
      <c r="T253" s="472"/>
      <c r="U253" s="472"/>
      <c r="V253" s="475"/>
      <c r="W253" s="475"/>
      <c r="X253" s="476"/>
      <c r="Y253" s="477"/>
      <c r="Z253" s="472"/>
      <c r="AA253" s="478"/>
      <c r="AB253" s="479"/>
      <c r="AC253" s="480"/>
      <c r="AD253" s="480"/>
      <c r="AE253" s="480"/>
      <c r="AF253" s="473"/>
      <c r="AG253" s="473"/>
    </row>
    <row r="254" spans="1:33" s="471" customFormat="1" ht="20.100000000000001" hidden="1" customHeight="1">
      <c r="A254" s="866" t="s">
        <v>785</v>
      </c>
      <c r="B254" s="974"/>
      <c r="C254" s="975"/>
      <c r="D254" s="959"/>
      <c r="E254" s="959"/>
      <c r="F254" s="558"/>
      <c r="G254" s="558"/>
      <c r="H254" s="383"/>
      <c r="I254" s="559"/>
      <c r="J254" s="959"/>
      <c r="K254" s="959"/>
      <c r="L254" s="994"/>
      <c r="M254" s="962"/>
      <c r="N254" s="962"/>
      <c r="O254" s="962"/>
      <c r="P254" s="959"/>
      <c r="Q254" s="859"/>
      <c r="R254" s="1037"/>
      <c r="S254" s="474"/>
      <c r="T254" s="472"/>
      <c r="U254" s="472"/>
      <c r="V254" s="475"/>
      <c r="W254" s="475"/>
      <c r="X254" s="476"/>
      <c r="Y254" s="477"/>
      <c r="Z254" s="472"/>
      <c r="AA254" s="478"/>
      <c r="AB254" s="479"/>
      <c r="AC254" s="480"/>
      <c r="AD254" s="480"/>
      <c r="AE254" s="480"/>
      <c r="AF254" s="473"/>
      <c r="AG254" s="473"/>
    </row>
    <row r="255" spans="1:33" s="471" customFormat="1" ht="20.100000000000001" hidden="1" customHeight="1">
      <c r="A255" s="739" t="s">
        <v>476</v>
      </c>
      <c r="B255" s="1431" t="s">
        <v>596</v>
      </c>
      <c r="C255" s="1447"/>
      <c r="D255" s="1447"/>
      <c r="E255" s="1447"/>
      <c r="F255" s="1447"/>
      <c r="G255" s="1447"/>
      <c r="H255" s="1447"/>
      <c r="I255" s="1447"/>
      <c r="J255" s="1447"/>
      <c r="K255" s="1447"/>
      <c r="L255" s="1447"/>
      <c r="M255" s="1447"/>
      <c r="N255" s="1447"/>
      <c r="O255" s="1447"/>
      <c r="P255" s="1448"/>
      <c r="Q255" s="859"/>
      <c r="R255" s="1037"/>
      <c r="S255" s="474"/>
      <c r="T255" s="472"/>
      <c r="U255" s="472"/>
      <c r="V255" s="475"/>
      <c r="W255" s="475"/>
      <c r="X255" s="476"/>
      <c r="Y255" s="477"/>
      <c r="Z255" s="472"/>
      <c r="AA255" s="478"/>
      <c r="AB255" s="479"/>
      <c r="AC255" s="480"/>
      <c r="AD255" s="480"/>
      <c r="AE255" s="480"/>
      <c r="AF255" s="473"/>
      <c r="AG255" s="473"/>
    </row>
    <row r="256" spans="1:33" s="471" customFormat="1" ht="20.100000000000001" hidden="1" customHeight="1">
      <c r="A256" s="739" t="s">
        <v>597</v>
      </c>
      <c r="B256" s="253" t="str">
        <f>"체류시간 : 유입유량의 "&amp;R256&amp;"시간 정도"</f>
        <v>체류시간 : 유입유량의 3시간 정도</v>
      </c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859"/>
      <c r="R256" s="1037">
        <v>3</v>
      </c>
      <c r="S256" s="474"/>
      <c r="T256" s="472"/>
      <c r="U256" s="472"/>
      <c r="V256" s="475"/>
      <c r="W256" s="475"/>
      <c r="X256" s="476"/>
      <c r="Y256" s="477"/>
      <c r="Z256" s="472"/>
      <c r="AA256" s="478"/>
      <c r="AB256" s="479"/>
      <c r="AC256" s="480"/>
      <c r="AD256" s="480"/>
      <c r="AE256" s="480"/>
      <c r="AF256" s="473"/>
      <c r="AG256" s="473"/>
    </row>
    <row r="257" spans="1:33" s="471" customFormat="1" ht="20.100000000000001" hidden="1" customHeight="1">
      <c r="A257" s="739" t="s">
        <v>477</v>
      </c>
      <c r="B257" s="1444" t="s">
        <v>117</v>
      </c>
      <c r="C257" s="1445"/>
      <c r="D257" s="1445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859"/>
      <c r="R257" s="1037"/>
      <c r="S257" s="474"/>
      <c r="T257" s="472"/>
      <c r="U257" s="472"/>
      <c r="V257" s="475"/>
      <c r="W257" s="475"/>
      <c r="X257" s="476"/>
      <c r="Y257" s="477"/>
      <c r="Z257" s="472"/>
      <c r="AA257" s="478"/>
      <c r="AB257" s="479"/>
      <c r="AC257" s="480"/>
      <c r="AD257" s="480"/>
      <c r="AE257" s="480"/>
      <c r="AF257" s="473"/>
      <c r="AG257" s="473"/>
    </row>
    <row r="258" spans="1:33" s="471" customFormat="1" ht="20.100000000000001" hidden="1" customHeight="1">
      <c r="A258" s="1021"/>
      <c r="B258" s="974"/>
      <c r="C258" s="1327">
        <f>물질수지!T7</f>
        <v>12185.125776698724</v>
      </c>
      <c r="D258" s="1327"/>
      <c r="E258" s="1327"/>
      <c r="F258" s="960" t="s">
        <v>51</v>
      </c>
      <c r="G258" s="389">
        <f>R256</f>
        <v>3</v>
      </c>
      <c r="H258" s="960" t="s">
        <v>30</v>
      </c>
      <c r="I258" s="1430">
        <f>C258*G258/24</f>
        <v>1523.1407220873405</v>
      </c>
      <c r="J258" s="1430"/>
      <c r="K258" s="959"/>
      <c r="L258" s="994"/>
      <c r="M258" s="962"/>
      <c r="N258" s="962"/>
      <c r="O258" s="962"/>
      <c r="P258" s="959"/>
      <c r="Q258" s="859"/>
      <c r="R258" s="1037"/>
      <c r="S258" s="474"/>
      <c r="T258" s="472"/>
      <c r="U258" s="472"/>
      <c r="V258" s="475"/>
      <c r="W258" s="475"/>
      <c r="X258" s="476"/>
      <c r="Y258" s="477"/>
      <c r="Z258" s="472"/>
      <c r="AA258" s="478"/>
      <c r="AB258" s="479"/>
      <c r="AC258" s="480"/>
      <c r="AD258" s="480"/>
      <c r="AE258" s="480"/>
      <c r="AF258" s="473"/>
      <c r="AG258" s="473"/>
    </row>
    <row r="259" spans="1:33" s="471" customFormat="1" ht="20.100000000000001" hidden="1" customHeight="1">
      <c r="A259" s="739" t="s">
        <v>478</v>
      </c>
      <c r="B259" s="253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859"/>
      <c r="R259" s="1037"/>
      <c r="S259" s="474"/>
      <c r="T259" s="472"/>
      <c r="U259" s="472"/>
      <c r="V259" s="475"/>
      <c r="W259" s="475"/>
      <c r="X259" s="476"/>
      <c r="Y259" s="477"/>
      <c r="Z259" s="472"/>
      <c r="AA259" s="478"/>
      <c r="AB259" s="479"/>
      <c r="AC259" s="480"/>
      <c r="AD259" s="480"/>
      <c r="AE259" s="480"/>
      <c r="AF259" s="473"/>
      <c r="AG259" s="473"/>
    </row>
    <row r="260" spans="1:33" s="471" customFormat="1" ht="20.100000000000001" hidden="1" customHeight="1">
      <c r="A260" s="1021" t="s">
        <v>602</v>
      </c>
      <c r="B260" s="253"/>
      <c r="C260" s="1250" t="s">
        <v>121</v>
      </c>
      <c r="D260" s="1250"/>
      <c r="E260" s="1250"/>
      <c r="F260" s="1250"/>
      <c r="G260" s="1250"/>
      <c r="H260" s="1250"/>
      <c r="I260" s="1250"/>
      <c r="J260" s="1250"/>
      <c r="K260" s="1250"/>
      <c r="L260" s="1250"/>
      <c r="M260" s="1250"/>
      <c r="N260" s="1250"/>
      <c r="O260" s="1250"/>
      <c r="P260" s="250"/>
      <c r="Q260" s="859"/>
      <c r="R260" s="1037"/>
      <c r="S260" s="474"/>
      <c r="T260" s="472"/>
      <c r="U260" s="472"/>
      <c r="V260" s="475"/>
      <c r="W260" s="475"/>
      <c r="X260" s="476"/>
      <c r="Y260" s="477"/>
      <c r="Z260" s="472"/>
      <c r="AA260" s="478"/>
      <c r="AB260" s="479"/>
      <c r="AC260" s="480"/>
      <c r="AD260" s="480"/>
      <c r="AE260" s="480"/>
      <c r="AF260" s="473"/>
      <c r="AG260" s="473"/>
    </row>
    <row r="261" spans="1:33" s="471" customFormat="1" ht="20.100000000000001" hidden="1" customHeight="1">
      <c r="A261" s="1021" t="s">
        <v>122</v>
      </c>
      <c r="B261" s="1029" t="s">
        <v>307</v>
      </c>
      <c r="C261" s="309">
        <v>12.7</v>
      </c>
      <c r="D261" s="960" t="s">
        <v>36</v>
      </c>
      <c r="E261" s="960" t="s">
        <v>51</v>
      </c>
      <c r="F261" s="960" t="s">
        <v>108</v>
      </c>
      <c r="G261" s="309">
        <v>17.2</v>
      </c>
      <c r="H261" s="960" t="s">
        <v>36</v>
      </c>
      <c r="I261" s="960" t="s">
        <v>51</v>
      </c>
      <c r="J261" s="1250" t="s">
        <v>123</v>
      </c>
      <c r="K261" s="1250"/>
      <c r="L261" s="960" t="s">
        <v>311</v>
      </c>
      <c r="M261" s="407">
        <v>3.5</v>
      </c>
      <c r="N261" s="960" t="s">
        <v>36</v>
      </c>
      <c r="O261" s="960"/>
      <c r="P261" s="250"/>
      <c r="Q261" s="859"/>
      <c r="R261" s="1037"/>
      <c r="S261" s="474"/>
      <c r="T261" s="472"/>
      <c r="U261" s="472"/>
      <c r="V261" s="475"/>
      <c r="W261" s="475"/>
      <c r="X261" s="476"/>
      <c r="Y261" s="477"/>
      <c r="Z261" s="472"/>
      <c r="AA261" s="478"/>
      <c r="AB261" s="479"/>
      <c r="AC261" s="480"/>
      <c r="AD261" s="480"/>
      <c r="AE261" s="480"/>
      <c r="AF261" s="473"/>
      <c r="AG261" s="473"/>
    </row>
    <row r="262" spans="1:33" s="471" customFormat="1" ht="20.100000000000001" hidden="1" customHeight="1">
      <c r="A262" s="1021" t="s">
        <v>125</v>
      </c>
      <c r="B262" s="253"/>
      <c r="C262" s="250"/>
      <c r="D262" s="250"/>
      <c r="E262" s="250"/>
      <c r="F262" s="250"/>
      <c r="G262" s="250"/>
      <c r="H262" s="960">
        <v>2</v>
      </c>
      <c r="I262" s="250" t="s">
        <v>113</v>
      </c>
      <c r="J262" s="250"/>
      <c r="K262" s="250"/>
      <c r="L262" s="250"/>
      <c r="M262" s="250"/>
      <c r="N262" s="250"/>
      <c r="O262" s="250"/>
      <c r="P262" s="250"/>
      <c r="Q262" s="859"/>
      <c r="R262" s="1037"/>
      <c r="S262" s="474"/>
      <c r="T262" s="472"/>
      <c r="U262" s="472"/>
      <c r="V262" s="475"/>
      <c r="W262" s="475"/>
      <c r="X262" s="476"/>
      <c r="Y262" s="477"/>
      <c r="Z262" s="472"/>
      <c r="AA262" s="478"/>
      <c r="AB262" s="479"/>
      <c r="AC262" s="480"/>
      <c r="AD262" s="480"/>
      <c r="AE262" s="480"/>
      <c r="AF262" s="473"/>
      <c r="AG262" s="473"/>
    </row>
    <row r="263" spans="1:33" s="471" customFormat="1" ht="20.100000000000001" hidden="1" customHeight="1">
      <c r="A263" s="1021" t="s">
        <v>126</v>
      </c>
      <c r="B263" s="1029" t="s">
        <v>127</v>
      </c>
      <c r="C263" s="960" t="s">
        <v>30</v>
      </c>
      <c r="D263" s="1430">
        <f>C261*G261*M261</f>
        <v>764.53999999999985</v>
      </c>
      <c r="E263" s="1430"/>
      <c r="F263" s="960" t="s">
        <v>51</v>
      </c>
      <c r="G263" s="960">
        <f>H262</f>
        <v>2</v>
      </c>
      <c r="H263" s="960" t="s">
        <v>609</v>
      </c>
      <c r="I263" s="960" t="s">
        <v>30</v>
      </c>
      <c r="J263" s="1291">
        <f>D263*G263</f>
        <v>1529.0799999999997</v>
      </c>
      <c r="K263" s="1291"/>
      <c r="L263" s="250"/>
      <c r="M263" s="250"/>
      <c r="N263" s="250"/>
      <c r="O263" s="250"/>
      <c r="P263" s="250"/>
      <c r="Q263" s="859"/>
      <c r="R263" s="1037"/>
      <c r="S263" s="474"/>
      <c r="T263" s="472"/>
      <c r="U263" s="472"/>
      <c r="V263" s="475"/>
      <c r="W263" s="475"/>
      <c r="X263" s="476"/>
      <c r="Y263" s="477"/>
      <c r="Z263" s="472"/>
      <c r="AA263" s="478"/>
      <c r="AB263" s="479"/>
      <c r="AC263" s="480"/>
      <c r="AD263" s="480"/>
      <c r="AE263" s="480"/>
      <c r="AF263" s="473"/>
      <c r="AG263" s="473"/>
    </row>
    <row r="264" spans="1:33" s="471" customFormat="1" ht="20.100000000000001" hidden="1" customHeight="1">
      <c r="A264" s="739" t="s">
        <v>612</v>
      </c>
      <c r="B264" s="253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962"/>
      <c r="P264" s="959"/>
      <c r="Q264" s="859"/>
      <c r="R264" s="1037"/>
      <c r="S264" s="474"/>
      <c r="T264" s="472"/>
      <c r="U264" s="472"/>
      <c r="V264" s="475"/>
      <c r="W264" s="475"/>
      <c r="X264" s="476"/>
      <c r="Y264" s="477"/>
      <c r="Z264" s="472"/>
      <c r="AA264" s="478"/>
      <c r="AB264" s="479"/>
      <c r="AC264" s="480"/>
      <c r="AD264" s="480"/>
      <c r="AE264" s="480"/>
      <c r="AF264" s="473"/>
      <c r="AG264" s="473"/>
    </row>
    <row r="265" spans="1:33" s="471" customFormat="1" ht="20.100000000000001" hidden="1" customHeight="1">
      <c r="A265" s="1021" t="s">
        <v>130</v>
      </c>
      <c r="B265" s="253"/>
      <c r="C265" s="1291">
        <f>J263</f>
        <v>1529.0799999999997</v>
      </c>
      <c r="D265" s="1291"/>
      <c r="E265" s="960" t="s">
        <v>52</v>
      </c>
      <c r="F265" s="1327">
        <f>C258</f>
        <v>12185.125776698724</v>
      </c>
      <c r="G265" s="1327"/>
      <c r="H265" s="1327"/>
      <c r="I265" s="960" t="s">
        <v>51</v>
      </c>
      <c r="J265" s="1304">
        <v>24</v>
      </c>
      <c r="K265" s="1304"/>
      <c r="L265" s="960" t="s">
        <v>30</v>
      </c>
      <c r="M265" s="1332">
        <f>C265/F265*J265</f>
        <v>3.0116980876944579</v>
      </c>
      <c r="N265" s="1332"/>
      <c r="O265" s="962"/>
      <c r="P265" s="959"/>
      <c r="Q265" s="859"/>
      <c r="R265" s="1037"/>
      <c r="S265" s="474"/>
      <c r="T265" s="472"/>
      <c r="U265" s="472"/>
      <c r="V265" s="475"/>
      <c r="W265" s="475"/>
      <c r="X265" s="476"/>
      <c r="Y265" s="477"/>
      <c r="Z265" s="472"/>
      <c r="AA265" s="478"/>
      <c r="AB265" s="479"/>
      <c r="AC265" s="480"/>
      <c r="AD265" s="480"/>
      <c r="AE265" s="480"/>
      <c r="AF265" s="473"/>
      <c r="AG265" s="473"/>
    </row>
    <row r="266" spans="1:33" s="471" customFormat="1" ht="20.100000000000001" hidden="1" customHeight="1">
      <c r="A266" s="1021"/>
      <c r="B266" s="253"/>
      <c r="C266" s="976"/>
      <c r="D266" s="976"/>
      <c r="E266" s="960"/>
      <c r="F266" s="997"/>
      <c r="G266" s="997"/>
      <c r="H266" s="997"/>
      <c r="I266" s="960"/>
      <c r="J266" s="1000"/>
      <c r="K266" s="1000"/>
      <c r="L266" s="960"/>
      <c r="M266" s="1002"/>
      <c r="N266" s="1002"/>
      <c r="O266" s="962"/>
      <c r="P266" s="959"/>
      <c r="Q266" s="859"/>
      <c r="R266" s="1037"/>
      <c r="S266" s="474"/>
      <c r="T266" s="472"/>
      <c r="U266" s="472"/>
      <c r="V266" s="475"/>
      <c r="W266" s="475"/>
      <c r="X266" s="476"/>
      <c r="Y266" s="477"/>
      <c r="Z266" s="472"/>
      <c r="AA266" s="478"/>
      <c r="AB266" s="479"/>
      <c r="AC266" s="480"/>
      <c r="AD266" s="480"/>
      <c r="AE266" s="480"/>
      <c r="AF266" s="473"/>
      <c r="AG266" s="473"/>
    </row>
    <row r="267" spans="1:33" s="471" customFormat="1" ht="20.100000000000001" hidden="1" customHeight="1">
      <c r="A267" s="867"/>
      <c r="B267" s="841"/>
      <c r="C267" s="1030"/>
      <c r="D267" s="1030"/>
      <c r="E267" s="843"/>
      <c r="F267" s="844"/>
      <c r="G267" s="844"/>
      <c r="H267" s="844"/>
      <c r="I267" s="843"/>
      <c r="J267" s="845"/>
      <c r="K267" s="845"/>
      <c r="L267" s="843"/>
      <c r="M267" s="846"/>
      <c r="N267" s="846"/>
      <c r="O267" s="1028"/>
      <c r="P267" s="992"/>
      <c r="Q267" s="1020"/>
      <c r="R267" s="1037"/>
      <c r="S267" s="474"/>
      <c r="T267" s="472"/>
      <c r="U267" s="472"/>
      <c r="V267" s="475"/>
      <c r="W267" s="475"/>
      <c r="X267" s="476"/>
      <c r="Y267" s="477"/>
      <c r="Z267" s="472"/>
      <c r="AA267" s="478"/>
      <c r="AB267" s="479"/>
      <c r="AC267" s="480"/>
      <c r="AD267" s="480"/>
      <c r="AE267" s="480"/>
      <c r="AF267" s="473"/>
      <c r="AG267" s="473"/>
    </row>
    <row r="268" spans="1:33" s="112" customFormat="1" ht="21" hidden="1" customHeight="1">
      <c r="A268" s="870" t="s">
        <v>786</v>
      </c>
      <c r="B268" s="847"/>
      <c r="C268" s="848"/>
      <c r="D268" s="848"/>
      <c r="E268" s="849"/>
      <c r="F268" s="850"/>
      <c r="G268" s="850"/>
      <c r="H268" s="850"/>
      <c r="I268" s="849"/>
      <c r="J268" s="851"/>
      <c r="K268" s="848"/>
      <c r="L268" s="849"/>
      <c r="M268" s="852"/>
      <c r="N268" s="852"/>
      <c r="O268" s="996"/>
      <c r="P268" s="995"/>
      <c r="Q268" s="893"/>
      <c r="R268" s="783"/>
      <c r="S268" s="1007"/>
      <c r="T268" s="966"/>
      <c r="U268" s="966"/>
      <c r="V268" s="1011"/>
      <c r="W268" s="1011"/>
      <c r="X268" s="387"/>
      <c r="Y268" s="1012"/>
      <c r="Z268" s="966"/>
      <c r="AA268" s="966"/>
      <c r="AB268" s="991"/>
      <c r="AC268" s="965"/>
      <c r="AD268" s="965"/>
      <c r="AE268" s="965"/>
      <c r="AF268" s="966"/>
      <c r="AG268" s="964"/>
    </row>
    <row r="269" spans="1:33" s="112" customFormat="1" ht="21" hidden="1" customHeight="1">
      <c r="A269" s="871" t="s">
        <v>476</v>
      </c>
      <c r="B269" s="1431" t="s">
        <v>580</v>
      </c>
      <c r="C269" s="1432"/>
      <c r="D269" s="1432"/>
      <c r="E269" s="1432"/>
      <c r="F269" s="1432"/>
      <c r="G269" s="1432"/>
      <c r="H269" s="1432"/>
      <c r="I269" s="1432"/>
      <c r="J269" s="1432"/>
      <c r="K269" s="1432"/>
      <c r="L269" s="1432"/>
      <c r="M269" s="1432"/>
      <c r="N269" s="1432"/>
      <c r="O269" s="1432"/>
      <c r="P269" s="1433"/>
      <c r="Q269" s="894"/>
      <c r="R269" s="783"/>
      <c r="S269" s="1007"/>
      <c r="T269" s="966"/>
      <c r="U269" s="966"/>
      <c r="V269" s="1011"/>
      <c r="W269" s="1011"/>
      <c r="X269" s="387"/>
      <c r="Y269" s="1012"/>
      <c r="Z269" s="966"/>
      <c r="AA269" s="966"/>
      <c r="AB269" s="991"/>
      <c r="AC269" s="965"/>
      <c r="AD269" s="965"/>
      <c r="AE269" s="965"/>
      <c r="AF269" s="966"/>
      <c r="AG269" s="964"/>
    </row>
    <row r="270" spans="1:33" s="112" customFormat="1" ht="21" hidden="1" customHeight="1">
      <c r="A270" s="871" t="s">
        <v>481</v>
      </c>
      <c r="B270" s="1431" t="str">
        <f>"체류시간 : 유입유량의 "&amp;R270&amp;"시간 정도"</f>
        <v>체류시간 : 유입유량의 1시간 정도</v>
      </c>
      <c r="C270" s="1432"/>
      <c r="D270" s="1432"/>
      <c r="E270" s="1432"/>
      <c r="F270" s="1432"/>
      <c r="G270" s="1432"/>
      <c r="H270" s="406"/>
      <c r="I270" s="250"/>
      <c r="J270" s="250"/>
      <c r="K270" s="250"/>
      <c r="L270" s="250"/>
      <c r="M270" s="250"/>
      <c r="N270" s="250"/>
      <c r="O270" s="250"/>
      <c r="P270" s="250"/>
      <c r="Q270" s="894"/>
      <c r="R270" s="783">
        <v>1</v>
      </c>
      <c r="S270" s="1007"/>
      <c r="T270" s="966"/>
      <c r="U270" s="966"/>
      <c r="V270" s="1011"/>
      <c r="W270" s="1011"/>
      <c r="X270" s="387"/>
      <c r="Y270" s="1012"/>
      <c r="Z270" s="966"/>
      <c r="AA270" s="966"/>
      <c r="AB270" s="991"/>
      <c r="AC270" s="965"/>
      <c r="AD270" s="965"/>
      <c r="AE270" s="965"/>
      <c r="AF270" s="966"/>
      <c r="AG270" s="964"/>
    </row>
    <row r="271" spans="1:33" s="112" customFormat="1" ht="21" hidden="1" customHeight="1">
      <c r="A271" s="739" t="s">
        <v>477</v>
      </c>
      <c r="B271" s="1444" t="s">
        <v>117</v>
      </c>
      <c r="C271" s="1445"/>
      <c r="D271" s="1445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894"/>
      <c r="R271" s="783"/>
      <c r="S271" s="1007"/>
      <c r="T271" s="966"/>
      <c r="U271" s="966"/>
      <c r="V271" s="1011"/>
      <c r="W271" s="1011"/>
      <c r="X271" s="387"/>
      <c r="Y271" s="1012"/>
      <c r="Z271" s="966"/>
      <c r="AA271" s="966"/>
      <c r="AB271" s="991"/>
      <c r="AC271" s="965"/>
      <c r="AD271" s="965"/>
      <c r="AE271" s="965"/>
      <c r="AF271" s="966"/>
      <c r="AG271" s="964"/>
    </row>
    <row r="272" spans="1:33" s="112" customFormat="1" ht="21" hidden="1" customHeight="1">
      <c r="A272" s="1021"/>
      <c r="B272" s="974"/>
      <c r="C272" s="1327">
        <f>물질수지!Z7</f>
        <v>11792.426695</v>
      </c>
      <c r="D272" s="1327"/>
      <c r="E272" s="1327"/>
      <c r="F272" s="960" t="s">
        <v>51</v>
      </c>
      <c r="G272" s="389">
        <f>R270</f>
        <v>1</v>
      </c>
      <c r="H272" s="960" t="s">
        <v>30</v>
      </c>
      <c r="I272" s="1430">
        <f>C272*G272/24</f>
        <v>491.35111229166665</v>
      </c>
      <c r="J272" s="1430"/>
      <c r="K272" s="959"/>
      <c r="L272" s="994"/>
      <c r="M272" s="962"/>
      <c r="N272" s="962"/>
      <c r="O272" s="962"/>
      <c r="P272" s="959"/>
      <c r="Q272" s="894"/>
      <c r="R272" s="783"/>
      <c r="S272" s="1007"/>
      <c r="T272" s="966"/>
      <c r="U272" s="966"/>
      <c r="V272" s="1011"/>
      <c r="W272" s="1011"/>
      <c r="X272" s="387"/>
      <c r="Y272" s="1012"/>
      <c r="Z272" s="966"/>
      <c r="AA272" s="966"/>
      <c r="AB272" s="991"/>
      <c r="AC272" s="965"/>
      <c r="AD272" s="965"/>
      <c r="AE272" s="965"/>
      <c r="AF272" s="966"/>
      <c r="AG272" s="964"/>
    </row>
    <row r="273" spans="1:33" s="112" customFormat="1" ht="21" hidden="1" customHeight="1">
      <c r="A273" s="739" t="s">
        <v>478</v>
      </c>
      <c r="B273" s="253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894"/>
      <c r="R273" s="783"/>
      <c r="S273" s="1007"/>
      <c r="T273" s="966"/>
      <c r="U273" s="966"/>
      <c r="V273" s="1011"/>
      <c r="W273" s="1011"/>
      <c r="X273" s="387"/>
      <c r="Y273" s="1012"/>
      <c r="Z273" s="966"/>
      <c r="AA273" s="966"/>
      <c r="AB273" s="991"/>
      <c r="AC273" s="965"/>
      <c r="AD273" s="965"/>
      <c r="AE273" s="965"/>
      <c r="AF273" s="966"/>
      <c r="AG273" s="964"/>
    </row>
    <row r="274" spans="1:33" s="112" customFormat="1" ht="21" hidden="1" customHeight="1">
      <c r="A274" s="1021" t="s">
        <v>304</v>
      </c>
      <c r="B274" s="1428" t="s">
        <v>121</v>
      </c>
      <c r="C274" s="1250"/>
      <c r="D274" s="1250"/>
      <c r="E274" s="1250"/>
      <c r="F274" s="1250"/>
      <c r="G274" s="1250"/>
      <c r="H274" s="1250"/>
      <c r="I274" s="1250"/>
      <c r="J274" s="1250"/>
      <c r="K274" s="1250"/>
      <c r="L274" s="1250"/>
      <c r="M274" s="1250"/>
      <c r="N274" s="1250"/>
      <c r="O274" s="1250"/>
      <c r="P274" s="1429"/>
      <c r="Q274" s="894"/>
      <c r="R274" s="783"/>
      <c r="S274" s="1007"/>
      <c r="T274" s="966"/>
      <c r="U274" s="966"/>
      <c r="V274" s="1011"/>
      <c r="W274" s="1011"/>
      <c r="X274" s="387"/>
      <c r="Y274" s="1012"/>
      <c r="Z274" s="966"/>
      <c r="AA274" s="966"/>
      <c r="AB274" s="991"/>
      <c r="AC274" s="965"/>
      <c r="AD274" s="965"/>
      <c r="AE274" s="965"/>
      <c r="AF274" s="966"/>
      <c r="AG274" s="964"/>
    </row>
    <row r="275" spans="1:33" s="112" customFormat="1" ht="21" hidden="1" customHeight="1">
      <c r="A275" s="1021" t="s">
        <v>306</v>
      </c>
      <c r="B275" s="1029" t="s">
        <v>307</v>
      </c>
      <c r="C275" s="309">
        <f>C261</f>
        <v>12.7</v>
      </c>
      <c r="D275" s="960" t="s">
        <v>308</v>
      </c>
      <c r="E275" s="960" t="s">
        <v>51</v>
      </c>
      <c r="F275" s="960" t="s">
        <v>108</v>
      </c>
      <c r="G275" s="309">
        <v>4.4000000000000004</v>
      </c>
      <c r="H275" s="960" t="s">
        <v>308</v>
      </c>
      <c r="I275" s="960" t="s">
        <v>51</v>
      </c>
      <c r="J275" s="1250" t="s">
        <v>123</v>
      </c>
      <c r="K275" s="1250"/>
      <c r="L275" s="960" t="s">
        <v>311</v>
      </c>
      <c r="M275" s="407">
        <v>4.5</v>
      </c>
      <c r="N275" s="960" t="s">
        <v>308</v>
      </c>
      <c r="O275" s="960"/>
      <c r="P275" s="250"/>
      <c r="Q275" s="894"/>
      <c r="R275" s="783"/>
      <c r="S275" s="1007"/>
      <c r="T275" s="966"/>
      <c r="U275" s="966"/>
      <c r="V275" s="1011"/>
      <c r="W275" s="1011"/>
      <c r="X275" s="387"/>
      <c r="Y275" s="1012"/>
      <c r="Z275" s="966"/>
      <c r="AA275" s="966"/>
      <c r="AB275" s="991"/>
      <c r="AC275" s="965"/>
      <c r="AD275" s="965"/>
      <c r="AE275" s="965"/>
      <c r="AF275" s="966"/>
      <c r="AG275" s="964"/>
    </row>
    <row r="276" spans="1:33" s="112" customFormat="1" ht="21" hidden="1" customHeight="1">
      <c r="A276" s="1021" t="s">
        <v>125</v>
      </c>
      <c r="B276" s="253"/>
      <c r="C276" s="250"/>
      <c r="D276" s="250"/>
      <c r="E276" s="250"/>
      <c r="F276" s="250"/>
      <c r="G276" s="250"/>
      <c r="H276" s="960">
        <v>2</v>
      </c>
      <c r="I276" s="250" t="s">
        <v>113</v>
      </c>
      <c r="J276" s="250"/>
      <c r="K276" s="250"/>
      <c r="L276" s="250"/>
      <c r="M276" s="250"/>
      <c r="N276" s="250"/>
      <c r="O276" s="250"/>
      <c r="P276" s="250"/>
      <c r="Q276" s="894"/>
      <c r="R276" s="783"/>
      <c r="S276" s="1007"/>
      <c r="T276" s="700">
        <f>G287+G275+G261+0.8</f>
        <v>28.400000000000002</v>
      </c>
      <c r="U276" s="966"/>
      <c r="V276" s="1011"/>
      <c r="W276" s="1011"/>
      <c r="X276" s="387"/>
      <c r="Y276" s="1012"/>
      <c r="Z276" s="966"/>
      <c r="AA276" s="966"/>
      <c r="AB276" s="991"/>
      <c r="AC276" s="965"/>
      <c r="AD276" s="965"/>
      <c r="AE276" s="965"/>
      <c r="AF276" s="966"/>
      <c r="AG276" s="964"/>
    </row>
    <row r="277" spans="1:33" s="112" customFormat="1" ht="21" hidden="1" customHeight="1">
      <c r="A277" s="1021" t="s">
        <v>314</v>
      </c>
      <c r="B277" s="1029" t="s">
        <v>127</v>
      </c>
      <c r="C277" s="960" t="s">
        <v>30</v>
      </c>
      <c r="D277" s="1430">
        <f>C275*G275*M275</f>
        <v>251.46</v>
      </c>
      <c r="E277" s="1430"/>
      <c r="F277" s="960" t="s">
        <v>51</v>
      </c>
      <c r="G277" s="960">
        <f>H276</f>
        <v>2</v>
      </c>
      <c r="H277" s="960" t="s">
        <v>429</v>
      </c>
      <c r="I277" s="960" t="s">
        <v>30</v>
      </c>
      <c r="J277" s="1430">
        <f>D277*G277</f>
        <v>502.92</v>
      </c>
      <c r="K277" s="1430"/>
      <c r="L277" s="250"/>
      <c r="M277" s="250"/>
      <c r="N277" s="250"/>
      <c r="O277" s="250"/>
      <c r="P277" s="250"/>
      <c r="Q277" s="894"/>
      <c r="R277" s="783"/>
      <c r="S277" s="1007"/>
      <c r="T277" s="966">
        <v>28.4</v>
      </c>
      <c r="U277" s="966"/>
      <c r="V277" s="1011"/>
      <c r="W277" s="1011"/>
      <c r="X277" s="387"/>
      <c r="Y277" s="1012"/>
      <c r="Z277" s="966"/>
      <c r="AA277" s="966"/>
      <c r="AB277" s="991"/>
      <c r="AC277" s="965"/>
      <c r="AD277" s="965"/>
      <c r="AE277" s="965"/>
      <c r="AF277" s="966"/>
      <c r="AG277" s="964"/>
    </row>
    <row r="278" spans="1:33" s="112" customFormat="1" ht="21" hidden="1" customHeight="1">
      <c r="A278" s="739" t="s">
        <v>480</v>
      </c>
      <c r="B278" s="253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962"/>
      <c r="P278" s="959"/>
      <c r="Q278" s="894"/>
      <c r="R278" s="783"/>
      <c r="S278" s="1007"/>
      <c r="T278" s="966"/>
      <c r="U278" s="966"/>
      <c r="V278" s="1011"/>
      <c r="W278" s="1011"/>
      <c r="X278" s="387"/>
      <c r="Y278" s="1012"/>
      <c r="Z278" s="966"/>
      <c r="AA278" s="966"/>
      <c r="AB278" s="991"/>
      <c r="AC278" s="965"/>
      <c r="AD278" s="965"/>
      <c r="AE278" s="965"/>
      <c r="AF278" s="966"/>
      <c r="AG278" s="964"/>
    </row>
    <row r="279" spans="1:33" s="112" customFormat="1" ht="21" hidden="1" customHeight="1">
      <c r="A279" s="1021" t="s">
        <v>318</v>
      </c>
      <c r="B279" s="253"/>
      <c r="C279" s="1446">
        <f>J277</f>
        <v>502.92</v>
      </c>
      <c r="D279" s="1446"/>
      <c r="E279" s="960" t="s">
        <v>52</v>
      </c>
      <c r="F279" s="1327">
        <f>C272</f>
        <v>11792.426695</v>
      </c>
      <c r="G279" s="1327"/>
      <c r="H279" s="1327"/>
      <c r="I279" s="960" t="s">
        <v>51</v>
      </c>
      <c r="J279" s="1304">
        <v>24</v>
      </c>
      <c r="K279" s="1304"/>
      <c r="L279" s="960" t="s">
        <v>30</v>
      </c>
      <c r="M279" s="1332">
        <f>C279/F279*J279</f>
        <v>1.0235450524460521</v>
      </c>
      <c r="N279" s="1332"/>
      <c r="O279" s="962"/>
      <c r="P279" s="959"/>
      <c r="Q279" s="894"/>
      <c r="R279" s="783"/>
      <c r="S279" s="1007"/>
      <c r="T279" s="966"/>
      <c r="U279" s="966"/>
      <c r="V279" s="1011"/>
      <c r="W279" s="1011"/>
      <c r="X279" s="387"/>
      <c r="Y279" s="1012"/>
      <c r="Z279" s="966"/>
      <c r="AA279" s="966"/>
      <c r="AB279" s="991"/>
      <c r="AC279" s="965"/>
      <c r="AD279" s="965"/>
      <c r="AE279" s="965"/>
      <c r="AF279" s="966"/>
      <c r="AG279" s="964"/>
    </row>
    <row r="280" spans="1:33" s="112" customFormat="1" ht="21" hidden="1" customHeight="1">
      <c r="A280" s="1021"/>
      <c r="B280" s="250"/>
      <c r="C280" s="1033"/>
      <c r="D280" s="1033"/>
      <c r="E280" s="960"/>
      <c r="F280" s="997"/>
      <c r="G280" s="997"/>
      <c r="H280" s="997"/>
      <c r="I280" s="960"/>
      <c r="J280" s="1000"/>
      <c r="K280" s="1000"/>
      <c r="L280" s="960"/>
      <c r="M280" s="1002"/>
      <c r="N280" s="1002"/>
      <c r="O280" s="962"/>
      <c r="P280" s="959"/>
      <c r="Q280" s="894"/>
      <c r="R280" s="783"/>
      <c r="S280" s="1007"/>
      <c r="T280" s="966"/>
      <c r="U280" s="966"/>
      <c r="V280" s="1011"/>
      <c r="W280" s="1011"/>
      <c r="X280" s="387"/>
      <c r="Y280" s="1012"/>
      <c r="Z280" s="966"/>
      <c r="AA280" s="966"/>
      <c r="AB280" s="991"/>
      <c r="AC280" s="965"/>
      <c r="AD280" s="965"/>
      <c r="AE280" s="965"/>
      <c r="AF280" s="966"/>
      <c r="AG280" s="964"/>
    </row>
    <row r="281" spans="1:33" s="112" customFormat="1" ht="21" hidden="1" customHeight="1">
      <c r="A281" s="738" t="s">
        <v>787</v>
      </c>
      <c r="B281" s="1001"/>
      <c r="C281" s="1001"/>
      <c r="D281" s="959"/>
      <c r="E281" s="975"/>
      <c r="F281" s="959"/>
      <c r="G281" s="959"/>
      <c r="H281" s="959"/>
      <c r="I281" s="381"/>
      <c r="J281" s="959"/>
      <c r="K281" s="391"/>
      <c r="L281" s="391"/>
      <c r="M281" s="962"/>
      <c r="N281" s="959"/>
      <c r="O281" s="994"/>
      <c r="P281" s="962"/>
      <c r="Q281" s="884"/>
      <c r="R281" s="783"/>
      <c r="S281" s="1007"/>
      <c r="T281" s="966"/>
      <c r="U281" s="966"/>
      <c r="V281" s="1011"/>
      <c r="W281" s="1011"/>
      <c r="X281" s="387"/>
      <c r="Y281" s="1012"/>
      <c r="Z281" s="966"/>
      <c r="AA281" s="966"/>
      <c r="AB281" s="991"/>
      <c r="AC281" s="965"/>
      <c r="AD281" s="965"/>
      <c r="AE281" s="965"/>
      <c r="AF281" s="966"/>
      <c r="AG281" s="964"/>
    </row>
    <row r="282" spans="1:33" s="112" customFormat="1" ht="21" hidden="1" customHeight="1">
      <c r="A282" s="860" t="s">
        <v>172</v>
      </c>
      <c r="B282" s="1432" t="s">
        <v>762</v>
      </c>
      <c r="C282" s="1445"/>
      <c r="D282" s="1445"/>
      <c r="E282" s="1445"/>
      <c r="F282" s="1445"/>
      <c r="G282" s="1445"/>
      <c r="H282" s="1445"/>
      <c r="I282" s="1445"/>
      <c r="J282" s="1445"/>
      <c r="K282" s="1445"/>
      <c r="L282" s="1445"/>
      <c r="M282" s="1445"/>
      <c r="N282" s="1445"/>
      <c r="O282" s="1445"/>
      <c r="P282" s="1445"/>
      <c r="Q282" s="878"/>
      <c r="R282" s="783"/>
      <c r="S282" s="1007"/>
      <c r="T282" s="966"/>
      <c r="U282" s="966"/>
      <c r="V282" s="1360"/>
      <c r="W282" s="1360"/>
      <c r="X282" s="387"/>
      <c r="Y282" s="1012"/>
      <c r="Z282" s="966"/>
      <c r="AA282" s="966"/>
      <c r="AB282" s="991"/>
      <c r="AC282" s="965"/>
      <c r="AD282" s="965"/>
      <c r="AE282" s="965"/>
      <c r="AF282" s="966"/>
      <c r="AG282" s="964"/>
    </row>
    <row r="283" spans="1:33" s="112" customFormat="1" ht="21" hidden="1" customHeight="1">
      <c r="A283" s="739" t="s">
        <v>407</v>
      </c>
      <c r="B283" s="1293" t="s">
        <v>173</v>
      </c>
      <c r="C283" s="1257"/>
      <c r="D283" s="1257"/>
      <c r="E283" s="963"/>
      <c r="F283" s="963"/>
      <c r="G283" s="963"/>
      <c r="H283" s="963"/>
      <c r="I283" s="963"/>
      <c r="J283" s="963"/>
      <c r="K283" s="963"/>
      <c r="L283" s="963"/>
      <c r="M283" s="963"/>
      <c r="N283" s="963"/>
      <c r="O283" s="963"/>
      <c r="P283" s="963"/>
      <c r="Q283" s="878"/>
      <c r="R283" s="783"/>
      <c r="S283" s="1007"/>
      <c r="T283" s="966"/>
      <c r="U283" s="966"/>
      <c r="V283" s="1011"/>
      <c r="W283" s="1011"/>
      <c r="X283" s="387"/>
      <c r="Y283" s="1012"/>
      <c r="Z283" s="966"/>
      <c r="AA283" s="966"/>
      <c r="AB283" s="991"/>
      <c r="AC283" s="965"/>
      <c r="AD283" s="965"/>
      <c r="AE283" s="965"/>
      <c r="AF283" s="966"/>
      <c r="AG283" s="964"/>
    </row>
    <row r="284" spans="1:33" s="112" customFormat="1" ht="21" hidden="1" customHeight="1">
      <c r="A284" s="739"/>
      <c r="B284" s="963"/>
      <c r="C284" s="1434">
        <f>물질수지!O48</f>
        <v>199.29750000000001</v>
      </c>
      <c r="D284" s="1434"/>
      <c r="E284" s="1434"/>
      <c r="F284" s="959" t="s">
        <v>51</v>
      </c>
      <c r="G284" s="531">
        <v>3</v>
      </c>
      <c r="H284" s="959" t="s">
        <v>152</v>
      </c>
      <c r="I284" s="1330">
        <f>C284*G284</f>
        <v>597.89250000000004</v>
      </c>
      <c r="J284" s="1260"/>
      <c r="K284" s="959" t="s">
        <v>174</v>
      </c>
      <c r="L284" s="963"/>
      <c r="M284" s="963"/>
      <c r="N284" s="963"/>
      <c r="O284" s="963"/>
      <c r="P284" s="963"/>
      <c r="Q284" s="878"/>
      <c r="R284" s="783"/>
      <c r="S284" s="1007"/>
      <c r="T284" s="966"/>
      <c r="U284" s="966"/>
      <c r="V284" s="1011"/>
      <c r="W284" s="1011"/>
      <c r="X284" s="387"/>
      <c r="Y284" s="1012"/>
      <c r="Z284" s="966"/>
      <c r="AA284" s="966"/>
      <c r="AB284" s="991"/>
      <c r="AC284" s="965"/>
      <c r="AD284" s="965"/>
      <c r="AE284" s="965"/>
      <c r="AF284" s="966"/>
      <c r="AG284" s="964"/>
    </row>
    <row r="285" spans="1:33" s="112" customFormat="1" ht="21" hidden="1" customHeight="1">
      <c r="A285" s="739" t="s">
        <v>427</v>
      </c>
      <c r="B285" s="963"/>
      <c r="C285" s="1260" t="s">
        <v>121</v>
      </c>
      <c r="D285" s="1260"/>
      <c r="E285" s="1260"/>
      <c r="F285" s="1260"/>
      <c r="G285" s="1260"/>
      <c r="H285" s="1260"/>
      <c r="I285" s="1260"/>
      <c r="J285" s="1260"/>
      <c r="K285" s="1260"/>
      <c r="L285" s="1260"/>
      <c r="M285" s="1260"/>
      <c r="N285" s="1260"/>
      <c r="O285" s="963"/>
      <c r="P285" s="963"/>
      <c r="Q285" s="878"/>
      <c r="R285" s="783"/>
      <c r="S285" s="1007"/>
      <c r="T285" s="966"/>
      <c r="U285" s="966"/>
      <c r="V285" s="1011"/>
      <c r="W285" s="1011"/>
      <c r="X285" s="387"/>
      <c r="Y285" s="1012"/>
      <c r="Z285" s="966"/>
      <c r="AA285" s="966"/>
      <c r="AB285" s="991"/>
      <c r="AC285" s="965"/>
      <c r="AD285" s="965"/>
      <c r="AE285" s="965"/>
      <c r="AF285" s="966"/>
      <c r="AG285" s="964"/>
    </row>
    <row r="286" spans="1:33" s="112" customFormat="1" ht="21" hidden="1" customHeight="1">
      <c r="A286" s="1021" t="s">
        <v>175</v>
      </c>
      <c r="B286" s="322"/>
      <c r="C286" s="963"/>
      <c r="D286" s="963"/>
      <c r="E286" s="963"/>
      <c r="F286" s="963"/>
      <c r="G286" s="963"/>
      <c r="H286" s="963"/>
      <c r="I286" s="963"/>
      <c r="J286" s="963"/>
      <c r="K286" s="963"/>
      <c r="L286" s="963"/>
      <c r="M286" s="963"/>
      <c r="N286" s="963"/>
      <c r="O286" s="963"/>
      <c r="P286" s="963"/>
      <c r="Q286" s="878"/>
      <c r="R286" s="783"/>
      <c r="S286" s="1007"/>
      <c r="T286" s="966"/>
      <c r="U286" s="966"/>
      <c r="V286" s="1011"/>
      <c r="W286" s="1011"/>
      <c r="X286" s="387"/>
      <c r="Y286" s="1012"/>
      <c r="Z286" s="966"/>
      <c r="AA286" s="966"/>
      <c r="AB286" s="991"/>
      <c r="AC286" s="965"/>
      <c r="AD286" s="965"/>
      <c r="AE286" s="965"/>
      <c r="AF286" s="966"/>
      <c r="AG286" s="964"/>
    </row>
    <row r="287" spans="1:33" s="112" customFormat="1" ht="21" hidden="1" customHeight="1">
      <c r="A287" s="1021" t="s">
        <v>176</v>
      </c>
      <c r="B287" s="959" t="s">
        <v>177</v>
      </c>
      <c r="C287" s="309">
        <f>C275</f>
        <v>12.7</v>
      </c>
      <c r="D287" s="959" t="s">
        <v>178</v>
      </c>
      <c r="E287" s="959" t="s">
        <v>51</v>
      </c>
      <c r="F287" s="959" t="s">
        <v>179</v>
      </c>
      <c r="G287" s="309">
        <v>6</v>
      </c>
      <c r="H287" s="959" t="s">
        <v>178</v>
      </c>
      <c r="I287" s="959" t="s">
        <v>51</v>
      </c>
      <c r="J287" s="1260" t="s">
        <v>180</v>
      </c>
      <c r="K287" s="1260"/>
      <c r="L287" s="959" t="s">
        <v>181</v>
      </c>
      <c r="M287" s="309">
        <v>4.5</v>
      </c>
      <c r="N287" s="959" t="s">
        <v>178</v>
      </c>
      <c r="O287" s="959"/>
      <c r="P287" s="963"/>
      <c r="Q287" s="878"/>
      <c r="R287" s="783"/>
      <c r="S287" s="1007"/>
      <c r="T287" s="966"/>
      <c r="U287" s="966"/>
      <c r="V287" s="1011"/>
      <c r="W287" s="1011"/>
      <c r="X287" s="387"/>
      <c r="Y287" s="1012"/>
      <c r="Z287" s="966"/>
      <c r="AA287" s="966"/>
      <c r="AB287" s="991"/>
      <c r="AC287" s="965"/>
      <c r="AD287" s="965"/>
      <c r="AE287" s="965"/>
      <c r="AF287" s="966"/>
      <c r="AG287" s="964"/>
    </row>
    <row r="288" spans="1:33" s="112" customFormat="1" ht="21" hidden="1" customHeight="1">
      <c r="A288" s="1021" t="s">
        <v>182</v>
      </c>
      <c r="B288" s="963"/>
      <c r="C288" s="963"/>
      <c r="D288" s="963"/>
      <c r="E288" s="963"/>
      <c r="F288" s="963"/>
      <c r="G288" s="963"/>
      <c r="H288" s="959">
        <v>2</v>
      </c>
      <c r="I288" s="963" t="s">
        <v>113</v>
      </c>
      <c r="J288" s="963"/>
      <c r="K288" s="963"/>
      <c r="L288" s="963"/>
      <c r="M288" s="963"/>
      <c r="N288" s="963"/>
      <c r="O288" s="963"/>
      <c r="P288" s="963"/>
      <c r="Q288" s="878"/>
      <c r="R288" s="783"/>
      <c r="S288" s="1007"/>
      <c r="T288" s="966"/>
      <c r="U288" s="966"/>
      <c r="V288" s="1011"/>
      <c r="W288" s="1011"/>
      <c r="X288" s="387"/>
      <c r="Y288" s="1012"/>
      <c r="Z288" s="966"/>
      <c r="AA288" s="966"/>
      <c r="AB288" s="991"/>
      <c r="AC288" s="965"/>
      <c r="AD288" s="965"/>
      <c r="AE288" s="965"/>
      <c r="AF288" s="966"/>
      <c r="AG288" s="964"/>
    </row>
    <row r="289" spans="1:33" s="112" customFormat="1" ht="21" hidden="1" customHeight="1">
      <c r="A289" s="1021" t="s">
        <v>183</v>
      </c>
      <c r="B289" s="959" t="s">
        <v>184</v>
      </c>
      <c r="C289" s="959" t="s">
        <v>152</v>
      </c>
      <c r="D289" s="1260">
        <f>C287*G287*M287</f>
        <v>342.9</v>
      </c>
      <c r="E289" s="1260"/>
      <c r="F289" s="1260" t="s">
        <v>185</v>
      </c>
      <c r="G289" s="1260"/>
      <c r="H289" s="959" t="s">
        <v>51</v>
      </c>
      <c r="I289" s="959">
        <f>H288</f>
        <v>2</v>
      </c>
      <c r="J289" s="959" t="s">
        <v>186</v>
      </c>
      <c r="K289" s="959" t="s">
        <v>152</v>
      </c>
      <c r="L289" s="1291">
        <f>D289*I289</f>
        <v>685.8</v>
      </c>
      <c r="M289" s="1291"/>
      <c r="N289" s="963"/>
      <c r="O289" s="963"/>
      <c r="P289" s="963"/>
      <c r="Q289" s="878"/>
      <c r="R289" s="783"/>
      <c r="S289" s="1007"/>
      <c r="T289" s="966"/>
      <c r="U289" s="966"/>
      <c r="V289" s="1011"/>
      <c r="W289" s="1011"/>
      <c r="X289" s="387"/>
      <c r="Y289" s="1012"/>
      <c r="Z289" s="966"/>
      <c r="AA289" s="966"/>
      <c r="AB289" s="991"/>
      <c r="AC289" s="965"/>
      <c r="AD289" s="965"/>
      <c r="AE289" s="965"/>
      <c r="AF289" s="966"/>
      <c r="AG289" s="964"/>
    </row>
    <row r="290" spans="1:33" s="112" customFormat="1" ht="21" hidden="1" customHeight="1">
      <c r="A290" s="739" t="s">
        <v>482</v>
      </c>
      <c r="B290" s="963"/>
      <c r="C290" s="963"/>
      <c r="D290" s="963"/>
      <c r="E290" s="963"/>
      <c r="F290" s="963"/>
      <c r="G290" s="963"/>
      <c r="H290" s="963"/>
      <c r="I290" s="963"/>
      <c r="J290" s="963"/>
      <c r="K290" s="963"/>
      <c r="L290" s="963"/>
      <c r="M290" s="963"/>
      <c r="N290" s="963"/>
      <c r="O290" s="963"/>
      <c r="P290" s="963"/>
      <c r="Q290" s="878"/>
      <c r="R290" s="783"/>
      <c r="S290" s="1007"/>
      <c r="T290" s="966"/>
      <c r="U290" s="966"/>
      <c r="V290" s="1011"/>
      <c r="W290" s="1011"/>
      <c r="X290" s="387"/>
      <c r="Y290" s="1012"/>
      <c r="Z290" s="966"/>
      <c r="AA290" s="966"/>
      <c r="AB290" s="991"/>
      <c r="AC290" s="965"/>
      <c r="AD290" s="965"/>
      <c r="AE290" s="965"/>
      <c r="AF290" s="966"/>
      <c r="AG290" s="964"/>
    </row>
    <row r="291" spans="1:33" s="112" customFormat="1" ht="21" hidden="1" customHeight="1">
      <c r="A291" s="867" t="s">
        <v>187</v>
      </c>
      <c r="B291" s="1442">
        <f>L289</f>
        <v>685.8</v>
      </c>
      <c r="C291" s="1442"/>
      <c r="D291" s="992" t="s">
        <v>52</v>
      </c>
      <c r="E291" s="1441">
        <f>C284</f>
        <v>199.29750000000001</v>
      </c>
      <c r="F291" s="1441"/>
      <c r="G291" s="1441"/>
      <c r="H291" s="992" t="s">
        <v>152</v>
      </c>
      <c r="I291" s="1443">
        <f>B291/E291</f>
        <v>3.4410868174462794</v>
      </c>
      <c r="J291" s="1443"/>
      <c r="K291" s="1015"/>
      <c r="L291" s="1015"/>
      <c r="M291" s="1015"/>
      <c r="N291" s="1015"/>
      <c r="O291" s="1015"/>
      <c r="P291" s="1015"/>
      <c r="Q291" s="879"/>
      <c r="R291" s="783"/>
      <c r="S291" s="1007"/>
      <c r="T291" s="966"/>
      <c r="U291" s="966"/>
      <c r="V291" s="1011"/>
      <c r="W291" s="1011"/>
      <c r="X291" s="387"/>
      <c r="Y291" s="1012"/>
      <c r="Z291" s="966"/>
      <c r="AA291" s="966"/>
      <c r="AB291" s="991"/>
      <c r="AC291" s="965"/>
      <c r="AD291" s="965"/>
      <c r="AE291" s="965"/>
      <c r="AF291" s="966"/>
      <c r="AG291" s="964"/>
    </row>
    <row r="292" spans="1:33" ht="21.95" customHeight="1">
      <c r="A292" s="322"/>
      <c r="B292" s="1036"/>
      <c r="C292" s="1036"/>
      <c r="D292" s="1036"/>
      <c r="E292" s="1036"/>
      <c r="F292" s="1036"/>
      <c r="G292" s="1036"/>
      <c r="H292" s="1036"/>
      <c r="I292" s="1036"/>
      <c r="J292" s="1036"/>
      <c r="K292" s="1036"/>
      <c r="L292" s="1036"/>
      <c r="M292" s="1036"/>
      <c r="N292" s="1036"/>
      <c r="O292" s="1036"/>
      <c r="P292" s="1036"/>
      <c r="Q292" s="878"/>
      <c r="R292" s="321"/>
      <c r="S292" s="321"/>
      <c r="T292" s="321"/>
      <c r="U292" s="321"/>
      <c r="V292" s="321"/>
      <c r="W292" s="321"/>
      <c r="X292" s="321"/>
      <c r="Y292" s="321"/>
      <c r="Z292" s="321"/>
      <c r="AA292" s="321"/>
      <c r="AB292" s="321"/>
      <c r="AC292" s="321"/>
      <c r="AD292" s="321"/>
      <c r="AE292" s="321"/>
      <c r="AF292" s="321"/>
    </row>
    <row r="293" spans="1:33" ht="21.95" customHeight="1">
      <c r="A293" s="322"/>
      <c r="B293" s="1036"/>
      <c r="C293" s="1036"/>
      <c r="D293" s="1036"/>
      <c r="E293" s="1036"/>
      <c r="F293" s="1036"/>
      <c r="G293" s="1036"/>
      <c r="H293" s="1036"/>
      <c r="I293" s="1036"/>
      <c r="J293" s="1036"/>
      <c r="K293" s="1036"/>
      <c r="L293" s="1036"/>
      <c r="M293" s="1036"/>
      <c r="N293" s="1036"/>
      <c r="O293" s="1036"/>
      <c r="P293" s="1036"/>
      <c r="Q293" s="878"/>
      <c r="R293" s="321"/>
      <c r="S293" s="321"/>
      <c r="T293" s="321"/>
      <c r="U293" s="321"/>
      <c r="V293" s="321"/>
      <c r="W293" s="321"/>
      <c r="X293" s="321"/>
      <c r="Y293" s="321"/>
      <c r="Z293" s="321"/>
      <c r="AA293" s="321"/>
      <c r="AB293" s="321"/>
      <c r="AC293" s="321"/>
      <c r="AD293" s="321"/>
      <c r="AE293" s="321"/>
      <c r="AF293" s="321"/>
    </row>
    <row r="294" spans="1:33" ht="21.95" customHeight="1">
      <c r="A294" s="322"/>
      <c r="B294" s="1036"/>
      <c r="C294" s="1036"/>
      <c r="D294" s="1036"/>
      <c r="E294" s="1036"/>
      <c r="F294" s="662"/>
      <c r="G294" s="1036"/>
      <c r="H294" s="1036"/>
      <c r="I294" s="1036"/>
      <c r="J294" s="1036"/>
      <c r="K294" s="1036"/>
      <c r="L294" s="1036"/>
      <c r="M294" s="1036"/>
      <c r="N294" s="1036"/>
      <c r="O294" s="1036"/>
      <c r="P294" s="1036"/>
      <c r="Q294" s="878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</row>
    <row r="295" spans="1:33" ht="21.95" customHeight="1">
      <c r="A295" s="322"/>
      <c r="B295" s="1036"/>
      <c r="C295" s="1036"/>
      <c r="D295" s="1036"/>
      <c r="E295" s="1036"/>
      <c r="F295" s="1036"/>
      <c r="G295" s="1036"/>
      <c r="H295" s="1036"/>
      <c r="I295" s="662"/>
      <c r="J295" s="1036"/>
      <c r="K295" s="1036"/>
      <c r="L295" s="1036"/>
      <c r="M295" s="1036"/>
      <c r="N295" s="1036"/>
      <c r="O295" s="1036"/>
      <c r="P295" s="1036"/>
      <c r="Q295" s="878"/>
      <c r="R295" s="321"/>
      <c r="S295" s="321"/>
      <c r="T295" s="321"/>
      <c r="U295" s="321"/>
      <c r="V295" s="321"/>
      <c r="W295" s="321"/>
      <c r="X295" s="321"/>
      <c r="Y295" s="321"/>
      <c r="Z295" s="321"/>
      <c r="AA295" s="321"/>
      <c r="AB295" s="321"/>
      <c r="AC295" s="321"/>
      <c r="AD295" s="321"/>
      <c r="AE295" s="321"/>
      <c r="AF295" s="321"/>
    </row>
    <row r="296" spans="1:33" ht="21.95" customHeight="1">
      <c r="A296" s="322"/>
      <c r="B296" s="1036"/>
      <c r="C296" s="1036"/>
      <c r="D296" s="1036"/>
      <c r="E296" s="1036"/>
      <c r="F296" s="1036"/>
      <c r="G296" s="1036"/>
      <c r="H296" s="1036"/>
      <c r="I296" s="1036"/>
      <c r="J296" s="1036"/>
      <c r="K296" s="1036"/>
      <c r="L296" s="1036"/>
      <c r="M296" s="1036"/>
      <c r="N296" s="1036"/>
      <c r="O296" s="1036"/>
      <c r="P296" s="1036"/>
      <c r="Q296" s="878"/>
      <c r="R296" s="321"/>
      <c r="S296" s="321"/>
      <c r="T296" s="321"/>
      <c r="U296" s="321"/>
      <c r="V296" s="321"/>
      <c r="W296" s="321"/>
      <c r="X296" s="321"/>
      <c r="Y296" s="321"/>
      <c r="Z296" s="321"/>
      <c r="AA296" s="321"/>
      <c r="AB296" s="321"/>
      <c r="AC296" s="321"/>
      <c r="AD296" s="321"/>
      <c r="AE296" s="321"/>
      <c r="AF296" s="321"/>
    </row>
    <row r="297" spans="1:33" ht="21.95" customHeight="1">
      <c r="A297" s="322"/>
      <c r="B297" s="1036"/>
      <c r="C297" s="1036"/>
      <c r="D297" s="1036"/>
      <c r="E297" s="1036"/>
      <c r="F297" s="1036"/>
      <c r="G297" s="1036"/>
      <c r="H297" s="1036"/>
      <c r="I297" s="1036"/>
      <c r="J297" s="1036"/>
      <c r="K297" s="1036"/>
      <c r="L297" s="1036"/>
      <c r="M297" s="1036"/>
      <c r="N297" s="1036"/>
      <c r="O297" s="1036"/>
      <c r="P297" s="1036"/>
      <c r="Q297" s="878"/>
      <c r="R297" s="321"/>
      <c r="S297" s="321"/>
      <c r="T297" s="321"/>
      <c r="U297" s="321"/>
      <c r="V297" s="321"/>
      <c r="W297" s="321"/>
      <c r="X297" s="321"/>
      <c r="Y297" s="321"/>
      <c r="Z297" s="321"/>
      <c r="AA297" s="321"/>
      <c r="AB297" s="321"/>
      <c r="AC297" s="321"/>
      <c r="AD297" s="321"/>
      <c r="AE297" s="321"/>
      <c r="AF297" s="321"/>
    </row>
    <row r="298" spans="1:33" ht="21.95" customHeight="1">
      <c r="A298" s="322"/>
      <c r="B298" s="1036"/>
      <c r="C298" s="1036"/>
      <c r="D298" s="1036"/>
      <c r="E298" s="1036"/>
      <c r="F298" s="1036"/>
      <c r="G298" s="1036"/>
      <c r="H298" s="1036"/>
      <c r="I298" s="1036"/>
      <c r="J298" s="1036"/>
      <c r="K298" s="1036"/>
      <c r="L298" s="1036"/>
      <c r="M298" s="1036"/>
      <c r="N298" s="1036"/>
      <c r="O298" s="1036"/>
      <c r="P298" s="1036"/>
      <c r="Q298" s="878"/>
      <c r="R298" s="321"/>
      <c r="S298" s="321"/>
      <c r="T298" s="321"/>
      <c r="U298" s="321"/>
      <c r="V298" s="321"/>
      <c r="W298" s="321"/>
      <c r="X298" s="321"/>
      <c r="Y298" s="321"/>
      <c r="Z298" s="321"/>
      <c r="AA298" s="321"/>
      <c r="AB298" s="321"/>
      <c r="AC298" s="321"/>
      <c r="AD298" s="321"/>
      <c r="AE298" s="321"/>
      <c r="AF298" s="321"/>
    </row>
    <row r="299" spans="1:33" ht="21.95" customHeight="1">
      <c r="A299" s="322"/>
      <c r="B299" s="1036"/>
      <c r="C299" s="1036"/>
      <c r="D299" s="1036"/>
      <c r="E299" s="1036"/>
      <c r="F299" s="1036"/>
      <c r="G299" s="1036"/>
      <c r="H299" s="1036"/>
      <c r="I299" s="1036"/>
      <c r="J299" s="1036"/>
      <c r="K299" s="1036"/>
      <c r="L299" s="1036"/>
      <c r="M299" s="1036"/>
      <c r="N299" s="1036"/>
      <c r="O299" s="1036"/>
      <c r="P299" s="1036"/>
      <c r="Q299" s="878"/>
      <c r="R299" s="321"/>
      <c r="S299" s="321"/>
      <c r="T299" s="321"/>
      <c r="U299" s="321"/>
      <c r="V299" s="321"/>
      <c r="W299" s="321"/>
      <c r="X299" s="321"/>
      <c r="Y299" s="321"/>
      <c r="Z299" s="321"/>
      <c r="AA299" s="321"/>
      <c r="AB299" s="321"/>
      <c r="AC299" s="321"/>
      <c r="AD299" s="321"/>
      <c r="AE299" s="321"/>
      <c r="AF299" s="321"/>
    </row>
    <row r="300" spans="1:33" ht="21.95" customHeight="1">
      <c r="A300" s="322"/>
      <c r="B300" s="1036"/>
      <c r="C300" s="1036"/>
      <c r="D300" s="1036"/>
      <c r="E300" s="1036"/>
      <c r="F300" s="1036"/>
      <c r="G300" s="1036"/>
      <c r="H300" s="1036"/>
      <c r="I300" s="1036"/>
      <c r="J300" s="1036"/>
      <c r="K300" s="1036"/>
      <c r="L300" s="1036"/>
      <c r="M300" s="1036"/>
      <c r="N300" s="1036"/>
      <c r="O300" s="1036"/>
      <c r="P300" s="1036"/>
      <c r="Q300" s="878"/>
      <c r="R300" s="321"/>
      <c r="S300" s="321"/>
      <c r="T300" s="321"/>
      <c r="U300" s="321"/>
      <c r="V300" s="321"/>
      <c r="W300" s="321"/>
      <c r="X300" s="321"/>
      <c r="Y300" s="321"/>
      <c r="Z300" s="321"/>
      <c r="AA300" s="321"/>
      <c r="AB300" s="321"/>
      <c r="AC300" s="321"/>
      <c r="AD300" s="321"/>
      <c r="AE300" s="321"/>
      <c r="AF300" s="321"/>
    </row>
    <row r="301" spans="1:33" ht="21.95" customHeight="1">
      <c r="A301" s="322"/>
      <c r="B301" s="1036"/>
      <c r="C301" s="1036"/>
      <c r="D301" s="1036"/>
      <c r="E301" s="1036"/>
      <c r="F301" s="1036"/>
      <c r="G301" s="1036"/>
      <c r="H301" s="1036"/>
      <c r="I301" s="1036"/>
      <c r="J301" s="1036"/>
      <c r="K301" s="1036"/>
      <c r="L301" s="1036"/>
      <c r="M301" s="1036"/>
      <c r="N301" s="1036"/>
      <c r="O301" s="1036"/>
      <c r="P301" s="1036"/>
      <c r="Q301" s="878"/>
      <c r="R301" s="321"/>
      <c r="S301" s="321"/>
      <c r="T301" s="321"/>
      <c r="U301" s="321"/>
      <c r="V301" s="321"/>
      <c r="W301" s="321"/>
      <c r="X301" s="321"/>
      <c r="Y301" s="321"/>
      <c r="Z301" s="321"/>
      <c r="AA301" s="321"/>
      <c r="AB301" s="321"/>
      <c r="AC301" s="321"/>
      <c r="AD301" s="321"/>
      <c r="AE301" s="321"/>
      <c r="AF301" s="321"/>
    </row>
    <row r="302" spans="1:33" ht="21.95" customHeight="1">
      <c r="A302" s="322"/>
      <c r="B302" s="1036"/>
      <c r="C302" s="1036"/>
      <c r="D302" s="1036"/>
      <c r="E302" s="1036"/>
      <c r="F302" s="1036"/>
      <c r="G302" s="1036"/>
      <c r="H302" s="1036"/>
      <c r="I302" s="1036"/>
      <c r="J302" s="1036"/>
      <c r="K302" s="1036"/>
      <c r="L302" s="1036"/>
      <c r="M302" s="1036"/>
      <c r="N302" s="1036"/>
      <c r="O302" s="1036"/>
      <c r="P302" s="1036"/>
      <c r="Q302" s="878"/>
      <c r="R302" s="321"/>
      <c r="S302" s="321"/>
      <c r="T302" s="321"/>
      <c r="U302" s="321"/>
      <c r="V302" s="321"/>
      <c r="W302" s="321"/>
      <c r="X302" s="321"/>
      <c r="Y302" s="321"/>
      <c r="Z302" s="321"/>
      <c r="AA302" s="321"/>
      <c r="AB302" s="321"/>
      <c r="AC302" s="321"/>
      <c r="AD302" s="321"/>
      <c r="AE302" s="321"/>
      <c r="AF302" s="321"/>
    </row>
    <row r="303" spans="1:33" ht="21.95" customHeight="1">
      <c r="A303" s="322"/>
      <c r="B303" s="1036"/>
      <c r="C303" s="1036"/>
      <c r="D303" s="1036"/>
      <c r="E303" s="1036"/>
      <c r="F303" s="1036"/>
      <c r="G303" s="1036"/>
      <c r="H303" s="1036"/>
      <c r="I303" s="1036"/>
      <c r="J303" s="1036"/>
      <c r="K303" s="1036"/>
      <c r="L303" s="1036"/>
      <c r="M303" s="1036"/>
      <c r="N303" s="1036"/>
      <c r="O303" s="1036"/>
      <c r="P303" s="1036"/>
      <c r="Q303" s="878"/>
      <c r="R303" s="321"/>
      <c r="S303" s="321"/>
      <c r="T303" s="321"/>
      <c r="U303" s="321"/>
      <c r="V303" s="321"/>
      <c r="W303" s="321"/>
      <c r="X303" s="321"/>
      <c r="Y303" s="321"/>
      <c r="Z303" s="321"/>
      <c r="AA303" s="321"/>
      <c r="AB303" s="321"/>
      <c r="AC303" s="321"/>
      <c r="AD303" s="321"/>
      <c r="AE303" s="321"/>
      <c r="AF303" s="321"/>
    </row>
    <row r="304" spans="1:33" ht="21.95" customHeight="1">
      <c r="A304" s="322"/>
      <c r="B304" s="1036"/>
      <c r="C304" s="1036"/>
      <c r="D304" s="1036"/>
      <c r="E304" s="1036"/>
      <c r="F304" s="1036"/>
      <c r="G304" s="1036"/>
      <c r="H304" s="1036"/>
      <c r="I304" s="1036"/>
      <c r="J304" s="1036"/>
      <c r="K304" s="1036"/>
      <c r="L304" s="1036"/>
      <c r="M304" s="1036"/>
      <c r="N304" s="1036"/>
      <c r="O304" s="1036"/>
      <c r="P304" s="1036"/>
      <c r="Q304" s="878"/>
      <c r="R304" s="321"/>
      <c r="S304" s="321"/>
      <c r="T304" s="321"/>
      <c r="U304" s="321"/>
      <c r="V304" s="321"/>
      <c r="W304" s="321"/>
      <c r="X304" s="321"/>
      <c r="Y304" s="321"/>
      <c r="Z304" s="321"/>
      <c r="AA304" s="321"/>
      <c r="AB304" s="321"/>
      <c r="AC304" s="321"/>
      <c r="AD304" s="321"/>
      <c r="AE304" s="321"/>
      <c r="AF304" s="321"/>
    </row>
    <row r="305" spans="1:33" ht="21.95" customHeight="1">
      <c r="A305" s="322"/>
      <c r="B305" s="1036"/>
      <c r="C305" s="1036"/>
      <c r="D305" s="1036"/>
      <c r="E305" s="1036"/>
      <c r="F305" s="1036"/>
      <c r="G305" s="1036"/>
      <c r="H305" s="1036"/>
      <c r="I305" s="1036"/>
      <c r="J305" s="1036"/>
      <c r="K305" s="1036"/>
      <c r="L305" s="1036"/>
      <c r="M305" s="1036"/>
      <c r="N305" s="1036"/>
      <c r="O305" s="1036"/>
      <c r="P305" s="1036"/>
      <c r="Q305" s="878"/>
      <c r="R305" s="321"/>
      <c r="S305" s="321"/>
      <c r="T305" s="321"/>
      <c r="U305" s="321"/>
      <c r="V305" s="321"/>
      <c r="W305" s="321"/>
      <c r="X305" s="321"/>
      <c r="Y305" s="321"/>
      <c r="Z305" s="321"/>
      <c r="AA305" s="321"/>
      <c r="AB305" s="321"/>
      <c r="AC305" s="321"/>
      <c r="AD305" s="321"/>
      <c r="AE305" s="321"/>
      <c r="AF305" s="321"/>
    </row>
    <row r="306" spans="1:33" ht="21.95" customHeight="1">
      <c r="A306" s="322"/>
      <c r="B306" s="1036"/>
      <c r="C306" s="1036"/>
      <c r="D306" s="1036"/>
      <c r="E306" s="1036"/>
      <c r="F306" s="1036"/>
      <c r="G306" s="1036"/>
      <c r="H306" s="1036"/>
      <c r="I306" s="1036"/>
      <c r="J306" s="1036"/>
      <c r="K306" s="1036"/>
      <c r="L306" s="1036"/>
      <c r="M306" s="1036"/>
      <c r="N306" s="1036"/>
      <c r="O306" s="1036"/>
      <c r="P306" s="1036"/>
      <c r="Q306" s="878"/>
      <c r="R306" s="321"/>
      <c r="S306" s="321"/>
      <c r="T306" s="321"/>
      <c r="U306" s="321"/>
      <c r="V306" s="321"/>
      <c r="W306" s="321"/>
      <c r="X306" s="321"/>
      <c r="Y306" s="321"/>
      <c r="Z306" s="321"/>
      <c r="AA306" s="321"/>
      <c r="AB306" s="321"/>
      <c r="AC306" s="321"/>
      <c r="AD306" s="321"/>
      <c r="AE306" s="321"/>
      <c r="AF306" s="321"/>
    </row>
    <row r="307" spans="1:33" ht="21.95" customHeight="1">
      <c r="A307" s="322"/>
      <c r="B307" s="1036"/>
      <c r="C307" s="1036"/>
      <c r="D307" s="1036"/>
      <c r="E307" s="1036"/>
      <c r="F307" s="1036"/>
      <c r="G307" s="1036"/>
      <c r="H307" s="1036"/>
      <c r="I307" s="1036"/>
      <c r="J307" s="1036"/>
      <c r="K307" s="1036"/>
      <c r="L307" s="1036"/>
      <c r="M307" s="1036"/>
      <c r="N307" s="1036"/>
      <c r="O307" s="1036"/>
      <c r="P307" s="1036"/>
      <c r="Q307" s="878"/>
      <c r="R307" s="321"/>
      <c r="S307" s="321"/>
      <c r="T307" s="321"/>
      <c r="U307" s="321"/>
      <c r="V307" s="321"/>
      <c r="W307" s="321"/>
      <c r="X307" s="321"/>
      <c r="Y307" s="321"/>
      <c r="Z307" s="321"/>
      <c r="AA307" s="321"/>
      <c r="AB307" s="321"/>
      <c r="AC307" s="321"/>
      <c r="AD307" s="321"/>
      <c r="AE307" s="321"/>
      <c r="AF307" s="321"/>
    </row>
    <row r="308" spans="1:33" ht="21.95" customHeight="1">
      <c r="A308" s="322"/>
      <c r="B308" s="1036"/>
      <c r="C308" s="1036"/>
      <c r="D308" s="1036"/>
      <c r="E308" s="1036"/>
      <c r="F308" s="1036"/>
      <c r="G308" s="1036"/>
      <c r="H308" s="1036"/>
      <c r="I308" s="1036"/>
      <c r="J308" s="1036"/>
      <c r="K308" s="1036"/>
      <c r="L308" s="1036"/>
      <c r="M308" s="1036"/>
      <c r="N308" s="1036"/>
      <c r="O308" s="1036"/>
      <c r="P308" s="1036"/>
      <c r="Q308" s="878"/>
      <c r="R308" s="321"/>
      <c r="S308" s="321"/>
      <c r="T308" s="321"/>
      <c r="U308" s="321"/>
      <c r="V308" s="321"/>
      <c r="W308" s="321"/>
      <c r="X308" s="321"/>
      <c r="Y308" s="321"/>
      <c r="Z308" s="321"/>
      <c r="AA308" s="321"/>
      <c r="AB308" s="321"/>
      <c r="AC308" s="321"/>
      <c r="AD308" s="321"/>
      <c r="AE308" s="321"/>
      <c r="AF308" s="321"/>
    </row>
    <row r="309" spans="1:33" ht="21.95" customHeight="1">
      <c r="A309" s="322"/>
      <c r="B309" s="1036"/>
      <c r="C309" s="1036"/>
      <c r="D309" s="1036"/>
      <c r="E309" s="1036"/>
      <c r="F309" s="1036"/>
      <c r="G309" s="1036"/>
      <c r="H309" s="1036"/>
      <c r="I309" s="1036"/>
      <c r="J309" s="1036"/>
      <c r="K309" s="1036"/>
      <c r="L309" s="1036"/>
      <c r="M309" s="1036"/>
      <c r="N309" s="1036"/>
      <c r="O309" s="1036"/>
      <c r="P309" s="1036"/>
      <c r="Q309" s="878"/>
      <c r="R309" s="321"/>
      <c r="S309" s="321"/>
      <c r="T309" s="321"/>
      <c r="U309" s="321"/>
      <c r="V309" s="321"/>
      <c r="W309" s="321"/>
      <c r="X309" s="321"/>
      <c r="Y309" s="321"/>
      <c r="Z309" s="321"/>
      <c r="AA309" s="321"/>
      <c r="AB309" s="321"/>
      <c r="AC309" s="321"/>
      <c r="AD309" s="321"/>
      <c r="AE309" s="321"/>
      <c r="AF309" s="321"/>
    </row>
    <row r="310" spans="1:33" ht="21.95" customHeight="1">
      <c r="A310" s="322"/>
      <c r="B310" s="1036"/>
      <c r="C310" s="1036"/>
      <c r="D310" s="1036"/>
      <c r="E310" s="1036"/>
      <c r="F310" s="1036"/>
      <c r="G310" s="1036"/>
      <c r="H310" s="1036"/>
      <c r="I310" s="1036"/>
      <c r="J310" s="1036"/>
      <c r="K310" s="1036"/>
      <c r="L310" s="1036"/>
      <c r="M310" s="1036"/>
      <c r="N310" s="1036"/>
      <c r="O310" s="1036"/>
      <c r="P310" s="1036"/>
      <c r="Q310" s="878"/>
      <c r="R310" s="321"/>
      <c r="S310" s="321"/>
      <c r="T310" s="321"/>
      <c r="U310" s="321"/>
      <c r="V310" s="321"/>
      <c r="W310" s="321"/>
      <c r="X310" s="321"/>
      <c r="Y310" s="321"/>
      <c r="Z310" s="321"/>
      <c r="AA310" s="321"/>
      <c r="AB310" s="321"/>
      <c r="AC310" s="321"/>
      <c r="AD310" s="321"/>
      <c r="AE310" s="321"/>
      <c r="AF310" s="321"/>
    </row>
    <row r="311" spans="1:33" ht="21.95" customHeight="1">
      <c r="A311" s="322"/>
      <c r="B311" s="1036"/>
      <c r="C311" s="1036"/>
      <c r="D311" s="1036"/>
      <c r="E311" s="1036"/>
      <c r="F311" s="1036"/>
      <c r="G311" s="1036"/>
      <c r="H311" s="1036"/>
      <c r="I311" s="1036"/>
      <c r="J311" s="1036"/>
      <c r="K311" s="1036"/>
      <c r="L311" s="1036"/>
      <c r="M311" s="1036"/>
      <c r="N311" s="1036"/>
      <c r="O311" s="1036"/>
      <c r="P311" s="1036"/>
      <c r="Q311" s="878"/>
      <c r="R311" s="321"/>
      <c r="S311" s="321"/>
      <c r="T311" s="321"/>
      <c r="U311" s="321"/>
      <c r="V311" s="321"/>
      <c r="W311" s="321"/>
      <c r="X311" s="321"/>
      <c r="Y311" s="321"/>
      <c r="Z311" s="321"/>
      <c r="AA311" s="321"/>
      <c r="AB311" s="321"/>
      <c r="AC311" s="321"/>
      <c r="AD311" s="321"/>
      <c r="AE311" s="321"/>
      <c r="AF311" s="321"/>
    </row>
    <row r="312" spans="1:33" ht="21.95" customHeight="1">
      <c r="A312" s="322"/>
      <c r="B312" s="1036"/>
      <c r="C312" s="1036"/>
      <c r="D312" s="1036"/>
      <c r="E312" s="1036"/>
      <c r="F312" s="1036"/>
      <c r="G312" s="1036"/>
      <c r="H312" s="1036"/>
      <c r="I312" s="1036"/>
      <c r="J312" s="1036"/>
      <c r="K312" s="1036"/>
      <c r="L312" s="1036"/>
      <c r="M312" s="1036"/>
      <c r="N312" s="1036"/>
      <c r="O312" s="1036"/>
      <c r="P312" s="1036"/>
      <c r="Q312" s="878"/>
      <c r="R312" s="321"/>
      <c r="S312" s="321"/>
      <c r="T312" s="321"/>
      <c r="U312" s="321"/>
      <c r="V312" s="321"/>
      <c r="W312" s="321"/>
      <c r="X312" s="321"/>
      <c r="Y312" s="321"/>
      <c r="Z312" s="321"/>
      <c r="AA312" s="321"/>
      <c r="AB312" s="321"/>
      <c r="AC312" s="321"/>
      <c r="AD312" s="321"/>
      <c r="AE312" s="321"/>
      <c r="AF312" s="321"/>
    </row>
    <row r="313" spans="1:33" ht="21.95" customHeight="1">
      <c r="A313" s="322"/>
      <c r="B313" s="1036"/>
      <c r="C313" s="1036"/>
      <c r="D313" s="1036"/>
      <c r="E313" s="1036"/>
      <c r="F313" s="1036"/>
      <c r="G313" s="1036"/>
      <c r="H313" s="1036"/>
      <c r="I313" s="1036"/>
      <c r="J313" s="1036"/>
      <c r="K313" s="1036"/>
      <c r="L313" s="1036"/>
      <c r="M313" s="1036"/>
      <c r="N313" s="1036"/>
      <c r="O313" s="1036"/>
      <c r="P313" s="1036"/>
      <c r="Q313" s="878"/>
      <c r="R313" s="321"/>
      <c r="S313" s="321"/>
      <c r="T313" s="321"/>
      <c r="U313" s="321"/>
      <c r="V313" s="321"/>
      <c r="W313" s="321"/>
      <c r="X313" s="321"/>
      <c r="Y313" s="321"/>
      <c r="Z313" s="321"/>
      <c r="AA313" s="321"/>
      <c r="AB313" s="321"/>
      <c r="AC313" s="321"/>
      <c r="AD313" s="321"/>
      <c r="AE313" s="321"/>
      <c r="AF313" s="321"/>
    </row>
    <row r="314" spans="1:33" s="112" customFormat="1" ht="21.95" customHeight="1">
      <c r="A314" s="1016"/>
      <c r="B314" s="961"/>
      <c r="C314" s="961"/>
      <c r="D314" s="959"/>
      <c r="E314" s="394"/>
      <c r="F314" s="394"/>
      <c r="G314" s="394"/>
      <c r="H314" s="959"/>
      <c r="I314" s="395"/>
      <c r="J314" s="395"/>
      <c r="K314" s="963"/>
      <c r="L314" s="963"/>
      <c r="M314" s="963"/>
      <c r="N314" s="963"/>
      <c r="O314" s="963"/>
      <c r="P314" s="963"/>
      <c r="Q314" s="878"/>
      <c r="R314" s="1007"/>
      <c r="S314" s="1007"/>
      <c r="T314" s="966"/>
      <c r="U314" s="966"/>
      <c r="V314" s="1011"/>
      <c r="W314" s="1011"/>
      <c r="X314" s="387"/>
      <c r="Y314" s="1012"/>
      <c r="Z314" s="966"/>
      <c r="AA314" s="966"/>
      <c r="AB314" s="991"/>
      <c r="AC314" s="965"/>
      <c r="AD314" s="965"/>
      <c r="AE314" s="965"/>
      <c r="AF314" s="966"/>
      <c r="AG314" s="964"/>
    </row>
    <row r="315" spans="1:33" s="112" customFormat="1" ht="21.95" customHeight="1">
      <c r="A315" s="1016"/>
      <c r="B315" s="961"/>
      <c r="C315" s="961"/>
      <c r="D315" s="959"/>
      <c r="E315" s="394"/>
      <c r="F315" s="394"/>
      <c r="G315" s="394"/>
      <c r="H315" s="959"/>
      <c r="I315" s="395"/>
      <c r="J315" s="395"/>
      <c r="K315" s="963"/>
      <c r="L315" s="963"/>
      <c r="M315" s="963"/>
      <c r="N315" s="963"/>
      <c r="O315" s="963"/>
      <c r="P315" s="963"/>
      <c r="Q315" s="884"/>
      <c r="R315" s="1007"/>
      <c r="S315" s="1007"/>
      <c r="T315" s="966"/>
      <c r="U315" s="966"/>
      <c r="V315" s="1011"/>
      <c r="W315" s="1011"/>
      <c r="X315" s="387"/>
      <c r="Y315" s="1012"/>
      <c r="Z315" s="966"/>
      <c r="AA315" s="966"/>
      <c r="AB315" s="991"/>
      <c r="AC315" s="965"/>
      <c r="AD315" s="965"/>
      <c r="AE315" s="965"/>
      <c r="AF315" s="966"/>
      <c r="AG315" s="964"/>
    </row>
    <row r="316" spans="1:33" s="112" customFormat="1" ht="21.95" customHeight="1">
      <c r="A316" s="973"/>
      <c r="B316" s="959"/>
      <c r="C316" s="959"/>
      <c r="D316" s="959"/>
      <c r="E316" s="959"/>
      <c r="F316" s="959"/>
      <c r="G316" s="959"/>
      <c r="H316" s="959"/>
      <c r="I316" s="959"/>
      <c r="J316" s="959"/>
      <c r="K316" s="959"/>
      <c r="L316" s="959"/>
      <c r="M316" s="959"/>
      <c r="N316" s="959"/>
      <c r="O316" s="959"/>
      <c r="P316" s="959"/>
      <c r="Q316" s="884"/>
      <c r="R316" s="1007"/>
      <c r="S316" s="1007"/>
      <c r="T316" s="966"/>
      <c r="U316" s="966"/>
      <c r="V316" s="1011"/>
      <c r="W316" s="1011"/>
      <c r="X316" s="387"/>
      <c r="Y316" s="1012"/>
      <c r="Z316" s="966"/>
      <c r="AA316" s="966"/>
      <c r="AB316" s="991"/>
      <c r="AC316" s="965"/>
      <c r="AD316" s="965"/>
      <c r="AE316" s="965"/>
      <c r="AF316" s="966"/>
      <c r="AG316" s="964"/>
    </row>
    <row r="317" spans="1:33" s="112" customFormat="1" ht="21.95" customHeight="1">
      <c r="A317" s="973"/>
      <c r="B317" s="959"/>
      <c r="C317" s="959"/>
      <c r="D317" s="959"/>
      <c r="E317" s="959"/>
      <c r="F317" s="959"/>
      <c r="G317" s="959"/>
      <c r="H317" s="959"/>
      <c r="I317" s="959"/>
      <c r="J317" s="959"/>
      <c r="K317" s="959"/>
      <c r="L317" s="959"/>
      <c r="M317" s="959"/>
      <c r="N317" s="959"/>
      <c r="O317" s="959"/>
      <c r="P317" s="959"/>
      <c r="Q317" s="884"/>
      <c r="R317" s="1007"/>
      <c r="S317" s="1007"/>
      <c r="T317" s="966"/>
      <c r="U317" s="966"/>
      <c r="V317" s="1011"/>
      <c r="W317" s="1011"/>
      <c r="X317" s="387"/>
      <c r="Y317" s="1012"/>
      <c r="Z317" s="966"/>
      <c r="AA317" s="966"/>
      <c r="AB317" s="991"/>
      <c r="AC317" s="965"/>
      <c r="AD317" s="965"/>
      <c r="AE317" s="965"/>
      <c r="AF317" s="966"/>
      <c r="AG317" s="964"/>
    </row>
    <row r="318" spans="1:33" s="112" customFormat="1" ht="21.95" customHeight="1">
      <c r="A318" s="973"/>
      <c r="B318" s="959"/>
      <c r="C318" s="959"/>
      <c r="D318" s="959"/>
      <c r="E318" s="959"/>
      <c r="F318" s="959"/>
      <c r="G318" s="959"/>
      <c r="H318" s="959"/>
      <c r="I318" s="959"/>
      <c r="J318" s="959"/>
      <c r="K318" s="959"/>
      <c r="L318" s="959"/>
      <c r="M318" s="959"/>
      <c r="N318" s="959"/>
      <c r="O318" s="959"/>
      <c r="P318" s="959"/>
      <c r="Q318" s="884"/>
      <c r="R318" s="1007"/>
      <c r="S318" s="1007"/>
      <c r="T318" s="966"/>
      <c r="U318" s="966"/>
      <c r="V318" s="1011"/>
      <c r="W318" s="1011"/>
      <c r="X318" s="387"/>
      <c r="Y318" s="1012"/>
      <c r="Z318" s="966"/>
      <c r="AA318" s="966"/>
      <c r="AB318" s="991"/>
      <c r="AC318" s="965"/>
      <c r="AD318" s="965"/>
      <c r="AE318" s="965"/>
      <c r="AF318" s="966"/>
      <c r="AG318" s="964"/>
    </row>
    <row r="319" spans="1:33" s="112" customFormat="1" ht="21.95" customHeight="1">
      <c r="A319" s="973"/>
      <c r="B319" s="959"/>
      <c r="C319" s="959"/>
      <c r="D319" s="959"/>
      <c r="E319" s="959"/>
      <c r="F319" s="959"/>
      <c r="G319" s="959"/>
      <c r="H319" s="959"/>
      <c r="I319" s="959"/>
      <c r="J319" s="959"/>
      <c r="K319" s="959"/>
      <c r="L319" s="959"/>
      <c r="M319" s="959"/>
      <c r="N319" s="959"/>
      <c r="O319" s="959"/>
      <c r="P319" s="959"/>
      <c r="Q319" s="884"/>
      <c r="R319" s="396"/>
      <c r="S319" s="1007"/>
      <c r="T319" s="966"/>
      <c r="U319" s="966"/>
      <c r="V319" s="1011"/>
      <c r="W319" s="1011"/>
      <c r="X319" s="387"/>
      <c r="Y319" s="1012"/>
      <c r="Z319" s="966"/>
      <c r="AA319" s="966"/>
      <c r="AB319" s="991"/>
      <c r="AC319" s="965"/>
      <c r="AD319" s="965"/>
      <c r="AE319" s="965"/>
      <c r="AF319" s="966"/>
      <c r="AG319" s="964"/>
    </row>
    <row r="320" spans="1:33" s="112" customFormat="1" ht="21.95" customHeight="1">
      <c r="A320" s="973"/>
      <c r="B320" s="959"/>
      <c r="C320" s="959"/>
      <c r="D320" s="959"/>
      <c r="E320" s="959"/>
      <c r="F320" s="959"/>
      <c r="G320" s="959"/>
      <c r="H320" s="959"/>
      <c r="I320" s="959"/>
      <c r="J320" s="959"/>
      <c r="K320" s="959"/>
      <c r="L320" s="959"/>
      <c r="M320" s="959"/>
      <c r="N320" s="959"/>
      <c r="O320" s="959"/>
      <c r="P320" s="959"/>
      <c r="Q320" s="884"/>
      <c r="R320" s="1007"/>
      <c r="S320" s="1007"/>
      <c r="T320" s="966"/>
      <c r="U320" s="966"/>
      <c r="V320" s="1011"/>
      <c r="W320" s="1011"/>
      <c r="X320" s="387"/>
      <c r="Y320" s="1012"/>
      <c r="Z320" s="966"/>
      <c r="AA320" s="966"/>
      <c r="AB320" s="991"/>
      <c r="AC320" s="965"/>
      <c r="AD320" s="965"/>
      <c r="AE320" s="965"/>
      <c r="AF320" s="966"/>
      <c r="AG320" s="964"/>
    </row>
    <row r="321" spans="1:33" s="112" customFormat="1" ht="21.95" customHeight="1">
      <c r="A321" s="973"/>
      <c r="B321" s="959"/>
      <c r="C321" s="959"/>
      <c r="D321" s="959"/>
      <c r="E321" s="959"/>
      <c r="F321" s="959"/>
      <c r="G321" s="959"/>
      <c r="H321" s="959"/>
      <c r="I321" s="959"/>
      <c r="J321" s="959"/>
      <c r="K321" s="959"/>
      <c r="L321" s="959"/>
      <c r="M321" s="959"/>
      <c r="N321" s="959"/>
      <c r="O321" s="959"/>
      <c r="P321" s="959"/>
      <c r="Q321" s="884"/>
      <c r="R321" s="1007"/>
      <c r="S321" s="1007"/>
      <c r="T321" s="966"/>
      <c r="U321" s="966"/>
      <c r="V321" s="1011"/>
      <c r="W321" s="1011"/>
      <c r="X321" s="387"/>
      <c r="Y321" s="1012"/>
      <c r="Z321" s="966"/>
      <c r="AA321" s="966"/>
      <c r="AB321" s="991"/>
      <c r="AC321" s="965"/>
      <c r="AD321" s="965"/>
      <c r="AE321" s="965"/>
      <c r="AF321" s="966"/>
      <c r="AG321" s="964"/>
    </row>
    <row r="322" spans="1:33" s="112" customFormat="1" ht="21.95" customHeight="1">
      <c r="A322" s="973"/>
      <c r="B322" s="959"/>
      <c r="C322" s="959"/>
      <c r="D322" s="959"/>
      <c r="E322" s="959"/>
      <c r="F322" s="959"/>
      <c r="G322" s="959"/>
      <c r="H322" s="959"/>
      <c r="I322" s="959"/>
      <c r="J322" s="959"/>
      <c r="K322" s="959"/>
      <c r="L322" s="959"/>
      <c r="M322" s="959"/>
      <c r="N322" s="959"/>
      <c r="O322" s="959"/>
      <c r="P322" s="959"/>
      <c r="Q322" s="884"/>
      <c r="R322" s="1007"/>
      <c r="S322" s="1007"/>
      <c r="T322" s="966"/>
      <c r="U322" s="966"/>
      <c r="V322" s="1011"/>
      <c r="W322" s="1011"/>
      <c r="X322" s="387"/>
      <c r="Y322" s="1012"/>
      <c r="Z322" s="966"/>
      <c r="AA322" s="966"/>
      <c r="AB322" s="991"/>
      <c r="AC322" s="965"/>
      <c r="AD322" s="965"/>
      <c r="AE322" s="965"/>
      <c r="AF322" s="966"/>
      <c r="AG322" s="964"/>
    </row>
    <row r="323" spans="1:33" s="112" customFormat="1" ht="21.95" customHeight="1">
      <c r="A323" s="973"/>
      <c r="B323" s="959"/>
      <c r="C323" s="959"/>
      <c r="D323" s="959"/>
      <c r="E323" s="959"/>
      <c r="F323" s="959"/>
      <c r="G323" s="959"/>
      <c r="H323" s="959"/>
      <c r="I323" s="959"/>
      <c r="J323" s="959"/>
      <c r="K323" s="959"/>
      <c r="L323" s="959"/>
      <c r="M323" s="959"/>
      <c r="N323" s="959"/>
      <c r="O323" s="959"/>
      <c r="P323" s="959"/>
      <c r="Q323" s="884"/>
      <c r="R323" s="1007"/>
      <c r="S323" s="1007"/>
      <c r="T323" s="966"/>
      <c r="U323" s="966"/>
      <c r="V323" s="1011"/>
      <c r="W323" s="1011"/>
      <c r="X323" s="387"/>
      <c r="Y323" s="1012"/>
      <c r="Z323" s="966"/>
      <c r="AA323" s="966"/>
      <c r="AB323" s="991"/>
      <c r="AC323" s="965"/>
      <c r="AD323" s="965"/>
      <c r="AE323" s="965"/>
      <c r="AF323" s="966"/>
      <c r="AG323" s="964"/>
    </row>
    <row r="324" spans="1:33" s="112" customFormat="1" ht="21.95" customHeight="1">
      <c r="A324" s="973"/>
      <c r="B324" s="959"/>
      <c r="C324" s="959"/>
      <c r="D324" s="959"/>
      <c r="E324" s="959"/>
      <c r="F324" s="959"/>
      <c r="G324" s="959"/>
      <c r="H324" s="959"/>
      <c r="I324" s="959"/>
      <c r="J324" s="959"/>
      <c r="K324" s="959"/>
      <c r="L324" s="959"/>
      <c r="M324" s="959"/>
      <c r="N324" s="959"/>
      <c r="O324" s="959"/>
      <c r="P324" s="959"/>
      <c r="Q324" s="884"/>
      <c r="R324" s="1007"/>
      <c r="S324" s="1007"/>
      <c r="T324" s="966"/>
      <c r="U324" s="966"/>
      <c r="V324" s="1011"/>
      <c r="W324" s="1011"/>
      <c r="X324" s="387"/>
      <c r="Y324" s="1012"/>
      <c r="Z324" s="966"/>
      <c r="AA324" s="966"/>
      <c r="AB324" s="991"/>
      <c r="AC324" s="965"/>
      <c r="AD324" s="965"/>
      <c r="AE324" s="965"/>
      <c r="AF324" s="966"/>
      <c r="AG324" s="964"/>
    </row>
    <row r="325" spans="1:33" s="112" customFormat="1" ht="21.95" customHeight="1">
      <c r="A325" s="973"/>
      <c r="B325" s="959"/>
      <c r="C325" s="959"/>
      <c r="D325" s="959"/>
      <c r="E325" s="959"/>
      <c r="F325" s="959"/>
      <c r="G325" s="959"/>
      <c r="H325" s="959"/>
      <c r="I325" s="959"/>
      <c r="J325" s="959"/>
      <c r="K325" s="959"/>
      <c r="L325" s="959"/>
      <c r="M325" s="959"/>
      <c r="N325" s="959"/>
      <c r="O325" s="959"/>
      <c r="P325" s="959"/>
      <c r="Q325" s="884"/>
      <c r="R325" s="1007"/>
      <c r="S325" s="1007"/>
      <c r="T325" s="966"/>
      <c r="U325" s="966"/>
      <c r="V325" s="1011"/>
      <c r="W325" s="1011"/>
      <c r="X325" s="387"/>
      <c r="Y325" s="1012"/>
      <c r="Z325" s="966"/>
      <c r="AA325" s="966"/>
      <c r="AB325" s="991"/>
      <c r="AC325" s="965"/>
      <c r="AD325" s="965"/>
      <c r="AE325" s="965"/>
      <c r="AF325" s="966"/>
      <c r="AG325" s="964"/>
    </row>
    <row r="326" spans="1:33" s="112" customFormat="1" ht="21.95" customHeight="1">
      <c r="A326" s="973"/>
      <c r="B326" s="959"/>
      <c r="C326" s="959"/>
      <c r="D326" s="959"/>
      <c r="E326" s="959"/>
      <c r="F326" s="959"/>
      <c r="G326" s="959"/>
      <c r="H326" s="959"/>
      <c r="I326" s="959"/>
      <c r="J326" s="959"/>
      <c r="K326" s="959"/>
      <c r="L326" s="959"/>
      <c r="M326" s="959"/>
      <c r="N326" s="959"/>
      <c r="O326" s="959"/>
      <c r="P326" s="959"/>
      <c r="Q326" s="884"/>
      <c r="R326" s="1007"/>
      <c r="S326" s="1007"/>
      <c r="T326" s="966"/>
      <c r="U326" s="966"/>
      <c r="V326" s="1011"/>
      <c r="W326" s="1011"/>
      <c r="X326" s="387"/>
      <c r="Y326" s="1012"/>
      <c r="Z326" s="966"/>
      <c r="AA326" s="966"/>
      <c r="AB326" s="991"/>
      <c r="AC326" s="965"/>
      <c r="AD326" s="965"/>
      <c r="AE326" s="965"/>
      <c r="AF326" s="966"/>
      <c r="AG326" s="964"/>
    </row>
    <row r="327" spans="1:33" s="112" customFormat="1" ht="21.95" customHeight="1">
      <c r="A327" s="973"/>
      <c r="B327" s="959"/>
      <c r="C327" s="959"/>
      <c r="D327" s="959"/>
      <c r="E327" s="959"/>
      <c r="F327" s="959"/>
      <c r="G327" s="959"/>
      <c r="H327" s="959"/>
      <c r="I327" s="959"/>
      <c r="J327" s="959"/>
      <c r="K327" s="959"/>
      <c r="L327" s="959"/>
      <c r="M327" s="959"/>
      <c r="N327" s="959"/>
      <c r="O327" s="959"/>
      <c r="P327" s="959"/>
      <c r="Q327" s="884"/>
      <c r="R327" s="1007"/>
      <c r="S327" s="1007"/>
      <c r="T327" s="966"/>
      <c r="U327" s="966"/>
      <c r="V327" s="1011"/>
      <c r="W327" s="1011"/>
      <c r="X327" s="387"/>
      <c r="Y327" s="1012"/>
      <c r="Z327" s="966"/>
      <c r="AA327" s="966"/>
      <c r="AB327" s="991"/>
      <c r="AC327" s="965"/>
      <c r="AD327" s="965"/>
      <c r="AE327" s="965"/>
      <c r="AF327" s="966"/>
      <c r="AG327" s="964"/>
    </row>
    <row r="328" spans="1:33" s="112" customFormat="1" ht="21.95" customHeight="1">
      <c r="A328" s="973"/>
      <c r="B328" s="959"/>
      <c r="C328" s="959"/>
      <c r="D328" s="959"/>
      <c r="E328" s="959"/>
      <c r="F328" s="959"/>
      <c r="G328" s="959"/>
      <c r="H328" s="959"/>
      <c r="I328" s="959"/>
      <c r="J328" s="959"/>
      <c r="K328" s="959"/>
      <c r="L328" s="959"/>
      <c r="M328" s="959"/>
      <c r="N328" s="959"/>
      <c r="O328" s="959"/>
      <c r="P328" s="959"/>
      <c r="Q328" s="884"/>
      <c r="R328" s="1007"/>
      <c r="S328" s="1007"/>
      <c r="T328" s="966"/>
      <c r="U328" s="966"/>
      <c r="V328" s="1011"/>
      <c r="W328" s="1011"/>
      <c r="X328" s="387"/>
      <c r="Y328" s="1012"/>
      <c r="Z328" s="966"/>
      <c r="AA328" s="966"/>
      <c r="AB328" s="991"/>
      <c r="AC328" s="965"/>
      <c r="AD328" s="965"/>
      <c r="AE328" s="965"/>
      <c r="AF328" s="966"/>
      <c r="AG328" s="964"/>
    </row>
    <row r="329" spans="1:33" s="112" customFormat="1" ht="21.95" customHeight="1">
      <c r="A329" s="973"/>
      <c r="B329" s="959"/>
      <c r="C329" s="959"/>
      <c r="D329" s="959"/>
      <c r="E329" s="959"/>
      <c r="F329" s="959"/>
      <c r="G329" s="959"/>
      <c r="H329" s="959"/>
      <c r="I329" s="959"/>
      <c r="J329" s="959"/>
      <c r="K329" s="959"/>
      <c r="L329" s="959"/>
      <c r="M329" s="959"/>
      <c r="N329" s="959"/>
      <c r="O329" s="959"/>
      <c r="P329" s="959"/>
      <c r="Q329" s="884"/>
      <c r="R329" s="1007"/>
      <c r="S329" s="1007"/>
      <c r="T329" s="966"/>
      <c r="U329" s="966"/>
      <c r="V329" s="1011"/>
      <c r="W329" s="1011"/>
      <c r="X329" s="387"/>
      <c r="Y329" s="1012"/>
      <c r="Z329" s="966"/>
      <c r="AA329" s="966"/>
      <c r="AB329" s="991"/>
      <c r="AC329" s="965"/>
      <c r="AD329" s="965"/>
      <c r="AE329" s="965"/>
      <c r="AF329" s="966"/>
      <c r="AG329" s="964"/>
    </row>
    <row r="330" spans="1:33" s="112" customFormat="1" ht="21.95" customHeight="1">
      <c r="A330" s="973"/>
      <c r="B330" s="959"/>
      <c r="C330" s="959"/>
      <c r="D330" s="959"/>
      <c r="E330" s="959"/>
      <c r="F330" s="959"/>
      <c r="G330" s="959"/>
      <c r="H330" s="959"/>
      <c r="I330" s="959"/>
      <c r="J330" s="959"/>
      <c r="K330" s="959"/>
      <c r="L330" s="959"/>
      <c r="M330" s="959"/>
      <c r="N330" s="959"/>
      <c r="O330" s="959"/>
      <c r="P330" s="959"/>
      <c r="Q330" s="884"/>
      <c r="R330" s="1007"/>
      <c r="S330" s="1007"/>
      <c r="T330" s="966"/>
      <c r="U330" s="966"/>
      <c r="V330" s="1011"/>
      <c r="W330" s="1011"/>
      <c r="X330" s="387"/>
      <c r="Y330" s="1012"/>
      <c r="Z330" s="966"/>
      <c r="AA330" s="966"/>
      <c r="AB330" s="991"/>
      <c r="AC330" s="965"/>
      <c r="AD330" s="965"/>
      <c r="AE330" s="965"/>
      <c r="AF330" s="966"/>
      <c r="AG330" s="964"/>
    </row>
    <row r="331" spans="1:33" s="112" customFormat="1" ht="21.95" customHeight="1">
      <c r="A331" s="973"/>
      <c r="B331" s="959"/>
      <c r="C331" s="959"/>
      <c r="D331" s="959"/>
      <c r="E331" s="959"/>
      <c r="F331" s="959"/>
      <c r="G331" s="959"/>
      <c r="H331" s="959"/>
      <c r="I331" s="959"/>
      <c r="J331" s="959"/>
      <c r="K331" s="959"/>
      <c r="L331" s="959"/>
      <c r="M331" s="959"/>
      <c r="N331" s="959"/>
      <c r="O331" s="959"/>
      <c r="P331" s="959"/>
      <c r="Q331" s="884"/>
      <c r="R331" s="1007"/>
      <c r="S331" s="1007"/>
      <c r="T331" s="966"/>
      <c r="U331" s="966"/>
      <c r="V331" s="1011"/>
      <c r="W331" s="1011"/>
      <c r="X331" s="387"/>
      <c r="Y331" s="1012"/>
      <c r="Z331" s="966"/>
      <c r="AA331" s="966"/>
      <c r="AB331" s="991"/>
      <c r="AC331" s="965"/>
      <c r="AD331" s="965"/>
      <c r="AE331" s="965"/>
      <c r="AF331" s="966"/>
      <c r="AG331" s="964"/>
    </row>
    <row r="332" spans="1:33" s="112" customFormat="1" ht="21.95" customHeight="1">
      <c r="A332" s="973"/>
      <c r="B332" s="959"/>
      <c r="C332" s="959"/>
      <c r="D332" s="959"/>
      <c r="E332" s="959"/>
      <c r="F332" s="959"/>
      <c r="G332" s="959"/>
      <c r="H332" s="959"/>
      <c r="I332" s="959"/>
      <c r="J332" s="959"/>
      <c r="K332" s="959"/>
      <c r="L332" s="959"/>
      <c r="M332" s="959"/>
      <c r="N332" s="959"/>
      <c r="O332" s="959"/>
      <c r="P332" s="959"/>
      <c r="Q332" s="884"/>
      <c r="R332" s="396"/>
      <c r="S332" s="1007"/>
      <c r="T332" s="966"/>
      <c r="U332" s="966"/>
      <c r="V332" s="1011"/>
      <c r="W332" s="1011"/>
      <c r="X332" s="387"/>
      <c r="Y332" s="1012"/>
      <c r="Z332" s="966"/>
      <c r="AA332" s="966"/>
      <c r="AB332" s="991"/>
      <c r="AC332" s="965"/>
      <c r="AD332" s="965"/>
      <c r="AE332" s="965"/>
      <c r="AF332" s="966"/>
      <c r="AG332" s="964"/>
    </row>
    <row r="333" spans="1:33" s="112" customFormat="1" ht="21.95" customHeight="1">
      <c r="A333" s="973"/>
      <c r="B333" s="959"/>
      <c r="C333" s="959"/>
      <c r="D333" s="959"/>
      <c r="E333" s="959"/>
      <c r="F333" s="959"/>
      <c r="G333" s="959"/>
      <c r="H333" s="959"/>
      <c r="I333" s="959"/>
      <c r="J333" s="959"/>
      <c r="K333" s="959"/>
      <c r="L333" s="959"/>
      <c r="M333" s="959"/>
      <c r="N333" s="959"/>
      <c r="O333" s="959"/>
      <c r="P333" s="959"/>
      <c r="Q333" s="884"/>
      <c r="R333" s="1007"/>
      <c r="S333" s="1007"/>
      <c r="T333" s="966"/>
      <c r="U333" s="966"/>
      <c r="V333" s="1011"/>
      <c r="W333" s="1011"/>
      <c r="X333" s="387"/>
      <c r="Y333" s="1012"/>
      <c r="Z333" s="966"/>
      <c r="AA333" s="966"/>
      <c r="AB333" s="991"/>
      <c r="AC333" s="965"/>
      <c r="AD333" s="965"/>
      <c r="AE333" s="965"/>
      <c r="AF333" s="966"/>
      <c r="AG333" s="964"/>
    </row>
    <row r="334" spans="1:33" s="112" customFormat="1" ht="21.95" customHeight="1">
      <c r="A334" s="973"/>
      <c r="B334" s="959"/>
      <c r="C334" s="959"/>
      <c r="D334" s="959"/>
      <c r="E334" s="959"/>
      <c r="F334" s="959"/>
      <c r="G334" s="959"/>
      <c r="H334" s="959"/>
      <c r="I334" s="959"/>
      <c r="J334" s="959"/>
      <c r="K334" s="959"/>
      <c r="L334" s="959"/>
      <c r="M334" s="959"/>
      <c r="N334" s="959"/>
      <c r="O334" s="959"/>
      <c r="P334" s="959"/>
      <c r="Q334" s="884"/>
      <c r="R334" s="1007"/>
      <c r="S334" s="1007"/>
      <c r="T334" s="966"/>
      <c r="U334" s="966"/>
      <c r="V334" s="1011"/>
      <c r="W334" s="1011"/>
      <c r="X334" s="387"/>
      <c r="Y334" s="1012"/>
      <c r="Z334" s="966"/>
      <c r="AA334" s="966"/>
      <c r="AB334" s="991"/>
      <c r="AC334" s="965"/>
      <c r="AD334" s="965"/>
      <c r="AE334" s="965"/>
      <c r="AF334" s="966"/>
      <c r="AG334" s="964"/>
    </row>
    <row r="335" spans="1:33" s="112" customFormat="1" ht="21.95" customHeight="1">
      <c r="A335" s="973"/>
      <c r="B335" s="959"/>
      <c r="C335" s="959"/>
      <c r="D335" s="959"/>
      <c r="E335" s="959"/>
      <c r="F335" s="959"/>
      <c r="G335" s="959"/>
      <c r="H335" s="959"/>
      <c r="I335" s="959"/>
      <c r="J335" s="959"/>
      <c r="K335" s="959"/>
      <c r="L335" s="959"/>
      <c r="M335" s="959"/>
      <c r="N335" s="959"/>
      <c r="O335" s="959"/>
      <c r="P335" s="959"/>
      <c r="Q335" s="895"/>
      <c r="R335" s="1007"/>
      <c r="S335" s="1007"/>
      <c r="T335" s="966"/>
      <c r="U335" s="966"/>
      <c r="V335" s="1011"/>
      <c r="W335" s="1011"/>
      <c r="X335" s="387"/>
      <c r="Y335" s="1012"/>
      <c r="Z335" s="966"/>
      <c r="AA335" s="966"/>
      <c r="AB335" s="991"/>
      <c r="AC335" s="965"/>
      <c r="AD335" s="965"/>
      <c r="AE335" s="965"/>
      <c r="AF335" s="966"/>
      <c r="AG335" s="964"/>
    </row>
    <row r="336" spans="1:33" s="112" customFormat="1" ht="21.95" customHeight="1">
      <c r="A336" s="872"/>
      <c r="B336" s="408"/>
      <c r="C336" s="408"/>
      <c r="D336" s="408"/>
      <c r="E336" s="408"/>
      <c r="F336" s="408"/>
      <c r="G336" s="408"/>
      <c r="H336" s="408"/>
      <c r="I336" s="408"/>
      <c r="J336" s="408"/>
      <c r="K336" s="408"/>
      <c r="L336" s="408"/>
      <c r="M336" s="408"/>
      <c r="N336" s="408"/>
      <c r="O336" s="408"/>
      <c r="P336" s="408"/>
      <c r="Q336" s="895"/>
      <c r="R336" s="115"/>
      <c r="S336" s="115"/>
      <c r="T336" s="113"/>
      <c r="U336" s="964"/>
      <c r="V336" s="117"/>
      <c r="W336" s="117"/>
      <c r="X336" s="118"/>
      <c r="Y336" s="119"/>
      <c r="Z336" s="113"/>
      <c r="AA336" s="113"/>
      <c r="AB336" s="111"/>
      <c r="AC336" s="1023"/>
      <c r="AD336" s="1023"/>
      <c r="AE336" s="1023"/>
      <c r="AF336" s="964"/>
      <c r="AG336" s="964"/>
    </row>
    <row r="337" spans="1:33" s="112" customFormat="1" ht="21.95" customHeight="1">
      <c r="A337" s="872"/>
      <c r="B337" s="408"/>
      <c r="C337" s="408"/>
      <c r="D337" s="408"/>
      <c r="E337" s="408"/>
      <c r="F337" s="408"/>
      <c r="G337" s="408"/>
      <c r="H337" s="408"/>
      <c r="I337" s="408"/>
      <c r="J337" s="408"/>
      <c r="K337" s="408"/>
      <c r="L337" s="408"/>
      <c r="M337" s="408"/>
      <c r="N337" s="408"/>
      <c r="O337" s="408"/>
      <c r="P337" s="408"/>
      <c r="Q337" s="895"/>
      <c r="R337" s="115"/>
      <c r="S337" s="115"/>
      <c r="T337" s="113"/>
      <c r="U337" s="964"/>
      <c r="V337" s="117"/>
      <c r="W337" s="117"/>
      <c r="X337" s="118"/>
      <c r="Y337" s="119"/>
      <c r="Z337" s="113"/>
      <c r="AA337" s="113"/>
      <c r="AB337" s="111"/>
      <c r="AC337" s="1023"/>
      <c r="AD337" s="1023"/>
      <c r="AE337" s="1023"/>
      <c r="AF337" s="964"/>
      <c r="AG337" s="964"/>
    </row>
    <row r="338" spans="1:33" s="112" customFormat="1" ht="21.95" customHeight="1">
      <c r="A338" s="872"/>
      <c r="B338" s="408"/>
      <c r="C338" s="408"/>
      <c r="D338" s="408"/>
      <c r="E338" s="408"/>
      <c r="F338" s="408"/>
      <c r="G338" s="408"/>
      <c r="H338" s="408"/>
      <c r="I338" s="408"/>
      <c r="J338" s="408"/>
      <c r="K338" s="408"/>
      <c r="L338" s="408"/>
      <c r="M338" s="408"/>
      <c r="N338" s="408"/>
      <c r="O338" s="408"/>
      <c r="P338" s="408"/>
      <c r="Q338" s="895"/>
      <c r="R338" s="115"/>
      <c r="S338" s="115"/>
      <c r="T338" s="113"/>
      <c r="U338" s="964"/>
      <c r="V338" s="117"/>
      <c r="W338" s="117"/>
      <c r="X338" s="118"/>
      <c r="Y338" s="119"/>
      <c r="Z338" s="113"/>
      <c r="AA338" s="113"/>
      <c r="AB338" s="111"/>
      <c r="AC338" s="1023"/>
      <c r="AD338" s="1023"/>
      <c r="AE338" s="1023"/>
      <c r="AF338" s="964"/>
      <c r="AG338" s="964"/>
    </row>
    <row r="339" spans="1:33" s="112" customFormat="1" ht="21.95" customHeight="1">
      <c r="A339" s="872"/>
      <c r="B339" s="408"/>
      <c r="C339" s="408"/>
      <c r="D339" s="408"/>
      <c r="E339" s="408"/>
      <c r="F339" s="408"/>
      <c r="G339" s="408"/>
      <c r="H339" s="408"/>
      <c r="I339" s="408"/>
      <c r="J339" s="408"/>
      <c r="K339" s="408"/>
      <c r="L339" s="408"/>
      <c r="M339" s="408"/>
      <c r="N339" s="408"/>
      <c r="O339" s="408"/>
      <c r="P339" s="408"/>
      <c r="Q339" s="895"/>
      <c r="R339" s="115"/>
      <c r="S339" s="115"/>
      <c r="T339" s="113"/>
      <c r="U339" s="964"/>
      <c r="V339" s="117"/>
      <c r="W339" s="117"/>
      <c r="X339" s="118"/>
      <c r="Y339" s="119"/>
      <c r="Z339" s="113"/>
      <c r="AA339" s="113"/>
      <c r="AB339" s="111"/>
      <c r="AC339" s="1023"/>
      <c r="AD339" s="1023"/>
      <c r="AE339" s="1023"/>
      <c r="AF339" s="964"/>
      <c r="AG339" s="964"/>
    </row>
    <row r="340" spans="1:33" s="112" customFormat="1" ht="21.95" customHeight="1">
      <c r="A340" s="872"/>
      <c r="B340" s="408"/>
      <c r="C340" s="408"/>
      <c r="D340" s="408"/>
      <c r="E340" s="408"/>
      <c r="F340" s="408"/>
      <c r="G340" s="408"/>
      <c r="H340" s="408"/>
      <c r="I340" s="408"/>
      <c r="J340" s="408"/>
      <c r="K340" s="408"/>
      <c r="L340" s="408"/>
      <c r="M340" s="408"/>
      <c r="N340" s="408"/>
      <c r="O340" s="408"/>
      <c r="P340" s="408"/>
      <c r="Q340" s="895"/>
      <c r="R340" s="115"/>
      <c r="S340" s="115"/>
      <c r="T340" s="113"/>
      <c r="U340" s="964"/>
      <c r="V340" s="117"/>
      <c r="W340" s="117"/>
      <c r="X340" s="118"/>
      <c r="Y340" s="119"/>
      <c r="Z340" s="113"/>
      <c r="AA340" s="113"/>
      <c r="AB340" s="111"/>
      <c r="AC340" s="1023"/>
      <c r="AD340" s="1023"/>
      <c r="AE340" s="1023"/>
      <c r="AF340" s="964"/>
      <c r="AG340" s="964"/>
    </row>
    <row r="341" spans="1:33" s="112" customFormat="1" ht="21.95" customHeight="1">
      <c r="A341" s="872"/>
      <c r="B341" s="408"/>
      <c r="C341" s="408"/>
      <c r="D341" s="408"/>
      <c r="E341" s="408"/>
      <c r="F341" s="408"/>
      <c r="G341" s="408"/>
      <c r="H341" s="408"/>
      <c r="I341" s="408"/>
      <c r="J341" s="408"/>
      <c r="K341" s="408"/>
      <c r="L341" s="408"/>
      <c r="M341" s="408"/>
      <c r="N341" s="408"/>
      <c r="O341" s="408"/>
      <c r="P341" s="408"/>
      <c r="Q341" s="895"/>
      <c r="R341" s="115"/>
      <c r="S341" s="115"/>
      <c r="T341" s="113"/>
      <c r="U341" s="964"/>
      <c r="V341" s="117"/>
      <c r="W341" s="117"/>
      <c r="X341" s="118"/>
      <c r="Y341" s="119"/>
      <c r="Z341" s="113"/>
      <c r="AA341" s="113"/>
      <c r="AB341" s="111"/>
      <c r="AC341" s="1023"/>
      <c r="AD341" s="1023"/>
      <c r="AE341" s="1023"/>
      <c r="AF341" s="964"/>
      <c r="AG341" s="964"/>
    </row>
    <row r="342" spans="1:33" s="112" customFormat="1" ht="21.95" customHeight="1">
      <c r="A342" s="872"/>
      <c r="B342" s="408"/>
      <c r="C342" s="408"/>
      <c r="D342" s="408"/>
      <c r="E342" s="408"/>
      <c r="F342" s="408"/>
      <c r="G342" s="408"/>
      <c r="H342" s="408"/>
      <c r="I342" s="408"/>
      <c r="J342" s="408"/>
      <c r="K342" s="408"/>
      <c r="L342" s="408"/>
      <c r="M342" s="408"/>
      <c r="N342" s="408"/>
      <c r="O342" s="408"/>
      <c r="P342" s="408"/>
      <c r="Q342" s="895"/>
      <c r="R342" s="114"/>
      <c r="S342" s="114"/>
      <c r="T342" s="964"/>
      <c r="U342" s="115"/>
      <c r="V342" s="113"/>
      <c r="W342" s="113"/>
      <c r="X342" s="964"/>
      <c r="Y342" s="116"/>
      <c r="Z342" s="964"/>
      <c r="AA342" s="1022"/>
      <c r="AB342" s="113"/>
      <c r="AC342" s="964"/>
      <c r="AD342" s="964"/>
      <c r="AE342" s="111"/>
      <c r="AF342" s="1023"/>
      <c r="AG342" s="964"/>
    </row>
    <row r="343" spans="1:33" s="112" customFormat="1" ht="21.95" customHeight="1">
      <c r="A343" s="872"/>
      <c r="B343" s="408"/>
      <c r="C343" s="408"/>
      <c r="D343" s="408"/>
      <c r="E343" s="408"/>
      <c r="F343" s="408"/>
      <c r="G343" s="408"/>
      <c r="H343" s="408"/>
      <c r="I343" s="408"/>
      <c r="J343" s="408"/>
      <c r="K343" s="408"/>
      <c r="L343" s="408"/>
      <c r="M343" s="408"/>
      <c r="N343" s="408"/>
      <c r="O343" s="408"/>
      <c r="P343" s="408"/>
      <c r="Q343" s="42"/>
      <c r="R343" s="114"/>
      <c r="S343" s="114"/>
      <c r="T343" s="964"/>
      <c r="U343" s="115"/>
      <c r="V343" s="113"/>
      <c r="W343" s="113"/>
      <c r="X343" s="964"/>
      <c r="Y343" s="116"/>
      <c r="Z343" s="964"/>
      <c r="AA343" s="1022"/>
      <c r="AB343" s="113"/>
      <c r="AC343" s="964"/>
      <c r="AD343" s="964"/>
      <c r="AE343" s="111"/>
      <c r="AF343" s="1023"/>
      <c r="AG343" s="964"/>
    </row>
    <row r="344" spans="1:33" s="100" customFormat="1" ht="21.95" customHeight="1">
      <c r="A344" s="873"/>
      <c r="B344" s="409"/>
      <c r="C344" s="409"/>
      <c r="D344" s="409"/>
      <c r="E344" s="409"/>
      <c r="F344" s="409"/>
      <c r="G344" s="409"/>
      <c r="H344" s="409"/>
      <c r="I344" s="409"/>
      <c r="J344" s="409"/>
      <c r="K344" s="409"/>
      <c r="L344" s="409"/>
      <c r="M344" s="409"/>
      <c r="N344" s="409"/>
      <c r="O344" s="409"/>
      <c r="P344" s="409"/>
      <c r="Q344" s="42"/>
      <c r="R344" s="1411"/>
      <c r="S344" s="1411"/>
      <c r="T344" s="1411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102"/>
      <c r="AG344" s="42"/>
    </row>
    <row r="345" spans="1:33" s="100" customFormat="1" ht="21.95" customHeight="1">
      <c r="A345" s="873"/>
      <c r="B345" s="409"/>
      <c r="C345" s="409"/>
      <c r="D345" s="409"/>
      <c r="E345" s="409"/>
      <c r="F345" s="409"/>
      <c r="G345" s="409"/>
      <c r="H345" s="409"/>
      <c r="I345" s="409"/>
      <c r="J345" s="409"/>
      <c r="K345" s="409"/>
      <c r="L345" s="409"/>
      <c r="M345" s="409"/>
      <c r="N345" s="409"/>
      <c r="O345" s="409"/>
      <c r="P345" s="409"/>
      <c r="Q345" s="42"/>
      <c r="R345" s="45"/>
      <c r="S345" s="1415"/>
      <c r="T345" s="1415"/>
      <c r="U345" s="1415"/>
      <c r="V345" s="964"/>
      <c r="W345" s="103"/>
      <c r="X345" s="964"/>
      <c r="Y345" s="1412"/>
      <c r="Z345" s="1412"/>
      <c r="AA345" s="45"/>
      <c r="AB345" s="45"/>
      <c r="AC345" s="45"/>
      <c r="AD345" s="45"/>
      <c r="AE345" s="45"/>
      <c r="AF345" s="102"/>
      <c r="AG345" s="42"/>
    </row>
    <row r="346" spans="1:33" s="100" customFormat="1" ht="21.95" customHeight="1">
      <c r="A346" s="873"/>
      <c r="B346" s="409"/>
      <c r="C346" s="409"/>
      <c r="D346" s="409"/>
      <c r="E346" s="409"/>
      <c r="F346" s="409"/>
      <c r="G346" s="409"/>
      <c r="H346" s="409"/>
      <c r="I346" s="409"/>
      <c r="J346" s="409"/>
      <c r="K346" s="409"/>
      <c r="L346" s="409"/>
      <c r="M346" s="409"/>
      <c r="N346" s="409"/>
      <c r="O346" s="409"/>
      <c r="P346" s="409"/>
      <c r="Q346" s="42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102"/>
      <c r="AG346" s="42"/>
    </row>
    <row r="347" spans="1:33" s="100" customFormat="1" ht="21.95" customHeight="1">
      <c r="A347" s="737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2"/>
      <c r="R347" s="1264"/>
      <c r="S347" s="1264"/>
      <c r="T347" s="1264"/>
      <c r="U347" s="1264"/>
      <c r="V347" s="1264"/>
      <c r="W347" s="1264"/>
      <c r="X347" s="1264"/>
      <c r="Y347" s="1264"/>
      <c r="Z347" s="1264"/>
      <c r="AA347" s="1264"/>
      <c r="AB347" s="1264"/>
      <c r="AC347" s="1264"/>
      <c r="AD347" s="1264"/>
      <c r="AE347" s="1264"/>
      <c r="AF347" s="1413"/>
      <c r="AG347" s="42"/>
    </row>
    <row r="348" spans="1:33" s="100" customFormat="1" ht="24.75" customHeight="1">
      <c r="A348" s="737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2"/>
      <c r="R348" s="105"/>
      <c r="S348" s="104"/>
      <c r="T348" s="1023"/>
      <c r="U348" s="964"/>
      <c r="V348" s="105"/>
      <c r="W348" s="104"/>
      <c r="X348" s="1023"/>
      <c r="Y348" s="964"/>
      <c r="Z348" s="1264"/>
      <c r="AA348" s="1264"/>
      <c r="AB348" s="105"/>
      <c r="AC348" s="964"/>
      <c r="AD348" s="1023"/>
      <c r="AE348" s="964"/>
      <c r="AF348" s="102"/>
      <c r="AG348" s="42"/>
    </row>
    <row r="349" spans="1:33" s="100" customFormat="1" ht="24.75" customHeight="1">
      <c r="A349" s="737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2"/>
      <c r="R349" s="45"/>
      <c r="S349" s="45"/>
      <c r="T349" s="45"/>
      <c r="U349" s="45"/>
      <c r="V349" s="45"/>
      <c r="W349" s="45"/>
      <c r="X349" s="964"/>
      <c r="Y349" s="45"/>
      <c r="Z349" s="45"/>
      <c r="AA349" s="45"/>
      <c r="AB349" s="45"/>
      <c r="AC349" s="45"/>
      <c r="AD349" s="45"/>
      <c r="AE349" s="45"/>
      <c r="AF349" s="102"/>
      <c r="AG349" s="42"/>
    </row>
    <row r="350" spans="1:33" s="100" customFormat="1" ht="24.75" customHeight="1">
      <c r="A350" s="737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2"/>
      <c r="R350" s="964"/>
      <c r="S350" s="964"/>
      <c r="T350" s="1264"/>
      <c r="U350" s="1264"/>
      <c r="V350" s="1264"/>
      <c r="W350" s="1264"/>
      <c r="X350" s="964"/>
      <c r="Y350" s="964"/>
      <c r="Z350" s="45"/>
      <c r="AA350" s="964"/>
      <c r="AB350" s="1411"/>
      <c r="AC350" s="1411"/>
      <c r="AD350" s="45"/>
      <c r="AE350" s="45"/>
      <c r="AF350" s="102"/>
      <c r="AG350" s="42"/>
    </row>
    <row r="351" spans="1:33" s="100" customFormat="1" ht="24.75" customHeight="1">
      <c r="A351" s="737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2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102"/>
      <c r="AG351" s="42"/>
    </row>
    <row r="352" spans="1:33" s="100" customFormat="1" ht="24.75" customHeight="1">
      <c r="A352" s="737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2"/>
      <c r="R352" s="1264"/>
      <c r="S352" s="1264"/>
      <c r="T352" s="964"/>
      <c r="U352" s="1416"/>
      <c r="V352" s="1416"/>
      <c r="W352" s="1416"/>
      <c r="X352" s="964"/>
      <c r="Y352" s="1414"/>
      <c r="Z352" s="1414"/>
      <c r="AA352" s="964"/>
      <c r="AB352" s="1410"/>
      <c r="AC352" s="1410"/>
      <c r="AD352" s="45"/>
      <c r="AE352" s="45"/>
      <c r="AF352" s="102"/>
      <c r="AG352" s="42"/>
    </row>
    <row r="353" spans="1:33" s="100" customFormat="1" ht="24.75" customHeight="1">
      <c r="A353" s="874"/>
      <c r="B353" s="106"/>
      <c r="C353" s="106"/>
      <c r="D353" s="964"/>
      <c r="E353" s="120"/>
      <c r="F353" s="120"/>
      <c r="G353" s="121"/>
      <c r="H353" s="964"/>
      <c r="I353" s="122"/>
      <c r="J353" s="122"/>
      <c r="K353" s="45"/>
      <c r="L353" s="45"/>
      <c r="M353" s="45"/>
      <c r="N353" s="45"/>
      <c r="O353" s="45"/>
      <c r="P353" s="45"/>
      <c r="Q353" s="875"/>
      <c r="R353" s="964"/>
      <c r="S353" s="964"/>
      <c r="T353" s="964"/>
      <c r="U353" s="1025"/>
      <c r="V353" s="1025"/>
      <c r="W353" s="1025"/>
      <c r="X353" s="964"/>
      <c r="Y353" s="1024"/>
      <c r="Z353" s="1024"/>
      <c r="AA353" s="964"/>
      <c r="AB353" s="1022"/>
      <c r="AC353" s="1022"/>
      <c r="AD353" s="45"/>
      <c r="AE353" s="45"/>
      <c r="AF353" s="45"/>
      <c r="AG353" s="45"/>
    </row>
  </sheetData>
  <mergeCells count="605">
    <mergeCell ref="B2:P2"/>
    <mergeCell ref="C4:O4"/>
    <mergeCell ref="C5:M5"/>
    <mergeCell ref="C6:E6"/>
    <mergeCell ref="D7:F7"/>
    <mergeCell ref="J7:K7"/>
    <mergeCell ref="C9:O9"/>
    <mergeCell ref="K10:L10"/>
    <mergeCell ref="E12:F12"/>
    <mergeCell ref="G12:H12"/>
    <mergeCell ref="M12:N12"/>
    <mergeCell ref="C14:D14"/>
    <mergeCell ref="F14:H14"/>
    <mergeCell ref="J14:K14"/>
    <mergeCell ref="M14:N14"/>
    <mergeCell ref="U22:W22"/>
    <mergeCell ref="K23:L23"/>
    <mergeCell ref="U23:W23"/>
    <mergeCell ref="E25:F25"/>
    <mergeCell ref="G25:H25"/>
    <mergeCell ref="M25:N25"/>
    <mergeCell ref="C17:O17"/>
    <mergeCell ref="C18:M18"/>
    <mergeCell ref="C19:E19"/>
    <mergeCell ref="D20:F20"/>
    <mergeCell ref="J20:K20"/>
    <mergeCell ref="C22:O22"/>
    <mergeCell ref="AC33:AD33"/>
    <mergeCell ref="C34:E34"/>
    <mergeCell ref="I34:J34"/>
    <mergeCell ref="Y34:Z34"/>
    <mergeCell ref="C27:D27"/>
    <mergeCell ref="F27:H27"/>
    <mergeCell ref="J27:K27"/>
    <mergeCell ref="M27:N27"/>
    <mergeCell ref="B30:P30"/>
    <mergeCell ref="B31:P31"/>
    <mergeCell ref="C36:O36"/>
    <mergeCell ref="J37:K37"/>
    <mergeCell ref="Z37:AA37"/>
    <mergeCell ref="D39:E39"/>
    <mergeCell ref="F39:G39"/>
    <mergeCell ref="L39:M39"/>
    <mergeCell ref="T39:U39"/>
    <mergeCell ref="V39:W39"/>
    <mergeCell ref="B32:L32"/>
    <mergeCell ref="R32:X32"/>
    <mergeCell ref="B33:D33"/>
    <mergeCell ref="R33:T33"/>
    <mergeCell ref="R46:X46"/>
    <mergeCell ref="B47:D47"/>
    <mergeCell ref="R47:T47"/>
    <mergeCell ref="C48:E48"/>
    <mergeCell ref="I48:J48"/>
    <mergeCell ref="S48:U48"/>
    <mergeCell ref="AB39:AC39"/>
    <mergeCell ref="B41:C41"/>
    <mergeCell ref="E41:G41"/>
    <mergeCell ref="I41:J41"/>
    <mergeCell ref="L41:M41"/>
    <mergeCell ref="R41:S41"/>
    <mergeCell ref="U41:W41"/>
    <mergeCell ref="Y41:Z41"/>
    <mergeCell ref="AB41:AC41"/>
    <mergeCell ref="Y48:Z48"/>
    <mergeCell ref="C50:D50"/>
    <mergeCell ref="R50:AF50"/>
    <mergeCell ref="J51:K51"/>
    <mergeCell ref="Z51:AA51"/>
    <mergeCell ref="D53:E53"/>
    <mergeCell ref="F53:G53"/>
    <mergeCell ref="L53:M53"/>
    <mergeCell ref="T53:U53"/>
    <mergeCell ref="V53:W53"/>
    <mergeCell ref="AB53:AC53"/>
    <mergeCell ref="B55:C55"/>
    <mergeCell ref="E55:G55"/>
    <mergeCell ref="I55:J55"/>
    <mergeCell ref="L55:M55"/>
    <mergeCell ref="R55:S55"/>
    <mergeCell ref="U55:W55"/>
    <mergeCell ref="Y55:Z55"/>
    <mergeCell ref="AB55:AC55"/>
    <mergeCell ref="H57:I57"/>
    <mergeCell ref="X57:Y57"/>
    <mergeCell ref="B65:D65"/>
    <mergeCell ref="R65:T65"/>
    <mergeCell ref="C66:E66"/>
    <mergeCell ref="J66:K66"/>
    <mergeCell ref="S66:U66"/>
    <mergeCell ref="V66:W66"/>
    <mergeCell ref="Y66:Z66"/>
    <mergeCell ref="C69:D69"/>
    <mergeCell ref="R69:AF69"/>
    <mergeCell ref="J70:K70"/>
    <mergeCell ref="Z70:AA70"/>
    <mergeCell ref="D72:E72"/>
    <mergeCell ref="F72:G72"/>
    <mergeCell ref="L72:M72"/>
    <mergeCell ref="T72:U72"/>
    <mergeCell ref="V72:W72"/>
    <mergeCell ref="AB72:AC72"/>
    <mergeCell ref="AB74:AC74"/>
    <mergeCell ref="AD74:AE74"/>
    <mergeCell ref="W79:X79"/>
    <mergeCell ref="D80:F80"/>
    <mergeCell ref="Z81:AA81"/>
    <mergeCell ref="B74:C74"/>
    <mergeCell ref="E74:G74"/>
    <mergeCell ref="I74:J74"/>
    <mergeCell ref="L74:M74"/>
    <mergeCell ref="R74:S74"/>
    <mergeCell ref="U74:W74"/>
    <mergeCell ref="I88:J88"/>
    <mergeCell ref="C89:H89"/>
    <mergeCell ref="H90:I90"/>
    <mergeCell ref="H98:I98"/>
    <mergeCell ref="C101:D101"/>
    <mergeCell ref="E101:F101"/>
    <mergeCell ref="G101:I101"/>
    <mergeCell ref="J101:K101"/>
    <mergeCell ref="Y74:Z74"/>
    <mergeCell ref="V102:W102"/>
    <mergeCell ref="X102:X103"/>
    <mergeCell ref="Y102:Z103"/>
    <mergeCell ref="AA102:AA103"/>
    <mergeCell ref="C103:D103"/>
    <mergeCell ref="F103:G103"/>
    <mergeCell ref="S103:T103"/>
    <mergeCell ref="V103:W103"/>
    <mergeCell ref="R101:S101"/>
    <mergeCell ref="T101:V101"/>
    <mergeCell ref="X101:Z101"/>
    <mergeCell ref="AA101:AC101"/>
    <mergeCell ref="C102:D102"/>
    <mergeCell ref="F102:G102"/>
    <mergeCell ref="H102:H103"/>
    <mergeCell ref="I102:J103"/>
    <mergeCell ref="K102:K103"/>
    <mergeCell ref="S102:T102"/>
    <mergeCell ref="U104:U105"/>
    <mergeCell ref="V104:Z104"/>
    <mergeCell ref="AA104:AA105"/>
    <mergeCell ref="AB104:AC105"/>
    <mergeCell ref="F105:G105"/>
    <mergeCell ref="I105:J105"/>
    <mergeCell ref="V105:W105"/>
    <mergeCell ref="Y105:Z105"/>
    <mergeCell ref="C104:D105"/>
    <mergeCell ref="E104:E105"/>
    <mergeCell ref="F104:J104"/>
    <mergeCell ref="K104:K105"/>
    <mergeCell ref="L104:M105"/>
    <mergeCell ref="S104:T105"/>
    <mergeCell ref="U106:U107"/>
    <mergeCell ref="X106:Y106"/>
    <mergeCell ref="Z106:Z107"/>
    <mergeCell ref="AA106:AA107"/>
    <mergeCell ref="F107:I107"/>
    <mergeCell ref="V107:Y107"/>
    <mergeCell ref="C106:D107"/>
    <mergeCell ref="E106:E107"/>
    <mergeCell ref="H106:I106"/>
    <mergeCell ref="J106:J107"/>
    <mergeCell ref="K106:K107"/>
    <mergeCell ref="S106:T107"/>
    <mergeCell ref="AC111:AD112"/>
    <mergeCell ref="F112:H112"/>
    <mergeCell ref="V112:Y112"/>
    <mergeCell ref="B113:E113"/>
    <mergeCell ref="H113:I113"/>
    <mergeCell ref="X113:Z113"/>
    <mergeCell ref="S111:T112"/>
    <mergeCell ref="U111:U112"/>
    <mergeCell ref="X111:Y111"/>
    <mergeCell ref="Z111:Z112"/>
    <mergeCell ref="AA111:AA112"/>
    <mergeCell ref="AB111:AB112"/>
    <mergeCell ref="C111:D112"/>
    <mergeCell ref="E111:E112"/>
    <mergeCell ref="I111:I112"/>
    <mergeCell ref="J111:J112"/>
    <mergeCell ref="K111:K112"/>
    <mergeCell ref="L111:M112"/>
    <mergeCell ref="C116:F116"/>
    <mergeCell ref="H116:I116"/>
    <mergeCell ref="M116:N116"/>
    <mergeCell ref="S116:U116"/>
    <mergeCell ref="W116:Y116"/>
    <mergeCell ref="B117:E117"/>
    <mergeCell ref="H117:I117"/>
    <mergeCell ref="W117:X117"/>
    <mergeCell ref="C114:F114"/>
    <mergeCell ref="H114:I114"/>
    <mergeCell ref="S114:W114"/>
    <mergeCell ref="Y114:AA114"/>
    <mergeCell ref="C115:F115"/>
    <mergeCell ref="H115:I115"/>
    <mergeCell ref="S115:W115"/>
    <mergeCell ref="Y115:AA115"/>
    <mergeCell ref="G121:J121"/>
    <mergeCell ref="S121:T121"/>
    <mergeCell ref="W121:AA121"/>
    <mergeCell ref="AB121:AD121"/>
    <mergeCell ref="G122:J122"/>
    <mergeCell ref="W122:Z122"/>
    <mergeCell ref="C118:F118"/>
    <mergeCell ref="H118:I118"/>
    <mergeCell ref="M118:O118"/>
    <mergeCell ref="S118:W118"/>
    <mergeCell ref="Y118:AA118"/>
    <mergeCell ref="G120:J120"/>
    <mergeCell ref="S120:T120"/>
    <mergeCell ref="W120:AC120"/>
    <mergeCell ref="AA124:AB124"/>
    <mergeCell ref="AD124:AF124"/>
    <mergeCell ref="B125:K125"/>
    <mergeCell ref="C126:E126"/>
    <mergeCell ref="F127:G127"/>
    <mergeCell ref="F128:G128"/>
    <mergeCell ref="I128:J128"/>
    <mergeCell ref="L128:M128"/>
    <mergeCell ref="G123:J123"/>
    <mergeCell ref="W123:Z123"/>
    <mergeCell ref="B124:E124"/>
    <mergeCell ref="H124:I124"/>
    <mergeCell ref="K124:L124"/>
    <mergeCell ref="N124:O124"/>
    <mergeCell ref="R124:U124"/>
    <mergeCell ref="W124:Y124"/>
    <mergeCell ref="H134:I134"/>
    <mergeCell ref="X134:Z134"/>
    <mergeCell ref="C135:D135"/>
    <mergeCell ref="S135:T135"/>
    <mergeCell ref="F136:G136"/>
    <mergeCell ref="H136:I136"/>
    <mergeCell ref="V136:W136"/>
    <mergeCell ref="X136:Y136"/>
    <mergeCell ref="F129:G129"/>
    <mergeCell ref="C132:D132"/>
    <mergeCell ref="H132:P132"/>
    <mergeCell ref="X132:AF132"/>
    <mergeCell ref="H133:I133"/>
    <mergeCell ref="X133:Y133"/>
    <mergeCell ref="X139:Y139"/>
    <mergeCell ref="H140:I140"/>
    <mergeCell ref="K140:L140"/>
    <mergeCell ref="U140:V140"/>
    <mergeCell ref="Y141:Z141"/>
    <mergeCell ref="AE141:AF141"/>
    <mergeCell ref="C138:D138"/>
    <mergeCell ref="E138:F138"/>
    <mergeCell ref="S138:T138"/>
    <mergeCell ref="U138:V138"/>
    <mergeCell ref="E139:F139"/>
    <mergeCell ref="H139:I139"/>
    <mergeCell ref="J146:K146"/>
    <mergeCell ref="Z146:AA146"/>
    <mergeCell ref="D148:E148"/>
    <mergeCell ref="F148:G148"/>
    <mergeCell ref="L148:M148"/>
    <mergeCell ref="T148:U148"/>
    <mergeCell ref="V148:W148"/>
    <mergeCell ref="C143:D143"/>
    <mergeCell ref="I143:J143"/>
    <mergeCell ref="S143:U143"/>
    <mergeCell ref="S144:U144"/>
    <mergeCell ref="C145:N145"/>
    <mergeCell ref="S145:U145"/>
    <mergeCell ref="AB148:AC148"/>
    <mergeCell ref="B150:C150"/>
    <mergeCell ref="E150:G150"/>
    <mergeCell ref="I150:J150"/>
    <mergeCell ref="L150:M150"/>
    <mergeCell ref="R150:S150"/>
    <mergeCell ref="U150:W150"/>
    <mergeCell ref="Y150:Z150"/>
    <mergeCell ref="AB150:AC150"/>
    <mergeCell ref="F171:P171"/>
    <mergeCell ref="V171:AF171"/>
    <mergeCell ref="F172:P172"/>
    <mergeCell ref="V172:AF172"/>
    <mergeCell ref="E167:F167"/>
    <mergeCell ref="L167:M167"/>
    <mergeCell ref="E168:F168"/>
    <mergeCell ref="H168:I168"/>
    <mergeCell ref="C177:D177"/>
    <mergeCell ref="R177:AF177"/>
    <mergeCell ref="B170:C170"/>
    <mergeCell ref="F170:P170"/>
    <mergeCell ref="R170:S170"/>
    <mergeCell ref="V170:AF170"/>
    <mergeCell ref="J178:K178"/>
    <mergeCell ref="Z178:AA178"/>
    <mergeCell ref="J179:K179"/>
    <mergeCell ref="J180:K180"/>
    <mergeCell ref="I174:J174"/>
    <mergeCell ref="O174:P174"/>
    <mergeCell ref="T174:U174"/>
    <mergeCell ref="X174:Z174"/>
    <mergeCell ref="C175:E175"/>
    <mergeCell ref="G175:H175"/>
    <mergeCell ref="J175:K175"/>
    <mergeCell ref="S175:U175"/>
    <mergeCell ref="W175:X175"/>
    <mergeCell ref="Z175:AA175"/>
    <mergeCell ref="AB181:AC181"/>
    <mergeCell ref="B182:C182"/>
    <mergeCell ref="E182:G182"/>
    <mergeCell ref="I182:J182"/>
    <mergeCell ref="L182:M182"/>
    <mergeCell ref="R182:S182"/>
    <mergeCell ref="U182:W182"/>
    <mergeCell ref="Y182:Z182"/>
    <mergeCell ref="AB182:AC182"/>
    <mergeCell ref="D181:E181"/>
    <mergeCell ref="F181:G181"/>
    <mergeCell ref="L181:M181"/>
    <mergeCell ref="R181:S181"/>
    <mergeCell ref="T181:U181"/>
    <mergeCell ref="V181:W181"/>
    <mergeCell ref="U183:V183"/>
    <mergeCell ref="W183:W184"/>
    <mergeCell ref="X183:AB184"/>
    <mergeCell ref="C184:D184"/>
    <mergeCell ref="F184:G184"/>
    <mergeCell ref="R184:S184"/>
    <mergeCell ref="U184:V184"/>
    <mergeCell ref="A183:A184"/>
    <mergeCell ref="C183:D183"/>
    <mergeCell ref="F183:G183"/>
    <mergeCell ref="H183:H184"/>
    <mergeCell ref="I183:L184"/>
    <mergeCell ref="R183:S183"/>
    <mergeCell ref="R185:S186"/>
    <mergeCell ref="U185:V185"/>
    <mergeCell ref="W185:W186"/>
    <mergeCell ref="X185:Y186"/>
    <mergeCell ref="C186:D186"/>
    <mergeCell ref="F186:G186"/>
    <mergeCell ref="U186:V186"/>
    <mergeCell ref="A185:A186"/>
    <mergeCell ref="C185:D185"/>
    <mergeCell ref="F185:G185"/>
    <mergeCell ref="H185:H186"/>
    <mergeCell ref="I185:K186"/>
    <mergeCell ref="L185:P186"/>
    <mergeCell ref="R187:S188"/>
    <mergeCell ref="U187:V187"/>
    <mergeCell ref="W187:W188"/>
    <mergeCell ref="X187:AA188"/>
    <mergeCell ref="C188:G188"/>
    <mergeCell ref="B194:C194"/>
    <mergeCell ref="R194:S194"/>
    <mergeCell ref="A187:A188"/>
    <mergeCell ref="C187:D187"/>
    <mergeCell ref="F187:G187"/>
    <mergeCell ref="H187:H188"/>
    <mergeCell ref="I187:K188"/>
    <mergeCell ref="L187:P188"/>
    <mergeCell ref="U195:W195"/>
    <mergeCell ref="X195:Z195"/>
    <mergeCell ref="AA195:AC195"/>
    <mergeCell ref="AD195:AE195"/>
    <mergeCell ref="B196:D196"/>
    <mergeCell ref="E196:G196"/>
    <mergeCell ref="H196:J196"/>
    <mergeCell ref="K196:M196"/>
    <mergeCell ref="N196:O196"/>
    <mergeCell ref="R196:T196"/>
    <mergeCell ref="B195:D195"/>
    <mergeCell ref="E195:G195"/>
    <mergeCell ref="H195:J195"/>
    <mergeCell ref="K195:M195"/>
    <mergeCell ref="N195:O195"/>
    <mergeCell ref="R195:T195"/>
    <mergeCell ref="U196:W196"/>
    <mergeCell ref="X196:Z196"/>
    <mergeCell ref="AA196:AC196"/>
    <mergeCell ref="AD196:AE196"/>
    <mergeCell ref="AD197:AE197"/>
    <mergeCell ref="B198:D198"/>
    <mergeCell ref="E198:G198"/>
    <mergeCell ref="H198:J198"/>
    <mergeCell ref="K198:M198"/>
    <mergeCell ref="N198:O198"/>
    <mergeCell ref="R198:T198"/>
    <mergeCell ref="U199:W199"/>
    <mergeCell ref="X199:Z199"/>
    <mergeCell ref="AA199:AC199"/>
    <mergeCell ref="AD199:AE199"/>
    <mergeCell ref="B197:D197"/>
    <mergeCell ref="E197:G197"/>
    <mergeCell ref="H197:J197"/>
    <mergeCell ref="K197:M197"/>
    <mergeCell ref="N197:O197"/>
    <mergeCell ref="R197:T197"/>
    <mergeCell ref="U197:W197"/>
    <mergeCell ref="X197:Z197"/>
    <mergeCell ref="AA197:AC197"/>
    <mergeCell ref="B200:D200"/>
    <mergeCell ref="R200:T200"/>
    <mergeCell ref="U198:W198"/>
    <mergeCell ref="X198:Z198"/>
    <mergeCell ref="AA198:AC198"/>
    <mergeCell ref="AD198:AE198"/>
    <mergeCell ref="B199:D199"/>
    <mergeCell ref="E199:G199"/>
    <mergeCell ref="H199:J199"/>
    <mergeCell ref="K199:M199"/>
    <mergeCell ref="N199:O199"/>
    <mergeCell ref="R199:T199"/>
    <mergeCell ref="AD201:AE201"/>
    <mergeCell ref="B202:D202"/>
    <mergeCell ref="E202:G202"/>
    <mergeCell ref="H202:J202"/>
    <mergeCell ref="K202:M202"/>
    <mergeCell ref="N202:O202"/>
    <mergeCell ref="R202:T202"/>
    <mergeCell ref="B201:D201"/>
    <mergeCell ref="E201:G201"/>
    <mergeCell ref="H201:J201"/>
    <mergeCell ref="K201:M201"/>
    <mergeCell ref="N201:O201"/>
    <mergeCell ref="R201:T201"/>
    <mergeCell ref="U202:W202"/>
    <mergeCell ref="X202:Z202"/>
    <mergeCell ref="AA202:AC202"/>
    <mergeCell ref="AD202:AE202"/>
    <mergeCell ref="K203:M203"/>
    <mergeCell ref="N203:O203"/>
    <mergeCell ref="R203:T203"/>
    <mergeCell ref="U203:W203"/>
    <mergeCell ref="X203:Z203"/>
    <mergeCell ref="AA203:AC203"/>
    <mergeCell ref="U201:W201"/>
    <mergeCell ref="X201:Z201"/>
    <mergeCell ref="AA201:AC201"/>
    <mergeCell ref="AD203:AE203"/>
    <mergeCell ref="B204:D204"/>
    <mergeCell ref="E204:G204"/>
    <mergeCell ref="H204:J204"/>
    <mergeCell ref="K204:M204"/>
    <mergeCell ref="N204:O204"/>
    <mergeCell ref="R204:T204"/>
    <mergeCell ref="AD205:AE205"/>
    <mergeCell ref="C207:D207"/>
    <mergeCell ref="I207:K207"/>
    <mergeCell ref="Y207:AA207"/>
    <mergeCell ref="U204:W204"/>
    <mergeCell ref="X204:Z204"/>
    <mergeCell ref="AA204:AC204"/>
    <mergeCell ref="AD204:AE204"/>
    <mergeCell ref="B205:D205"/>
    <mergeCell ref="E205:G205"/>
    <mergeCell ref="H205:J205"/>
    <mergeCell ref="K205:M205"/>
    <mergeCell ref="N205:O205"/>
    <mergeCell ref="R205:T205"/>
    <mergeCell ref="B203:D203"/>
    <mergeCell ref="E203:G203"/>
    <mergeCell ref="H203:J203"/>
    <mergeCell ref="C208:D208"/>
    <mergeCell ref="C209:D209"/>
    <mergeCell ref="C210:D210"/>
    <mergeCell ref="G210:J210"/>
    <mergeCell ref="W210:Z210"/>
    <mergeCell ref="C211:D211"/>
    <mergeCell ref="I211:K211"/>
    <mergeCell ref="Y211:AA211"/>
    <mergeCell ref="U205:W205"/>
    <mergeCell ref="X205:Z205"/>
    <mergeCell ref="AA205:AC205"/>
    <mergeCell ref="U214:W214"/>
    <mergeCell ref="X214:Z214"/>
    <mergeCell ref="AA214:AC214"/>
    <mergeCell ref="AD214:AF214"/>
    <mergeCell ref="D215:F215"/>
    <mergeCell ref="L215:M215"/>
    <mergeCell ref="O215:P215"/>
    <mergeCell ref="T215:V215"/>
    <mergeCell ref="U213:W213"/>
    <mergeCell ref="X213:Z213"/>
    <mergeCell ref="AA213:AC213"/>
    <mergeCell ref="AD213:AF213"/>
    <mergeCell ref="B214:D214"/>
    <mergeCell ref="E214:G214"/>
    <mergeCell ref="H214:J214"/>
    <mergeCell ref="K214:M214"/>
    <mergeCell ref="N214:P214"/>
    <mergeCell ref="R214:T214"/>
    <mergeCell ref="B213:D213"/>
    <mergeCell ref="E213:G213"/>
    <mergeCell ref="H213:J213"/>
    <mergeCell ref="K213:M213"/>
    <mergeCell ref="N213:P213"/>
    <mergeCell ref="R213:T213"/>
    <mergeCell ref="D216:F216"/>
    <mergeCell ref="K216:L216"/>
    <mergeCell ref="T216:V216"/>
    <mergeCell ref="AA216:AB216"/>
    <mergeCell ref="AC216:AE216"/>
    <mergeCell ref="D217:E217"/>
    <mergeCell ref="G217:H217"/>
    <mergeCell ref="T217:U217"/>
    <mergeCell ref="W217:X217"/>
    <mergeCell ref="AC223:AD223"/>
    <mergeCell ref="C219:O219"/>
    <mergeCell ref="R219:AF219"/>
    <mergeCell ref="I220:J220"/>
    <mergeCell ref="W220:X220"/>
    <mergeCell ref="E222:F222"/>
    <mergeCell ref="G222:H222"/>
    <mergeCell ref="M222:N222"/>
    <mergeCell ref="U222:V222"/>
    <mergeCell ref="W222:X222"/>
    <mergeCell ref="AC222:AD222"/>
    <mergeCell ref="V226:W226"/>
    <mergeCell ref="Y226:AA226"/>
    <mergeCell ref="B225:C225"/>
    <mergeCell ref="E225:G225"/>
    <mergeCell ref="K225:L225"/>
    <mergeCell ref="R225:S225"/>
    <mergeCell ref="U225:W225"/>
    <mergeCell ref="AA225:AB225"/>
    <mergeCell ref="E223:F223"/>
    <mergeCell ref="G223:H223"/>
    <mergeCell ref="M223:N223"/>
    <mergeCell ref="U223:V223"/>
    <mergeCell ref="W223:X223"/>
    <mergeCell ref="A237:A238"/>
    <mergeCell ref="B237:D238"/>
    <mergeCell ref="E237:H237"/>
    <mergeCell ref="O237:P238"/>
    <mergeCell ref="E238:H238"/>
    <mergeCell ref="B226:D226"/>
    <mergeCell ref="F226:G226"/>
    <mergeCell ref="I226:K226"/>
    <mergeCell ref="R226:T226"/>
    <mergeCell ref="O239:P239"/>
    <mergeCell ref="O241:P241"/>
    <mergeCell ref="O242:P242"/>
    <mergeCell ref="O243:P243"/>
    <mergeCell ref="O245:P245"/>
    <mergeCell ref="O246:P246"/>
    <mergeCell ref="B235:E235"/>
    <mergeCell ref="G235:H235"/>
    <mergeCell ref="O236:P236"/>
    <mergeCell ref="B255:P255"/>
    <mergeCell ref="B257:D257"/>
    <mergeCell ref="C258:E258"/>
    <mergeCell ref="I258:J258"/>
    <mergeCell ref="C260:O260"/>
    <mergeCell ref="J261:K261"/>
    <mergeCell ref="O248:P248"/>
    <mergeCell ref="O249:P249"/>
    <mergeCell ref="C251:D251"/>
    <mergeCell ref="E251:F251"/>
    <mergeCell ref="N251:O251"/>
    <mergeCell ref="D252:E252"/>
    <mergeCell ref="F252:G252"/>
    <mergeCell ref="B269:P269"/>
    <mergeCell ref="B270:G270"/>
    <mergeCell ref="B271:D271"/>
    <mergeCell ref="C272:E272"/>
    <mergeCell ref="I272:J272"/>
    <mergeCell ref="B274:P274"/>
    <mergeCell ref="D263:E263"/>
    <mergeCell ref="J263:K263"/>
    <mergeCell ref="C265:D265"/>
    <mergeCell ref="F265:H265"/>
    <mergeCell ref="J265:K265"/>
    <mergeCell ref="M265:N265"/>
    <mergeCell ref="V282:W282"/>
    <mergeCell ref="B283:D283"/>
    <mergeCell ref="C284:E284"/>
    <mergeCell ref="I284:J284"/>
    <mergeCell ref="J275:K275"/>
    <mergeCell ref="D277:E277"/>
    <mergeCell ref="J277:K277"/>
    <mergeCell ref="C279:D279"/>
    <mergeCell ref="F279:H279"/>
    <mergeCell ref="J279:K279"/>
    <mergeCell ref="C285:N285"/>
    <mergeCell ref="J287:K287"/>
    <mergeCell ref="D289:E289"/>
    <mergeCell ref="F289:G289"/>
    <mergeCell ref="L289:M289"/>
    <mergeCell ref="B291:C291"/>
    <mergeCell ref="E291:G291"/>
    <mergeCell ref="I291:J291"/>
    <mergeCell ref="M279:N279"/>
    <mergeCell ref="B282:P282"/>
    <mergeCell ref="R352:S352"/>
    <mergeCell ref="U352:W352"/>
    <mergeCell ref="Y352:Z352"/>
    <mergeCell ref="AB352:AC352"/>
    <mergeCell ref="R344:T344"/>
    <mergeCell ref="S345:U345"/>
    <mergeCell ref="Y345:Z345"/>
    <mergeCell ref="R347:AF347"/>
    <mergeCell ref="Z348:AA348"/>
    <mergeCell ref="T350:U350"/>
    <mergeCell ref="V350:W350"/>
    <mergeCell ref="AB350:AC350"/>
  </mergeCells>
  <phoneticPr fontId="2" type="noConversion"/>
  <printOptions horizontalCentered="1"/>
  <pageMargins left="0.39370078740157483" right="0.39370078740157483" top="0.98425196850393704" bottom="0.59055118110236227" header="0.39370078740157483" footer="0.3937007874015748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6"/>
  <sheetViews>
    <sheetView view="pageBreakPreview" zoomScaleSheetLayoutView="100" workbookViewId="0">
      <selection activeCell="C5" sqref="C5"/>
    </sheetView>
  </sheetViews>
  <sheetFormatPr defaultRowHeight="18.75" customHeight="1"/>
  <cols>
    <col min="1" max="1" width="12.77734375" style="1" customWidth="1"/>
    <col min="2" max="2" width="4.77734375" style="1" customWidth="1"/>
    <col min="3" max="16" width="3.77734375" style="1" customWidth="1"/>
    <col min="17" max="17" width="8.77734375" style="1" customWidth="1"/>
    <col min="18" max="20" width="4" style="1" customWidth="1"/>
    <col min="21" max="36" width="4.77734375" style="1" customWidth="1"/>
    <col min="37" max="16384" width="8.88671875" style="1"/>
  </cols>
  <sheetData>
    <row r="1" spans="1:29" ht="24" customHeight="1">
      <c r="A1" s="1074" t="s">
        <v>926</v>
      </c>
      <c r="B1" s="1074"/>
      <c r="C1" s="1074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29" s="2" customFormat="1" ht="24" customHeight="1" thickBot="1">
      <c r="A2" s="270" t="s">
        <v>924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29" s="2" customFormat="1" ht="24.75" customHeight="1">
      <c r="A3" s="282" t="s">
        <v>270</v>
      </c>
      <c r="B3" s="1244" t="s">
        <v>271</v>
      </c>
      <c r="C3" s="1244"/>
      <c r="D3" s="1244"/>
      <c r="E3" s="1244"/>
      <c r="F3" s="1244"/>
      <c r="G3" s="1244"/>
      <c r="H3" s="1244"/>
      <c r="I3" s="1244"/>
      <c r="J3" s="1244"/>
      <c r="K3" s="1244"/>
      <c r="L3" s="1244"/>
      <c r="M3" s="1244"/>
      <c r="N3" s="1244"/>
      <c r="O3" s="1244"/>
      <c r="P3" s="1245"/>
      <c r="Q3" s="283" t="s">
        <v>49</v>
      </c>
    </row>
    <row r="4" spans="1:29" s="2" customFormat="1" ht="24.75" customHeight="1">
      <c r="A4" s="284" t="s">
        <v>273</v>
      </c>
      <c r="B4" s="272"/>
      <c r="C4" s="1247">
        <v>1550</v>
      </c>
      <c r="D4" s="1247"/>
      <c r="E4" s="1248" t="s">
        <v>44</v>
      </c>
      <c r="F4" s="1248"/>
      <c r="G4" s="1077" t="s">
        <v>30</v>
      </c>
      <c r="H4" s="1247">
        <f>C4/24</f>
        <v>64.583333333333329</v>
      </c>
      <c r="I4" s="1247"/>
      <c r="J4" s="1248" t="s">
        <v>276</v>
      </c>
      <c r="K4" s="1248"/>
      <c r="L4" s="1077" t="s">
        <v>30</v>
      </c>
      <c r="M4" s="1247">
        <f>H4/60</f>
        <v>1.0763888888888888</v>
      </c>
      <c r="N4" s="1247"/>
      <c r="O4" s="1248" t="s">
        <v>277</v>
      </c>
      <c r="P4" s="1248"/>
      <c r="Q4" s="285"/>
    </row>
    <row r="5" spans="1:29" s="2" customFormat="1" ht="24.75" customHeight="1">
      <c r="A5" s="284" t="s">
        <v>278</v>
      </c>
      <c r="B5" s="272"/>
      <c r="C5" s="274"/>
      <c r="D5" s="274"/>
      <c r="E5" s="275"/>
      <c r="F5" s="275"/>
      <c r="G5" s="276"/>
      <c r="H5" s="276"/>
      <c r="I5" s="274"/>
      <c r="J5" s="274"/>
      <c r="K5" s="1249" t="s">
        <v>279</v>
      </c>
      <c r="L5" s="1249"/>
      <c r="M5" s="1249"/>
      <c r="N5" s="1249"/>
      <c r="O5" s="277"/>
      <c r="P5" s="274"/>
      <c r="Q5" s="285"/>
    </row>
    <row r="6" spans="1:29" s="2" customFormat="1" ht="24.75" customHeight="1">
      <c r="A6" s="284"/>
      <c r="B6" s="272"/>
      <c r="C6" s="1243" t="s">
        <v>270</v>
      </c>
      <c r="D6" s="1243"/>
      <c r="E6" s="1243"/>
      <c r="F6" s="1246" t="s">
        <v>280</v>
      </c>
      <c r="G6" s="1246"/>
      <c r="H6" s="1246"/>
      <c r="I6" s="1246"/>
      <c r="J6" s="1243" t="s">
        <v>281</v>
      </c>
      <c r="K6" s="1243"/>
      <c r="L6" s="1243"/>
      <c r="M6" s="1243"/>
      <c r="N6" s="1243" t="s">
        <v>49</v>
      </c>
      <c r="O6" s="1243"/>
      <c r="P6" s="1243"/>
      <c r="Q6" s="285"/>
    </row>
    <row r="7" spans="1:29" s="2" customFormat="1" ht="24.75" customHeight="1">
      <c r="A7" s="284"/>
      <c r="B7" s="272"/>
      <c r="C7" s="1243" t="s">
        <v>282</v>
      </c>
      <c r="D7" s="1243"/>
      <c r="E7" s="1243"/>
      <c r="F7" s="1242">
        <v>218.7</v>
      </c>
      <c r="G7" s="1242"/>
      <c r="H7" s="1242"/>
      <c r="I7" s="1242"/>
      <c r="J7" s="1242">
        <v>6</v>
      </c>
      <c r="K7" s="1242"/>
      <c r="L7" s="1242"/>
      <c r="M7" s="1242"/>
      <c r="N7" s="1243" t="s">
        <v>283</v>
      </c>
      <c r="O7" s="1243"/>
      <c r="P7" s="1243"/>
      <c r="Q7" s="285"/>
    </row>
    <row r="8" spans="1:29" s="2" customFormat="1" ht="24.75" customHeight="1">
      <c r="A8" s="284"/>
      <c r="B8" s="272"/>
      <c r="C8" s="1243" t="s">
        <v>236</v>
      </c>
      <c r="D8" s="1243"/>
      <c r="E8" s="1243"/>
      <c r="F8" s="1242">
        <v>146.4</v>
      </c>
      <c r="G8" s="1242"/>
      <c r="H8" s="1242"/>
      <c r="I8" s="1242"/>
      <c r="J8" s="1242">
        <v>10</v>
      </c>
      <c r="K8" s="1242"/>
      <c r="L8" s="1242"/>
      <c r="M8" s="1242"/>
      <c r="N8" s="1243"/>
      <c r="O8" s="1243"/>
      <c r="P8" s="1243"/>
      <c r="Q8" s="285"/>
      <c r="AC8" s="2" t="s">
        <v>138</v>
      </c>
    </row>
    <row r="9" spans="1:29" s="2" customFormat="1" ht="24.75" customHeight="1">
      <c r="A9" s="284"/>
      <c r="B9" s="272"/>
      <c r="C9" s="1243" t="s">
        <v>239</v>
      </c>
      <c r="D9" s="1243"/>
      <c r="E9" s="1243"/>
      <c r="F9" s="1242">
        <v>240.2</v>
      </c>
      <c r="G9" s="1242"/>
      <c r="H9" s="1242"/>
      <c r="I9" s="1242"/>
      <c r="J9" s="1242">
        <v>6</v>
      </c>
      <c r="K9" s="1242"/>
      <c r="L9" s="1242"/>
      <c r="M9" s="1242"/>
      <c r="N9" s="1243"/>
      <c r="O9" s="1243"/>
      <c r="P9" s="1243"/>
      <c r="Q9" s="285"/>
      <c r="AC9" s="14">
        <v>7</v>
      </c>
    </row>
    <row r="10" spans="1:29" s="2" customFormat="1" ht="24.75" customHeight="1">
      <c r="A10" s="284"/>
      <c r="B10" s="272"/>
      <c r="C10" s="1243" t="s">
        <v>47</v>
      </c>
      <c r="D10" s="1243"/>
      <c r="E10" s="1243"/>
      <c r="F10" s="1242">
        <v>59.954999999999998</v>
      </c>
      <c r="G10" s="1242"/>
      <c r="H10" s="1242"/>
      <c r="I10" s="1242"/>
      <c r="J10" s="1242">
        <v>20</v>
      </c>
      <c r="K10" s="1242"/>
      <c r="L10" s="1242"/>
      <c r="M10" s="1242"/>
      <c r="N10" s="1243"/>
      <c r="O10" s="1243"/>
      <c r="P10" s="1243"/>
      <c r="Q10" s="286"/>
      <c r="V10" s="13"/>
      <c r="AC10" s="14">
        <v>28</v>
      </c>
    </row>
    <row r="11" spans="1:29" s="2" customFormat="1" ht="24.75" customHeight="1">
      <c r="A11" s="284"/>
      <c r="B11" s="272"/>
      <c r="C11" s="1243" t="s">
        <v>48</v>
      </c>
      <c r="D11" s="1243"/>
      <c r="E11" s="1243"/>
      <c r="F11" s="1242">
        <v>6.89</v>
      </c>
      <c r="G11" s="1242"/>
      <c r="H11" s="1242"/>
      <c r="I11" s="1242"/>
      <c r="J11" s="1242">
        <v>0.3</v>
      </c>
      <c r="K11" s="1242"/>
      <c r="L11" s="1242"/>
      <c r="M11" s="1242"/>
      <c r="N11" s="1243"/>
      <c r="O11" s="1243"/>
      <c r="P11" s="1243"/>
      <c r="Q11" s="286"/>
      <c r="S11" s="2">
        <f>ROUNDDOWN(F8/F11, -0.4)</f>
        <v>21</v>
      </c>
      <c r="AC11" s="14">
        <v>7</v>
      </c>
    </row>
    <row r="12" spans="1:29" s="2" customFormat="1" ht="24.75" customHeight="1">
      <c r="A12" s="284" t="s">
        <v>288</v>
      </c>
      <c r="B12" s="272"/>
      <c r="C12" s="278">
        <v>20</v>
      </c>
      <c r="D12" s="1077" t="s">
        <v>289</v>
      </c>
      <c r="E12" s="1077"/>
      <c r="F12" s="275"/>
      <c r="G12" s="275"/>
      <c r="H12" s="275"/>
      <c r="I12" s="275"/>
      <c r="J12" s="279"/>
      <c r="K12" s="279"/>
      <c r="L12" s="279"/>
      <c r="M12" s="279"/>
      <c r="N12" s="1077"/>
      <c r="O12" s="1077"/>
      <c r="P12" s="1077"/>
      <c r="Q12" s="286"/>
      <c r="AC12" s="14">
        <v>14</v>
      </c>
    </row>
    <row r="13" spans="1:29" s="2" customFormat="1" ht="24.75" customHeight="1">
      <c r="A13" s="284" t="s">
        <v>290</v>
      </c>
      <c r="B13" s="272" t="s">
        <v>291</v>
      </c>
      <c r="C13" s="1233">
        <v>0.15</v>
      </c>
      <c r="D13" s="1233"/>
      <c r="E13" s="280" t="s">
        <v>292</v>
      </c>
      <c r="F13" s="1233">
        <v>0.5</v>
      </c>
      <c r="G13" s="1233"/>
      <c r="H13" s="275"/>
      <c r="I13" s="1239" t="s">
        <v>293</v>
      </c>
      <c r="J13" s="1239"/>
      <c r="K13" s="1241">
        <f>물질수지!L20</f>
        <v>1.6265217450739531</v>
      </c>
      <c r="L13" s="1241"/>
      <c r="M13" s="1077"/>
      <c r="N13" s="1077"/>
      <c r="O13" s="277"/>
      <c r="P13" s="274"/>
      <c r="Q13" s="286"/>
      <c r="AC13" s="14">
        <v>1.4</v>
      </c>
    </row>
    <row r="14" spans="1:29" s="2" customFormat="1" ht="24.75" customHeight="1">
      <c r="A14" s="284" t="s">
        <v>294</v>
      </c>
      <c r="B14" s="272" t="s">
        <v>291</v>
      </c>
      <c r="C14" s="1234">
        <v>2000</v>
      </c>
      <c r="D14" s="1234"/>
      <c r="E14" s="280" t="s">
        <v>292</v>
      </c>
      <c r="F14" s="1234">
        <v>5000</v>
      </c>
      <c r="G14" s="1234"/>
      <c r="H14" s="281" t="s">
        <v>295</v>
      </c>
      <c r="I14" s="1239" t="s">
        <v>293</v>
      </c>
      <c r="J14" s="1239"/>
      <c r="K14" s="1236">
        <v>3000</v>
      </c>
      <c r="L14" s="1236"/>
      <c r="M14" s="1077"/>
      <c r="N14" s="1077"/>
      <c r="O14" s="277"/>
      <c r="P14" s="274"/>
      <c r="Q14" s="286"/>
    </row>
    <row r="15" spans="1:29" s="2" customFormat="1" ht="24.75" customHeight="1">
      <c r="A15" s="284" t="s">
        <v>296</v>
      </c>
      <c r="B15" s="272" t="s">
        <v>291</v>
      </c>
      <c r="C15" s="1234">
        <v>1500</v>
      </c>
      <c r="D15" s="1234"/>
      <c r="E15" s="280" t="s">
        <v>292</v>
      </c>
      <c r="F15" s="1234">
        <v>3500</v>
      </c>
      <c r="G15" s="1234"/>
      <c r="H15" s="281" t="s">
        <v>295</v>
      </c>
      <c r="I15" s="1239" t="s">
        <v>293</v>
      </c>
      <c r="J15" s="1239"/>
      <c r="K15" s="1237">
        <f>K14*0.8</f>
        <v>2400</v>
      </c>
      <c r="L15" s="1237"/>
      <c r="M15" s="1077"/>
      <c r="N15" s="1077"/>
      <c r="O15" s="277"/>
      <c r="P15" s="274"/>
      <c r="Q15" s="286"/>
    </row>
    <row r="16" spans="1:29" s="2" customFormat="1" ht="24.75" customHeight="1" thickBot="1">
      <c r="A16" s="287" t="s">
        <v>297</v>
      </c>
      <c r="B16" s="288" t="s">
        <v>291</v>
      </c>
      <c r="C16" s="1235">
        <v>6</v>
      </c>
      <c r="D16" s="1235"/>
      <c r="E16" s="289" t="s">
        <v>292</v>
      </c>
      <c r="F16" s="1235">
        <v>8</v>
      </c>
      <c r="G16" s="1235"/>
      <c r="H16" s="290"/>
      <c r="I16" s="1238" t="s">
        <v>293</v>
      </c>
      <c r="J16" s="1238"/>
      <c r="K16" s="1240">
        <v>7</v>
      </c>
      <c r="L16" s="1240"/>
      <c r="M16" s="291"/>
      <c r="N16" s="291"/>
      <c r="O16" s="292"/>
      <c r="P16" s="293"/>
      <c r="Q16" s="294"/>
    </row>
    <row r="242" spans="3:7" ht="18.75" customHeight="1">
      <c r="C242" s="1">
        <f>Q221</f>
        <v>0</v>
      </c>
    </row>
    <row r="243" spans="3:7" ht="18.75" customHeight="1">
      <c r="D243" s="1" t="e">
        <f>C242*H242/(J242-L242)/N242</f>
        <v>#DIV/0!</v>
      </c>
    </row>
    <row r="256" spans="3:7" ht="18.75" customHeight="1">
      <c r="C256" s="1">
        <v>9.6999999999999993</v>
      </c>
      <c r="G256" s="1">
        <v>3</v>
      </c>
    </row>
  </sheetData>
  <mergeCells count="48">
    <mergeCell ref="C15:D15"/>
    <mergeCell ref="F15:G15"/>
    <mergeCell ref="I15:J15"/>
    <mergeCell ref="K15:L15"/>
    <mergeCell ref="C16:D16"/>
    <mergeCell ref="F16:G16"/>
    <mergeCell ref="I16:J16"/>
    <mergeCell ref="K16:L16"/>
    <mergeCell ref="C13:D13"/>
    <mergeCell ref="F13:G13"/>
    <mergeCell ref="I13:J13"/>
    <mergeCell ref="K13:L13"/>
    <mergeCell ref="C14:D14"/>
    <mergeCell ref="F14:G14"/>
    <mergeCell ref="I14:J14"/>
    <mergeCell ref="K14:L14"/>
    <mergeCell ref="C10:E10"/>
    <mergeCell ref="F10:I10"/>
    <mergeCell ref="J10:M10"/>
    <mergeCell ref="N10:P10"/>
    <mergeCell ref="C11:E11"/>
    <mergeCell ref="F11:I11"/>
    <mergeCell ref="J11:M11"/>
    <mergeCell ref="N11:P11"/>
    <mergeCell ref="C8:E8"/>
    <mergeCell ref="F8:I8"/>
    <mergeCell ref="J8:M8"/>
    <mergeCell ref="N8:P8"/>
    <mergeCell ref="C9:E9"/>
    <mergeCell ref="F9:I9"/>
    <mergeCell ref="J9:M9"/>
    <mergeCell ref="N9:P9"/>
    <mergeCell ref="K5:N5"/>
    <mergeCell ref="C6:E6"/>
    <mergeCell ref="F6:I6"/>
    <mergeCell ref="J6:M6"/>
    <mergeCell ref="N6:P6"/>
    <mergeCell ref="C7:E7"/>
    <mergeCell ref="F7:I7"/>
    <mergeCell ref="J7:M7"/>
    <mergeCell ref="N7:P7"/>
    <mergeCell ref="B3:P3"/>
    <mergeCell ref="C4:D4"/>
    <mergeCell ref="E4:F4"/>
    <mergeCell ref="H4:I4"/>
    <mergeCell ref="J4:K4"/>
    <mergeCell ref="M4:N4"/>
    <mergeCell ref="O4:P4"/>
  </mergeCells>
  <phoneticPr fontId="2" type="noConversion"/>
  <printOptions horizontalCentered="1"/>
  <pageMargins left="0.39370078740157483" right="0.39370078740157483" top="0.78740157480314965" bottom="0.59055118110236227" header="0.39370078740157483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53"/>
  <sheetViews>
    <sheetView view="pageBreakPreview" topLeftCell="A132" zoomScale="115" zoomScaleSheetLayoutView="115" workbookViewId="0">
      <selection activeCell="C176" sqref="C176"/>
    </sheetView>
  </sheetViews>
  <sheetFormatPr defaultRowHeight="18.75" customHeight="1"/>
  <cols>
    <col min="1" max="1" width="12.77734375" style="736" customWidth="1"/>
    <col min="2" max="2" width="4.77734375" style="99" customWidth="1"/>
    <col min="3" max="5" width="4.109375" style="99" customWidth="1"/>
    <col min="6" max="6" width="3.77734375" style="99" customWidth="1"/>
    <col min="7" max="7" width="4.44140625" style="99" customWidth="1"/>
    <col min="8" max="16" width="4.109375" style="99" customWidth="1"/>
    <col min="17" max="17" width="7.77734375" style="875" customWidth="1"/>
    <col min="18" max="25" width="3.77734375" style="99" customWidth="1"/>
    <col min="26" max="26" width="7.33203125" style="99" customWidth="1"/>
    <col min="27" max="33" width="3.77734375" style="99" customWidth="1"/>
    <col min="34" max="36" width="4" style="99" customWidth="1"/>
    <col min="37" max="52" width="4.77734375" style="99" customWidth="1"/>
    <col min="53" max="16384" width="8.88671875" style="99"/>
  </cols>
  <sheetData>
    <row r="1" spans="1:33" ht="30" customHeight="1">
      <c r="A1" s="898" t="s">
        <v>929</v>
      </c>
      <c r="B1" s="899"/>
      <c r="C1" s="899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1"/>
      <c r="R1" s="98"/>
      <c r="S1" s="98"/>
    </row>
    <row r="2" spans="1:33" s="100" customFormat="1" ht="21" customHeight="1">
      <c r="A2" s="949" t="s">
        <v>37</v>
      </c>
      <c r="B2" s="1381" t="s">
        <v>135</v>
      </c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950" t="s">
        <v>49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1111"/>
    </row>
    <row r="3" spans="1:33" s="100" customFormat="1" ht="21" hidden="1" customHeight="1">
      <c r="A3" s="738" t="s">
        <v>832</v>
      </c>
      <c r="B3" s="1079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876"/>
      <c r="R3" s="734"/>
      <c r="S3" s="734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1111"/>
    </row>
    <row r="4" spans="1:33" s="100" customFormat="1" ht="21" hidden="1" customHeight="1">
      <c r="A4" s="739" t="s">
        <v>114</v>
      </c>
      <c r="B4" s="1079"/>
      <c r="C4" s="1256" t="s">
        <v>822</v>
      </c>
      <c r="D4" s="1256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101"/>
      <c r="Q4" s="876"/>
      <c r="R4" s="734"/>
      <c r="S4" s="734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1111"/>
    </row>
    <row r="5" spans="1:33" s="100" customFormat="1" ht="21" hidden="1" customHeight="1">
      <c r="A5" s="739" t="s">
        <v>115</v>
      </c>
      <c r="B5" s="1079"/>
      <c r="C5" s="1257" t="s">
        <v>788</v>
      </c>
      <c r="D5" s="1257"/>
      <c r="E5" s="1257"/>
      <c r="F5" s="1257"/>
      <c r="G5" s="1257"/>
      <c r="H5" s="1257"/>
      <c r="I5" s="1257"/>
      <c r="J5" s="1257"/>
      <c r="K5" s="1257"/>
      <c r="L5" s="1257"/>
      <c r="M5" s="1257"/>
      <c r="N5" s="1101"/>
      <c r="O5" s="1101"/>
      <c r="P5" s="1101"/>
      <c r="Q5" s="876"/>
      <c r="R5" s="734"/>
      <c r="S5" s="734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1111"/>
    </row>
    <row r="6" spans="1:33" s="100" customFormat="1" ht="21" hidden="1" customHeight="1">
      <c r="A6" s="739" t="s">
        <v>116</v>
      </c>
      <c r="B6" s="1079"/>
      <c r="C6" s="1257" t="s">
        <v>117</v>
      </c>
      <c r="D6" s="1257"/>
      <c r="E6" s="1257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876"/>
      <c r="R6" s="734"/>
      <c r="S6" s="73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1111"/>
    </row>
    <row r="7" spans="1:33" s="100" customFormat="1" ht="21" hidden="1" customHeight="1">
      <c r="A7" s="739"/>
      <c r="B7" s="1079"/>
      <c r="C7" s="1101"/>
      <c r="D7" s="1252">
        <f>'설계기준(설계치12)'!H4</f>
        <v>166.66666666666666</v>
      </c>
      <c r="E7" s="1252"/>
      <c r="F7" s="1253"/>
      <c r="G7" s="1091" t="s">
        <v>51</v>
      </c>
      <c r="H7" s="535">
        <v>0.5</v>
      </c>
      <c r="I7" s="1091" t="s">
        <v>30</v>
      </c>
      <c r="J7" s="1258">
        <f>D7*H7</f>
        <v>83.333333333333329</v>
      </c>
      <c r="K7" s="1259"/>
      <c r="L7" s="1101" t="s">
        <v>118</v>
      </c>
      <c r="M7" s="1101"/>
      <c r="N7" s="1101"/>
      <c r="O7" s="1101"/>
      <c r="P7" s="1101"/>
      <c r="Q7" s="876"/>
      <c r="R7" s="734"/>
      <c r="S7" s="734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1111"/>
    </row>
    <row r="8" spans="1:33" s="100" customFormat="1" ht="21" hidden="1" customHeight="1">
      <c r="A8" s="739" t="s">
        <v>119</v>
      </c>
      <c r="B8" s="1079"/>
      <c r="C8" s="1101"/>
      <c r="D8" s="1101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1101"/>
      <c r="Q8" s="876"/>
      <c r="R8" s="734"/>
      <c r="S8" s="734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1111"/>
    </row>
    <row r="9" spans="1:33" s="100" customFormat="1" ht="21" hidden="1" customHeight="1">
      <c r="A9" s="1116" t="s">
        <v>120</v>
      </c>
      <c r="B9" s="1079"/>
      <c r="C9" s="1260" t="s">
        <v>121</v>
      </c>
      <c r="D9" s="1260"/>
      <c r="E9" s="1260"/>
      <c r="F9" s="1260"/>
      <c r="G9" s="1260"/>
      <c r="H9" s="1260"/>
      <c r="I9" s="1260"/>
      <c r="J9" s="1260"/>
      <c r="K9" s="1260"/>
      <c r="L9" s="1260"/>
      <c r="M9" s="1260"/>
      <c r="N9" s="1260"/>
      <c r="O9" s="1260"/>
      <c r="P9" s="1101"/>
      <c r="Q9" s="876"/>
      <c r="R9" s="734"/>
      <c r="S9" s="73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1111"/>
    </row>
    <row r="10" spans="1:33" s="100" customFormat="1" ht="21" hidden="1" customHeight="1">
      <c r="A10" s="1116"/>
      <c r="B10" s="1079"/>
      <c r="C10" s="1154" t="s">
        <v>106</v>
      </c>
      <c r="D10" s="1089">
        <v>7.5</v>
      </c>
      <c r="E10" s="1088" t="s">
        <v>308</v>
      </c>
      <c r="F10" s="1091" t="s">
        <v>51</v>
      </c>
      <c r="G10" s="1154" t="s">
        <v>108</v>
      </c>
      <c r="H10" s="1089">
        <v>6</v>
      </c>
      <c r="I10" s="1088" t="s">
        <v>308</v>
      </c>
      <c r="J10" s="1091" t="s">
        <v>51</v>
      </c>
      <c r="K10" s="1260" t="s">
        <v>123</v>
      </c>
      <c r="L10" s="1260"/>
      <c r="M10" s="1154" t="s">
        <v>311</v>
      </c>
      <c r="N10" s="741">
        <v>3</v>
      </c>
      <c r="O10" s="1088" t="s">
        <v>308</v>
      </c>
      <c r="P10" s="1101"/>
      <c r="Q10" s="876"/>
      <c r="R10" s="734"/>
      <c r="S10" s="73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1111"/>
    </row>
    <row r="11" spans="1:33" s="100" customFormat="1" ht="21" hidden="1" customHeight="1">
      <c r="A11" s="1116" t="s">
        <v>125</v>
      </c>
      <c r="B11" s="1079"/>
      <c r="C11" s="1101"/>
      <c r="D11" s="1101"/>
      <c r="E11" s="1101"/>
      <c r="F11" s="1101"/>
      <c r="G11" s="1101"/>
      <c r="H11" s="1101"/>
      <c r="I11" s="1091">
        <v>1</v>
      </c>
      <c r="J11" s="1101" t="s">
        <v>609</v>
      </c>
      <c r="K11" s="1091">
        <v>2</v>
      </c>
      <c r="L11" s="1101" t="s">
        <v>113</v>
      </c>
      <c r="M11" s="1101"/>
      <c r="N11" s="1101"/>
      <c r="O11" s="1101"/>
      <c r="P11" s="1101"/>
      <c r="Q11" s="876"/>
      <c r="R11" s="734"/>
      <c r="S11" s="73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1111"/>
    </row>
    <row r="12" spans="1:33" s="100" customFormat="1" ht="21" hidden="1" customHeight="1">
      <c r="A12" s="1116" t="s">
        <v>126</v>
      </c>
      <c r="B12" s="1079"/>
      <c r="C12" s="1091" t="s">
        <v>127</v>
      </c>
      <c r="D12" s="1091" t="s">
        <v>30</v>
      </c>
      <c r="E12" s="1260">
        <f>D10*H10*N10</f>
        <v>135</v>
      </c>
      <c r="F12" s="1260"/>
      <c r="G12" s="1260" t="s">
        <v>128</v>
      </c>
      <c r="H12" s="1260"/>
      <c r="I12" s="1091" t="s">
        <v>51</v>
      </c>
      <c r="J12" s="1091">
        <f>I11*K11</f>
        <v>2</v>
      </c>
      <c r="K12" s="1101" t="s">
        <v>609</v>
      </c>
      <c r="L12" s="1091" t="s">
        <v>30</v>
      </c>
      <c r="M12" s="1261">
        <f>E12*J12</f>
        <v>270</v>
      </c>
      <c r="N12" s="1257"/>
      <c r="O12" s="1101"/>
      <c r="P12" s="1101"/>
      <c r="Q12" s="876"/>
      <c r="R12" s="734"/>
      <c r="S12" s="73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1111"/>
    </row>
    <row r="13" spans="1:33" s="100" customFormat="1" ht="21" hidden="1" customHeight="1">
      <c r="A13" s="739" t="s">
        <v>129</v>
      </c>
      <c r="B13" s="1079"/>
      <c r="C13" s="1101"/>
      <c r="D13" s="1101"/>
      <c r="E13" s="1101"/>
      <c r="F13" s="1101"/>
      <c r="G13" s="1101"/>
      <c r="H13" s="1101"/>
      <c r="I13" s="1101"/>
      <c r="J13" s="1101"/>
      <c r="K13" s="1101"/>
      <c r="L13" s="1101"/>
      <c r="M13" s="1101"/>
      <c r="N13" s="1101"/>
      <c r="O13" s="1101"/>
      <c r="P13" s="1101"/>
      <c r="Q13" s="876"/>
      <c r="R13" s="734"/>
      <c r="S13" s="73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1111"/>
    </row>
    <row r="14" spans="1:33" s="100" customFormat="1" ht="21" hidden="1" customHeight="1">
      <c r="A14" s="1116" t="s">
        <v>318</v>
      </c>
      <c r="B14" s="1079"/>
      <c r="C14" s="1251">
        <f>M12</f>
        <v>270</v>
      </c>
      <c r="D14" s="1251"/>
      <c r="E14" s="1091" t="s">
        <v>52</v>
      </c>
      <c r="F14" s="1252">
        <f>D7</f>
        <v>166.66666666666666</v>
      </c>
      <c r="G14" s="1252"/>
      <c r="H14" s="1253"/>
      <c r="I14" s="1091" t="s">
        <v>30</v>
      </c>
      <c r="J14" s="1254">
        <f>C14/F14</f>
        <v>1.62</v>
      </c>
      <c r="K14" s="1254"/>
      <c r="L14" s="1091"/>
      <c r="M14" s="1255"/>
      <c r="N14" s="1255"/>
      <c r="O14" s="1101"/>
      <c r="P14" s="1101"/>
      <c r="Q14" s="876"/>
      <c r="R14" s="734"/>
      <c r="S14" s="73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1111"/>
    </row>
    <row r="15" spans="1:33" s="100" customFormat="1" ht="21" hidden="1" customHeight="1">
      <c r="A15" s="738"/>
      <c r="B15" s="1079"/>
      <c r="C15" s="1101"/>
      <c r="D15" s="1101"/>
      <c r="E15" s="1101"/>
      <c r="F15" s="1101"/>
      <c r="G15" s="1101"/>
      <c r="H15" s="1101"/>
      <c r="I15" s="1101"/>
      <c r="J15" s="1101"/>
      <c r="K15" s="1101"/>
      <c r="L15" s="1101"/>
      <c r="M15" s="1101"/>
      <c r="N15" s="1101"/>
      <c r="O15" s="1101"/>
      <c r="P15" s="1101"/>
      <c r="Q15" s="876"/>
      <c r="R15" s="734"/>
      <c r="S15" s="73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1111"/>
    </row>
    <row r="16" spans="1:33" s="100" customFormat="1" ht="21" hidden="1" customHeight="1">
      <c r="A16" s="738" t="s">
        <v>781</v>
      </c>
      <c r="B16" s="1079"/>
      <c r="C16" s="1101"/>
      <c r="D16" s="1101"/>
      <c r="E16" s="1101"/>
      <c r="F16" s="1101"/>
      <c r="G16" s="1101"/>
      <c r="H16" s="1101"/>
      <c r="I16" s="1101"/>
      <c r="J16" s="1101"/>
      <c r="K16" s="1101"/>
      <c r="L16" s="1101"/>
      <c r="M16" s="1101"/>
      <c r="N16" s="1101"/>
      <c r="O16" s="1101"/>
      <c r="P16" s="1101"/>
      <c r="Q16" s="876"/>
      <c r="R16" s="734"/>
      <c r="S16" s="73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1111"/>
    </row>
    <row r="17" spans="1:33" s="100" customFormat="1" ht="21" hidden="1" customHeight="1">
      <c r="A17" s="739" t="s">
        <v>114</v>
      </c>
      <c r="B17" s="1079"/>
      <c r="C17" s="1256" t="s">
        <v>779</v>
      </c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1101"/>
      <c r="Q17" s="876"/>
      <c r="R17" s="734"/>
      <c r="S17" s="73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1111"/>
    </row>
    <row r="18" spans="1:33" s="100" customFormat="1" ht="21" hidden="1" customHeight="1">
      <c r="A18" s="739" t="s">
        <v>115</v>
      </c>
      <c r="B18" s="1079"/>
      <c r="C18" s="1257" t="s">
        <v>820</v>
      </c>
      <c r="D18" s="1257"/>
      <c r="E18" s="1257"/>
      <c r="F18" s="1257"/>
      <c r="G18" s="1257"/>
      <c r="H18" s="1257"/>
      <c r="I18" s="1257"/>
      <c r="J18" s="1257"/>
      <c r="K18" s="1257"/>
      <c r="L18" s="1257"/>
      <c r="M18" s="1257"/>
      <c r="N18" s="1101"/>
      <c r="O18" s="1101"/>
      <c r="P18" s="1101"/>
      <c r="Q18" s="876"/>
      <c r="R18" s="734"/>
      <c r="S18" s="73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1111"/>
    </row>
    <row r="19" spans="1:33" s="100" customFormat="1" ht="21" hidden="1" customHeight="1">
      <c r="A19" s="739" t="s">
        <v>116</v>
      </c>
      <c r="B19" s="1079"/>
      <c r="C19" s="1257" t="s">
        <v>117</v>
      </c>
      <c r="D19" s="1257"/>
      <c r="E19" s="1257"/>
      <c r="F19" s="1101"/>
      <c r="G19" s="1101"/>
      <c r="H19" s="1101"/>
      <c r="I19" s="1101"/>
      <c r="J19" s="1101"/>
      <c r="K19" s="1101"/>
      <c r="L19" s="1101"/>
      <c r="M19" s="1101"/>
      <c r="N19" s="1101"/>
      <c r="O19" s="1101"/>
      <c r="P19" s="1101"/>
      <c r="Q19" s="876"/>
      <c r="R19" s="734"/>
      <c r="S19" s="734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1111"/>
    </row>
    <row r="20" spans="1:33" s="100" customFormat="1" ht="21" hidden="1" customHeight="1">
      <c r="A20" s="739"/>
      <c r="B20" s="1079"/>
      <c r="C20" s="1101"/>
      <c r="D20" s="1252">
        <f>'설계기준(설계치12)'!H4</f>
        <v>166.66666666666666</v>
      </c>
      <c r="E20" s="1252"/>
      <c r="F20" s="1253"/>
      <c r="G20" s="1091" t="s">
        <v>51</v>
      </c>
      <c r="H20" s="303">
        <v>2</v>
      </c>
      <c r="I20" s="1091" t="s">
        <v>30</v>
      </c>
      <c r="J20" s="1258">
        <f>D20*H20</f>
        <v>333.33333333333331</v>
      </c>
      <c r="K20" s="1259"/>
      <c r="L20" s="1101" t="s">
        <v>118</v>
      </c>
      <c r="M20" s="1101"/>
      <c r="N20" s="1101"/>
      <c r="O20" s="1101"/>
      <c r="P20" s="1101"/>
      <c r="Q20" s="876"/>
      <c r="R20" s="734"/>
      <c r="S20" s="734"/>
      <c r="T20" s="45"/>
      <c r="U20" s="45"/>
      <c r="V20" s="45"/>
      <c r="W20" s="45"/>
      <c r="X20" s="45"/>
      <c r="Y20" s="45"/>
      <c r="Z20" s="45">
        <f>69*26</f>
        <v>1794</v>
      </c>
      <c r="AA20" s="45"/>
      <c r="AB20" s="45"/>
      <c r="AC20" s="45"/>
      <c r="AD20" s="45"/>
      <c r="AE20" s="45"/>
      <c r="AF20" s="45"/>
      <c r="AG20" s="1111"/>
    </row>
    <row r="21" spans="1:33" s="100" customFormat="1" ht="21" hidden="1" customHeight="1">
      <c r="A21" s="739" t="s">
        <v>119</v>
      </c>
      <c r="B21" s="1079"/>
      <c r="C21" s="1101"/>
      <c r="D21" s="1101"/>
      <c r="E21" s="1101"/>
      <c r="F21" s="1101"/>
      <c r="G21" s="1101"/>
      <c r="H21" s="1101"/>
      <c r="I21" s="1101"/>
      <c r="J21" s="1101"/>
      <c r="K21" s="1101"/>
      <c r="L21" s="1101"/>
      <c r="M21" s="1101"/>
      <c r="N21" s="1101"/>
      <c r="O21" s="1101"/>
      <c r="P21" s="1101"/>
      <c r="Q21" s="876"/>
      <c r="R21" s="734"/>
      <c r="S21" s="73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1111"/>
    </row>
    <row r="22" spans="1:33" s="100" customFormat="1" ht="21" hidden="1" customHeight="1">
      <c r="A22" s="1116" t="s">
        <v>120</v>
      </c>
      <c r="B22" s="1079"/>
      <c r="C22" s="1260" t="s">
        <v>121</v>
      </c>
      <c r="D22" s="1260"/>
      <c r="E22" s="1260"/>
      <c r="F22" s="1260"/>
      <c r="G22" s="1260"/>
      <c r="H22" s="1260"/>
      <c r="I22" s="1260"/>
      <c r="J22" s="1260"/>
      <c r="K22" s="1260"/>
      <c r="L22" s="1260"/>
      <c r="M22" s="1260"/>
      <c r="N22" s="1260"/>
      <c r="O22" s="1260"/>
      <c r="P22" s="1101"/>
      <c r="Q22" s="876"/>
      <c r="R22" s="734"/>
      <c r="S22" s="734"/>
      <c r="T22" s="45"/>
      <c r="U22" s="1263">
        <f>H23+G37+0.4</f>
        <v>28.4</v>
      </c>
      <c r="V22" s="1263"/>
      <c r="W22" s="1263"/>
      <c r="X22" s="45"/>
      <c r="Y22" s="45"/>
      <c r="Z22" s="45"/>
      <c r="AA22" s="45"/>
      <c r="AB22" s="45"/>
      <c r="AC22" s="45"/>
      <c r="AD22" s="45"/>
      <c r="AE22" s="45"/>
      <c r="AF22" s="45"/>
      <c r="AG22" s="1111"/>
    </row>
    <row r="23" spans="1:33" s="100" customFormat="1" ht="21" hidden="1" customHeight="1">
      <c r="A23" s="1116"/>
      <c r="B23" s="1079"/>
      <c r="C23" s="1154" t="s">
        <v>106</v>
      </c>
      <c r="D23" s="1089">
        <v>28.8</v>
      </c>
      <c r="E23" s="1088" t="s">
        <v>308</v>
      </c>
      <c r="F23" s="1091" t="s">
        <v>51</v>
      </c>
      <c r="G23" s="1154" t="s">
        <v>108</v>
      </c>
      <c r="H23" s="1089">
        <v>4</v>
      </c>
      <c r="I23" s="1088" t="s">
        <v>308</v>
      </c>
      <c r="J23" s="1091" t="s">
        <v>51</v>
      </c>
      <c r="K23" s="1260" t="s">
        <v>123</v>
      </c>
      <c r="L23" s="1260"/>
      <c r="M23" s="1154" t="s">
        <v>311</v>
      </c>
      <c r="N23" s="741">
        <v>4.5</v>
      </c>
      <c r="O23" s="1088" t="s">
        <v>308</v>
      </c>
      <c r="P23" s="1091"/>
      <c r="Q23" s="876"/>
      <c r="R23" s="734"/>
      <c r="S23" s="734"/>
      <c r="T23" s="45"/>
      <c r="U23" s="1264">
        <v>28.4</v>
      </c>
      <c r="V23" s="1264"/>
      <c r="W23" s="1264"/>
      <c r="X23" s="45"/>
      <c r="Y23" s="45"/>
      <c r="Z23" s="45"/>
      <c r="AA23" s="45"/>
      <c r="AB23" s="45"/>
      <c r="AC23" s="45"/>
      <c r="AD23" s="45"/>
      <c r="AE23" s="45"/>
      <c r="AF23" s="45"/>
      <c r="AG23" s="1111"/>
    </row>
    <row r="24" spans="1:33" s="100" customFormat="1" ht="21" hidden="1" customHeight="1">
      <c r="A24" s="1116" t="s">
        <v>125</v>
      </c>
      <c r="B24" s="1079"/>
      <c r="C24" s="1101"/>
      <c r="D24" s="1101"/>
      <c r="E24" s="1101"/>
      <c r="F24" s="1101"/>
      <c r="G24" s="1101"/>
      <c r="H24" s="1101"/>
      <c r="I24" s="1091">
        <v>2</v>
      </c>
      <c r="J24" s="1101" t="s">
        <v>113</v>
      </c>
      <c r="K24" s="1091"/>
      <c r="L24" s="1101"/>
      <c r="M24" s="1101"/>
      <c r="N24" s="1101"/>
      <c r="O24" s="1101"/>
      <c r="P24" s="1101"/>
      <c r="Q24" s="876"/>
      <c r="R24" s="734"/>
      <c r="S24" s="73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1111"/>
    </row>
    <row r="25" spans="1:33" s="100" customFormat="1" ht="21" hidden="1" customHeight="1">
      <c r="A25" s="1116" t="s">
        <v>126</v>
      </c>
      <c r="B25" s="1079"/>
      <c r="C25" s="1091" t="s">
        <v>127</v>
      </c>
      <c r="D25" s="1091" t="s">
        <v>30</v>
      </c>
      <c r="E25" s="1260">
        <f>D23*H23*N23</f>
        <v>518.4</v>
      </c>
      <c r="F25" s="1260"/>
      <c r="G25" s="1260" t="s">
        <v>128</v>
      </c>
      <c r="H25" s="1260"/>
      <c r="I25" s="1091" t="s">
        <v>51</v>
      </c>
      <c r="J25" s="1091">
        <f>I24</f>
        <v>2</v>
      </c>
      <c r="K25" s="1101" t="s">
        <v>113</v>
      </c>
      <c r="L25" s="1091" t="s">
        <v>30</v>
      </c>
      <c r="M25" s="1261">
        <f>E25*J25</f>
        <v>1036.8</v>
      </c>
      <c r="N25" s="1257"/>
      <c r="O25" s="1101"/>
      <c r="P25" s="1101"/>
      <c r="Q25" s="876"/>
      <c r="R25" s="734"/>
      <c r="S25" s="734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1111"/>
    </row>
    <row r="26" spans="1:33" s="100" customFormat="1" ht="21" hidden="1" customHeight="1">
      <c r="A26" s="739" t="s">
        <v>129</v>
      </c>
      <c r="B26" s="1079"/>
      <c r="C26" s="1101"/>
      <c r="D26" s="1101"/>
      <c r="E26" s="1101"/>
      <c r="F26" s="1101"/>
      <c r="G26" s="1101"/>
      <c r="H26" s="1101"/>
      <c r="I26" s="1101"/>
      <c r="J26" s="1101"/>
      <c r="K26" s="1101"/>
      <c r="L26" s="1101"/>
      <c r="M26" s="1101"/>
      <c r="N26" s="1101"/>
      <c r="O26" s="1101"/>
      <c r="P26" s="1101"/>
      <c r="Q26" s="876"/>
      <c r="R26" s="734"/>
      <c r="S26" s="734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1111"/>
    </row>
    <row r="27" spans="1:33" s="100" customFormat="1" ht="21" hidden="1" customHeight="1">
      <c r="A27" s="1116" t="s">
        <v>318</v>
      </c>
      <c r="B27" s="1079"/>
      <c r="C27" s="1251">
        <f>M25</f>
        <v>1036.8</v>
      </c>
      <c r="D27" s="1251"/>
      <c r="E27" s="1091" t="s">
        <v>52</v>
      </c>
      <c r="F27" s="1252">
        <f>D20</f>
        <v>166.66666666666666</v>
      </c>
      <c r="G27" s="1252"/>
      <c r="H27" s="1253"/>
      <c r="I27" s="1091" t="s">
        <v>30</v>
      </c>
      <c r="J27" s="1254">
        <f>C27/F27</f>
        <v>6.2207999999999997</v>
      </c>
      <c r="K27" s="1254"/>
      <c r="L27" s="1091"/>
      <c r="M27" s="1255"/>
      <c r="N27" s="1255"/>
      <c r="O27" s="1101"/>
      <c r="P27" s="1101"/>
      <c r="Q27" s="876"/>
      <c r="R27" s="734"/>
      <c r="S27" s="73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1111"/>
    </row>
    <row r="28" spans="1:33" s="100" customFormat="1" ht="21" hidden="1" customHeight="1">
      <c r="A28" s="732"/>
      <c r="B28" s="732"/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87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1111"/>
    </row>
    <row r="29" spans="1:33" s="100" customFormat="1" ht="21" hidden="1" customHeight="1">
      <c r="A29" s="854" t="s">
        <v>782</v>
      </c>
      <c r="B29" s="322"/>
      <c r="C29" s="1101"/>
      <c r="D29" s="1101"/>
      <c r="E29" s="1101"/>
      <c r="F29" s="1101"/>
      <c r="G29" s="1101"/>
      <c r="H29" s="1101"/>
      <c r="I29" s="1101"/>
      <c r="J29" s="1101"/>
      <c r="K29" s="1101"/>
      <c r="L29" s="1101"/>
      <c r="M29" s="1101"/>
      <c r="N29" s="1101"/>
      <c r="O29" s="1101"/>
      <c r="P29" s="1101"/>
      <c r="Q29" s="878"/>
      <c r="R29" s="1132"/>
      <c r="S29" s="1132"/>
      <c r="T29" s="1132"/>
      <c r="U29" s="1132"/>
      <c r="V29" s="1132"/>
      <c r="W29" s="1132"/>
      <c r="X29" s="1132"/>
      <c r="Y29" s="1132"/>
      <c r="Z29" s="1132"/>
      <c r="AA29" s="1132"/>
      <c r="AB29" s="1132"/>
      <c r="AC29" s="1132"/>
      <c r="AD29" s="1132"/>
      <c r="AE29" s="1132"/>
      <c r="AF29" s="1132"/>
      <c r="AG29" s="45"/>
    </row>
    <row r="30" spans="1:33" s="100" customFormat="1" ht="21" hidden="1" customHeight="1">
      <c r="A30" s="322" t="s">
        <v>114</v>
      </c>
      <c r="B30" s="1384" t="s">
        <v>509</v>
      </c>
      <c r="C30" s="1259"/>
      <c r="D30" s="1259"/>
      <c r="E30" s="1259"/>
      <c r="F30" s="1259"/>
      <c r="G30" s="1259"/>
      <c r="H30" s="1259"/>
      <c r="I30" s="1259"/>
      <c r="J30" s="1259"/>
      <c r="K30" s="1259"/>
      <c r="L30" s="1259"/>
      <c r="M30" s="1259"/>
      <c r="N30" s="1259"/>
      <c r="O30" s="1259"/>
      <c r="P30" s="1385"/>
      <c r="Q30" s="878"/>
      <c r="R30" s="1127"/>
      <c r="S30" s="1127"/>
      <c r="T30" s="1127"/>
      <c r="U30" s="1127"/>
      <c r="V30" s="1127"/>
      <c r="W30" s="1127"/>
      <c r="X30" s="1127"/>
      <c r="Y30" s="1127"/>
      <c r="Z30" s="1127"/>
      <c r="AA30" s="1127"/>
      <c r="AB30" s="1127"/>
      <c r="AC30" s="1127"/>
      <c r="AD30" s="1127"/>
      <c r="AE30" s="1127"/>
      <c r="AF30" s="1127"/>
      <c r="AG30" s="45"/>
    </row>
    <row r="31" spans="1:33" s="100" customFormat="1" ht="21" hidden="1" customHeight="1">
      <c r="A31" s="322"/>
      <c r="B31" s="1384" t="s">
        <v>510</v>
      </c>
      <c r="C31" s="1386"/>
      <c r="D31" s="1386"/>
      <c r="E31" s="1386"/>
      <c r="F31" s="1386"/>
      <c r="G31" s="1386"/>
      <c r="H31" s="1386"/>
      <c r="I31" s="1386"/>
      <c r="J31" s="1386"/>
      <c r="K31" s="1386"/>
      <c r="L31" s="1386"/>
      <c r="M31" s="1386"/>
      <c r="N31" s="1386"/>
      <c r="O31" s="1386"/>
      <c r="P31" s="1387"/>
      <c r="Q31" s="878"/>
      <c r="R31" s="1127"/>
      <c r="S31" s="1127"/>
      <c r="T31" s="1127"/>
      <c r="U31" s="1127"/>
      <c r="V31" s="1127"/>
      <c r="W31" s="1127"/>
      <c r="X31" s="1127"/>
      <c r="Y31" s="1127"/>
      <c r="Z31" s="1127"/>
      <c r="AA31" s="1127"/>
      <c r="AB31" s="1127"/>
      <c r="AC31" s="1127"/>
      <c r="AD31" s="1127"/>
      <c r="AE31" s="1127"/>
      <c r="AF31" s="1127"/>
      <c r="AG31" s="45"/>
    </row>
    <row r="32" spans="1:33" s="100" customFormat="1" ht="21" hidden="1" customHeight="1">
      <c r="A32" s="322" t="s">
        <v>115</v>
      </c>
      <c r="B32" s="1293" t="s">
        <v>821</v>
      </c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101" t="s">
        <v>25</v>
      </c>
      <c r="N32" s="1101"/>
      <c r="O32" s="1101"/>
      <c r="P32" s="1101"/>
      <c r="Q32" s="878"/>
      <c r="R32" s="1265"/>
      <c r="S32" s="1265"/>
      <c r="T32" s="1265"/>
      <c r="U32" s="1265"/>
      <c r="V32" s="1265"/>
      <c r="W32" s="1265"/>
      <c r="X32" s="1265"/>
      <c r="Y32" s="1132"/>
      <c r="Z32" s="1132"/>
      <c r="AA32" s="1132"/>
      <c r="AB32" s="1132"/>
      <c r="AC32" s="1132"/>
      <c r="AD32" s="1132"/>
      <c r="AE32" s="1132"/>
      <c r="AF32" s="1132"/>
      <c r="AG32" s="45"/>
    </row>
    <row r="33" spans="1:33" s="100" customFormat="1" ht="21" hidden="1" customHeight="1">
      <c r="A33" s="322" t="s">
        <v>116</v>
      </c>
      <c r="B33" s="1293" t="s">
        <v>117</v>
      </c>
      <c r="C33" s="1257"/>
      <c r="D33" s="1257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878"/>
      <c r="R33" s="1265"/>
      <c r="S33" s="1265"/>
      <c r="T33" s="1265"/>
      <c r="U33" s="1132"/>
      <c r="V33" s="1132"/>
      <c r="W33" s="1132"/>
      <c r="X33" s="1132"/>
      <c r="Y33" s="1132"/>
      <c r="Z33" s="1132"/>
      <c r="AA33" s="1132"/>
      <c r="AB33" s="1132"/>
      <c r="AC33" s="1269" t="s">
        <v>138</v>
      </c>
      <c r="AD33" s="1269"/>
      <c r="AE33" s="1132"/>
      <c r="AF33" s="1132"/>
      <c r="AG33" s="45"/>
    </row>
    <row r="34" spans="1:33" s="100" customFormat="1" ht="21" hidden="1" customHeight="1">
      <c r="A34" s="896"/>
      <c r="B34" s="896"/>
      <c r="C34" s="1374">
        <f>'설계기준(설계치12)'!C4</f>
        <v>4000</v>
      </c>
      <c r="D34" s="1374"/>
      <c r="E34" s="1375"/>
      <c r="F34" s="1121" t="s">
        <v>41</v>
      </c>
      <c r="G34" s="897">
        <v>12</v>
      </c>
      <c r="H34" s="1121" t="s">
        <v>30</v>
      </c>
      <c r="I34" s="1383">
        <f>C34*G34/24</f>
        <v>2000</v>
      </c>
      <c r="J34" s="1383"/>
      <c r="K34" s="1123" t="s">
        <v>118</v>
      </c>
      <c r="L34" s="1123"/>
      <c r="M34" s="1123"/>
      <c r="N34" s="1123"/>
      <c r="O34" s="1123"/>
      <c r="P34" s="1123"/>
      <c r="Q34" s="879"/>
      <c r="R34" s="1132"/>
      <c r="S34" s="304"/>
      <c r="T34" s="304"/>
      <c r="U34" s="304"/>
      <c r="V34" s="1099"/>
      <c r="W34" s="305"/>
      <c r="X34" s="1099"/>
      <c r="Y34" s="1308"/>
      <c r="Z34" s="1308"/>
      <c r="AA34" s="1132"/>
      <c r="AB34" s="1132"/>
      <c r="AC34" s="307">
        <v>7</v>
      </c>
      <c r="AD34" s="1132"/>
      <c r="AE34" s="1132"/>
      <c r="AF34" s="1132"/>
      <c r="AG34" s="45"/>
    </row>
    <row r="35" spans="1:33" s="100" customFormat="1" ht="21" hidden="1" customHeight="1">
      <c r="A35" s="322" t="s">
        <v>119</v>
      </c>
      <c r="B35" s="322"/>
      <c r="C35" s="1101"/>
      <c r="D35" s="1101"/>
      <c r="E35" s="1101"/>
      <c r="F35" s="1101"/>
      <c r="G35" s="1101"/>
      <c r="H35" s="1101"/>
      <c r="I35" s="1101"/>
      <c r="J35" s="1101"/>
      <c r="K35" s="1101"/>
      <c r="L35" s="1101"/>
      <c r="M35" s="1101"/>
      <c r="N35" s="1101"/>
      <c r="O35" s="1101"/>
      <c r="P35" s="1101"/>
      <c r="Q35" s="878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32"/>
      <c r="AC35" s="307">
        <v>28</v>
      </c>
      <c r="AD35" s="1132"/>
      <c r="AE35" s="1132"/>
      <c r="AF35" s="1132"/>
      <c r="AG35" s="45"/>
    </row>
    <row r="36" spans="1:33" s="100" customFormat="1" ht="21" hidden="1" customHeight="1">
      <c r="A36" s="1108" t="s">
        <v>120</v>
      </c>
      <c r="B36" s="322"/>
      <c r="C36" s="1260" t="s">
        <v>121</v>
      </c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1101"/>
      <c r="Q36" s="878"/>
      <c r="R36" s="1132"/>
      <c r="S36" s="1132"/>
      <c r="T36" s="1132"/>
      <c r="U36" s="1132"/>
      <c r="V36" s="1132"/>
      <c r="W36" s="1132"/>
      <c r="X36" s="1132"/>
      <c r="Y36" s="1132"/>
      <c r="Z36" s="1132"/>
      <c r="AA36" s="1132"/>
      <c r="AB36" s="1132"/>
      <c r="AC36" s="307"/>
      <c r="AD36" s="1132"/>
      <c r="AE36" s="1132"/>
      <c r="AF36" s="1132"/>
      <c r="AG36" s="45"/>
    </row>
    <row r="37" spans="1:33" s="100" customFormat="1" ht="21" hidden="1" customHeight="1">
      <c r="A37" s="1108" t="s">
        <v>122</v>
      </c>
      <c r="B37" s="1149" t="s">
        <v>106</v>
      </c>
      <c r="C37" s="309">
        <f>D23</f>
        <v>28.8</v>
      </c>
      <c r="D37" s="1091" t="s">
        <v>36</v>
      </c>
      <c r="E37" s="1091" t="s">
        <v>51</v>
      </c>
      <c r="F37" s="1091" t="s">
        <v>108</v>
      </c>
      <c r="G37" s="309">
        <v>24</v>
      </c>
      <c r="H37" s="1091" t="s">
        <v>36</v>
      </c>
      <c r="I37" s="1091" t="s">
        <v>51</v>
      </c>
      <c r="J37" s="1260" t="s">
        <v>123</v>
      </c>
      <c r="K37" s="1260"/>
      <c r="L37" s="1091" t="s">
        <v>124</v>
      </c>
      <c r="M37" s="309">
        <v>4.5</v>
      </c>
      <c r="N37" s="1091" t="s">
        <v>36</v>
      </c>
      <c r="O37" s="1091"/>
      <c r="P37" s="1091"/>
      <c r="Q37" s="878"/>
      <c r="R37" s="1147"/>
      <c r="S37" s="1129"/>
      <c r="T37" s="1127"/>
      <c r="U37" s="1099"/>
      <c r="V37" s="1147"/>
      <c r="W37" s="1129"/>
      <c r="X37" s="1127"/>
      <c r="Y37" s="1099"/>
      <c r="Z37" s="1269"/>
      <c r="AA37" s="1269"/>
      <c r="AB37" s="1147"/>
      <c r="AC37" s="307">
        <v>14</v>
      </c>
      <c r="AD37" s="1127"/>
      <c r="AE37" s="1099"/>
      <c r="AF37" s="1132"/>
      <c r="AG37" s="45"/>
    </row>
    <row r="38" spans="1:33" s="100" customFormat="1" ht="21" hidden="1" customHeight="1">
      <c r="A38" s="1108" t="s">
        <v>125</v>
      </c>
      <c r="B38" s="322"/>
      <c r="C38" s="1101"/>
      <c r="D38" s="1101"/>
      <c r="E38" s="1101"/>
      <c r="F38" s="1101"/>
      <c r="G38" s="1101"/>
      <c r="H38" s="1091">
        <v>2</v>
      </c>
      <c r="I38" s="1091" t="s">
        <v>113</v>
      </c>
      <c r="J38" s="1101"/>
      <c r="K38" s="1101"/>
      <c r="L38" s="1101"/>
      <c r="M38" s="1101"/>
      <c r="N38" s="1101"/>
      <c r="O38" s="1101"/>
      <c r="P38" s="1101"/>
      <c r="Q38" s="878"/>
      <c r="R38" s="1132"/>
      <c r="S38" s="1132"/>
      <c r="T38" s="1132"/>
      <c r="U38" s="1132"/>
      <c r="V38" s="1132"/>
      <c r="W38" s="1132"/>
      <c r="X38" s="1099"/>
      <c r="Y38" s="1132"/>
      <c r="Z38" s="1132"/>
      <c r="AA38" s="1132"/>
      <c r="AB38" s="1132"/>
      <c r="AC38" s="312">
        <v>1.4</v>
      </c>
      <c r="AD38" s="1132"/>
      <c r="AE38" s="1132"/>
      <c r="AF38" s="1132"/>
      <c r="AG38" s="45"/>
    </row>
    <row r="39" spans="1:33" s="100" customFormat="1" ht="21" hidden="1" customHeight="1">
      <c r="A39" s="1108" t="s">
        <v>126</v>
      </c>
      <c r="B39" s="1149" t="s">
        <v>127</v>
      </c>
      <c r="C39" s="1091" t="s">
        <v>30</v>
      </c>
      <c r="D39" s="1272">
        <f>ROUND(C37*G37*M37,2)</f>
        <v>3110.4</v>
      </c>
      <c r="E39" s="1272"/>
      <c r="F39" s="1260" t="s">
        <v>128</v>
      </c>
      <c r="G39" s="1260"/>
      <c r="H39" s="1091" t="s">
        <v>41</v>
      </c>
      <c r="I39" s="1091">
        <f>H38</f>
        <v>2</v>
      </c>
      <c r="J39" s="1101" t="str">
        <f>I38</f>
        <v>계열</v>
      </c>
      <c r="K39" s="1091" t="s">
        <v>30</v>
      </c>
      <c r="L39" s="1291">
        <f>D39*I39</f>
        <v>6220.8</v>
      </c>
      <c r="M39" s="1291"/>
      <c r="N39" s="1101"/>
      <c r="O39" s="1101"/>
      <c r="P39" s="1101"/>
      <c r="Q39" s="878"/>
      <c r="R39" s="1099"/>
      <c r="S39" s="1099"/>
      <c r="T39" s="1269"/>
      <c r="U39" s="1269"/>
      <c r="V39" s="1269"/>
      <c r="W39" s="1269"/>
      <c r="X39" s="1099"/>
      <c r="Y39" s="1099"/>
      <c r="Z39" s="1132"/>
      <c r="AA39" s="1099"/>
      <c r="AB39" s="1265"/>
      <c r="AC39" s="1265"/>
      <c r="AD39" s="1132"/>
      <c r="AE39" s="1132"/>
      <c r="AF39" s="1132"/>
      <c r="AG39" s="45"/>
    </row>
    <row r="40" spans="1:33" s="100" customFormat="1" ht="21" hidden="1" customHeight="1">
      <c r="A40" s="322" t="s">
        <v>129</v>
      </c>
      <c r="B40" s="322"/>
      <c r="C40" s="1101"/>
      <c r="D40" s="1101"/>
      <c r="E40" s="1101"/>
      <c r="F40" s="1101"/>
      <c r="G40" s="1101"/>
      <c r="H40" s="1101"/>
      <c r="I40" s="1101"/>
      <c r="J40" s="1101"/>
      <c r="K40" s="1101"/>
      <c r="L40" s="1101"/>
      <c r="M40" s="1101"/>
      <c r="N40" s="1101"/>
      <c r="O40" s="1101"/>
      <c r="P40" s="1101"/>
      <c r="Q40" s="878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32"/>
      <c r="AC40" s="1132"/>
      <c r="AD40" s="1132"/>
      <c r="AE40" s="1132"/>
      <c r="AF40" s="1132"/>
      <c r="AG40" s="45"/>
    </row>
    <row r="41" spans="1:33" s="100" customFormat="1" ht="21" hidden="1" customHeight="1">
      <c r="A41" s="1108" t="s">
        <v>130</v>
      </c>
      <c r="B41" s="1388">
        <f>L39</f>
        <v>6220.8</v>
      </c>
      <c r="C41" s="1291"/>
      <c r="D41" s="1091" t="s">
        <v>52</v>
      </c>
      <c r="E41" s="1327">
        <f>C34</f>
        <v>4000</v>
      </c>
      <c r="F41" s="1327"/>
      <c r="G41" s="1328"/>
      <c r="H41" s="1091" t="s">
        <v>51</v>
      </c>
      <c r="I41" s="1304">
        <v>24</v>
      </c>
      <c r="J41" s="1304"/>
      <c r="K41" s="1091" t="s">
        <v>30</v>
      </c>
      <c r="L41" s="1332">
        <f>B41/E41*I41</f>
        <v>37.324800000000003</v>
      </c>
      <c r="M41" s="1332"/>
      <c r="N41" s="1101"/>
      <c r="O41" s="1101"/>
      <c r="P41" s="1101"/>
      <c r="Q41" s="878"/>
      <c r="R41" s="1269"/>
      <c r="S41" s="1269"/>
      <c r="T41" s="1099"/>
      <c r="U41" s="1298"/>
      <c r="V41" s="1298"/>
      <c r="W41" s="1298"/>
      <c r="X41" s="1099"/>
      <c r="Y41" s="1299"/>
      <c r="Z41" s="1299"/>
      <c r="AA41" s="1099"/>
      <c r="AB41" s="1307"/>
      <c r="AC41" s="1307"/>
      <c r="AD41" s="1132"/>
      <c r="AE41" s="1132"/>
      <c r="AF41" s="1132"/>
      <c r="AG41" s="45"/>
    </row>
    <row r="42" spans="1:33" s="100" customFormat="1" ht="21" hidden="1" customHeight="1">
      <c r="A42" s="1108"/>
      <c r="B42" s="1125"/>
      <c r="C42" s="1080"/>
      <c r="D42" s="1091"/>
      <c r="E42" s="1084"/>
      <c r="F42" s="1084"/>
      <c r="G42" s="1104"/>
      <c r="H42" s="1091"/>
      <c r="I42" s="1081"/>
      <c r="J42" s="1081"/>
      <c r="K42" s="1091"/>
      <c r="L42" s="1083"/>
      <c r="M42" s="1083"/>
      <c r="N42" s="1101"/>
      <c r="O42" s="1101"/>
      <c r="P42" s="1101"/>
      <c r="Q42" s="878"/>
      <c r="R42" s="1099"/>
      <c r="S42" s="1099"/>
      <c r="T42" s="1099"/>
      <c r="U42" s="1128"/>
      <c r="V42" s="1128"/>
      <c r="W42" s="1128"/>
      <c r="X42" s="1099"/>
      <c r="Y42" s="1145"/>
      <c r="Z42" s="1145"/>
      <c r="AA42" s="1099"/>
      <c r="AB42" s="1131"/>
      <c r="AC42" s="1131"/>
      <c r="AD42" s="1132"/>
      <c r="AE42" s="1132"/>
      <c r="AF42" s="1132"/>
      <c r="AG42" s="45"/>
    </row>
    <row r="43" spans="1:33" s="100" customFormat="1" ht="21" hidden="1" customHeight="1">
      <c r="A43" s="854" t="s">
        <v>834</v>
      </c>
      <c r="B43" s="322"/>
      <c r="C43" s="1101"/>
      <c r="D43" s="1101"/>
      <c r="E43" s="1101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878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45"/>
    </row>
    <row r="44" spans="1:33" s="100" customFormat="1" ht="21" hidden="1" customHeight="1">
      <c r="A44" s="322" t="s">
        <v>114</v>
      </c>
      <c r="B44" s="1096" t="s">
        <v>511</v>
      </c>
      <c r="C44" s="1088"/>
      <c r="D44" s="1088"/>
      <c r="E44" s="1088"/>
      <c r="F44" s="1088"/>
      <c r="G44" s="1088"/>
      <c r="H44" s="1088"/>
      <c r="I44" s="1088"/>
      <c r="J44" s="1088"/>
      <c r="K44" s="1088"/>
      <c r="L44" s="1088"/>
      <c r="M44" s="1088"/>
      <c r="N44" s="1088"/>
      <c r="O44" s="1088"/>
      <c r="P44" s="1088"/>
      <c r="Q44" s="878"/>
      <c r="R44" s="1127"/>
      <c r="S44" s="1127"/>
      <c r="T44" s="1127"/>
      <c r="U44" s="1127"/>
      <c r="V44" s="1127"/>
      <c r="W44" s="1127"/>
      <c r="X44" s="1127"/>
      <c r="Y44" s="1127"/>
      <c r="Z44" s="1127"/>
      <c r="AA44" s="1127"/>
      <c r="AB44" s="1127"/>
      <c r="AC44" s="1127"/>
      <c r="AD44" s="1127"/>
      <c r="AE44" s="1127"/>
      <c r="AF44" s="1127"/>
      <c r="AG44" s="45"/>
    </row>
    <row r="45" spans="1:33" s="100" customFormat="1" ht="21" hidden="1" customHeight="1">
      <c r="A45" s="322"/>
      <c r="B45" s="1096" t="s">
        <v>512</v>
      </c>
      <c r="C45" s="1088"/>
      <c r="D45" s="1088"/>
      <c r="E45" s="1088"/>
      <c r="F45" s="1088"/>
      <c r="G45" s="1088"/>
      <c r="H45" s="1088"/>
      <c r="I45" s="1088"/>
      <c r="J45" s="1088"/>
      <c r="K45" s="1088"/>
      <c r="L45" s="1088"/>
      <c r="M45" s="1088"/>
      <c r="N45" s="1088"/>
      <c r="O45" s="1088"/>
      <c r="P45" s="1088"/>
      <c r="Q45" s="878"/>
      <c r="R45" s="1127"/>
      <c r="S45" s="1127"/>
      <c r="T45" s="1127"/>
      <c r="U45" s="1127"/>
      <c r="V45" s="1127"/>
      <c r="W45" s="1127"/>
      <c r="X45" s="1127"/>
      <c r="Y45" s="1127"/>
      <c r="Z45" s="1127"/>
      <c r="AA45" s="1127"/>
      <c r="AB45" s="1127"/>
      <c r="AC45" s="1127"/>
      <c r="AD45" s="1127"/>
      <c r="AE45" s="1127"/>
      <c r="AF45" s="1127"/>
      <c r="AG45" s="45"/>
    </row>
    <row r="46" spans="1:33" s="100" customFormat="1" ht="21" hidden="1" customHeight="1">
      <c r="A46" s="322" t="s">
        <v>115</v>
      </c>
      <c r="B46" s="322" t="s">
        <v>828</v>
      </c>
      <c r="C46" s="1101"/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878"/>
      <c r="R46" s="1265"/>
      <c r="S46" s="1265"/>
      <c r="T46" s="1265"/>
      <c r="U46" s="1265"/>
      <c r="V46" s="1265"/>
      <c r="W46" s="1265"/>
      <c r="X46" s="1265"/>
      <c r="Y46" s="1132"/>
      <c r="Z46" s="1132"/>
      <c r="AA46" s="1132"/>
      <c r="AB46" s="1132"/>
      <c r="AC46" s="1132"/>
      <c r="AD46" s="1132"/>
      <c r="AE46" s="1132"/>
      <c r="AF46" s="1132"/>
      <c r="AG46" s="45"/>
    </row>
    <row r="47" spans="1:33" s="100" customFormat="1" ht="21" hidden="1" customHeight="1">
      <c r="A47" s="322" t="s">
        <v>116</v>
      </c>
      <c r="B47" s="1293" t="s">
        <v>117</v>
      </c>
      <c r="C47" s="1257"/>
      <c r="D47" s="1257"/>
      <c r="E47" s="1101"/>
      <c r="F47" s="1101"/>
      <c r="G47" s="1101"/>
      <c r="H47" s="1101"/>
      <c r="I47" s="1101"/>
      <c r="J47" s="1101"/>
      <c r="K47" s="1101"/>
      <c r="L47" s="1101"/>
      <c r="M47" s="1101"/>
      <c r="N47" s="1101"/>
      <c r="O47" s="1101"/>
      <c r="P47" s="1101"/>
      <c r="Q47" s="878"/>
      <c r="R47" s="1265"/>
      <c r="S47" s="1265"/>
      <c r="T47" s="1265"/>
      <c r="U47" s="1132"/>
      <c r="V47" s="1132"/>
      <c r="W47" s="1132"/>
      <c r="X47" s="1132"/>
      <c r="Y47" s="1132"/>
      <c r="Z47" s="1132"/>
      <c r="AA47" s="1132"/>
      <c r="AB47" s="1132"/>
      <c r="AC47" s="1132"/>
      <c r="AD47" s="1132"/>
      <c r="AE47" s="1132"/>
      <c r="AF47" s="1132"/>
      <c r="AG47" s="45"/>
    </row>
    <row r="48" spans="1:33" s="100" customFormat="1" ht="21" hidden="1" customHeight="1">
      <c r="A48" s="739"/>
      <c r="B48" s="1101"/>
      <c r="C48" s="1376">
        <f>'설계기준(설계치12)'!C4</f>
        <v>4000</v>
      </c>
      <c r="D48" s="1376"/>
      <c r="E48" s="1377"/>
      <c r="F48" s="1091" t="s">
        <v>51</v>
      </c>
      <c r="G48" s="682">
        <v>3</v>
      </c>
      <c r="H48" s="1091" t="s">
        <v>30</v>
      </c>
      <c r="I48" s="1291">
        <f>C48*G48/100</f>
        <v>120</v>
      </c>
      <c r="J48" s="1291"/>
      <c r="K48" s="1101" t="s">
        <v>118</v>
      </c>
      <c r="L48" s="1101"/>
      <c r="M48" s="1101"/>
      <c r="N48" s="1101"/>
      <c r="O48" s="1101"/>
      <c r="P48" s="1101"/>
      <c r="Q48" s="878"/>
      <c r="R48" s="1132"/>
      <c r="S48" s="1315"/>
      <c r="T48" s="1315"/>
      <c r="U48" s="1315"/>
      <c r="V48" s="1099"/>
      <c r="W48" s="305"/>
      <c r="X48" s="1099"/>
      <c r="Y48" s="1308"/>
      <c r="Z48" s="1308"/>
      <c r="AA48" s="1132"/>
      <c r="AB48" s="1132"/>
      <c r="AC48" s="1132"/>
      <c r="AD48" s="1132"/>
      <c r="AE48" s="1132"/>
      <c r="AF48" s="1132"/>
      <c r="AG48" s="45"/>
    </row>
    <row r="49" spans="1:35" s="100" customFormat="1" ht="21" hidden="1" customHeight="1">
      <c r="A49" s="739" t="s">
        <v>119</v>
      </c>
      <c r="B49" s="1101"/>
      <c r="C49" s="1101"/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878"/>
      <c r="R49" s="1132"/>
      <c r="S49" s="1132"/>
      <c r="T49" s="1132"/>
      <c r="U49" s="1132"/>
      <c r="V49" s="1132"/>
      <c r="W49" s="1132"/>
      <c r="X49" s="1132"/>
      <c r="Y49" s="1132"/>
      <c r="Z49" s="1132"/>
      <c r="AA49" s="1132"/>
      <c r="AB49" s="1132"/>
      <c r="AC49" s="1132"/>
      <c r="AD49" s="1132"/>
      <c r="AE49" s="1132"/>
      <c r="AF49" s="1132"/>
      <c r="AG49" s="45"/>
    </row>
    <row r="50" spans="1:35" s="100" customFormat="1" ht="21" hidden="1" customHeight="1">
      <c r="A50" s="1116" t="s">
        <v>120</v>
      </c>
      <c r="B50" s="322"/>
      <c r="C50" s="1260" t="s">
        <v>121</v>
      </c>
      <c r="D50" s="1260"/>
      <c r="E50" s="1101"/>
      <c r="F50" s="1101"/>
      <c r="G50" s="1101"/>
      <c r="H50" s="1101"/>
      <c r="I50" s="1101"/>
      <c r="J50" s="1101"/>
      <c r="K50" s="1101"/>
      <c r="L50" s="1101"/>
      <c r="M50" s="1101"/>
      <c r="N50" s="1101"/>
      <c r="O50" s="1101"/>
      <c r="P50" s="1101"/>
      <c r="Q50" s="878"/>
      <c r="R50" s="1269"/>
      <c r="S50" s="1269"/>
      <c r="T50" s="1269"/>
      <c r="U50" s="1269"/>
      <c r="V50" s="1269"/>
      <c r="W50" s="1269"/>
      <c r="X50" s="1269"/>
      <c r="Y50" s="1269"/>
      <c r="Z50" s="1269"/>
      <c r="AA50" s="1269"/>
      <c r="AB50" s="1269"/>
      <c r="AC50" s="1269"/>
      <c r="AD50" s="1269"/>
      <c r="AE50" s="1269"/>
      <c r="AF50" s="1269"/>
      <c r="AG50" s="45"/>
    </row>
    <row r="51" spans="1:35" s="100" customFormat="1" ht="21" hidden="1" customHeight="1">
      <c r="A51" s="1116" t="s">
        <v>122</v>
      </c>
      <c r="B51" s="1091" t="s">
        <v>106</v>
      </c>
      <c r="C51" s="309">
        <v>4.2</v>
      </c>
      <c r="D51" s="1091" t="s">
        <v>36</v>
      </c>
      <c r="E51" s="1091" t="s">
        <v>51</v>
      </c>
      <c r="F51" s="1091" t="s">
        <v>108</v>
      </c>
      <c r="G51" s="309">
        <v>5</v>
      </c>
      <c r="H51" s="1091" t="s">
        <v>36</v>
      </c>
      <c r="I51" s="1091" t="s">
        <v>51</v>
      </c>
      <c r="J51" s="1260" t="s">
        <v>123</v>
      </c>
      <c r="K51" s="1260"/>
      <c r="L51" s="1091" t="s">
        <v>124</v>
      </c>
      <c r="M51" s="309">
        <v>4.5</v>
      </c>
      <c r="N51" s="1091" t="s">
        <v>36</v>
      </c>
      <c r="O51" s="1091"/>
      <c r="P51" s="1101"/>
      <c r="Q51" s="878"/>
      <c r="R51" s="1147"/>
      <c r="S51" s="1129"/>
      <c r="T51" s="1127"/>
      <c r="U51" s="1099"/>
      <c r="V51" s="1147"/>
      <c r="W51" s="1129"/>
      <c r="X51" s="1127"/>
      <c r="Y51" s="1099"/>
      <c r="Z51" s="1269"/>
      <c r="AA51" s="1269"/>
      <c r="AB51" s="1147"/>
      <c r="AC51" s="1099"/>
      <c r="AD51" s="1127"/>
      <c r="AE51" s="1099"/>
      <c r="AF51" s="1132"/>
      <c r="AG51" s="45"/>
    </row>
    <row r="52" spans="1:35" s="100" customFormat="1" ht="21" hidden="1" customHeight="1">
      <c r="A52" s="1116" t="s">
        <v>131</v>
      </c>
      <c r="B52" s="1101"/>
      <c r="C52" s="1101"/>
      <c r="D52" s="1101"/>
      <c r="E52" s="1101"/>
      <c r="F52" s="1091"/>
      <c r="G52" s="1091"/>
      <c r="H52" s="1091">
        <v>4</v>
      </c>
      <c r="I52" s="1091" t="s">
        <v>113</v>
      </c>
      <c r="J52" s="1101"/>
      <c r="K52" s="1101"/>
      <c r="L52" s="1101"/>
      <c r="M52" s="1101"/>
      <c r="N52" s="1101"/>
      <c r="O52" s="1101"/>
      <c r="P52" s="1101"/>
      <c r="Q52" s="878"/>
      <c r="R52" s="1132"/>
      <c r="S52" s="1132"/>
      <c r="T52" s="1132"/>
      <c r="U52" s="1132"/>
      <c r="V52" s="1132"/>
      <c r="W52" s="1132"/>
      <c r="X52" s="1099"/>
      <c r="Y52" s="1132"/>
      <c r="Z52" s="1132"/>
      <c r="AA52" s="1132"/>
      <c r="AB52" s="1132"/>
      <c r="AC52" s="1132"/>
      <c r="AD52" s="1132"/>
      <c r="AE52" s="1132"/>
      <c r="AF52" s="1132"/>
      <c r="AG52" s="45"/>
    </row>
    <row r="53" spans="1:35" s="100" customFormat="1" ht="21" hidden="1" customHeight="1">
      <c r="A53" s="1116" t="s">
        <v>126</v>
      </c>
      <c r="B53" s="1091" t="s">
        <v>127</v>
      </c>
      <c r="C53" s="1091" t="s">
        <v>30</v>
      </c>
      <c r="D53" s="1272">
        <f>ROUND(C51*G51*M51,2)</f>
        <v>94.5</v>
      </c>
      <c r="E53" s="1272"/>
      <c r="F53" s="1260" t="s">
        <v>128</v>
      </c>
      <c r="G53" s="1260"/>
      <c r="H53" s="1091" t="s">
        <v>51</v>
      </c>
      <c r="I53" s="1091">
        <f>H52</f>
        <v>4</v>
      </c>
      <c r="J53" s="1091" t="str">
        <f>I52</f>
        <v>계열</v>
      </c>
      <c r="K53" s="1091" t="s">
        <v>30</v>
      </c>
      <c r="L53" s="1291">
        <f>D53*I53</f>
        <v>378</v>
      </c>
      <c r="M53" s="1291"/>
      <c r="N53" s="1101"/>
      <c r="O53" s="1101"/>
      <c r="P53" s="1101"/>
      <c r="Q53" s="878"/>
      <c r="R53" s="1099"/>
      <c r="S53" s="1099"/>
      <c r="T53" s="1269"/>
      <c r="U53" s="1269"/>
      <c r="V53" s="1269"/>
      <c r="W53" s="1269"/>
      <c r="X53" s="1099"/>
      <c r="Y53" s="1099"/>
      <c r="Z53" s="1132"/>
      <c r="AA53" s="1099"/>
      <c r="AB53" s="1265"/>
      <c r="AC53" s="1265"/>
      <c r="AD53" s="1132"/>
      <c r="AE53" s="1132"/>
      <c r="AF53" s="1132"/>
      <c r="AG53" s="45"/>
    </row>
    <row r="54" spans="1:35" s="100" customFormat="1" ht="21" hidden="1" customHeight="1">
      <c r="A54" s="739" t="s">
        <v>129</v>
      </c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878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2"/>
      <c r="AG54" s="45"/>
    </row>
    <row r="55" spans="1:35" s="100" customFormat="1" ht="21" hidden="1" customHeight="1">
      <c r="A55" s="1116" t="s">
        <v>130</v>
      </c>
      <c r="B55" s="1291">
        <f>L53</f>
        <v>378</v>
      </c>
      <c r="C55" s="1291"/>
      <c r="D55" s="1091" t="s">
        <v>52</v>
      </c>
      <c r="E55" s="1327">
        <f>'설계기준(설계치12)'!C4</f>
        <v>4000</v>
      </c>
      <c r="F55" s="1327"/>
      <c r="G55" s="1328"/>
      <c r="H55" s="1091" t="s">
        <v>51</v>
      </c>
      <c r="I55" s="1304">
        <v>24</v>
      </c>
      <c r="J55" s="1304"/>
      <c r="K55" s="1091" t="s">
        <v>30</v>
      </c>
      <c r="L55" s="1332">
        <f>B55/E55*I55</f>
        <v>2.2679999999999998</v>
      </c>
      <c r="M55" s="1332"/>
      <c r="N55" s="1101"/>
      <c r="O55" s="1101"/>
      <c r="P55" s="1101"/>
      <c r="Q55" s="878"/>
      <c r="R55" s="1269"/>
      <c r="S55" s="1269"/>
      <c r="T55" s="1099"/>
      <c r="U55" s="1298"/>
      <c r="V55" s="1298"/>
      <c r="W55" s="1298"/>
      <c r="X55" s="1099"/>
      <c r="Y55" s="1299"/>
      <c r="Z55" s="1299"/>
      <c r="AA55" s="1099"/>
      <c r="AB55" s="1307"/>
      <c r="AC55" s="1307"/>
      <c r="AD55" s="1132"/>
      <c r="AE55" s="1132"/>
      <c r="AF55" s="1132"/>
      <c r="AG55" s="45"/>
    </row>
    <row r="56" spans="1:35" s="100" customFormat="1" ht="21" hidden="1" customHeight="1">
      <c r="A56" s="739" t="s">
        <v>132</v>
      </c>
      <c r="B56" s="1101"/>
      <c r="C56" s="1101"/>
      <c r="D56" s="1101"/>
      <c r="E56" s="1101"/>
      <c r="F56" s="1101"/>
      <c r="G56" s="1101"/>
      <c r="H56" s="1101"/>
      <c r="I56" s="1101"/>
      <c r="J56" s="1101"/>
      <c r="K56" s="1101"/>
      <c r="L56" s="1101"/>
      <c r="M56" s="1101"/>
      <c r="N56" s="1101"/>
      <c r="O56" s="1101"/>
      <c r="P56" s="1101"/>
      <c r="Q56" s="878"/>
      <c r="R56" s="1132"/>
      <c r="S56" s="1132"/>
      <c r="T56" s="1132"/>
      <c r="U56" s="1132"/>
      <c r="V56" s="1132"/>
      <c r="W56" s="1132"/>
      <c r="X56" s="1132"/>
      <c r="Y56" s="1132"/>
      <c r="Z56" s="1132"/>
      <c r="AA56" s="1132"/>
      <c r="AB56" s="1132"/>
      <c r="AC56" s="1132"/>
      <c r="AD56" s="1132"/>
      <c r="AE56" s="1132"/>
      <c r="AF56" s="1132"/>
      <c r="AG56" s="45"/>
    </row>
    <row r="57" spans="1:35" s="100" customFormat="1" ht="21" hidden="1" customHeight="1">
      <c r="A57" s="1116" t="s">
        <v>835</v>
      </c>
      <c r="B57" s="1101"/>
      <c r="C57" s="1101"/>
      <c r="D57" s="1101"/>
      <c r="E57" s="1091" t="s">
        <v>226</v>
      </c>
      <c r="F57" s="1091" t="e">
        <f>#REF!</f>
        <v>#REF!</v>
      </c>
      <c r="G57" s="1091" t="s">
        <v>51</v>
      </c>
      <c r="H57" s="1278" t="e">
        <f>#REF!</f>
        <v>#REF!</v>
      </c>
      <c r="I57" s="1278"/>
      <c r="J57" s="1091" t="s">
        <v>124</v>
      </c>
      <c r="K57" s="1091" t="s">
        <v>51</v>
      </c>
      <c r="L57" s="1091" t="e">
        <f>#REF!</f>
        <v>#REF!</v>
      </c>
      <c r="M57" s="1091" t="s">
        <v>99</v>
      </c>
      <c r="N57" s="1101"/>
      <c r="O57" s="1101"/>
      <c r="P57" s="1101"/>
      <c r="Q57" s="878"/>
      <c r="R57" s="1132"/>
      <c r="S57" s="1132"/>
      <c r="T57" s="1132"/>
      <c r="U57" s="1147"/>
      <c r="V57" s="1127"/>
      <c r="W57" s="1099"/>
      <c r="X57" s="1314"/>
      <c r="Y57" s="1314"/>
      <c r="Z57" s="1132"/>
      <c r="AA57" s="1099"/>
      <c r="AB57" s="1099"/>
      <c r="AC57" s="1132"/>
      <c r="AD57" s="1132"/>
      <c r="AE57" s="1132"/>
      <c r="AF57" s="1132"/>
      <c r="AG57" s="45"/>
    </row>
    <row r="58" spans="1:35" s="100" customFormat="1" ht="21" hidden="1" customHeight="1">
      <c r="A58" s="1108"/>
      <c r="B58" s="322"/>
      <c r="C58" s="1101"/>
      <c r="D58" s="1101"/>
      <c r="E58" s="1091"/>
      <c r="F58" s="1091"/>
      <c r="G58" s="1091"/>
      <c r="H58" s="1120"/>
      <c r="I58" s="1120"/>
      <c r="J58" s="1091"/>
      <c r="K58" s="1091"/>
      <c r="L58" s="1091"/>
      <c r="M58" s="1091"/>
      <c r="N58" s="1101"/>
      <c r="O58" s="1101"/>
      <c r="P58" s="1101"/>
      <c r="Q58" s="878"/>
      <c r="R58" s="1132"/>
      <c r="S58" s="1132"/>
      <c r="T58" s="1132"/>
      <c r="U58" s="1147"/>
      <c r="V58" s="1127"/>
      <c r="W58" s="1099"/>
      <c r="X58" s="1142"/>
      <c r="Y58" s="1142"/>
      <c r="Z58" s="1132"/>
      <c r="AA58" s="1099"/>
      <c r="AB58" s="1099"/>
      <c r="AC58" s="1132"/>
      <c r="AD58" s="1132"/>
      <c r="AE58" s="1132"/>
      <c r="AF58" s="1132"/>
      <c r="AG58" s="45"/>
    </row>
    <row r="59" spans="1:35" s="100" customFormat="1" ht="21" customHeight="1">
      <c r="A59" s="939" t="s">
        <v>836</v>
      </c>
      <c r="B59" s="939"/>
      <c r="C59" s="940"/>
      <c r="D59" s="940"/>
      <c r="E59" s="940"/>
      <c r="F59" s="940"/>
      <c r="G59" s="940"/>
      <c r="H59" s="1101"/>
      <c r="I59" s="1101"/>
      <c r="J59" s="1101"/>
      <c r="K59" s="1101"/>
      <c r="L59" s="1101"/>
      <c r="M59" s="1101"/>
      <c r="N59" s="1101"/>
      <c r="O59" s="1101"/>
      <c r="P59" s="1101"/>
      <c r="Q59" s="878"/>
      <c r="R59" s="1132"/>
      <c r="S59" s="1132"/>
      <c r="T59" s="1132"/>
      <c r="U59" s="1132"/>
      <c r="V59" s="1132"/>
      <c r="W59" s="1132"/>
      <c r="X59" s="1132"/>
      <c r="Y59" s="1132"/>
      <c r="Z59" s="1132"/>
      <c r="AA59" s="1132"/>
      <c r="AB59" s="1132"/>
      <c r="AC59" s="1132"/>
      <c r="AD59" s="1132"/>
      <c r="AE59" s="1132"/>
      <c r="AF59" s="1132"/>
      <c r="AG59" s="45"/>
    </row>
    <row r="60" spans="1:35" s="100" customFormat="1" ht="21" hidden="1" customHeight="1">
      <c r="A60" s="854" t="s">
        <v>133</v>
      </c>
      <c r="B60" s="322"/>
      <c r="C60" s="1101"/>
      <c r="D60" s="1101"/>
      <c r="E60" s="1101"/>
      <c r="F60" s="1101"/>
      <c r="G60" s="1101"/>
      <c r="H60" s="1101"/>
      <c r="I60" s="1101"/>
      <c r="J60" s="1101"/>
      <c r="K60" s="1101"/>
      <c r="L60" s="1101"/>
      <c r="M60" s="1101"/>
      <c r="N60" s="1101"/>
      <c r="O60" s="1101"/>
      <c r="P60" s="1101"/>
      <c r="Q60" s="878"/>
      <c r="R60" s="1132"/>
      <c r="S60" s="1132"/>
      <c r="T60" s="1132"/>
      <c r="U60" s="1132"/>
      <c r="V60" s="1132"/>
      <c r="W60" s="1132"/>
      <c r="X60" s="1132"/>
      <c r="Y60" s="1132"/>
      <c r="Z60" s="1132"/>
      <c r="AA60" s="1132"/>
      <c r="AB60" s="1132"/>
      <c r="AC60" s="1132"/>
      <c r="AD60" s="1132"/>
      <c r="AE60" s="1132"/>
      <c r="AF60" s="1132"/>
      <c r="AG60" s="45"/>
    </row>
    <row r="61" spans="1:35" s="100" customFormat="1" ht="21" hidden="1" customHeight="1">
      <c r="A61" s="739" t="s">
        <v>114</v>
      </c>
      <c r="B61" s="322" t="s">
        <v>134</v>
      </c>
      <c r="C61" s="1101"/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878"/>
      <c r="R61" s="1127"/>
      <c r="S61" s="1127"/>
      <c r="T61" s="1127"/>
      <c r="U61" s="1127"/>
      <c r="V61" s="1127"/>
      <c r="W61" s="1127"/>
      <c r="X61" s="1127"/>
      <c r="Y61" s="1127"/>
      <c r="Z61" s="1127"/>
      <c r="AA61" s="1127"/>
      <c r="AB61" s="1127"/>
      <c r="AC61" s="1127"/>
      <c r="AD61" s="1127"/>
      <c r="AE61" s="1127"/>
      <c r="AF61" s="1127"/>
      <c r="AG61" s="45"/>
      <c r="AH61" s="1111"/>
      <c r="AI61" s="1111"/>
    </row>
    <row r="62" spans="1:35" s="100" customFormat="1" ht="21" hidden="1" customHeight="1">
      <c r="A62" s="739" t="s">
        <v>115</v>
      </c>
      <c r="B62" s="1096" t="s">
        <v>513</v>
      </c>
      <c r="C62" s="1088"/>
      <c r="D62" s="1088"/>
      <c r="E62" s="1088"/>
      <c r="F62" s="1088"/>
      <c r="G62" s="1088"/>
      <c r="H62" s="1088"/>
      <c r="I62" s="1088"/>
      <c r="J62" s="1088"/>
      <c r="K62" s="1088"/>
      <c r="L62" s="1088"/>
      <c r="M62" s="1088"/>
      <c r="N62" s="1088"/>
      <c r="O62" s="1088"/>
      <c r="P62" s="1088"/>
      <c r="Q62" s="878"/>
      <c r="R62" s="1127"/>
      <c r="S62" s="1127"/>
      <c r="T62" s="1127"/>
      <c r="U62" s="1127"/>
      <c r="V62" s="1127"/>
      <c r="W62" s="1127"/>
      <c r="X62" s="1127"/>
      <c r="Y62" s="1132"/>
      <c r="Z62" s="1132"/>
      <c r="AA62" s="1132"/>
      <c r="AB62" s="1132"/>
      <c r="AC62" s="1132"/>
      <c r="AD62" s="1132"/>
      <c r="AE62" s="1132"/>
      <c r="AF62" s="1132"/>
      <c r="AG62" s="45"/>
      <c r="AH62" s="1094"/>
      <c r="AI62" s="1094"/>
    </row>
    <row r="63" spans="1:35" s="100" customFormat="1" ht="21" hidden="1" customHeight="1">
      <c r="A63" s="739"/>
      <c r="B63" s="1096" t="s">
        <v>514</v>
      </c>
      <c r="C63" s="1088"/>
      <c r="D63" s="1088"/>
      <c r="E63" s="1088"/>
      <c r="F63" s="1088"/>
      <c r="G63" s="1088"/>
      <c r="H63" s="1088"/>
      <c r="I63" s="1088"/>
      <c r="J63" s="1088"/>
      <c r="K63" s="1088"/>
      <c r="L63" s="1088"/>
      <c r="M63" s="1088"/>
      <c r="N63" s="1088"/>
      <c r="O63" s="1088"/>
      <c r="P63" s="1088"/>
      <c r="Q63" s="878"/>
      <c r="R63" s="1127"/>
      <c r="S63" s="1127"/>
      <c r="T63" s="1127"/>
      <c r="U63" s="1127"/>
      <c r="V63" s="1127"/>
      <c r="W63" s="1127"/>
      <c r="X63" s="1127"/>
      <c r="Y63" s="1132"/>
      <c r="Z63" s="1132"/>
      <c r="AA63" s="1132"/>
      <c r="AB63" s="1132"/>
      <c r="AC63" s="1132"/>
      <c r="AD63" s="1132"/>
      <c r="AE63" s="1132"/>
      <c r="AF63" s="1132"/>
      <c r="AG63" s="45"/>
      <c r="AH63" s="1094"/>
      <c r="AI63" s="1094"/>
    </row>
    <row r="64" spans="1:35" s="100" customFormat="1" ht="21" hidden="1" customHeight="1">
      <c r="A64" s="739"/>
      <c r="B64" s="1085" t="s">
        <v>146</v>
      </c>
      <c r="C64" s="1082"/>
      <c r="D64" s="1082"/>
      <c r="E64" s="1082"/>
      <c r="F64" s="1082"/>
      <c r="G64" s="1082"/>
      <c r="H64" s="1082"/>
      <c r="I64" s="1082"/>
      <c r="J64" s="1082"/>
      <c r="K64" s="1082"/>
      <c r="L64" s="1082"/>
      <c r="M64" s="1082"/>
      <c r="N64" s="1082"/>
      <c r="O64" s="1082"/>
      <c r="P64" s="1082"/>
      <c r="Q64" s="878"/>
      <c r="R64" s="1132"/>
      <c r="S64" s="1144"/>
      <c r="T64" s="1144"/>
      <c r="U64" s="1144"/>
      <c r="V64" s="1099"/>
      <c r="W64" s="305"/>
      <c r="X64" s="1099"/>
      <c r="Y64" s="1143"/>
      <c r="Z64" s="1143"/>
      <c r="AA64" s="1132"/>
      <c r="AB64" s="1132"/>
      <c r="AC64" s="1132"/>
      <c r="AD64" s="1132"/>
      <c r="AE64" s="1132"/>
      <c r="AF64" s="1132"/>
      <c r="AG64" s="45"/>
      <c r="AH64" s="1094"/>
      <c r="AI64" s="1094"/>
    </row>
    <row r="65" spans="1:35" s="100" customFormat="1" ht="21" hidden="1" customHeight="1">
      <c r="A65" s="739" t="s">
        <v>299</v>
      </c>
      <c r="B65" s="1257" t="s">
        <v>117</v>
      </c>
      <c r="C65" s="1257"/>
      <c r="D65" s="1257"/>
      <c r="E65" s="1101"/>
      <c r="F65" s="1101"/>
      <c r="G65" s="1101"/>
      <c r="H65" s="1101"/>
      <c r="I65" s="1101"/>
      <c r="J65" s="1101"/>
      <c r="K65" s="1101"/>
      <c r="L65" s="1101"/>
      <c r="M65" s="1101"/>
      <c r="N65" s="1101"/>
      <c r="O65" s="1101"/>
      <c r="P65" s="1101"/>
      <c r="Q65" s="878"/>
      <c r="R65" s="1265"/>
      <c r="S65" s="1265"/>
      <c r="T65" s="1265"/>
      <c r="U65" s="1132"/>
      <c r="V65" s="1132"/>
      <c r="W65" s="1132"/>
      <c r="X65" s="1132"/>
      <c r="Y65" s="1132"/>
      <c r="Z65" s="1132"/>
      <c r="AA65" s="1132"/>
      <c r="AB65" s="1132"/>
      <c r="AC65" s="1132"/>
      <c r="AD65" s="1132"/>
      <c r="AE65" s="1132"/>
      <c r="AF65" s="1132"/>
      <c r="AG65" s="45"/>
      <c r="AI65" s="45"/>
    </row>
    <row r="66" spans="1:35" s="100" customFormat="1" ht="21" hidden="1" customHeight="1">
      <c r="A66" s="739"/>
      <c r="B66" s="1101"/>
      <c r="C66" s="1370">
        <f>'설계기준(설계치12)'!H4</f>
        <v>166.66666666666666</v>
      </c>
      <c r="D66" s="1370"/>
      <c r="E66" s="1370"/>
      <c r="F66" s="1091" t="s">
        <v>51</v>
      </c>
      <c r="G66" s="397">
        <v>1</v>
      </c>
      <c r="H66" s="1091" t="s">
        <v>188</v>
      </c>
      <c r="I66" s="1091" t="s">
        <v>30</v>
      </c>
      <c r="J66" s="1330">
        <f>C66*G66</f>
        <v>166.66666666666666</v>
      </c>
      <c r="K66" s="1260"/>
      <c r="L66" s="1091" t="s">
        <v>118</v>
      </c>
      <c r="M66" s="1091"/>
      <c r="N66" s="1101"/>
      <c r="O66" s="1101"/>
      <c r="P66" s="1101"/>
      <c r="Q66" s="878"/>
      <c r="R66" s="1132"/>
      <c r="S66" s="1313"/>
      <c r="T66" s="1313"/>
      <c r="U66" s="1295"/>
      <c r="V66" s="1310"/>
      <c r="W66" s="1310"/>
      <c r="X66" s="1099"/>
      <c r="Y66" s="1308"/>
      <c r="Z66" s="1295"/>
      <c r="AA66" s="1132"/>
      <c r="AB66" s="1132"/>
      <c r="AC66" s="1132"/>
      <c r="AD66" s="1132"/>
      <c r="AE66" s="1132"/>
      <c r="AF66" s="1132"/>
      <c r="AG66" s="45"/>
    </row>
    <row r="67" spans="1:35" s="100" customFormat="1" ht="21" hidden="1" customHeight="1">
      <c r="A67" s="855"/>
      <c r="B67" s="1123"/>
      <c r="C67" s="827"/>
      <c r="D67" s="827"/>
      <c r="E67" s="827"/>
      <c r="F67" s="1121"/>
      <c r="G67" s="828"/>
      <c r="H67" s="1121"/>
      <c r="I67" s="1121"/>
      <c r="J67" s="829"/>
      <c r="K67" s="1121"/>
      <c r="L67" s="1121"/>
      <c r="M67" s="1121"/>
      <c r="N67" s="1123"/>
      <c r="O67" s="1123"/>
      <c r="P67" s="1123"/>
      <c r="Q67" s="879"/>
      <c r="R67" s="1132"/>
      <c r="S67" s="1141"/>
      <c r="T67" s="1141"/>
      <c r="U67" s="1132"/>
      <c r="V67" s="1146"/>
      <c r="W67" s="1146"/>
      <c r="X67" s="1099"/>
      <c r="Y67" s="1143"/>
      <c r="Z67" s="1132"/>
      <c r="AA67" s="1132"/>
      <c r="AB67" s="1132"/>
      <c r="AC67" s="1132"/>
      <c r="AD67" s="1132"/>
      <c r="AE67" s="1132"/>
      <c r="AF67" s="1132"/>
      <c r="AG67" s="45"/>
    </row>
    <row r="68" spans="1:35" s="100" customFormat="1" ht="21" hidden="1" customHeight="1">
      <c r="A68" s="856" t="s">
        <v>119</v>
      </c>
      <c r="B68" s="1139"/>
      <c r="C68" s="1139"/>
      <c r="D68" s="1139"/>
      <c r="E68" s="1139"/>
      <c r="F68" s="1139"/>
      <c r="G68" s="1139"/>
      <c r="H68" s="1139"/>
      <c r="I68" s="1139"/>
      <c r="J68" s="1139"/>
      <c r="K68" s="1139"/>
      <c r="L68" s="1139"/>
      <c r="M68" s="1139"/>
      <c r="N68" s="1139"/>
      <c r="O68" s="1139"/>
      <c r="P68" s="1139"/>
      <c r="Q68" s="880"/>
      <c r="R68" s="1132"/>
      <c r="S68" s="1132"/>
      <c r="T68" s="1132"/>
      <c r="U68" s="1132"/>
      <c r="V68" s="1132"/>
      <c r="W68" s="1132"/>
      <c r="X68" s="1132"/>
      <c r="Y68" s="1132"/>
      <c r="Z68" s="1132"/>
      <c r="AA68" s="1132"/>
      <c r="AB68" s="1132"/>
      <c r="AC68" s="1132"/>
      <c r="AD68" s="1132"/>
      <c r="AE68" s="1132"/>
      <c r="AF68" s="1132"/>
      <c r="AG68" s="45"/>
    </row>
    <row r="69" spans="1:35" s="100" customFormat="1" ht="21" hidden="1" customHeight="1">
      <c r="A69" s="1116" t="s">
        <v>304</v>
      </c>
      <c r="B69" s="322"/>
      <c r="C69" s="1260" t="s">
        <v>121</v>
      </c>
      <c r="D69" s="1260"/>
      <c r="E69" s="1101"/>
      <c r="F69" s="1101"/>
      <c r="G69" s="1101"/>
      <c r="H69" s="1101"/>
      <c r="I69" s="1101"/>
      <c r="J69" s="1101"/>
      <c r="K69" s="1101"/>
      <c r="L69" s="1101"/>
      <c r="M69" s="1101"/>
      <c r="N69" s="1101"/>
      <c r="O69" s="1101"/>
      <c r="P69" s="1101"/>
      <c r="Q69" s="878"/>
      <c r="R69" s="1269"/>
      <c r="S69" s="1269"/>
      <c r="T69" s="1269"/>
      <c r="U69" s="1269"/>
      <c r="V69" s="1269"/>
      <c r="W69" s="1269"/>
      <c r="X69" s="1269"/>
      <c r="Y69" s="1269"/>
      <c r="Z69" s="1269"/>
      <c r="AA69" s="1269"/>
      <c r="AB69" s="1269"/>
      <c r="AC69" s="1269"/>
      <c r="AD69" s="1269"/>
      <c r="AE69" s="1269"/>
      <c r="AF69" s="1269"/>
      <c r="AG69" s="45"/>
    </row>
    <row r="70" spans="1:35" s="100" customFormat="1" ht="21" hidden="1" customHeight="1">
      <c r="A70" s="1116" t="s">
        <v>122</v>
      </c>
      <c r="B70" s="1091" t="s">
        <v>307</v>
      </c>
      <c r="C70" s="309">
        <v>5.8</v>
      </c>
      <c r="D70" s="1091" t="s">
        <v>308</v>
      </c>
      <c r="E70" s="1091" t="s">
        <v>51</v>
      </c>
      <c r="F70" s="1091" t="s">
        <v>108</v>
      </c>
      <c r="G70" s="309">
        <v>5</v>
      </c>
      <c r="H70" s="1091" t="s">
        <v>308</v>
      </c>
      <c r="I70" s="1091" t="s">
        <v>51</v>
      </c>
      <c r="J70" s="1260" t="s">
        <v>123</v>
      </c>
      <c r="K70" s="1260"/>
      <c r="L70" s="1091" t="s">
        <v>311</v>
      </c>
      <c r="M70" s="309">
        <v>4.5</v>
      </c>
      <c r="N70" s="1091" t="s">
        <v>308</v>
      </c>
      <c r="O70" s="1091"/>
      <c r="P70" s="1101"/>
      <c r="Q70" s="878"/>
      <c r="R70" s="1147"/>
      <c r="S70" s="1129"/>
      <c r="T70" s="1127"/>
      <c r="U70" s="1099"/>
      <c r="V70" s="1147"/>
      <c r="W70" s="1129"/>
      <c r="X70" s="1127"/>
      <c r="Y70" s="1099"/>
      <c r="Z70" s="1269"/>
      <c r="AA70" s="1269"/>
      <c r="AB70" s="1147"/>
      <c r="AC70" s="1099"/>
      <c r="AD70" s="1127"/>
      <c r="AE70" s="1099"/>
      <c r="AF70" s="1132"/>
      <c r="AG70" s="45"/>
    </row>
    <row r="71" spans="1:35" s="100" customFormat="1" ht="21" hidden="1" customHeight="1">
      <c r="A71" s="1116" t="s">
        <v>131</v>
      </c>
      <c r="B71" s="1101"/>
      <c r="C71" s="1101"/>
      <c r="D71" s="1101"/>
      <c r="E71" s="1101"/>
      <c r="F71" s="1101"/>
      <c r="G71" s="1101"/>
      <c r="H71" s="1091">
        <v>4</v>
      </c>
      <c r="I71" s="1101" t="s">
        <v>313</v>
      </c>
      <c r="J71" s="1101"/>
      <c r="K71" s="1101"/>
      <c r="L71" s="1101"/>
      <c r="M71" s="1101"/>
      <c r="N71" s="1101"/>
      <c r="O71" s="1101"/>
      <c r="P71" s="1101"/>
      <c r="Q71" s="878"/>
      <c r="R71" s="1132"/>
      <c r="S71" s="1132"/>
      <c r="T71" s="1132"/>
      <c r="U71" s="1132"/>
      <c r="V71" s="1132"/>
      <c r="W71" s="1132"/>
      <c r="X71" s="1099"/>
      <c r="Y71" s="1132"/>
      <c r="Z71" s="1132"/>
      <c r="AA71" s="1132"/>
      <c r="AB71" s="1132"/>
      <c r="AC71" s="1132"/>
      <c r="AD71" s="1132"/>
      <c r="AE71" s="1132"/>
      <c r="AF71" s="1132"/>
      <c r="AG71" s="45"/>
    </row>
    <row r="72" spans="1:35" s="100" customFormat="1" ht="21" hidden="1" customHeight="1">
      <c r="A72" s="1116" t="s">
        <v>126</v>
      </c>
      <c r="B72" s="1091" t="s">
        <v>127</v>
      </c>
      <c r="C72" s="1091" t="s">
        <v>30</v>
      </c>
      <c r="D72" s="1272">
        <f>ROUND(C70*G70*M70,2)</f>
        <v>130.5</v>
      </c>
      <c r="E72" s="1272"/>
      <c r="F72" s="1260" t="s">
        <v>128</v>
      </c>
      <c r="G72" s="1260"/>
      <c r="H72" s="1091" t="s">
        <v>51</v>
      </c>
      <c r="I72" s="1091">
        <f>H71</f>
        <v>4</v>
      </c>
      <c r="J72" s="1091" t="str">
        <f>I71</f>
        <v>계열</v>
      </c>
      <c r="K72" s="1091" t="s">
        <v>30</v>
      </c>
      <c r="L72" s="1291">
        <f>D72*I72</f>
        <v>522</v>
      </c>
      <c r="M72" s="1291"/>
      <c r="N72" s="1101"/>
      <c r="O72" s="1101"/>
      <c r="P72" s="1101"/>
      <c r="Q72" s="878"/>
      <c r="R72" s="1099"/>
      <c r="S72" s="1099"/>
      <c r="T72" s="1269"/>
      <c r="U72" s="1269"/>
      <c r="V72" s="1269"/>
      <c r="W72" s="1269"/>
      <c r="X72" s="1132"/>
      <c r="Y72" s="1099"/>
      <c r="Z72" s="1132"/>
      <c r="AA72" s="1099"/>
      <c r="AB72" s="1269"/>
      <c r="AC72" s="1269"/>
      <c r="AD72" s="1132"/>
      <c r="AE72" s="1132"/>
      <c r="AF72" s="1132"/>
      <c r="AG72" s="45"/>
    </row>
    <row r="73" spans="1:35" s="100" customFormat="1" ht="21" hidden="1" customHeight="1">
      <c r="A73" s="739" t="s">
        <v>317</v>
      </c>
      <c r="B73" s="1101"/>
      <c r="C73" s="1101"/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878"/>
      <c r="R73" s="1132"/>
      <c r="S73" s="1132"/>
      <c r="T73" s="1132"/>
      <c r="U73" s="1132"/>
      <c r="V73" s="1132"/>
      <c r="W73" s="1132"/>
      <c r="X73" s="1132"/>
      <c r="Y73" s="1132"/>
      <c r="Z73" s="1132"/>
      <c r="AA73" s="1132"/>
      <c r="AB73" s="1132"/>
      <c r="AC73" s="1132"/>
      <c r="AD73" s="1132"/>
      <c r="AE73" s="1132"/>
      <c r="AF73" s="1132"/>
      <c r="AG73" s="45"/>
    </row>
    <row r="74" spans="1:35" s="100" customFormat="1" ht="21" hidden="1" customHeight="1">
      <c r="A74" s="1116" t="s">
        <v>318</v>
      </c>
      <c r="B74" s="1291">
        <f>L72</f>
        <v>522</v>
      </c>
      <c r="C74" s="1291"/>
      <c r="D74" s="1091" t="s">
        <v>52</v>
      </c>
      <c r="E74" s="1327">
        <f>'설계기준(설계치12)'!C4</f>
        <v>4000</v>
      </c>
      <c r="F74" s="1327"/>
      <c r="G74" s="1328"/>
      <c r="H74" s="1091" t="s">
        <v>51</v>
      </c>
      <c r="I74" s="1304">
        <v>24</v>
      </c>
      <c r="J74" s="1304"/>
      <c r="K74" s="323" t="s">
        <v>30</v>
      </c>
      <c r="L74" s="1332">
        <f>B74/E74*I74</f>
        <v>3.1320000000000001</v>
      </c>
      <c r="M74" s="1332"/>
      <c r="N74" s="348"/>
      <c r="O74" s="348"/>
      <c r="P74" s="1091"/>
      <c r="Q74" s="878"/>
      <c r="R74" s="1295"/>
      <c r="S74" s="1295"/>
      <c r="T74" s="1099"/>
      <c r="U74" s="1298"/>
      <c r="V74" s="1298"/>
      <c r="W74" s="1298"/>
      <c r="X74" s="1099"/>
      <c r="Y74" s="1299"/>
      <c r="Z74" s="1295"/>
      <c r="AA74" s="398"/>
      <c r="AB74" s="1307"/>
      <c r="AC74" s="1307"/>
      <c r="AD74" s="1316"/>
      <c r="AE74" s="1316"/>
      <c r="AF74" s="1132"/>
      <c r="AG74" s="45"/>
    </row>
    <row r="75" spans="1:35" s="100" customFormat="1" ht="21" customHeight="1">
      <c r="A75" s="738" t="s">
        <v>839</v>
      </c>
      <c r="B75" s="1101"/>
      <c r="C75" s="1101"/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878"/>
      <c r="R75" s="1132"/>
      <c r="S75" s="1132"/>
      <c r="T75" s="1132"/>
      <c r="U75" s="1132"/>
      <c r="V75" s="1132"/>
      <c r="W75" s="1132"/>
      <c r="X75" s="1132"/>
      <c r="Y75" s="1132"/>
      <c r="Z75" s="1132"/>
      <c r="AA75" s="1132"/>
      <c r="AB75" s="1132"/>
      <c r="AC75" s="1132"/>
      <c r="AD75" s="1132"/>
      <c r="AE75" s="1132"/>
      <c r="AF75" s="1132"/>
      <c r="AG75" s="45"/>
    </row>
    <row r="76" spans="1:35" s="100" customFormat="1" ht="21" customHeight="1">
      <c r="A76" s="739" t="s">
        <v>319</v>
      </c>
      <c r="B76" s="1096" t="s">
        <v>320</v>
      </c>
      <c r="C76" s="1088"/>
      <c r="D76" s="1088"/>
      <c r="E76" s="1088"/>
      <c r="F76" s="1088"/>
      <c r="G76" s="1088"/>
      <c r="H76" s="1088"/>
      <c r="I76" s="1088"/>
      <c r="J76" s="1088"/>
      <c r="K76" s="1088"/>
      <c r="L76" s="1088"/>
      <c r="M76" s="1088"/>
      <c r="N76" s="1088"/>
      <c r="O76" s="1088"/>
      <c r="P76" s="1088"/>
      <c r="Q76" s="878"/>
      <c r="R76" s="1127"/>
      <c r="S76" s="1127"/>
      <c r="T76" s="1127"/>
      <c r="U76" s="1127"/>
      <c r="V76" s="1127"/>
      <c r="W76" s="1127"/>
      <c r="X76" s="1127"/>
      <c r="Y76" s="1127"/>
      <c r="Z76" s="1127"/>
      <c r="AA76" s="1127"/>
      <c r="AB76" s="1127"/>
      <c r="AC76" s="1127"/>
      <c r="AD76" s="1127"/>
      <c r="AE76" s="1127"/>
      <c r="AF76" s="1127"/>
      <c r="AG76" s="45"/>
    </row>
    <row r="77" spans="1:35" s="100" customFormat="1" ht="21" customHeight="1">
      <c r="A77" s="739" t="s">
        <v>321</v>
      </c>
      <c r="B77" s="327"/>
      <c r="C77" s="1091"/>
      <c r="D77" s="1091"/>
      <c r="E77" s="1091"/>
      <c r="F77" s="1101"/>
      <c r="G77" s="328"/>
      <c r="H77" s="329"/>
      <c r="I77" s="329"/>
      <c r="J77" s="330"/>
      <c r="K77" s="1101"/>
      <c r="L77" s="1091"/>
      <c r="M77" s="1091"/>
      <c r="N77" s="1091"/>
      <c r="O77" s="1086"/>
      <c r="P77" s="1101"/>
      <c r="Q77" s="881"/>
      <c r="R77" s="331"/>
      <c r="S77" s="1099"/>
      <c r="T77" s="1099"/>
      <c r="U77" s="1099"/>
      <c r="V77" s="321"/>
      <c r="W77" s="332"/>
      <c r="X77" s="333"/>
      <c r="Y77" s="333"/>
      <c r="Z77" s="334"/>
      <c r="AA77" s="321"/>
      <c r="AB77" s="1099"/>
      <c r="AC77" s="1099"/>
      <c r="AD77" s="1099"/>
      <c r="AE77" s="1135"/>
      <c r="AF77" s="1132"/>
      <c r="AG77" s="399"/>
    </row>
    <row r="78" spans="1:35" s="100" customFormat="1" ht="21" customHeight="1">
      <c r="A78" s="857" t="s">
        <v>322</v>
      </c>
      <c r="B78" s="1089" t="s">
        <v>323</v>
      </c>
      <c r="C78" s="1091" t="s">
        <v>30</v>
      </c>
      <c r="D78" s="1089" t="s">
        <v>324</v>
      </c>
      <c r="E78" s="1091" t="s">
        <v>51</v>
      </c>
      <c r="F78" s="1091" t="s">
        <v>483</v>
      </c>
      <c r="G78" s="1091"/>
      <c r="H78" s="1091" t="s">
        <v>41</v>
      </c>
      <c r="I78" s="1091" t="s">
        <v>326</v>
      </c>
      <c r="J78" s="1091" t="s">
        <v>327</v>
      </c>
      <c r="K78" s="1091" t="s">
        <v>484</v>
      </c>
      <c r="L78" s="1091" t="s">
        <v>524</v>
      </c>
      <c r="M78" s="1091" t="s">
        <v>523</v>
      </c>
      <c r="N78" s="1091" t="s">
        <v>143</v>
      </c>
      <c r="O78" s="1091"/>
      <c r="P78" s="1091"/>
      <c r="Q78" s="878"/>
      <c r="R78" s="331"/>
      <c r="S78" s="1099"/>
      <c r="T78" s="331"/>
      <c r="U78" s="1147"/>
      <c r="V78" s="1127"/>
      <c r="W78" s="1132"/>
      <c r="X78" s="1099"/>
      <c r="Y78" s="1099"/>
      <c r="Z78" s="1099"/>
      <c r="AA78" s="1132"/>
      <c r="AB78" s="1099"/>
      <c r="AC78" s="1132"/>
      <c r="AD78" s="321"/>
      <c r="AE78" s="321"/>
      <c r="AF78" s="1132"/>
      <c r="AG78" s="45"/>
    </row>
    <row r="79" spans="1:35" s="100" customFormat="1" ht="21" customHeight="1">
      <c r="A79" s="857" t="s">
        <v>329</v>
      </c>
      <c r="B79" s="1091"/>
      <c r="C79" s="1091"/>
      <c r="D79" s="1091" t="s">
        <v>527</v>
      </c>
      <c r="E79" s="1091">
        <v>1</v>
      </c>
      <c r="F79" s="1091" t="s">
        <v>330</v>
      </c>
      <c r="G79" s="1091">
        <v>0.83299999999999996</v>
      </c>
      <c r="H79" s="1091" t="s">
        <v>141</v>
      </c>
      <c r="I79" s="1091">
        <v>7.2</v>
      </c>
      <c r="J79" s="1091" t="s">
        <v>330</v>
      </c>
      <c r="K79" s="1091" t="s">
        <v>520</v>
      </c>
      <c r="L79" s="1091" t="s">
        <v>519</v>
      </c>
      <c r="M79" s="1091"/>
      <c r="N79" s="1091"/>
      <c r="O79" s="1091"/>
      <c r="P79" s="1091"/>
      <c r="Q79" s="878"/>
      <c r="R79" s="1132"/>
      <c r="S79" s="1099"/>
      <c r="T79" s="1132"/>
      <c r="U79" s="1099"/>
      <c r="V79" s="1099"/>
      <c r="W79" s="1269"/>
      <c r="X79" s="1269"/>
      <c r="Y79" s="1099"/>
      <c r="Z79" s="1099"/>
      <c r="AA79" s="1099"/>
      <c r="AB79" s="1132"/>
      <c r="AC79" s="1132"/>
      <c r="AD79" s="1132"/>
      <c r="AE79" s="1132"/>
      <c r="AF79" s="1132"/>
      <c r="AG79" s="45"/>
    </row>
    <row r="80" spans="1:35" s="100" customFormat="1" ht="21" customHeight="1">
      <c r="A80" s="739"/>
      <c r="B80" s="1149" t="s">
        <v>526</v>
      </c>
      <c r="C80" s="1089" t="s">
        <v>518</v>
      </c>
      <c r="D80" s="1260" t="s">
        <v>332</v>
      </c>
      <c r="E80" s="1260"/>
      <c r="F80" s="1260"/>
      <c r="G80" s="1091" t="s">
        <v>30</v>
      </c>
      <c r="H80" s="1091">
        <v>0.47</v>
      </c>
      <c r="I80" s="1091" t="s">
        <v>485</v>
      </c>
      <c r="J80" s="1091" t="s">
        <v>333</v>
      </c>
      <c r="K80" s="1091">
        <f>+'설계기준(유입수질농도증가20)'!C12</f>
        <v>20</v>
      </c>
      <c r="L80" s="1091" t="s">
        <v>334</v>
      </c>
      <c r="M80" s="1091" t="s">
        <v>335</v>
      </c>
      <c r="N80" s="1091">
        <f>'설계기준(설계치12)'!K16</f>
        <v>7</v>
      </c>
      <c r="O80" s="1088" t="s">
        <v>189</v>
      </c>
      <c r="P80" s="1101"/>
      <c r="Q80" s="878"/>
      <c r="R80" s="1132"/>
      <c r="S80" s="331"/>
      <c r="T80" s="1099"/>
      <c r="U80" s="1138"/>
      <c r="V80" s="1126"/>
      <c r="W80" s="1126"/>
      <c r="X80" s="1126"/>
      <c r="Y80" s="1132"/>
      <c r="Z80" s="1127"/>
      <c r="AA80" s="1147"/>
      <c r="AB80" s="1099"/>
      <c r="AC80" s="1132"/>
      <c r="AD80" s="1132"/>
      <c r="AE80" s="1099"/>
      <c r="AF80" s="1132"/>
      <c r="AG80" s="45"/>
    </row>
    <row r="81" spans="1:33" s="100" customFormat="1" ht="21" customHeight="1">
      <c r="A81" s="739"/>
      <c r="B81" s="1101"/>
      <c r="C81" s="327" t="s">
        <v>336</v>
      </c>
      <c r="D81" s="327"/>
      <c r="E81" s="327"/>
      <c r="F81" s="327"/>
      <c r="G81" s="1091" t="s">
        <v>30</v>
      </c>
      <c r="H81" s="1101" t="s">
        <v>337</v>
      </c>
      <c r="I81" s="309">
        <v>2</v>
      </c>
      <c r="J81" s="1101" t="s">
        <v>338</v>
      </c>
      <c r="K81" s="1101"/>
      <c r="L81" s="1101"/>
      <c r="M81" s="1101"/>
      <c r="N81" s="1101"/>
      <c r="O81" s="1101"/>
      <c r="P81" s="1101"/>
      <c r="Q81" s="878"/>
      <c r="R81" s="1132"/>
      <c r="S81" s="338"/>
      <c r="T81" s="1147"/>
      <c r="U81" s="1127"/>
      <c r="V81" s="1127"/>
      <c r="W81" s="1132"/>
      <c r="X81" s="1132"/>
      <c r="Y81" s="1099"/>
      <c r="Z81" s="1265"/>
      <c r="AA81" s="1265"/>
      <c r="AB81" s="321"/>
      <c r="AC81" s="321"/>
      <c r="AD81" s="1132"/>
      <c r="AE81" s="1132"/>
      <c r="AF81" s="1132"/>
      <c r="AG81" s="45"/>
    </row>
    <row r="82" spans="1:33" s="100" customFormat="1" ht="21" customHeight="1">
      <c r="A82" s="739"/>
      <c r="B82" s="1101"/>
      <c r="C82" s="1101" t="s">
        <v>521</v>
      </c>
      <c r="D82" s="1101"/>
      <c r="E82" s="1101"/>
      <c r="F82" s="1101"/>
      <c r="G82" s="1091" t="s">
        <v>30</v>
      </c>
      <c r="H82" s="1089">
        <v>1.3</v>
      </c>
      <c r="I82" s="1101"/>
      <c r="J82" s="1101"/>
      <c r="K82" s="1101"/>
      <c r="L82" s="1101"/>
      <c r="M82" s="1101"/>
      <c r="N82" s="1101"/>
      <c r="O82" s="1101"/>
      <c r="P82" s="1101"/>
      <c r="Q82" s="878"/>
      <c r="R82" s="1132"/>
      <c r="S82" s="1127"/>
      <c r="T82" s="1099"/>
      <c r="U82" s="1099"/>
      <c r="V82" s="1099"/>
      <c r="W82" s="1099"/>
      <c r="X82" s="1099"/>
      <c r="Y82" s="1099"/>
      <c r="Z82" s="1132"/>
      <c r="AA82" s="1132"/>
      <c r="AB82" s="1132"/>
      <c r="AC82" s="1132"/>
      <c r="AD82" s="1132"/>
      <c r="AE82" s="1132"/>
      <c r="AF82" s="1132"/>
      <c r="AG82" s="45"/>
    </row>
    <row r="83" spans="1:33" s="100" customFormat="1" ht="21" customHeight="1">
      <c r="A83" s="739"/>
      <c r="B83" s="1101"/>
      <c r="C83" s="1089" t="s">
        <v>30</v>
      </c>
      <c r="D83" s="1091">
        <f>H80</f>
        <v>0.47</v>
      </c>
      <c r="E83" s="1091" t="s">
        <v>51</v>
      </c>
      <c r="F83" s="1091" t="s">
        <v>483</v>
      </c>
      <c r="G83" s="1089"/>
      <c r="H83" s="1091" t="s">
        <v>41</v>
      </c>
      <c r="I83" s="309">
        <f>I81</f>
        <v>2</v>
      </c>
      <c r="J83" s="1091" t="s">
        <v>522</v>
      </c>
      <c r="K83" s="1091">
        <f>H82</f>
        <v>1.3</v>
      </c>
      <c r="L83" s="1091" t="s">
        <v>524</v>
      </c>
      <c r="M83" s="309">
        <f>I81</f>
        <v>2</v>
      </c>
      <c r="N83" s="1091" t="s">
        <v>143</v>
      </c>
      <c r="O83" s="1101"/>
      <c r="P83" s="1101"/>
      <c r="Q83" s="878"/>
      <c r="R83" s="1147"/>
      <c r="S83" s="1129"/>
      <c r="T83" s="1127"/>
      <c r="U83" s="1147"/>
      <c r="V83" s="1127"/>
      <c r="W83" s="1129"/>
      <c r="X83" s="1099"/>
      <c r="Y83" s="1099"/>
      <c r="Z83" s="339"/>
      <c r="AA83" s="1099"/>
      <c r="AB83" s="1099"/>
      <c r="AC83" s="1099"/>
      <c r="AD83" s="1132"/>
      <c r="AE83" s="1132"/>
      <c r="AF83" s="1132"/>
      <c r="AG83" s="45"/>
    </row>
    <row r="84" spans="1:33" s="100" customFormat="1" ht="21" customHeight="1">
      <c r="A84" s="739"/>
      <c r="B84" s="1101"/>
      <c r="C84" s="1091"/>
      <c r="D84" s="1091" t="s">
        <v>527</v>
      </c>
      <c r="E84" s="1091">
        <v>1</v>
      </c>
      <c r="F84" s="1091" t="s">
        <v>330</v>
      </c>
      <c r="G84" s="1091">
        <v>0.83299999999999996</v>
      </c>
      <c r="H84" s="1091" t="s">
        <v>331</v>
      </c>
      <c r="I84" s="1091">
        <v>7.2</v>
      </c>
      <c r="J84" s="1091" t="s">
        <v>330</v>
      </c>
      <c r="K84" s="1091">
        <f>N80</f>
        <v>7</v>
      </c>
      <c r="L84" s="1091" t="s">
        <v>519</v>
      </c>
      <c r="M84" s="1091" t="s">
        <v>30</v>
      </c>
      <c r="N84" s="1086">
        <f>D83*EXP(0.098*(K80-15))*I83/(K83+M83)*(E84-G84*(I84-N80))</f>
        <v>0.38749999922671635</v>
      </c>
      <c r="O84" s="1091" t="s">
        <v>486</v>
      </c>
      <c r="P84" s="1091"/>
      <c r="Q84" s="878"/>
      <c r="R84" s="1132"/>
      <c r="S84" s="1099"/>
      <c r="T84" s="339"/>
      <c r="U84" s="1099"/>
      <c r="V84" s="1099"/>
      <c r="W84" s="1099"/>
      <c r="X84" s="1099"/>
      <c r="Y84" s="339"/>
      <c r="Z84" s="1132"/>
      <c r="AA84" s="1099"/>
      <c r="AB84" s="1132"/>
      <c r="AC84" s="1132"/>
      <c r="AD84" s="1135"/>
      <c r="AE84" s="1135"/>
      <c r="AF84" s="1132"/>
      <c r="AG84" s="45"/>
    </row>
    <row r="85" spans="1:33" s="100" customFormat="1" ht="21" customHeight="1">
      <c r="A85" s="739"/>
      <c r="B85" s="510" t="s">
        <v>53</v>
      </c>
      <c r="C85" s="511" t="s">
        <v>340</v>
      </c>
      <c r="D85" s="512"/>
      <c r="E85" s="512"/>
      <c r="F85" s="512"/>
      <c r="G85" s="512"/>
      <c r="H85" s="512"/>
      <c r="I85" s="512"/>
      <c r="J85" s="1101"/>
      <c r="K85" s="1101"/>
      <c r="L85" s="327"/>
      <c r="M85" s="327"/>
      <c r="N85" s="1101"/>
      <c r="O85" s="1101"/>
      <c r="P85" s="1101"/>
      <c r="Q85" s="878"/>
      <c r="R85" s="1099"/>
      <c r="S85" s="1127"/>
      <c r="T85" s="1127"/>
      <c r="U85" s="1127"/>
      <c r="V85" s="1127"/>
      <c r="W85" s="1127"/>
      <c r="X85" s="1127"/>
      <c r="Y85" s="1127"/>
      <c r="Z85" s="1127"/>
      <c r="AA85" s="1132"/>
      <c r="AB85" s="1129"/>
      <c r="AC85" s="1129"/>
      <c r="AD85" s="1132"/>
      <c r="AE85" s="1132"/>
      <c r="AF85" s="1132"/>
      <c r="AG85" s="45"/>
    </row>
    <row r="86" spans="1:33" s="100" customFormat="1" ht="21" customHeight="1">
      <c r="A86" s="739"/>
      <c r="B86" s="1101"/>
      <c r="C86" s="1101" t="s">
        <v>487</v>
      </c>
      <c r="D86" s="1091" t="s">
        <v>30</v>
      </c>
      <c r="E86" s="1091" t="s">
        <v>323</v>
      </c>
      <c r="F86" s="1091" t="s">
        <v>330</v>
      </c>
      <c r="G86" s="1091" t="s">
        <v>341</v>
      </c>
      <c r="H86" s="1091" t="s">
        <v>30</v>
      </c>
      <c r="I86" s="1086">
        <f>N84</f>
        <v>0.38749999922671635</v>
      </c>
      <c r="J86" s="1091" t="s">
        <v>330</v>
      </c>
      <c r="K86" s="1091">
        <f>I87</f>
        <v>0.05</v>
      </c>
      <c r="L86" s="1091" t="s">
        <v>30</v>
      </c>
      <c r="M86" s="349">
        <f>I86-K86</f>
        <v>0.33749999922671636</v>
      </c>
      <c r="N86" s="1091" t="s">
        <v>486</v>
      </c>
      <c r="O86" s="1091"/>
      <c r="P86" s="1091"/>
      <c r="Q86" s="878"/>
      <c r="R86" s="1132"/>
      <c r="S86" s="1099"/>
      <c r="T86" s="1099"/>
      <c r="U86" s="1099"/>
      <c r="V86" s="1132"/>
      <c r="W86" s="1099"/>
      <c r="X86" s="1132"/>
      <c r="Y86" s="1099"/>
      <c r="Z86" s="340"/>
      <c r="AA86" s="1099"/>
      <c r="AB86" s="1132"/>
      <c r="AC86" s="1099"/>
      <c r="AD86" s="341"/>
      <c r="AE86" s="1132"/>
      <c r="AF86" s="1132"/>
      <c r="AG86" s="45"/>
    </row>
    <row r="87" spans="1:33" s="100" customFormat="1" ht="21" customHeight="1">
      <c r="A87" s="739"/>
      <c r="B87" s="1101"/>
      <c r="C87" s="1091" t="s">
        <v>28</v>
      </c>
      <c r="D87" s="1101" t="s">
        <v>530</v>
      </c>
      <c r="E87" s="1101"/>
      <c r="F87" s="1101"/>
      <c r="G87" s="1101"/>
      <c r="H87" s="1101"/>
      <c r="I87" s="513">
        <v>0.05</v>
      </c>
      <c r="J87" s="1101" t="s">
        <v>486</v>
      </c>
      <c r="K87" s="1101" t="s">
        <v>531</v>
      </c>
      <c r="L87" s="349"/>
      <c r="M87" s="514" t="s">
        <v>143</v>
      </c>
      <c r="N87" s="349"/>
      <c r="O87" s="1101"/>
      <c r="P87" s="1101"/>
      <c r="Q87" s="878"/>
      <c r="R87" s="1132"/>
      <c r="S87" s="1132"/>
      <c r="T87" s="1127"/>
      <c r="U87" s="1099"/>
      <c r="V87" s="1099"/>
      <c r="W87" s="1099"/>
      <c r="X87" s="1099"/>
      <c r="Y87" s="1099"/>
      <c r="Z87" s="1099"/>
      <c r="AA87" s="1099"/>
      <c r="AB87" s="1132"/>
      <c r="AC87" s="1127"/>
      <c r="AD87" s="341"/>
      <c r="AE87" s="1132"/>
      <c r="AF87" s="1132"/>
      <c r="AG87" s="45"/>
    </row>
    <row r="88" spans="1:33" s="100" customFormat="1" ht="21" customHeight="1">
      <c r="A88" s="739"/>
      <c r="B88" s="1101"/>
      <c r="C88" s="1091" t="s">
        <v>342</v>
      </c>
      <c r="D88" s="1091" t="s">
        <v>30</v>
      </c>
      <c r="E88" s="1091">
        <v>1</v>
      </c>
      <c r="F88" s="1091" t="s">
        <v>142</v>
      </c>
      <c r="G88" s="349">
        <f>M86</f>
        <v>0.33749999922671636</v>
      </c>
      <c r="H88" s="1091" t="s">
        <v>30</v>
      </c>
      <c r="I88" s="1378">
        <f>E88/G88</f>
        <v>2.9629629697517355</v>
      </c>
      <c r="J88" s="1378"/>
      <c r="K88" s="1091"/>
      <c r="L88" s="1091"/>
      <c r="M88" s="1091"/>
      <c r="N88" s="349"/>
      <c r="O88" s="1101"/>
      <c r="P88" s="1101"/>
      <c r="Q88" s="878"/>
      <c r="R88" s="1132"/>
      <c r="S88" s="1099"/>
      <c r="T88" s="1099"/>
      <c r="U88" s="1099"/>
      <c r="V88" s="1132"/>
      <c r="W88" s="1099"/>
      <c r="X88" s="342"/>
      <c r="Y88" s="342"/>
      <c r="Z88" s="1099"/>
      <c r="AA88" s="343"/>
      <c r="AB88" s="1132"/>
      <c r="AC88" s="1099"/>
      <c r="AD88" s="341"/>
      <c r="AE88" s="1132"/>
      <c r="AF88" s="1132"/>
      <c r="AG88" s="45"/>
    </row>
    <row r="89" spans="1:33" s="100" customFormat="1" ht="21" customHeight="1">
      <c r="A89" s="739"/>
      <c r="B89" s="1101"/>
      <c r="C89" s="1259" t="s">
        <v>344</v>
      </c>
      <c r="D89" s="1259"/>
      <c r="E89" s="1259"/>
      <c r="F89" s="1259"/>
      <c r="G89" s="1259"/>
      <c r="H89" s="1259"/>
      <c r="I89" s="1101"/>
      <c r="J89" s="348"/>
      <c r="K89" s="1101"/>
      <c r="L89" s="1101"/>
      <c r="M89" s="1101"/>
      <c r="N89" s="349"/>
      <c r="O89" s="1101"/>
      <c r="P89" s="1101"/>
      <c r="Q89" s="878"/>
      <c r="R89" s="1132"/>
      <c r="S89" s="1099"/>
      <c r="T89" s="1099"/>
      <c r="U89" s="1099"/>
      <c r="V89" s="1099"/>
      <c r="W89" s="1099"/>
      <c r="X89" s="1099"/>
      <c r="Y89" s="1099"/>
      <c r="Z89" s="340"/>
      <c r="AA89" s="1132"/>
      <c r="AB89" s="1132"/>
      <c r="AC89" s="1099"/>
      <c r="AD89" s="341"/>
      <c r="AE89" s="1132"/>
      <c r="AF89" s="1132"/>
      <c r="AG89" s="45"/>
    </row>
    <row r="90" spans="1:33" s="45" customFormat="1" ht="21" customHeight="1">
      <c r="A90" s="739"/>
      <c r="B90" s="1101"/>
      <c r="C90" s="1091" t="s">
        <v>345</v>
      </c>
      <c r="D90" s="1091" t="s">
        <v>30</v>
      </c>
      <c r="E90" s="1091" t="s">
        <v>342</v>
      </c>
      <c r="F90" s="1091" t="s">
        <v>51</v>
      </c>
      <c r="G90" s="309">
        <f>+K90/I88</f>
        <v>3.3749999922671639</v>
      </c>
      <c r="H90" s="1318" t="s">
        <v>346</v>
      </c>
      <c r="I90" s="1318"/>
      <c r="J90" s="1091" t="s">
        <v>30</v>
      </c>
      <c r="K90" s="1075">
        <v>10</v>
      </c>
      <c r="L90" s="510" t="s">
        <v>532</v>
      </c>
      <c r="M90" s="1091"/>
      <c r="N90" s="1091"/>
      <c r="O90" s="1091"/>
      <c r="P90" s="1091"/>
      <c r="Q90" s="878"/>
      <c r="R90" s="1132"/>
      <c r="S90" s="1099"/>
      <c r="T90" s="1099"/>
      <c r="U90" s="1099"/>
      <c r="V90" s="1099"/>
      <c r="W90" s="1099"/>
      <c r="X90" s="1099"/>
      <c r="Y90" s="345"/>
      <c r="Z90" s="345"/>
      <c r="AA90" s="1099"/>
      <c r="AB90" s="346"/>
      <c r="AC90" s="1132"/>
      <c r="AD90" s="1132"/>
      <c r="AE90" s="1132"/>
      <c r="AF90" s="1132"/>
    </row>
    <row r="91" spans="1:33" s="100" customFormat="1" ht="21" customHeight="1">
      <c r="A91" s="739"/>
      <c r="B91" s="1091" t="s">
        <v>330</v>
      </c>
      <c r="C91" s="511" t="s">
        <v>533</v>
      </c>
      <c r="D91" s="511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1101"/>
      <c r="P91" s="1101"/>
      <c r="Q91" s="878"/>
      <c r="R91" s="1099"/>
      <c r="S91" s="1127"/>
      <c r="T91" s="1127"/>
      <c r="U91" s="1127"/>
      <c r="V91" s="1127"/>
      <c r="W91" s="1127"/>
      <c r="X91" s="1127"/>
      <c r="Y91" s="1127"/>
      <c r="Z91" s="1127"/>
      <c r="AA91" s="1127"/>
      <c r="AB91" s="1127"/>
      <c r="AC91" s="1127"/>
      <c r="AD91" s="1127"/>
      <c r="AE91" s="1132"/>
      <c r="AF91" s="1132"/>
      <c r="AG91" s="45"/>
    </row>
    <row r="92" spans="1:33" s="100" customFormat="1" ht="21" customHeight="1">
      <c r="A92" s="739"/>
      <c r="B92" s="1101"/>
      <c r="C92" s="1091" t="s">
        <v>347</v>
      </c>
      <c r="D92" s="1091" t="s">
        <v>30</v>
      </c>
      <c r="E92" s="1091" t="s">
        <v>534</v>
      </c>
      <c r="F92" s="1091" t="s">
        <v>343</v>
      </c>
      <c r="G92" s="1091" t="s">
        <v>345</v>
      </c>
      <c r="H92" s="1091" t="s">
        <v>524</v>
      </c>
      <c r="I92" s="1091" t="s">
        <v>535</v>
      </c>
      <c r="J92" s="1091" t="s">
        <v>41</v>
      </c>
      <c r="K92" s="515">
        <v>1</v>
      </c>
      <c r="L92" s="1091" t="s">
        <v>142</v>
      </c>
      <c r="M92" s="1091" t="s">
        <v>348</v>
      </c>
      <c r="N92" s="349"/>
      <c r="O92" s="1101"/>
      <c r="P92" s="1101"/>
      <c r="Q92" s="878"/>
      <c r="R92" s="1132"/>
      <c r="S92" s="1099"/>
      <c r="T92" s="1099"/>
      <c r="U92" s="1132"/>
      <c r="V92" s="1099"/>
      <c r="W92" s="1132"/>
      <c r="X92" s="1099"/>
      <c r="Y92" s="1132"/>
      <c r="Z92" s="1099"/>
      <c r="AA92" s="347"/>
      <c r="AB92" s="1099"/>
      <c r="AC92" s="1132"/>
      <c r="AD92" s="341"/>
      <c r="AE92" s="1132"/>
      <c r="AF92" s="1132"/>
      <c r="AG92" s="45"/>
    </row>
    <row r="93" spans="1:33" s="100" customFormat="1" ht="21" customHeight="1">
      <c r="A93" s="739"/>
      <c r="B93" s="1101"/>
      <c r="C93" s="1091" t="s">
        <v>28</v>
      </c>
      <c r="D93" s="349" t="s">
        <v>536</v>
      </c>
      <c r="E93" s="349"/>
      <c r="F93" s="349"/>
      <c r="G93" s="349"/>
      <c r="H93" s="349"/>
      <c r="I93" s="349"/>
      <c r="J93" s="349"/>
      <c r="K93" s="349"/>
      <c r="L93" s="349"/>
      <c r="M93" s="516">
        <v>0.2</v>
      </c>
      <c r="N93" s="1091" t="s">
        <v>143</v>
      </c>
      <c r="O93" s="517"/>
      <c r="P93" s="1101"/>
      <c r="Q93" s="878"/>
      <c r="R93" s="342">
        <v>0.1</v>
      </c>
      <c r="S93" s="342" t="s">
        <v>292</v>
      </c>
      <c r="T93" s="342">
        <v>0.3</v>
      </c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1132"/>
      <c r="AF93" s="1132"/>
      <c r="AG93" s="45"/>
    </row>
    <row r="94" spans="1:33" s="100" customFormat="1" ht="21" customHeight="1">
      <c r="A94" s="739"/>
      <c r="B94" s="1101"/>
      <c r="C94" s="1101"/>
      <c r="D94" s="1091" t="s">
        <v>30</v>
      </c>
      <c r="E94" s="1091" t="s">
        <v>534</v>
      </c>
      <c r="F94" s="1091" t="s">
        <v>142</v>
      </c>
      <c r="G94" s="1091">
        <f>K90</f>
        <v>10</v>
      </c>
      <c r="H94" s="1091" t="s">
        <v>524</v>
      </c>
      <c r="I94" s="1152">
        <f>I87</f>
        <v>0.05</v>
      </c>
      <c r="J94" s="1091" t="s">
        <v>41</v>
      </c>
      <c r="K94" s="515">
        <v>1</v>
      </c>
      <c r="L94" s="1091" t="s">
        <v>142</v>
      </c>
      <c r="M94" s="1091">
        <f>M93</f>
        <v>0.2</v>
      </c>
      <c r="N94" s="514" t="s">
        <v>30</v>
      </c>
      <c r="O94" s="1086">
        <f>(1/G94+I94)*1/M94</f>
        <v>0.75000000000000011</v>
      </c>
      <c r="P94" s="1101" t="s">
        <v>486</v>
      </c>
      <c r="Q94" s="878"/>
      <c r="R94" s="1132"/>
      <c r="S94" s="1099"/>
      <c r="T94" s="1099"/>
      <c r="U94" s="1132"/>
      <c r="V94" s="1099"/>
      <c r="W94" s="1099"/>
      <c r="X94" s="1099"/>
      <c r="Y94" s="340"/>
      <c r="Z94" s="339"/>
      <c r="AA94" s="1099"/>
      <c r="AB94" s="342"/>
      <c r="AC94" s="1135"/>
      <c r="AD94" s="1132"/>
      <c r="AE94" s="1132"/>
      <c r="AF94" s="321"/>
      <c r="AG94" s="45"/>
    </row>
    <row r="95" spans="1:33" s="100" customFormat="1" ht="21" customHeight="1">
      <c r="A95" s="739"/>
      <c r="B95" s="1091" t="s">
        <v>53</v>
      </c>
      <c r="C95" s="511" t="s">
        <v>537</v>
      </c>
      <c r="D95" s="511"/>
      <c r="E95" s="511"/>
      <c r="F95" s="511"/>
      <c r="G95" s="1101"/>
      <c r="H95" s="1101"/>
      <c r="I95" s="1101"/>
      <c r="J95" s="348"/>
      <c r="K95" s="1101"/>
      <c r="L95" s="1101"/>
      <c r="M95" s="1101"/>
      <c r="N95" s="349"/>
      <c r="O95" s="1101"/>
      <c r="P95" s="1101"/>
      <c r="Q95" s="878"/>
      <c r="R95" s="1132"/>
      <c r="S95" s="1099"/>
      <c r="T95" s="1099"/>
      <c r="U95" s="1132"/>
      <c r="V95" s="1099"/>
      <c r="W95" s="1099"/>
      <c r="X95" s="1099"/>
      <c r="Y95" s="340"/>
      <c r="Z95" s="339"/>
      <c r="AA95" s="1099"/>
      <c r="AB95" s="342"/>
      <c r="AC95" s="1135"/>
      <c r="AD95" s="1132"/>
      <c r="AE95" s="1132"/>
      <c r="AF95" s="321"/>
      <c r="AG95" s="45"/>
    </row>
    <row r="96" spans="1:33" s="100" customFormat="1" ht="21" customHeight="1">
      <c r="A96" s="739"/>
      <c r="B96" s="1101"/>
      <c r="C96" s="1091" t="s">
        <v>347</v>
      </c>
      <c r="D96" s="1091" t="s">
        <v>30</v>
      </c>
      <c r="E96" s="1091" t="s">
        <v>349</v>
      </c>
      <c r="F96" s="1091" t="s">
        <v>51</v>
      </c>
      <c r="G96" s="1091" t="s">
        <v>488</v>
      </c>
      <c r="H96" s="1091" t="s">
        <v>350</v>
      </c>
      <c r="I96" s="1091" t="s">
        <v>351</v>
      </c>
      <c r="J96" s="1086" t="s">
        <v>328</v>
      </c>
      <c r="K96" s="1091" t="s">
        <v>489</v>
      </c>
      <c r="L96" s="1101"/>
      <c r="M96" s="1101"/>
      <c r="N96" s="349"/>
      <c r="O96" s="1101"/>
      <c r="P96" s="1101"/>
      <c r="Q96" s="878"/>
      <c r="R96" s="1132"/>
      <c r="S96" s="1099"/>
      <c r="T96" s="1099"/>
      <c r="U96" s="1132"/>
      <c r="V96" s="1099"/>
      <c r="W96" s="1099"/>
      <c r="X96" s="1099"/>
      <c r="Y96" s="340"/>
      <c r="Z96" s="339"/>
      <c r="AA96" s="1099"/>
      <c r="AB96" s="342"/>
      <c r="AC96" s="1135"/>
      <c r="AD96" s="1132"/>
      <c r="AE96" s="1132"/>
      <c r="AF96" s="321"/>
      <c r="AG96" s="45"/>
    </row>
    <row r="97" spans="1:33" s="100" customFormat="1" ht="21" customHeight="1">
      <c r="A97" s="739"/>
      <c r="B97" s="327"/>
      <c r="C97" s="1091" t="s">
        <v>488</v>
      </c>
      <c r="D97" s="1091" t="s">
        <v>30</v>
      </c>
      <c r="E97" s="1091" t="s">
        <v>352</v>
      </c>
      <c r="F97" s="1091" t="s">
        <v>51</v>
      </c>
      <c r="G97" s="1091" t="s">
        <v>353</v>
      </c>
      <c r="H97" s="1091" t="s">
        <v>343</v>
      </c>
      <c r="I97" s="1091" t="s">
        <v>349</v>
      </c>
      <c r="J97" s="1091" t="s">
        <v>330</v>
      </c>
      <c r="K97" s="1091" t="s">
        <v>354</v>
      </c>
      <c r="L97" s="1101"/>
      <c r="M97" s="1101"/>
      <c r="N97" s="348"/>
      <c r="O97" s="348"/>
      <c r="P97" s="1101"/>
      <c r="Q97" s="878"/>
      <c r="R97" s="1132"/>
      <c r="S97" s="1099"/>
      <c r="T97" s="1099"/>
      <c r="U97" s="1132"/>
      <c r="V97" s="1099"/>
      <c r="W97" s="1099"/>
      <c r="X97" s="1099"/>
      <c r="Y97" s="340"/>
      <c r="Z97" s="339"/>
      <c r="AA97" s="1099"/>
      <c r="AB97" s="342"/>
      <c r="AC97" s="1135"/>
      <c r="AD97" s="1132"/>
      <c r="AE97" s="1132"/>
      <c r="AF97" s="321"/>
      <c r="AG97" s="45"/>
    </row>
    <row r="98" spans="1:33" s="100" customFormat="1" ht="21" customHeight="1">
      <c r="A98" s="739"/>
      <c r="B98" s="1101"/>
      <c r="C98" s="1101" t="s">
        <v>538</v>
      </c>
      <c r="D98" s="1101"/>
      <c r="E98" s="1101"/>
      <c r="F98" s="1101"/>
      <c r="G98" s="1101"/>
      <c r="H98" s="1318" t="s">
        <v>355</v>
      </c>
      <c r="I98" s="1318"/>
      <c r="J98" s="1086">
        <f>N84/M93</f>
        <v>1.9374999961335817</v>
      </c>
      <c r="K98" s="1091" t="s">
        <v>486</v>
      </c>
      <c r="L98" s="1101"/>
      <c r="M98" s="1101"/>
      <c r="N98" s="1101"/>
      <c r="O98" s="1101"/>
      <c r="P98" s="1101"/>
      <c r="Q98" s="878"/>
      <c r="R98" s="1132"/>
      <c r="S98" s="1099"/>
      <c r="T98" s="344"/>
      <c r="U98" s="1132"/>
      <c r="V98" s="1099"/>
      <c r="W98" s="1099"/>
      <c r="X98" s="1099"/>
      <c r="Y98" s="340"/>
      <c r="Z98" s="339"/>
      <c r="AA98" s="1099"/>
      <c r="AB98" s="342"/>
      <c r="AC98" s="1135"/>
      <c r="AD98" s="1132"/>
      <c r="AE98" s="1132"/>
      <c r="AF98" s="321"/>
      <c r="AG98" s="45"/>
    </row>
    <row r="99" spans="1:33" s="100" customFormat="1" ht="21" customHeight="1">
      <c r="A99" s="739"/>
      <c r="B99" s="322" t="s">
        <v>356</v>
      </c>
      <c r="C99" s="1101" t="s">
        <v>539</v>
      </c>
      <c r="D99" s="1101"/>
      <c r="E99" s="1101" t="s">
        <v>351</v>
      </c>
      <c r="F99" s="1091" t="s">
        <v>30</v>
      </c>
      <c r="G99" s="1101" t="s">
        <v>566</v>
      </c>
      <c r="H99" s="1101"/>
      <c r="I99" s="1101"/>
      <c r="J99" s="1091" t="s">
        <v>30</v>
      </c>
      <c r="K99" s="412">
        <f>10^(0.051*K80-1.158)</f>
        <v>0.72777980453682412</v>
      </c>
      <c r="L99" s="411"/>
      <c r="M99" s="1101"/>
      <c r="N99" s="1101"/>
      <c r="O99" s="1101"/>
      <c r="P99" s="1101"/>
      <c r="Q99" s="878"/>
      <c r="R99" s="1132"/>
      <c r="S99" s="1099"/>
      <c r="T99" s="1099"/>
      <c r="U99" s="1132"/>
      <c r="V99" s="1099"/>
      <c r="W99" s="1099"/>
      <c r="X99" s="1099"/>
      <c r="Y99" s="340"/>
      <c r="Z99" s="339"/>
      <c r="AA99" s="1099"/>
      <c r="AB99" s="342"/>
      <c r="AC99" s="1135"/>
      <c r="AD99" s="1132"/>
      <c r="AE99" s="1132"/>
      <c r="AF99" s="321"/>
      <c r="AG99" s="45"/>
    </row>
    <row r="100" spans="1:33" s="100" customFormat="1" ht="21" customHeight="1">
      <c r="A100" s="739"/>
      <c r="B100" s="1101"/>
      <c r="C100" s="1101"/>
      <c r="D100" s="1091" t="s">
        <v>30</v>
      </c>
      <c r="E100" s="348">
        <f>O94</f>
        <v>0.75000000000000011</v>
      </c>
      <c r="F100" s="1091" t="s">
        <v>51</v>
      </c>
      <c r="G100" s="1086">
        <f>K99</f>
        <v>0.72777980453682412</v>
      </c>
      <c r="H100" s="1091" t="s">
        <v>142</v>
      </c>
      <c r="I100" s="1086">
        <f>J98</f>
        <v>1.9374999961335817</v>
      </c>
      <c r="J100" s="1091" t="s">
        <v>330</v>
      </c>
      <c r="K100" s="1086">
        <f>O94</f>
        <v>0.75000000000000011</v>
      </c>
      <c r="L100" s="1091" t="s">
        <v>30</v>
      </c>
      <c r="M100" s="413">
        <f>(E100*G100)/(I100-K100)</f>
        <v>0.45965040436195276</v>
      </c>
      <c r="N100" s="1091" t="s">
        <v>540</v>
      </c>
      <c r="O100" s="1101"/>
      <c r="P100" s="1101"/>
      <c r="Q100" s="884"/>
      <c r="R100" s="1132"/>
      <c r="S100" s="1099"/>
      <c r="T100" s="1099"/>
      <c r="U100" s="1132"/>
      <c r="V100" s="1099"/>
      <c r="W100" s="1099"/>
      <c r="X100" s="1099"/>
      <c r="Y100" s="340"/>
      <c r="Z100" s="339"/>
      <c r="AA100" s="1099"/>
      <c r="AB100" s="342"/>
      <c r="AC100" s="1135"/>
      <c r="AD100" s="1132"/>
      <c r="AE100" s="1132"/>
      <c r="AF100" s="321"/>
      <c r="AG100" s="45"/>
    </row>
    <row r="101" spans="1:33" s="112" customFormat="1" ht="21" customHeight="1">
      <c r="A101" s="1116" t="s">
        <v>357</v>
      </c>
      <c r="B101" s="1106"/>
      <c r="C101" s="1260" t="s">
        <v>358</v>
      </c>
      <c r="D101" s="1260"/>
      <c r="E101" s="1379">
        <f>'설계기준(설계치12)'!K14</f>
        <v>3000</v>
      </c>
      <c r="F101" s="1379"/>
      <c r="G101" s="1260" t="s">
        <v>359</v>
      </c>
      <c r="H101" s="1260"/>
      <c r="I101" s="1260"/>
      <c r="J101" s="1379">
        <f>물질수지!U40</f>
        <v>8000</v>
      </c>
      <c r="K101" s="1379"/>
      <c r="L101" s="1091"/>
      <c r="M101" s="1091"/>
      <c r="N101" s="410"/>
      <c r="O101" s="1101"/>
      <c r="P101" s="1101"/>
      <c r="Q101" s="884"/>
      <c r="R101" s="1296"/>
      <c r="S101" s="1296"/>
      <c r="T101" s="1294"/>
      <c r="U101" s="1294"/>
      <c r="V101" s="1295"/>
      <c r="W101" s="1127"/>
      <c r="X101" s="1296"/>
      <c r="Y101" s="1296"/>
      <c r="Z101" s="1296"/>
      <c r="AA101" s="1311"/>
      <c r="AB101" s="1311"/>
      <c r="AC101" s="1295"/>
      <c r="AD101" s="351"/>
      <c r="AE101" s="1099"/>
      <c r="AF101" s="1099"/>
      <c r="AG101" s="1111"/>
    </row>
    <row r="102" spans="1:33" s="112" customFormat="1" ht="21" customHeight="1">
      <c r="A102" s="1116" t="s">
        <v>360</v>
      </c>
      <c r="B102" s="1101"/>
      <c r="C102" s="1278">
        <f>J101</f>
        <v>8000</v>
      </c>
      <c r="D102" s="1260"/>
      <c r="E102" s="1091" t="s">
        <v>51</v>
      </c>
      <c r="F102" s="1260" t="s">
        <v>361</v>
      </c>
      <c r="G102" s="1260"/>
      <c r="H102" s="1260" t="s">
        <v>30</v>
      </c>
      <c r="I102" s="1278">
        <f>E101</f>
        <v>3000</v>
      </c>
      <c r="J102" s="1260"/>
      <c r="K102" s="1259" t="s">
        <v>362</v>
      </c>
      <c r="L102" s="1101"/>
      <c r="M102" s="1101"/>
      <c r="N102" s="1101"/>
      <c r="O102" s="1101"/>
      <c r="P102" s="1101"/>
      <c r="Q102" s="884"/>
      <c r="R102" s="1099"/>
      <c r="S102" s="1297"/>
      <c r="T102" s="1269"/>
      <c r="U102" s="1099"/>
      <c r="V102" s="1269"/>
      <c r="W102" s="1269"/>
      <c r="X102" s="1269"/>
      <c r="Y102" s="1297"/>
      <c r="Z102" s="1269"/>
      <c r="AA102" s="1269"/>
      <c r="AB102" s="1099"/>
      <c r="AC102" s="1099"/>
      <c r="AD102" s="1099"/>
      <c r="AE102" s="1099"/>
      <c r="AF102" s="1099"/>
      <c r="AG102" s="1111"/>
    </row>
    <row r="103" spans="1:33" s="112" customFormat="1" ht="21" customHeight="1">
      <c r="A103" s="859"/>
      <c r="B103" s="1101"/>
      <c r="C103" s="1260" t="s">
        <v>361</v>
      </c>
      <c r="D103" s="1260"/>
      <c r="E103" s="1091" t="s">
        <v>328</v>
      </c>
      <c r="F103" s="1260">
        <v>1</v>
      </c>
      <c r="G103" s="1260"/>
      <c r="H103" s="1260"/>
      <c r="I103" s="1260"/>
      <c r="J103" s="1260"/>
      <c r="K103" s="1259"/>
      <c r="L103" s="1101"/>
      <c r="M103" s="1101"/>
      <c r="N103" s="1101"/>
      <c r="O103" s="1101"/>
      <c r="P103" s="1101"/>
      <c r="Q103" s="884"/>
      <c r="R103" s="1099"/>
      <c r="S103" s="1269"/>
      <c r="T103" s="1269"/>
      <c r="U103" s="1099"/>
      <c r="V103" s="1269"/>
      <c r="W103" s="1269"/>
      <c r="X103" s="1269"/>
      <c r="Y103" s="1269"/>
      <c r="Z103" s="1269"/>
      <c r="AA103" s="1269"/>
      <c r="AB103" s="1099"/>
      <c r="AC103" s="1099"/>
      <c r="AD103" s="1099"/>
      <c r="AE103" s="1099"/>
      <c r="AF103" s="1099"/>
      <c r="AG103" s="1111"/>
    </row>
    <row r="104" spans="1:33" s="112" customFormat="1" ht="21" customHeight="1">
      <c r="A104" s="859"/>
      <c r="B104" s="1101"/>
      <c r="C104" s="1260" t="s">
        <v>361</v>
      </c>
      <c r="D104" s="1260"/>
      <c r="E104" s="1259" t="s">
        <v>30</v>
      </c>
      <c r="F104" s="1278">
        <f>I102</f>
        <v>3000</v>
      </c>
      <c r="G104" s="1260"/>
      <c r="H104" s="1260"/>
      <c r="I104" s="1260"/>
      <c r="J104" s="1260"/>
      <c r="K104" s="1260" t="s">
        <v>30</v>
      </c>
      <c r="L104" s="1270">
        <f>F104/(F105-I105)</f>
        <v>0.6</v>
      </c>
      <c r="M104" s="1270"/>
      <c r="N104" s="1101"/>
      <c r="O104" s="1101"/>
      <c r="P104" s="1101"/>
      <c r="Q104" s="884"/>
      <c r="R104" s="1099"/>
      <c r="S104" s="1269"/>
      <c r="T104" s="1269"/>
      <c r="U104" s="1269"/>
      <c r="V104" s="1297"/>
      <c r="W104" s="1269"/>
      <c r="X104" s="1269"/>
      <c r="Y104" s="1269"/>
      <c r="Z104" s="1269"/>
      <c r="AA104" s="1269"/>
      <c r="AB104" s="1309"/>
      <c r="AC104" s="1309"/>
      <c r="AD104" s="1099"/>
      <c r="AE104" s="1099"/>
      <c r="AF104" s="1099"/>
      <c r="AG104" s="1111"/>
    </row>
    <row r="105" spans="1:33" s="112" customFormat="1" ht="21" customHeight="1">
      <c r="A105" s="1119"/>
      <c r="B105" s="1123"/>
      <c r="C105" s="1321"/>
      <c r="D105" s="1321"/>
      <c r="E105" s="1380"/>
      <c r="F105" s="1391">
        <f>C102</f>
        <v>8000</v>
      </c>
      <c r="G105" s="1392"/>
      <c r="H105" s="1122" t="s">
        <v>330</v>
      </c>
      <c r="I105" s="1391">
        <f>I102</f>
        <v>3000</v>
      </c>
      <c r="J105" s="1392"/>
      <c r="K105" s="1321"/>
      <c r="L105" s="1312"/>
      <c r="M105" s="1312"/>
      <c r="N105" s="1123"/>
      <c r="O105" s="1123"/>
      <c r="P105" s="1123"/>
      <c r="Q105" s="882"/>
      <c r="R105" s="1099"/>
      <c r="S105" s="1269"/>
      <c r="T105" s="1269"/>
      <c r="U105" s="1269"/>
      <c r="V105" s="1297"/>
      <c r="W105" s="1269"/>
      <c r="X105" s="1099"/>
      <c r="Y105" s="1297"/>
      <c r="Z105" s="1269"/>
      <c r="AA105" s="1269"/>
      <c r="AB105" s="1309"/>
      <c r="AC105" s="1309"/>
      <c r="AD105" s="1099"/>
      <c r="AE105" s="1099"/>
      <c r="AF105" s="1099"/>
      <c r="AG105" s="1111"/>
    </row>
    <row r="106" spans="1:33" s="112" customFormat="1" ht="21" customHeight="1">
      <c r="A106" s="858" t="s">
        <v>363</v>
      </c>
      <c r="B106" s="1139"/>
      <c r="C106" s="1319" t="s">
        <v>364</v>
      </c>
      <c r="D106" s="1319"/>
      <c r="E106" s="1397" t="s">
        <v>30</v>
      </c>
      <c r="F106" s="1105" t="s">
        <v>365</v>
      </c>
      <c r="G106" s="1105" t="s">
        <v>51</v>
      </c>
      <c r="H106" s="1319" t="s">
        <v>490</v>
      </c>
      <c r="I106" s="1319"/>
      <c r="J106" s="1319" t="s">
        <v>330</v>
      </c>
      <c r="K106" s="1319">
        <v>1</v>
      </c>
      <c r="L106" s="1139"/>
      <c r="M106" s="1139"/>
      <c r="N106" s="1139"/>
      <c r="O106" s="1139"/>
      <c r="P106" s="1139"/>
      <c r="Q106" s="883"/>
      <c r="R106" s="1099"/>
      <c r="S106" s="1269"/>
      <c r="T106" s="1269"/>
      <c r="U106" s="1269"/>
      <c r="V106" s="1099"/>
      <c r="W106" s="1099"/>
      <c r="X106" s="1269"/>
      <c r="Y106" s="1269"/>
      <c r="Z106" s="1269"/>
      <c r="AA106" s="1269"/>
      <c r="AB106" s="1099"/>
      <c r="AC106" s="1099"/>
      <c r="AD106" s="1099"/>
      <c r="AE106" s="1099"/>
      <c r="AF106" s="1099"/>
      <c r="AG106" s="1111"/>
    </row>
    <row r="107" spans="1:33" s="112" customFormat="1" ht="21" customHeight="1">
      <c r="A107" s="1116" t="s">
        <v>366</v>
      </c>
      <c r="B107" s="1101"/>
      <c r="C107" s="1260"/>
      <c r="D107" s="1260"/>
      <c r="E107" s="1259"/>
      <c r="F107" s="1319" t="s">
        <v>491</v>
      </c>
      <c r="G107" s="1319"/>
      <c r="H107" s="1319"/>
      <c r="I107" s="1319"/>
      <c r="J107" s="1260"/>
      <c r="K107" s="1260"/>
      <c r="L107" s="1101"/>
      <c r="M107" s="1101"/>
      <c r="N107" s="1101"/>
      <c r="O107" s="1101"/>
      <c r="P107" s="1101"/>
      <c r="Q107" s="884"/>
      <c r="R107" s="1099"/>
      <c r="S107" s="1269"/>
      <c r="T107" s="1269"/>
      <c r="U107" s="1269"/>
      <c r="V107" s="1269"/>
      <c r="W107" s="1269"/>
      <c r="X107" s="1269"/>
      <c r="Y107" s="1269"/>
      <c r="Z107" s="1269"/>
      <c r="AA107" s="1269"/>
      <c r="AB107" s="1099"/>
      <c r="AC107" s="1099"/>
      <c r="AD107" s="1099"/>
      <c r="AE107" s="1099"/>
      <c r="AF107" s="1099"/>
      <c r="AG107" s="1111"/>
    </row>
    <row r="108" spans="1:33" s="112" customFormat="1" ht="21" customHeight="1">
      <c r="A108" s="1116"/>
      <c r="B108" s="1101"/>
      <c r="C108" s="1101"/>
      <c r="D108" s="1101" t="s">
        <v>367</v>
      </c>
      <c r="E108" s="1101"/>
      <c r="F108" s="1101" t="s">
        <v>541</v>
      </c>
      <c r="G108" s="1101"/>
      <c r="H108" s="1101"/>
      <c r="I108" s="1101"/>
      <c r="J108" s="1101"/>
      <c r="K108" s="1101"/>
      <c r="L108" s="1101"/>
      <c r="M108" s="1101"/>
      <c r="N108" s="1101"/>
      <c r="O108" s="1101"/>
      <c r="P108" s="1101"/>
      <c r="Q108" s="884"/>
      <c r="R108" s="1099"/>
      <c r="S108" s="1099"/>
      <c r="T108" s="1127"/>
      <c r="U108" s="1099"/>
      <c r="V108" s="1127"/>
      <c r="W108" s="1099"/>
      <c r="X108" s="1099"/>
      <c r="Y108" s="1099"/>
      <c r="Z108" s="1099"/>
      <c r="AA108" s="1099"/>
      <c r="AB108" s="1099"/>
      <c r="AC108" s="1099"/>
      <c r="AD108" s="1099"/>
      <c r="AE108" s="1099"/>
      <c r="AF108" s="1099"/>
      <c r="AG108" s="1111"/>
    </row>
    <row r="109" spans="1:33" s="112" customFormat="1" ht="21" customHeight="1">
      <c r="A109" s="1116"/>
      <c r="B109" s="1101"/>
      <c r="C109" s="1101"/>
      <c r="D109" s="1101"/>
      <c r="E109" s="1101"/>
      <c r="F109" s="1101" t="s">
        <v>542</v>
      </c>
      <c r="G109" s="1101"/>
      <c r="H109" s="1101"/>
      <c r="I109" s="1101"/>
      <c r="J109" s="1101"/>
      <c r="K109" s="1101"/>
      <c r="L109" s="1101"/>
      <c r="M109" s="1101"/>
      <c r="N109" s="1101"/>
      <c r="O109" s="1101"/>
      <c r="P109" s="1101"/>
      <c r="Q109" s="884"/>
      <c r="R109" s="1099"/>
      <c r="S109" s="1099"/>
      <c r="T109" s="1099"/>
      <c r="U109" s="1099"/>
      <c r="V109" s="1127"/>
      <c r="W109" s="1099"/>
      <c r="X109" s="1099"/>
      <c r="Y109" s="1099"/>
      <c r="Z109" s="1099"/>
      <c r="AA109" s="1099"/>
      <c r="AB109" s="1099"/>
      <c r="AC109" s="1099"/>
      <c r="AD109" s="1099"/>
      <c r="AE109" s="1099"/>
      <c r="AF109" s="1099"/>
      <c r="AG109" s="1111"/>
    </row>
    <row r="110" spans="1:33" s="112" customFormat="1" ht="21" customHeight="1">
      <c r="A110" s="1116"/>
      <c r="B110" s="1101"/>
      <c r="C110" s="1101"/>
      <c r="D110" s="1101"/>
      <c r="E110" s="1101"/>
      <c r="F110" s="1101" t="s">
        <v>543</v>
      </c>
      <c r="G110" s="1101"/>
      <c r="H110" s="1101"/>
      <c r="I110" s="1101"/>
      <c r="J110" s="1101"/>
      <c r="K110" s="1101"/>
      <c r="L110" s="1101"/>
      <c r="M110" s="1101"/>
      <c r="N110" s="1101"/>
      <c r="O110" s="1101"/>
      <c r="P110" s="1101"/>
      <c r="Q110" s="884"/>
      <c r="R110" s="1099"/>
      <c r="S110" s="1099"/>
      <c r="T110" s="1099"/>
      <c r="U110" s="1099"/>
      <c r="V110" s="1127"/>
      <c r="W110" s="1099"/>
      <c r="X110" s="1099"/>
      <c r="Y110" s="1099"/>
      <c r="Z110" s="1099"/>
      <c r="AA110" s="1099"/>
      <c r="AB110" s="1099"/>
      <c r="AC110" s="1099"/>
      <c r="AD110" s="1099"/>
      <c r="AE110" s="1099"/>
      <c r="AF110" s="1099"/>
      <c r="AG110" s="1111"/>
    </row>
    <row r="111" spans="1:33" s="1111" customFormat="1" ht="21" customHeight="1">
      <c r="A111" s="859"/>
      <c r="B111" s="1101"/>
      <c r="C111" s="1260" t="s">
        <v>364</v>
      </c>
      <c r="D111" s="1260"/>
      <c r="E111" s="1259" t="s">
        <v>30</v>
      </c>
      <c r="F111" s="407">
        <v>0.8</v>
      </c>
      <c r="G111" s="1091" t="s">
        <v>51</v>
      </c>
      <c r="H111" s="1695">
        <f>+'설계기준(유입수질농도증가12)'!F10</f>
        <v>59.954999999999998</v>
      </c>
      <c r="I111" s="1260" t="s">
        <v>330</v>
      </c>
      <c r="J111" s="1260">
        <v>1</v>
      </c>
      <c r="K111" s="1260" t="s">
        <v>30</v>
      </c>
      <c r="L111" s="1270">
        <f>(F111*H111/F112)-J111</f>
        <v>1.3982000000000001</v>
      </c>
      <c r="M111" s="1270"/>
      <c r="N111" s="354"/>
      <c r="O111" s="1101"/>
      <c r="P111" s="1101"/>
      <c r="Q111" s="884"/>
      <c r="R111" s="1099"/>
      <c r="S111" s="1269" t="s">
        <v>838</v>
      </c>
      <c r="T111" s="1269"/>
      <c r="U111" s="1269"/>
      <c r="V111" s="1099"/>
      <c r="W111" s="1099"/>
      <c r="X111" s="1300"/>
      <c r="Y111" s="1269"/>
      <c r="Z111" s="1269"/>
      <c r="AA111" s="1269"/>
      <c r="AB111" s="1269"/>
      <c r="AC111" s="1269"/>
      <c r="AD111" s="1269"/>
      <c r="AE111" s="1099"/>
      <c r="AF111" s="1099"/>
    </row>
    <row r="112" spans="1:33" s="1111" customFormat="1" ht="21" customHeight="1">
      <c r="A112" s="859"/>
      <c r="B112" s="1101"/>
      <c r="C112" s="1260"/>
      <c r="D112" s="1260"/>
      <c r="E112" s="1259"/>
      <c r="F112" s="1393">
        <f>+'설계기준(유입수질농도증가12)'!J10</f>
        <v>20</v>
      </c>
      <c r="G112" s="1393"/>
      <c r="H112" s="1393"/>
      <c r="I112" s="1260"/>
      <c r="J112" s="1260"/>
      <c r="K112" s="1260"/>
      <c r="L112" s="1270"/>
      <c r="M112" s="1270"/>
      <c r="N112" s="354"/>
      <c r="O112" s="1101"/>
      <c r="P112" s="1101"/>
      <c r="Q112" s="884"/>
      <c r="R112" s="1099"/>
      <c r="S112" s="1269"/>
      <c r="T112" s="1269"/>
      <c r="U112" s="1269"/>
      <c r="V112" s="1302"/>
      <c r="W112" s="1269"/>
      <c r="X112" s="1269"/>
      <c r="Y112" s="1269"/>
      <c r="Z112" s="1269"/>
      <c r="AA112" s="1269"/>
      <c r="AB112" s="1269"/>
      <c r="AC112" s="1269"/>
      <c r="AD112" s="1269"/>
      <c r="AE112" s="1099"/>
      <c r="AF112" s="1099"/>
    </row>
    <row r="113" spans="1:33" s="1111" customFormat="1" ht="21" customHeight="1">
      <c r="A113" s="1116" t="s">
        <v>368</v>
      </c>
      <c r="B113" s="1389" t="s">
        <v>369</v>
      </c>
      <c r="C113" s="1390"/>
      <c r="D113" s="1390"/>
      <c r="E113" s="1390"/>
      <c r="F113" s="1101"/>
      <c r="G113" s="1091" t="s">
        <v>30</v>
      </c>
      <c r="H113" s="1418">
        <f>H114-H115</f>
        <v>49.32</v>
      </c>
      <c r="I113" s="1418"/>
      <c r="J113" s="1101"/>
      <c r="K113" s="1101"/>
      <c r="L113" s="1101"/>
      <c r="M113" s="1101"/>
      <c r="N113" s="1101"/>
      <c r="O113" s="1101"/>
      <c r="P113" s="1101"/>
      <c r="Q113" s="884"/>
      <c r="R113" s="1127"/>
      <c r="S113" s="1127"/>
      <c r="T113" s="1127"/>
      <c r="U113" s="1127"/>
      <c r="V113" s="1127"/>
      <c r="W113" s="1099"/>
      <c r="X113" s="1301"/>
      <c r="Y113" s="1301"/>
      <c r="Z113" s="1265"/>
      <c r="AA113" s="1127"/>
      <c r="AB113" s="1099"/>
      <c r="AC113" s="1099"/>
      <c r="AD113" s="1099"/>
      <c r="AE113" s="1099"/>
      <c r="AF113" s="1099"/>
    </row>
    <row r="114" spans="1:33" s="1111" customFormat="1" ht="21" customHeight="1">
      <c r="A114" s="1116"/>
      <c r="B114" s="1153" t="s">
        <v>330</v>
      </c>
      <c r="C114" s="1259" t="s">
        <v>370</v>
      </c>
      <c r="D114" s="1259"/>
      <c r="E114" s="1259"/>
      <c r="F114" s="1259"/>
      <c r="G114" s="1091" t="s">
        <v>30</v>
      </c>
      <c r="H114" s="1694">
        <f>+'설계기준(유입수질농도증가20)'!F10</f>
        <v>59.954999999999998</v>
      </c>
      <c r="I114" s="1694"/>
      <c r="J114" s="1101"/>
      <c r="K114" s="1101"/>
      <c r="L114" s="1101"/>
      <c r="M114" s="1101"/>
      <c r="N114" s="1101"/>
      <c r="O114" s="1101"/>
      <c r="P114" s="1101"/>
      <c r="Q114" s="884"/>
      <c r="R114" s="1147"/>
      <c r="S114" s="1265"/>
      <c r="T114" s="1265"/>
      <c r="U114" s="1265"/>
      <c r="V114" s="1265"/>
      <c r="W114" s="1265"/>
      <c r="X114" s="1099"/>
      <c r="Y114" s="1338"/>
      <c r="Z114" s="1265"/>
      <c r="AA114" s="1265"/>
      <c r="AB114" s="1099"/>
      <c r="AC114" s="1099"/>
      <c r="AD114" s="1099"/>
      <c r="AE114" s="1099"/>
      <c r="AF114" s="1099"/>
    </row>
    <row r="115" spans="1:33" s="1111" customFormat="1" ht="21" customHeight="1">
      <c r="A115" s="859"/>
      <c r="B115" s="1153" t="s">
        <v>330</v>
      </c>
      <c r="C115" s="1259" t="s">
        <v>371</v>
      </c>
      <c r="D115" s="1259"/>
      <c r="E115" s="1259"/>
      <c r="F115" s="1259"/>
      <c r="G115" s="1091" t="s">
        <v>30</v>
      </c>
      <c r="H115" s="1271">
        <f>H116*0.05</f>
        <v>10.635</v>
      </c>
      <c r="I115" s="1271"/>
      <c r="J115" s="1107"/>
      <c r="K115" s="1101"/>
      <c r="L115" s="1101"/>
      <c r="M115" s="1101"/>
      <c r="N115" s="1101"/>
      <c r="O115" s="1101"/>
      <c r="P115" s="1101"/>
      <c r="Q115" s="884"/>
      <c r="R115" s="1147"/>
      <c r="S115" s="1265"/>
      <c r="T115" s="1265"/>
      <c r="U115" s="1265"/>
      <c r="V115" s="1265"/>
      <c r="W115" s="1265"/>
      <c r="X115" s="1099"/>
      <c r="Y115" s="1342"/>
      <c r="Z115" s="1342"/>
      <c r="AA115" s="1342"/>
      <c r="AB115" s="1099"/>
      <c r="AC115" s="1099"/>
      <c r="AD115" s="1099"/>
      <c r="AE115" s="1099"/>
      <c r="AF115" s="1099"/>
    </row>
    <row r="116" spans="1:33" s="1111" customFormat="1" ht="21" customHeight="1">
      <c r="A116" s="859"/>
      <c r="B116" s="1153" t="s">
        <v>330</v>
      </c>
      <c r="C116" s="1257" t="s">
        <v>372</v>
      </c>
      <c r="D116" s="1257"/>
      <c r="E116" s="1257"/>
      <c r="F116" s="1257"/>
      <c r="G116" s="1091" t="s">
        <v>30</v>
      </c>
      <c r="H116" s="1694">
        <f>+'설계기준(유입수질농도증가20)'!F7-'설계기준(유입수질농도증가20)'!J7</f>
        <v>212.7</v>
      </c>
      <c r="I116" s="1694"/>
      <c r="J116" s="1101"/>
      <c r="K116" s="1101"/>
      <c r="L116" s="1101"/>
      <c r="M116" s="1259"/>
      <c r="N116" s="1259"/>
      <c r="O116" s="1101"/>
      <c r="P116" s="1101"/>
      <c r="Q116" s="884"/>
      <c r="R116" s="1147"/>
      <c r="S116" s="1269"/>
      <c r="T116" s="1269"/>
      <c r="U116" s="1269"/>
      <c r="V116" s="1099"/>
      <c r="W116" s="1343"/>
      <c r="X116" s="1343"/>
      <c r="Y116" s="1265"/>
      <c r="Z116" s="1127"/>
      <c r="AA116" s="1099"/>
      <c r="AB116" s="1099"/>
      <c r="AC116" s="1099"/>
      <c r="AD116" s="1099"/>
      <c r="AE116" s="1099"/>
      <c r="AF116" s="1099"/>
    </row>
    <row r="117" spans="1:33" s="1111" customFormat="1" ht="21" customHeight="1">
      <c r="A117" s="859"/>
      <c r="B117" s="1389" t="s">
        <v>544</v>
      </c>
      <c r="C117" s="1390"/>
      <c r="D117" s="1390"/>
      <c r="E117" s="1390"/>
      <c r="F117" s="1101"/>
      <c r="G117" s="1091" t="s">
        <v>30</v>
      </c>
      <c r="H117" s="1271">
        <f>+'설계기준(유입수질농도증가12)'!J10</f>
        <v>20</v>
      </c>
      <c r="I117" s="1271"/>
      <c r="J117" s="1101"/>
      <c r="K117" s="1101"/>
      <c r="L117" s="1101"/>
      <c r="M117" s="357"/>
      <c r="N117" s="357"/>
      <c r="O117" s="357"/>
      <c r="P117" s="1101"/>
      <c r="Q117" s="884"/>
      <c r="R117" s="1127"/>
      <c r="S117" s="1127"/>
      <c r="T117" s="1127"/>
      <c r="U117" s="1127"/>
      <c r="V117" s="1099"/>
      <c r="W117" s="1341"/>
      <c r="X117" s="1295"/>
      <c r="Y117" s="1127"/>
      <c r="Z117" s="1099"/>
      <c r="AA117" s="1099"/>
      <c r="AB117" s="1099"/>
      <c r="AC117" s="1099"/>
      <c r="AD117" s="1099"/>
      <c r="AE117" s="1099"/>
      <c r="AF117" s="1099"/>
    </row>
    <row r="118" spans="1:33" s="112" customFormat="1" ht="21" customHeight="1">
      <c r="A118" s="859"/>
      <c r="B118" s="1153" t="s">
        <v>330</v>
      </c>
      <c r="C118" s="1257" t="s">
        <v>492</v>
      </c>
      <c r="D118" s="1257"/>
      <c r="E118" s="1257"/>
      <c r="F118" s="1257"/>
      <c r="G118" s="1091" t="s">
        <v>30</v>
      </c>
      <c r="H118" s="1271">
        <f>K121/(G119+K122+K123)</f>
        <v>19.728000000000002</v>
      </c>
      <c r="I118" s="1271"/>
      <c r="J118" s="356"/>
      <c r="K118" s="1107"/>
      <c r="L118" s="1101"/>
      <c r="M118" s="1423"/>
      <c r="N118" s="1423"/>
      <c r="O118" s="1423"/>
      <c r="P118" s="1101"/>
      <c r="Q118" s="884"/>
      <c r="R118" s="1147"/>
      <c r="S118" s="1265"/>
      <c r="T118" s="1265"/>
      <c r="U118" s="1265"/>
      <c r="V118" s="1265"/>
      <c r="W118" s="1265"/>
      <c r="X118" s="1099"/>
      <c r="Y118" s="1265"/>
      <c r="Z118" s="1265"/>
      <c r="AA118" s="1340"/>
      <c r="AB118" s="1099"/>
      <c r="AC118" s="1099"/>
      <c r="AD118" s="1099"/>
      <c r="AE118" s="1099"/>
      <c r="AF118" s="1099"/>
      <c r="AG118" s="1111"/>
    </row>
    <row r="119" spans="1:33" s="112" customFormat="1" ht="21" customHeight="1">
      <c r="A119" s="859"/>
      <c r="B119" s="322"/>
      <c r="C119" s="1091" t="s">
        <v>373</v>
      </c>
      <c r="D119" s="1101" t="s">
        <v>30</v>
      </c>
      <c r="E119" s="1091" t="s">
        <v>493</v>
      </c>
      <c r="F119" s="1091" t="s">
        <v>327</v>
      </c>
      <c r="G119" s="1091">
        <v>1</v>
      </c>
      <c r="H119" s="1091" t="s">
        <v>328</v>
      </c>
      <c r="I119" s="1091" t="s">
        <v>361</v>
      </c>
      <c r="J119" s="1091" t="s">
        <v>328</v>
      </c>
      <c r="K119" s="1091" t="s">
        <v>374</v>
      </c>
      <c r="L119" s="1101"/>
      <c r="M119" s="1101"/>
      <c r="N119" s="1101"/>
      <c r="O119" s="1101"/>
      <c r="P119" s="1101"/>
      <c r="Q119" s="884"/>
      <c r="R119" s="1099"/>
      <c r="S119" s="1099"/>
      <c r="T119" s="1099"/>
      <c r="U119" s="1099"/>
      <c r="V119" s="1099"/>
      <c r="W119" s="1099"/>
      <c r="X119" s="1099"/>
      <c r="Y119" s="1099"/>
      <c r="Z119" s="1099"/>
      <c r="AA119" s="1099"/>
      <c r="AB119" s="1099"/>
      <c r="AC119" s="1099"/>
      <c r="AD119" s="1099"/>
      <c r="AE119" s="1099"/>
      <c r="AF119" s="1099"/>
      <c r="AG119" s="1111"/>
    </row>
    <row r="120" spans="1:33" s="112" customFormat="1" ht="21" customHeight="1">
      <c r="A120" s="859"/>
      <c r="B120" s="322"/>
      <c r="C120" s="1101" t="s">
        <v>375</v>
      </c>
      <c r="D120" s="1101"/>
      <c r="E120" s="1101" t="s">
        <v>373</v>
      </c>
      <c r="F120" s="1091" t="s">
        <v>30</v>
      </c>
      <c r="G120" s="1257" t="s">
        <v>376</v>
      </c>
      <c r="H120" s="1257"/>
      <c r="I120" s="1257"/>
      <c r="J120" s="1257"/>
      <c r="K120" s="1101"/>
      <c r="L120" s="1101"/>
      <c r="M120" s="1101"/>
      <c r="N120" s="1101"/>
      <c r="O120" s="1101"/>
      <c r="P120" s="1101"/>
      <c r="Q120" s="884"/>
      <c r="R120" s="1099">
        <v>27.4</v>
      </c>
      <c r="S120" s="1269">
        <v>600</v>
      </c>
      <c r="T120" s="1269"/>
      <c r="U120" s="1099"/>
      <c r="V120" s="1099"/>
      <c r="W120" s="1265"/>
      <c r="X120" s="1265"/>
      <c r="Y120" s="1265"/>
      <c r="Z120" s="1265"/>
      <c r="AA120" s="1265"/>
      <c r="AB120" s="1265"/>
      <c r="AC120" s="1265"/>
      <c r="AD120" s="1099"/>
      <c r="AE120" s="1099"/>
      <c r="AF120" s="1099"/>
      <c r="AG120" s="1111"/>
    </row>
    <row r="121" spans="1:33" s="112" customFormat="1" ht="21" customHeight="1">
      <c r="A121" s="859"/>
      <c r="B121" s="322"/>
      <c r="C121" s="1101"/>
      <c r="D121" s="1101"/>
      <c r="E121" s="1101" t="s">
        <v>377</v>
      </c>
      <c r="F121" s="1091" t="s">
        <v>30</v>
      </c>
      <c r="G121" s="1257" t="s">
        <v>378</v>
      </c>
      <c r="H121" s="1257"/>
      <c r="I121" s="1257"/>
      <c r="J121" s="1257"/>
      <c r="K121" s="413">
        <f>H113</f>
        <v>49.32</v>
      </c>
      <c r="L121" s="1101" t="s">
        <v>256</v>
      </c>
      <c r="M121" s="357"/>
      <c r="N121" s="1101"/>
      <c r="O121" s="1101"/>
      <c r="P121" s="1101"/>
      <c r="Q121" s="884"/>
      <c r="R121" s="1099">
        <v>2625</v>
      </c>
      <c r="S121" s="1269">
        <v>147.19999999999999</v>
      </c>
      <c r="T121" s="1269"/>
      <c r="U121" s="1099"/>
      <c r="V121" s="1099"/>
      <c r="W121" s="1265"/>
      <c r="X121" s="1265"/>
      <c r="Y121" s="1265"/>
      <c r="Z121" s="1265"/>
      <c r="AA121" s="1265"/>
      <c r="AB121" s="1344"/>
      <c r="AC121" s="1344"/>
      <c r="AD121" s="1340"/>
      <c r="AE121" s="1127"/>
      <c r="AF121" s="1099"/>
      <c r="AG121" s="1111"/>
    </row>
    <row r="122" spans="1:33" s="112" customFormat="1" ht="21" customHeight="1">
      <c r="A122" s="859"/>
      <c r="B122" s="322"/>
      <c r="C122" s="1101"/>
      <c r="D122" s="1101"/>
      <c r="E122" s="1101" t="s">
        <v>361</v>
      </c>
      <c r="F122" s="1091" t="s">
        <v>30</v>
      </c>
      <c r="G122" s="1257" t="s">
        <v>379</v>
      </c>
      <c r="H122" s="1257"/>
      <c r="I122" s="1257"/>
      <c r="J122" s="1257"/>
      <c r="K122" s="483">
        <v>0.5</v>
      </c>
      <c r="L122" s="1101" t="s">
        <v>55</v>
      </c>
      <c r="M122" s="1101"/>
      <c r="N122" s="1101"/>
      <c r="O122" s="1101"/>
      <c r="P122" s="1101"/>
      <c r="Q122" s="884"/>
      <c r="R122" s="1099"/>
      <c r="S122" s="1099"/>
      <c r="T122" s="1099"/>
      <c r="U122" s="1099"/>
      <c r="V122" s="1099"/>
      <c r="W122" s="1265"/>
      <c r="X122" s="1265"/>
      <c r="Y122" s="1265"/>
      <c r="Z122" s="1265"/>
      <c r="AA122" s="1099"/>
      <c r="AB122" s="1127"/>
      <c r="AC122" s="1099"/>
      <c r="AD122" s="1099"/>
      <c r="AE122" s="1099"/>
      <c r="AF122" s="1099"/>
      <c r="AG122" s="1111"/>
    </row>
    <row r="123" spans="1:33" s="112" customFormat="1" ht="21" customHeight="1">
      <c r="A123" s="859"/>
      <c r="B123" s="322"/>
      <c r="C123" s="1101"/>
      <c r="D123" s="1101"/>
      <c r="E123" s="1101" t="s">
        <v>381</v>
      </c>
      <c r="F123" s="1091" t="s">
        <v>30</v>
      </c>
      <c r="G123" s="1259" t="s">
        <v>382</v>
      </c>
      <c r="H123" s="1259"/>
      <c r="I123" s="1259"/>
      <c r="J123" s="1259"/>
      <c r="K123" s="414">
        <v>1</v>
      </c>
      <c r="L123" s="1101" t="s">
        <v>55</v>
      </c>
      <c r="M123" s="1101"/>
      <c r="N123" s="1101"/>
      <c r="O123" s="1101"/>
      <c r="P123" s="1101"/>
      <c r="Q123" s="884"/>
      <c r="R123" s="1099"/>
      <c r="S123" s="1099"/>
      <c r="T123" s="1099"/>
      <c r="U123" s="1099"/>
      <c r="V123" s="1099"/>
      <c r="W123" s="1265"/>
      <c r="X123" s="1265"/>
      <c r="Y123" s="1265"/>
      <c r="Z123" s="1265"/>
      <c r="AA123" s="1099"/>
      <c r="AB123" s="1127"/>
      <c r="AC123" s="1099"/>
      <c r="AD123" s="1099"/>
      <c r="AE123" s="1099"/>
      <c r="AF123" s="1099"/>
      <c r="AG123" s="1111"/>
    </row>
    <row r="124" spans="1:33" s="112" customFormat="1" ht="21" customHeight="1">
      <c r="A124" s="859"/>
      <c r="B124" s="1389" t="s">
        <v>545</v>
      </c>
      <c r="C124" s="1390"/>
      <c r="D124" s="1390"/>
      <c r="E124" s="1390"/>
      <c r="F124" s="1101"/>
      <c r="G124" s="1091" t="s">
        <v>30</v>
      </c>
      <c r="H124" s="1271">
        <f>K121</f>
        <v>49.32</v>
      </c>
      <c r="I124" s="1271"/>
      <c r="J124" s="1091" t="s">
        <v>547</v>
      </c>
      <c r="K124" s="1320">
        <f>H117-H118</f>
        <v>0.27199999999999847</v>
      </c>
      <c r="L124" s="1320"/>
      <c r="M124" s="1091" t="s">
        <v>383</v>
      </c>
      <c r="N124" s="1421">
        <f>H124-K124</f>
        <v>49.048000000000002</v>
      </c>
      <c r="O124" s="1421"/>
      <c r="P124" s="735"/>
      <c r="Q124" s="884"/>
      <c r="R124" s="1339" t="s">
        <v>548</v>
      </c>
      <c r="S124" s="1339"/>
      <c r="T124" s="1339"/>
      <c r="U124" s="1339"/>
      <c r="V124" s="1099"/>
      <c r="W124" s="1269"/>
      <c r="X124" s="1269"/>
      <c r="Y124" s="1334"/>
      <c r="Z124" s="1127"/>
      <c r="AA124" s="1269"/>
      <c r="AB124" s="1334"/>
      <c r="AC124" s="1127"/>
      <c r="AD124" s="1336"/>
      <c r="AE124" s="1336"/>
      <c r="AF124" s="1337"/>
      <c r="AG124" s="1111"/>
    </row>
    <row r="125" spans="1:33" s="112" customFormat="1" ht="21" customHeight="1">
      <c r="A125" s="859" t="s">
        <v>384</v>
      </c>
      <c r="B125" s="1389" t="s">
        <v>549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101"/>
      <c r="M125" s="1101"/>
      <c r="N125" s="1101"/>
      <c r="O125" s="1101"/>
      <c r="P125" s="1101"/>
      <c r="Q125" s="884"/>
      <c r="R125" s="1127"/>
      <c r="S125" s="1127"/>
      <c r="T125" s="1127"/>
      <c r="U125" s="1127"/>
      <c r="V125" s="1127"/>
      <c r="W125" s="1127"/>
      <c r="X125" s="1127"/>
      <c r="Y125" s="1127"/>
      <c r="Z125" s="1127"/>
      <c r="AA125" s="1127"/>
      <c r="AB125" s="1127"/>
      <c r="AC125" s="1127"/>
      <c r="AD125" s="1127"/>
      <c r="AE125" s="1127"/>
      <c r="AF125" s="1127"/>
      <c r="AG125" s="1111"/>
    </row>
    <row r="126" spans="1:33" s="112" customFormat="1" ht="21" customHeight="1">
      <c r="A126" s="859"/>
      <c r="B126" s="508" t="s">
        <v>330</v>
      </c>
      <c r="C126" s="1250" t="s">
        <v>385</v>
      </c>
      <c r="D126" s="1250"/>
      <c r="E126" s="1250"/>
      <c r="F126" s="509">
        <v>0.2</v>
      </c>
      <c r="G126" s="250" t="s">
        <v>386</v>
      </c>
      <c r="H126" s="1101"/>
      <c r="I126" s="1101"/>
      <c r="J126" s="1101"/>
      <c r="K126" s="1101"/>
      <c r="L126" s="1101"/>
      <c r="M126" s="1101"/>
      <c r="N126" s="1101"/>
      <c r="O126" s="1101"/>
      <c r="P126" s="1101"/>
      <c r="Q126" s="884"/>
      <c r="R126" s="1127"/>
      <c r="S126" s="1127"/>
      <c r="T126" s="1127"/>
      <c r="U126" s="1127"/>
      <c r="V126" s="1127"/>
      <c r="W126" s="1127"/>
      <c r="X126" s="1127"/>
      <c r="Y126" s="1127"/>
      <c r="Z126" s="1127"/>
      <c r="AA126" s="1127"/>
      <c r="AB126" s="1127"/>
      <c r="AC126" s="1127"/>
      <c r="AD126" s="1127"/>
      <c r="AE126" s="1127"/>
      <c r="AF126" s="1127"/>
      <c r="AG126" s="1111"/>
    </row>
    <row r="127" spans="1:33" s="112" customFormat="1" ht="21" customHeight="1">
      <c r="A127" s="859"/>
      <c r="B127" s="250"/>
      <c r="C127" s="250"/>
      <c r="D127" s="250"/>
      <c r="E127" s="1079" t="s">
        <v>30</v>
      </c>
      <c r="F127" s="1320">
        <f>N124*F126</f>
        <v>9.8096000000000014</v>
      </c>
      <c r="G127" s="1320"/>
      <c r="H127" s="833"/>
      <c r="I127" s="250"/>
      <c r="J127" s="1101"/>
      <c r="K127" s="1101"/>
      <c r="L127" s="1101"/>
      <c r="M127" s="1101"/>
      <c r="N127" s="1101"/>
      <c r="O127" s="1101"/>
      <c r="P127" s="1101"/>
      <c r="Q127" s="884"/>
      <c r="R127" s="1127"/>
      <c r="S127" s="1127"/>
      <c r="T127" s="1127"/>
      <c r="U127" s="1127"/>
      <c r="V127" s="1127"/>
      <c r="W127" s="1127"/>
      <c r="X127" s="1127"/>
      <c r="Y127" s="1127"/>
      <c r="Z127" s="1127"/>
      <c r="AA127" s="1127"/>
      <c r="AB127" s="1127"/>
      <c r="AC127" s="1127"/>
      <c r="AD127" s="1127"/>
      <c r="AE127" s="1127"/>
      <c r="AF127" s="1127"/>
      <c r="AG127" s="1111"/>
    </row>
    <row r="128" spans="1:33" s="112" customFormat="1" ht="21" customHeight="1">
      <c r="A128" s="859"/>
      <c r="B128" s="1101"/>
      <c r="C128" s="1101"/>
      <c r="D128" s="1101"/>
      <c r="E128" s="1091" t="s">
        <v>30</v>
      </c>
      <c r="F128" s="1320">
        <f>H113</f>
        <v>49.32</v>
      </c>
      <c r="G128" s="1320"/>
      <c r="H128" s="1091" t="s">
        <v>330</v>
      </c>
      <c r="I128" s="1320">
        <f>H117</f>
        <v>20</v>
      </c>
      <c r="J128" s="1320"/>
      <c r="K128" s="358" t="s">
        <v>330</v>
      </c>
      <c r="L128" s="1320">
        <f>F127</f>
        <v>9.8096000000000014</v>
      </c>
      <c r="M128" s="1320"/>
      <c r="N128" s="1103"/>
      <c r="O128" s="1101"/>
      <c r="P128" s="1101"/>
      <c r="Q128" s="884"/>
      <c r="R128" s="1099"/>
      <c r="S128" s="1099"/>
      <c r="T128" s="1099"/>
      <c r="U128" s="1099"/>
      <c r="V128" s="1099"/>
      <c r="W128" s="1099"/>
      <c r="X128" s="321"/>
      <c r="Y128" s="1127"/>
      <c r="Z128" s="1099"/>
      <c r="AA128" s="1099"/>
      <c r="AB128" s="1099"/>
      <c r="AC128" s="1099"/>
      <c r="AD128" s="1099"/>
      <c r="AE128" s="1099"/>
      <c r="AF128" s="1099"/>
      <c r="AG128" s="1111"/>
    </row>
    <row r="129" spans="1:33" s="112" customFormat="1" ht="21" customHeight="1">
      <c r="A129" s="859"/>
      <c r="B129" s="1101"/>
      <c r="C129" s="1101"/>
      <c r="D129" s="1101"/>
      <c r="E129" s="1091" t="s">
        <v>30</v>
      </c>
      <c r="F129" s="1320">
        <f>F128-I128-L128</f>
        <v>19.510399999999997</v>
      </c>
      <c r="G129" s="1320"/>
      <c r="H129" s="1103"/>
      <c r="I129" s="1101"/>
      <c r="J129" s="1101"/>
      <c r="K129" s="1101"/>
      <c r="L129" s="1101"/>
      <c r="M129" s="1101"/>
      <c r="N129" s="1101"/>
      <c r="O129" s="1101"/>
      <c r="P129" s="1101"/>
      <c r="Q129" s="884"/>
      <c r="R129" s="1099"/>
      <c r="S129" s="1099"/>
      <c r="T129" s="1099"/>
      <c r="U129" s="1099"/>
      <c r="V129" s="1099"/>
      <c r="W129" s="1099"/>
      <c r="X129" s="321"/>
      <c r="Y129" s="1127"/>
      <c r="Z129" s="1099"/>
      <c r="AA129" s="1099"/>
      <c r="AB129" s="1099"/>
      <c r="AC129" s="1099"/>
      <c r="AD129" s="1099"/>
      <c r="AE129" s="1099"/>
      <c r="AF129" s="1099"/>
      <c r="AG129" s="1111"/>
    </row>
    <row r="130" spans="1:33" s="112" customFormat="1" ht="21" customHeight="1">
      <c r="A130" s="860" t="s">
        <v>840</v>
      </c>
      <c r="B130" s="1091"/>
      <c r="C130" s="1091"/>
      <c r="D130" s="1091"/>
      <c r="E130" s="1091"/>
      <c r="F130" s="1091"/>
      <c r="G130" s="1091"/>
      <c r="H130" s="1091"/>
      <c r="I130" s="1091"/>
      <c r="J130" s="1091"/>
      <c r="K130" s="1091"/>
      <c r="L130" s="1091"/>
      <c r="M130" s="1091"/>
      <c r="N130" s="1091"/>
      <c r="O130" s="1091"/>
      <c r="P130" s="1091"/>
      <c r="Q130" s="884"/>
      <c r="R130" s="1099"/>
      <c r="S130" s="1126"/>
      <c r="T130" s="1126"/>
      <c r="U130" s="1126"/>
      <c r="V130" s="1126"/>
      <c r="W130" s="1126"/>
      <c r="X130" s="1126"/>
      <c r="Y130" s="1126"/>
      <c r="Z130" s="1126"/>
      <c r="AA130" s="1126"/>
      <c r="AB130" s="1126"/>
      <c r="AC130" s="1126"/>
      <c r="AD130" s="1126"/>
      <c r="AE130" s="1126"/>
      <c r="AF130" s="1099"/>
      <c r="AG130" s="1111"/>
    </row>
    <row r="131" spans="1:33" s="112" customFormat="1" ht="21" customHeight="1">
      <c r="A131" s="857" t="s">
        <v>387</v>
      </c>
      <c r="B131" s="1091" t="s">
        <v>494</v>
      </c>
      <c r="C131" s="1091" t="s">
        <v>30</v>
      </c>
      <c r="D131" s="1091" t="s">
        <v>495</v>
      </c>
      <c r="E131" s="1091" t="s">
        <v>51</v>
      </c>
      <c r="F131" s="350" t="s">
        <v>550</v>
      </c>
      <c r="G131" s="1091"/>
      <c r="H131" s="1091" t="s">
        <v>551</v>
      </c>
      <c r="I131" s="1091">
        <v>1</v>
      </c>
      <c r="J131" s="1091" t="s">
        <v>330</v>
      </c>
      <c r="K131" s="1091" t="s">
        <v>326</v>
      </c>
      <c r="L131" s="1091" t="s">
        <v>143</v>
      </c>
      <c r="M131" s="1091"/>
      <c r="N131" s="1091"/>
      <c r="O131" s="1091"/>
      <c r="P131" s="1091"/>
      <c r="Q131" s="884"/>
      <c r="R131" s="1099"/>
      <c r="S131" s="1099"/>
      <c r="T131" s="1099"/>
      <c r="U131" s="1099"/>
      <c r="V131" s="345"/>
      <c r="W131" s="1099"/>
      <c r="X131" s="339"/>
      <c r="Y131" s="1099"/>
      <c r="Z131" s="1099"/>
      <c r="AA131" s="1099"/>
      <c r="AB131" s="1099"/>
      <c r="AC131" s="1126"/>
      <c r="AD131" s="1126"/>
      <c r="AE131" s="1126"/>
      <c r="AF131" s="1126"/>
      <c r="AG131" s="1111"/>
    </row>
    <row r="132" spans="1:33" s="112" customFormat="1" ht="21" customHeight="1">
      <c r="A132" s="1116" t="s">
        <v>496</v>
      </c>
      <c r="B132" s="1091"/>
      <c r="C132" s="1260" t="s">
        <v>375</v>
      </c>
      <c r="D132" s="1260"/>
      <c r="E132" s="1091"/>
      <c r="F132" s="1091" t="s">
        <v>495</v>
      </c>
      <c r="G132" s="1091" t="s">
        <v>30</v>
      </c>
      <c r="H132" s="1390" t="s">
        <v>497</v>
      </c>
      <c r="I132" s="1390"/>
      <c r="J132" s="1390"/>
      <c r="K132" s="1390"/>
      <c r="L132" s="1390"/>
      <c r="M132" s="1390"/>
      <c r="N132" s="1390"/>
      <c r="O132" s="1390"/>
      <c r="P132" s="1422"/>
      <c r="Q132" s="902"/>
      <c r="R132" s="1099">
        <v>0.03</v>
      </c>
      <c r="S132" s="1099" t="s">
        <v>292</v>
      </c>
      <c r="T132" s="1099">
        <v>0.11</v>
      </c>
      <c r="U132" s="1126"/>
      <c r="V132" s="1099"/>
      <c r="W132" s="1099"/>
      <c r="X132" s="1335"/>
      <c r="Y132" s="1335"/>
      <c r="Z132" s="1335"/>
      <c r="AA132" s="1335"/>
      <c r="AB132" s="1335"/>
      <c r="AC132" s="1335"/>
      <c r="AD132" s="1335"/>
      <c r="AE132" s="1335"/>
      <c r="AF132" s="1335"/>
      <c r="AG132" s="1111"/>
    </row>
    <row r="133" spans="1:33" s="112" customFormat="1" ht="21" customHeight="1">
      <c r="A133" s="1108"/>
      <c r="B133" s="1149"/>
      <c r="C133" s="1091"/>
      <c r="D133" s="1091"/>
      <c r="E133" s="1091"/>
      <c r="F133" s="1091" t="s">
        <v>388</v>
      </c>
      <c r="G133" s="1091" t="s">
        <v>30</v>
      </c>
      <c r="H133" s="1260" t="s">
        <v>389</v>
      </c>
      <c r="I133" s="1260"/>
      <c r="J133" s="1091" t="s">
        <v>54</v>
      </c>
      <c r="K133" s="1091"/>
      <c r="L133" s="1091"/>
      <c r="M133" s="1091"/>
      <c r="N133" s="1091"/>
      <c r="O133" s="1091"/>
      <c r="P133" s="1100"/>
      <c r="Q133" s="902"/>
      <c r="R133" s="1099"/>
      <c r="S133" s="1099"/>
      <c r="T133" s="1099"/>
      <c r="U133" s="1099"/>
      <c r="V133" s="1099"/>
      <c r="W133" s="1099"/>
      <c r="X133" s="1269"/>
      <c r="Y133" s="1269"/>
      <c r="Z133" s="1099"/>
      <c r="AA133" s="1099"/>
      <c r="AB133" s="1099"/>
      <c r="AC133" s="1099"/>
      <c r="AD133" s="1099"/>
      <c r="AE133" s="1099"/>
      <c r="AF133" s="1099"/>
      <c r="AG133" s="1111"/>
    </row>
    <row r="134" spans="1:33" s="112" customFormat="1" ht="21" customHeight="1">
      <c r="A134" s="1108"/>
      <c r="B134" s="1149"/>
      <c r="C134" s="1091"/>
      <c r="D134" s="1091"/>
      <c r="E134" s="1091"/>
      <c r="F134" s="1091" t="s">
        <v>326</v>
      </c>
      <c r="G134" s="1091" t="s">
        <v>30</v>
      </c>
      <c r="H134" s="1260" t="s">
        <v>390</v>
      </c>
      <c r="I134" s="1260"/>
      <c r="J134" s="1091" t="s">
        <v>391</v>
      </c>
      <c r="K134" s="1091" t="s">
        <v>392</v>
      </c>
      <c r="L134" s="1091">
        <v>0.2</v>
      </c>
      <c r="M134" s="1091" t="s">
        <v>143</v>
      </c>
      <c r="N134" s="1091"/>
      <c r="O134" s="1091"/>
      <c r="P134" s="1100"/>
      <c r="Q134" s="902"/>
      <c r="R134" s="1099">
        <v>15</v>
      </c>
      <c r="S134" s="1099"/>
      <c r="T134" s="1099"/>
      <c r="U134" s="1099"/>
      <c r="V134" s="1099"/>
      <c r="W134" s="1099"/>
      <c r="X134" s="1269"/>
      <c r="Y134" s="1269"/>
      <c r="Z134" s="1269"/>
      <c r="AA134" s="1099"/>
      <c r="AB134" s="1099"/>
      <c r="AC134" s="1099"/>
      <c r="AD134" s="1099"/>
      <c r="AE134" s="1099"/>
      <c r="AF134" s="1099"/>
      <c r="AG134" s="1111"/>
    </row>
    <row r="135" spans="1:33" s="112" customFormat="1" ht="21" customHeight="1">
      <c r="A135" s="1116"/>
      <c r="B135" s="1091" t="s">
        <v>494</v>
      </c>
      <c r="C135" s="1260" t="s">
        <v>498</v>
      </c>
      <c r="D135" s="1260"/>
      <c r="E135" s="1091" t="s">
        <v>30</v>
      </c>
      <c r="F135" s="948">
        <v>0.11</v>
      </c>
      <c r="G135" s="1088" t="s">
        <v>499</v>
      </c>
      <c r="H135" s="1088"/>
      <c r="I135" s="1091"/>
      <c r="J135" s="1091"/>
      <c r="K135" s="350" t="s">
        <v>553</v>
      </c>
      <c r="L135" s="1154"/>
      <c r="M135" s="1088"/>
      <c r="N135" s="1091"/>
      <c r="O135" s="1091"/>
      <c r="P135" s="1091"/>
      <c r="Q135" s="884"/>
      <c r="R135" s="1099"/>
      <c r="S135" s="1269">
        <v>0.18</v>
      </c>
      <c r="T135" s="1269"/>
      <c r="U135" s="1099"/>
      <c r="V135" s="1099"/>
      <c r="W135" s="1127"/>
      <c r="X135" s="1127"/>
      <c r="Y135" s="1126"/>
      <c r="Z135" s="1126"/>
      <c r="AA135" s="345"/>
      <c r="AB135" s="1147"/>
      <c r="AC135" s="1127"/>
      <c r="AD135" s="1099"/>
      <c r="AE135" s="1099"/>
      <c r="AF135" s="1099"/>
      <c r="AG135" s="1111"/>
    </row>
    <row r="136" spans="1:33" s="112" customFormat="1" ht="21" customHeight="1">
      <c r="A136" s="1116"/>
      <c r="B136" s="1091"/>
      <c r="C136" s="1091"/>
      <c r="D136" s="1091"/>
      <c r="E136" s="1091" t="s">
        <v>30</v>
      </c>
      <c r="F136" s="1317">
        <f>F135*1.09^(K80-20)</f>
        <v>0.11</v>
      </c>
      <c r="G136" s="1317"/>
      <c r="H136" s="1257" t="s">
        <v>486</v>
      </c>
      <c r="I136" s="1257"/>
      <c r="J136" s="1091"/>
      <c r="K136" s="1091"/>
      <c r="L136" s="1091"/>
      <c r="M136" s="1091"/>
      <c r="N136" s="1091"/>
      <c r="O136" s="1091"/>
      <c r="P136" s="1091"/>
      <c r="Q136" s="884"/>
      <c r="R136" s="1099"/>
      <c r="S136" s="1099"/>
      <c r="T136" s="1099"/>
      <c r="U136" s="1099"/>
      <c r="V136" s="1269"/>
      <c r="W136" s="1269"/>
      <c r="X136" s="1265"/>
      <c r="Y136" s="1265"/>
      <c r="Z136" s="1099"/>
      <c r="AA136" s="1099"/>
      <c r="AB136" s="1099"/>
      <c r="AC136" s="1099"/>
      <c r="AD136" s="1099"/>
      <c r="AE136" s="1099"/>
      <c r="AF136" s="1099"/>
      <c r="AG136" s="1111"/>
    </row>
    <row r="137" spans="1:33" s="112" customFormat="1" ht="21" customHeight="1">
      <c r="A137" s="1116" t="s">
        <v>393</v>
      </c>
      <c r="B137" s="1091" t="s">
        <v>394</v>
      </c>
      <c r="C137" s="1091" t="s">
        <v>30</v>
      </c>
      <c r="D137" s="1091" t="s">
        <v>395</v>
      </c>
      <c r="E137" s="1091" t="s">
        <v>343</v>
      </c>
      <c r="F137" s="1091" t="s">
        <v>392</v>
      </c>
      <c r="G137" s="1091" t="s">
        <v>494</v>
      </c>
      <c r="H137" s="1091" t="s">
        <v>51</v>
      </c>
      <c r="I137" s="1091" t="s">
        <v>396</v>
      </c>
      <c r="J137" s="1091" t="s">
        <v>143</v>
      </c>
      <c r="K137" s="1091"/>
      <c r="L137" s="1091"/>
      <c r="M137" s="1091"/>
      <c r="N137" s="1091"/>
      <c r="O137" s="1091"/>
      <c r="P137" s="1091"/>
      <c r="Q137" s="884"/>
      <c r="R137" s="1099"/>
      <c r="S137" s="1099"/>
      <c r="T137" s="1099"/>
      <c r="U137" s="1099"/>
      <c r="V137" s="1099"/>
      <c r="W137" s="1099"/>
      <c r="X137" s="1099"/>
      <c r="Y137" s="1099"/>
      <c r="Z137" s="1099"/>
      <c r="AA137" s="1099"/>
      <c r="AB137" s="1099"/>
      <c r="AC137" s="1099"/>
      <c r="AD137" s="1099"/>
      <c r="AE137" s="1099"/>
      <c r="AF137" s="1099"/>
      <c r="AG137" s="1111"/>
    </row>
    <row r="138" spans="1:33" s="112" customFormat="1" ht="21" customHeight="1">
      <c r="A138" s="1119"/>
      <c r="B138" s="1121"/>
      <c r="C138" s="1321" t="s">
        <v>375</v>
      </c>
      <c r="D138" s="1321"/>
      <c r="E138" s="1321" t="s">
        <v>395</v>
      </c>
      <c r="F138" s="1321"/>
      <c r="G138" s="1121" t="s">
        <v>30</v>
      </c>
      <c r="H138" s="1102" t="s">
        <v>397</v>
      </c>
      <c r="I138" s="1102"/>
      <c r="J138" s="1102"/>
      <c r="K138" s="1102"/>
      <c r="L138" s="1102"/>
      <c r="M138" s="1102"/>
      <c r="N138" s="1102"/>
      <c r="O138" s="1102"/>
      <c r="P138" s="1121"/>
      <c r="Q138" s="882"/>
      <c r="R138" s="1099"/>
      <c r="S138" s="1269"/>
      <c r="T138" s="1269"/>
      <c r="U138" s="1269"/>
      <c r="V138" s="1269"/>
      <c r="W138" s="1099"/>
      <c r="X138" s="1127"/>
      <c r="Y138" s="1127"/>
      <c r="Z138" s="1127"/>
      <c r="AA138" s="1127"/>
      <c r="AB138" s="1127"/>
      <c r="AC138" s="1127"/>
      <c r="AD138" s="1127"/>
      <c r="AE138" s="1127"/>
      <c r="AF138" s="1099"/>
      <c r="AG138" s="1111"/>
    </row>
    <row r="139" spans="1:33" s="112" customFormat="1" ht="21" customHeight="1">
      <c r="A139" s="956"/>
      <c r="B139" s="1105"/>
      <c r="C139" s="1105"/>
      <c r="D139" s="1105"/>
      <c r="E139" s="1319" t="s">
        <v>396</v>
      </c>
      <c r="F139" s="1319"/>
      <c r="G139" s="1105" t="s">
        <v>30</v>
      </c>
      <c r="H139" s="1319" t="s">
        <v>398</v>
      </c>
      <c r="I139" s="1319"/>
      <c r="J139" s="1140" t="s">
        <v>399</v>
      </c>
      <c r="K139" s="1105"/>
      <c r="L139" s="1105"/>
      <c r="M139" s="1105"/>
      <c r="N139" s="1105"/>
      <c r="O139" s="1105"/>
      <c r="P139" s="1105"/>
      <c r="Q139" s="883"/>
      <c r="R139" s="1099"/>
      <c r="S139" s="1099"/>
      <c r="T139" s="1099"/>
      <c r="U139" s="1099"/>
      <c r="V139" s="1099"/>
      <c r="W139" s="1099"/>
      <c r="X139" s="1269"/>
      <c r="Y139" s="1269"/>
      <c r="Z139" s="1127"/>
      <c r="AA139" s="1099"/>
      <c r="AB139" s="1099"/>
      <c r="AC139" s="1099"/>
      <c r="AD139" s="1099"/>
      <c r="AE139" s="1099"/>
      <c r="AF139" s="1099"/>
      <c r="AG139" s="1111"/>
    </row>
    <row r="140" spans="1:33" s="112" customFormat="1" ht="21" customHeight="1">
      <c r="A140" s="859"/>
      <c r="B140" s="1091"/>
      <c r="C140" s="1091" t="s">
        <v>30</v>
      </c>
      <c r="D140" s="359">
        <f>F129</f>
        <v>19.510399999999997</v>
      </c>
      <c r="E140" s="1091" t="s">
        <v>327</v>
      </c>
      <c r="F140" s="1157">
        <f>F135</f>
        <v>0.11</v>
      </c>
      <c r="G140" s="1091" t="s">
        <v>51</v>
      </c>
      <c r="H140" s="1318" t="s">
        <v>555</v>
      </c>
      <c r="I140" s="1318"/>
      <c r="J140" s="1088" t="s">
        <v>400</v>
      </c>
      <c r="K140" s="1278">
        <f>'설계기준(설계치12)'!K15</f>
        <v>2400</v>
      </c>
      <c r="L140" s="1260"/>
      <c r="M140" s="1091" t="s">
        <v>143</v>
      </c>
      <c r="N140" s="1091" t="s">
        <v>41</v>
      </c>
      <c r="O140" s="1091">
        <v>24</v>
      </c>
      <c r="P140" s="1091" t="s">
        <v>188</v>
      </c>
      <c r="Q140" s="884"/>
      <c r="R140" s="1099"/>
      <c r="S140" s="1099"/>
      <c r="T140" s="1147"/>
      <c r="U140" s="1349"/>
      <c r="V140" s="1350"/>
      <c r="W140" s="339"/>
      <c r="X140" s="1099"/>
      <c r="Y140" s="1099"/>
      <c r="Z140" s="345"/>
      <c r="AA140" s="1099"/>
      <c r="AB140" s="1126"/>
      <c r="AC140" s="1099"/>
      <c r="AD140" s="1099"/>
      <c r="AE140" s="1099"/>
      <c r="AF140" s="1099"/>
      <c r="AG140" s="1111"/>
    </row>
    <row r="141" spans="1:33" s="112" customFormat="1" ht="21" customHeight="1">
      <c r="A141" s="859"/>
      <c r="B141" s="1091"/>
      <c r="C141" s="1091" t="s">
        <v>30</v>
      </c>
      <c r="D141" s="1124">
        <f>(D140)/(F140*1.09^(K80-20)*K140)*O140</f>
        <v>1.7736727272727268</v>
      </c>
      <c r="E141" s="1091" t="s">
        <v>188</v>
      </c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884"/>
      <c r="R141" s="1099">
        <f>+I143/L148</f>
        <v>0.37705627705627692</v>
      </c>
      <c r="S141" s="1099"/>
      <c r="T141" s="1099"/>
      <c r="U141" s="1099"/>
      <c r="V141" s="1099"/>
      <c r="W141" s="1099"/>
      <c r="X141" s="1127"/>
      <c r="Y141" s="1297"/>
      <c r="Z141" s="1269"/>
      <c r="AA141" s="1130"/>
      <c r="AB141" s="1099"/>
      <c r="AC141" s="1099"/>
      <c r="AD141" s="1099"/>
      <c r="AE141" s="1307"/>
      <c r="AF141" s="1307"/>
      <c r="AG141" s="1111"/>
    </row>
    <row r="142" spans="1:33" s="112" customFormat="1" ht="21" customHeight="1">
      <c r="A142" s="860" t="s">
        <v>401</v>
      </c>
      <c r="B142" s="1091"/>
      <c r="C142" s="1091"/>
      <c r="D142" s="1091"/>
      <c r="E142" s="1091"/>
      <c r="F142" s="1091"/>
      <c r="G142" s="1091"/>
      <c r="H142" s="1091"/>
      <c r="I142" s="1091"/>
      <c r="J142" s="1091"/>
      <c r="K142" s="1091"/>
      <c r="L142" s="1091"/>
      <c r="M142" s="1091"/>
      <c r="N142" s="1091"/>
      <c r="O142" s="1091"/>
      <c r="P142" s="1091"/>
      <c r="Q142" s="884"/>
      <c r="R142" s="1099"/>
      <c r="S142" s="1099"/>
      <c r="T142" s="1099"/>
      <c r="U142" s="1099"/>
      <c r="V142" s="1099"/>
      <c r="W142" s="1099"/>
      <c r="X142" s="1099"/>
      <c r="Y142" s="1099"/>
      <c r="Z142" s="1099"/>
      <c r="AA142" s="1099"/>
      <c r="AB142" s="1099"/>
      <c r="AC142" s="1099"/>
      <c r="AD142" s="1099"/>
      <c r="AE142" s="1099"/>
      <c r="AF142" s="1099"/>
      <c r="AG142" s="1111"/>
    </row>
    <row r="143" spans="1:33" s="112" customFormat="1" ht="21" customHeight="1">
      <c r="A143" s="1116" t="s">
        <v>117</v>
      </c>
      <c r="B143" s="1091"/>
      <c r="C143" s="1333">
        <f>+'설계기준(유입수질농도증가20)'!H4</f>
        <v>64.583333333333329</v>
      </c>
      <c r="D143" s="1333"/>
      <c r="E143" s="1091" t="s">
        <v>51</v>
      </c>
      <c r="F143" s="514">
        <f>D141</f>
        <v>1.7736727272727268</v>
      </c>
      <c r="G143" s="1091" t="s">
        <v>188</v>
      </c>
      <c r="H143" s="1091" t="s">
        <v>30</v>
      </c>
      <c r="I143" s="1291">
        <f>C143*F143</f>
        <v>114.54969696969694</v>
      </c>
      <c r="J143" s="1291"/>
      <c r="K143" s="1091" t="s">
        <v>118</v>
      </c>
      <c r="L143" s="1091"/>
      <c r="M143" s="1097"/>
      <c r="N143" s="1091"/>
      <c r="O143" s="1101"/>
      <c r="P143" s="1101"/>
      <c r="Q143" s="884"/>
      <c r="R143" s="1696">
        <f>IF(+L148/I143&gt;1,1,+L148/I143)</f>
        <v>1</v>
      </c>
      <c r="S143" s="1305">
        <f>+R143*R181</f>
        <v>0.98812122276355796</v>
      </c>
      <c r="T143" s="1305"/>
      <c r="U143" s="1305"/>
      <c r="V143" s="1126">
        <v>59</v>
      </c>
      <c r="W143" s="1039"/>
      <c r="X143" s="321"/>
      <c r="Y143" s="1126"/>
      <c r="Z143" s="1040"/>
      <c r="AA143" s="321"/>
      <c r="AB143" s="1126"/>
      <c r="AC143" s="945"/>
      <c r="AD143" s="1126"/>
      <c r="AE143" s="321"/>
      <c r="AF143" s="321"/>
      <c r="AG143" s="1111"/>
    </row>
    <row r="144" spans="1:33" s="112" customFormat="1" ht="21" customHeight="1">
      <c r="A144" s="860" t="s">
        <v>402</v>
      </c>
      <c r="B144" s="1091"/>
      <c r="C144" s="1091"/>
      <c r="D144" s="1091"/>
      <c r="E144" s="1091"/>
      <c r="F144" s="1091"/>
      <c r="G144" s="1091"/>
      <c r="H144" s="1091"/>
      <c r="I144" s="1091"/>
      <c r="J144" s="1091"/>
      <c r="K144" s="1091"/>
      <c r="L144" s="1091"/>
      <c r="M144" s="1091"/>
      <c r="N144" s="1091"/>
      <c r="O144" s="1091"/>
      <c r="P144" s="1091"/>
      <c r="Q144" s="884"/>
      <c r="R144" s="1099"/>
      <c r="S144" s="1305">
        <v>0.8</v>
      </c>
      <c r="T144" s="1305"/>
      <c r="U144" s="1305"/>
      <c r="V144" s="1099">
        <v>31</v>
      </c>
      <c r="W144" s="1099"/>
      <c r="X144" s="1099"/>
      <c r="Y144" s="1099"/>
      <c r="Z144" s="1099"/>
      <c r="AA144" s="1099"/>
      <c r="AB144" s="1099"/>
      <c r="AC144" s="1099"/>
      <c r="AD144" s="1099"/>
      <c r="AE144" s="1099"/>
      <c r="AF144" s="1099"/>
      <c r="AG144" s="1111"/>
    </row>
    <row r="145" spans="1:67" s="112" customFormat="1" ht="21" customHeight="1">
      <c r="A145" s="1116" t="s">
        <v>304</v>
      </c>
      <c r="B145" s="1149"/>
      <c r="C145" s="1260" t="s">
        <v>121</v>
      </c>
      <c r="D145" s="1260"/>
      <c r="E145" s="1260"/>
      <c r="F145" s="1260"/>
      <c r="G145" s="1260"/>
      <c r="H145" s="1260"/>
      <c r="I145" s="1260"/>
      <c r="J145" s="1260"/>
      <c r="K145" s="1260"/>
      <c r="L145" s="1260"/>
      <c r="M145" s="1260"/>
      <c r="N145" s="1260"/>
      <c r="O145" s="1091"/>
      <c r="P145" s="1101"/>
      <c r="Q145" s="884"/>
      <c r="R145" s="1132"/>
      <c r="S145" s="1305">
        <f>+S143*S144</f>
        <v>0.79049697821084641</v>
      </c>
      <c r="T145" s="1305"/>
      <c r="U145" s="1305"/>
      <c r="V145" s="1041">
        <f>1-V144/V143</f>
        <v>0.47457627118644063</v>
      </c>
      <c r="W145" s="1132"/>
      <c r="X145" s="1132">
        <f>V143-+V143*S145</f>
        <v>12.360678285560063</v>
      </c>
      <c r="Y145" s="1132"/>
      <c r="Z145" s="1132"/>
      <c r="AA145" s="1132"/>
      <c r="AB145" s="1132"/>
      <c r="AC145" s="1132"/>
      <c r="AD145" s="1132"/>
      <c r="AE145" s="1132"/>
      <c r="AF145" s="1132"/>
      <c r="AG145" s="1111"/>
    </row>
    <row r="146" spans="1:67" s="112" customFormat="1" ht="21" customHeight="1">
      <c r="A146" s="1116" t="s">
        <v>122</v>
      </c>
      <c r="B146" s="1091" t="s">
        <v>307</v>
      </c>
      <c r="C146" s="309">
        <v>7</v>
      </c>
      <c r="D146" s="1091" t="s">
        <v>308</v>
      </c>
      <c r="E146" s="1091" t="s">
        <v>51</v>
      </c>
      <c r="F146" s="1091" t="s">
        <v>108</v>
      </c>
      <c r="G146" s="309">
        <v>3.5</v>
      </c>
      <c r="H146" s="1091" t="s">
        <v>308</v>
      </c>
      <c r="I146" s="1091" t="s">
        <v>51</v>
      </c>
      <c r="J146" s="1260" t="s">
        <v>123</v>
      </c>
      <c r="K146" s="1260"/>
      <c r="L146" s="1091" t="s">
        <v>311</v>
      </c>
      <c r="M146" s="309">
        <v>6.2</v>
      </c>
      <c r="N146" s="1091" t="s">
        <v>308</v>
      </c>
      <c r="O146" s="1091"/>
      <c r="P146" s="1091"/>
      <c r="Q146" s="884"/>
      <c r="R146" s="1147"/>
      <c r="S146" s="1129"/>
      <c r="T146" s="1127"/>
      <c r="U146" s="1099"/>
      <c r="V146" s="1147"/>
      <c r="W146" s="1129"/>
      <c r="X146" s="1127"/>
      <c r="Y146" s="1099"/>
      <c r="Z146" s="1269"/>
      <c r="AA146" s="1269"/>
      <c r="AB146" s="1147"/>
      <c r="AC146" s="1099"/>
      <c r="AD146" s="1127"/>
      <c r="AE146" s="1099"/>
      <c r="AF146" s="1099"/>
      <c r="AG146" s="1111"/>
    </row>
    <row r="147" spans="1:67" s="112" customFormat="1" ht="21" customHeight="1">
      <c r="A147" s="1116" t="s">
        <v>131</v>
      </c>
      <c r="B147" s="1101"/>
      <c r="C147" s="1101"/>
      <c r="D147" s="1101"/>
      <c r="E147" s="1101"/>
      <c r="F147" s="1101"/>
      <c r="G147" s="1101"/>
      <c r="H147" s="1091">
        <v>2</v>
      </c>
      <c r="I147" s="1101" t="s">
        <v>313</v>
      </c>
      <c r="J147" s="1101"/>
      <c r="K147" s="1101"/>
      <c r="L147" s="1101"/>
      <c r="M147" s="1101"/>
      <c r="N147" s="1101"/>
      <c r="O147" s="1091"/>
      <c r="P147" s="1091"/>
      <c r="Q147" s="884"/>
      <c r="R147" s="1132"/>
      <c r="S147" s="1132"/>
      <c r="T147" s="1132"/>
      <c r="U147" s="1132"/>
      <c r="V147" s="1132"/>
      <c r="W147" s="1132"/>
      <c r="X147" s="1099"/>
      <c r="Y147" s="1132"/>
      <c r="Z147" s="1132"/>
      <c r="AA147" s="1132"/>
      <c r="AB147" s="1132"/>
      <c r="AC147" s="1132"/>
      <c r="AD147" s="1132"/>
      <c r="AE147" s="1099"/>
      <c r="AF147" s="1099"/>
      <c r="AG147" s="1111"/>
    </row>
    <row r="148" spans="1:67" s="112" customFormat="1" ht="21" customHeight="1">
      <c r="A148" s="1116" t="s">
        <v>126</v>
      </c>
      <c r="B148" s="1091" t="s">
        <v>127</v>
      </c>
      <c r="C148" s="1091" t="s">
        <v>30</v>
      </c>
      <c r="D148" s="1272">
        <f>C146*G146*M146</f>
        <v>151.9</v>
      </c>
      <c r="E148" s="1272"/>
      <c r="F148" s="1260" t="s">
        <v>128</v>
      </c>
      <c r="G148" s="1260"/>
      <c r="H148" s="1091" t="s">
        <v>51</v>
      </c>
      <c r="I148" s="1091">
        <f>H147</f>
        <v>2</v>
      </c>
      <c r="J148" s="1091" t="str">
        <f>I147</f>
        <v>계열</v>
      </c>
      <c r="K148" s="1091" t="s">
        <v>30</v>
      </c>
      <c r="L148" s="1291">
        <f>D148*I148</f>
        <v>303.8</v>
      </c>
      <c r="M148" s="1291"/>
      <c r="N148" s="1101"/>
      <c r="O148" s="1091"/>
      <c r="P148" s="1091"/>
      <c r="Q148" s="884"/>
      <c r="R148" s="1099"/>
      <c r="S148" s="1099"/>
      <c r="T148" s="1269"/>
      <c r="U148" s="1269"/>
      <c r="V148" s="1269"/>
      <c r="W148" s="1269"/>
      <c r="X148" s="1132"/>
      <c r="Y148" s="1099"/>
      <c r="Z148" s="1132"/>
      <c r="AA148" s="1132"/>
      <c r="AB148" s="1269"/>
      <c r="AC148" s="1269"/>
      <c r="AD148" s="1132"/>
      <c r="AE148" s="1099"/>
      <c r="AF148" s="1099"/>
      <c r="AG148" s="1111"/>
    </row>
    <row r="149" spans="1:67" s="112" customFormat="1" ht="21" customHeight="1">
      <c r="A149" s="860" t="s">
        <v>403</v>
      </c>
      <c r="B149" s="1091"/>
      <c r="C149" s="1091"/>
      <c r="D149" s="1091"/>
      <c r="E149" s="1091"/>
      <c r="F149" s="1091"/>
      <c r="G149" s="1091"/>
      <c r="H149" s="1091"/>
      <c r="I149" s="1091"/>
      <c r="J149" s="1091"/>
      <c r="K149" s="1091"/>
      <c r="L149" s="1091"/>
      <c r="M149" s="1091"/>
      <c r="N149" s="1091"/>
      <c r="O149" s="1091"/>
      <c r="P149" s="1091"/>
      <c r="Q149" s="878"/>
      <c r="R149" s="1099"/>
      <c r="S149" s="1099"/>
      <c r="T149" s="1099"/>
      <c r="U149" s="1099"/>
      <c r="V149" s="1099"/>
      <c r="W149" s="1099"/>
      <c r="X149" s="1099"/>
      <c r="Y149" s="1099"/>
      <c r="Z149" s="1099"/>
      <c r="AA149" s="1099"/>
      <c r="AB149" s="1099"/>
      <c r="AC149" s="1099"/>
      <c r="AD149" s="1099"/>
      <c r="AE149" s="1099"/>
      <c r="AF149" s="1099"/>
      <c r="AG149" s="1111"/>
    </row>
    <row r="150" spans="1:67" s="100" customFormat="1" ht="21" customHeight="1">
      <c r="A150" s="1116" t="s">
        <v>404</v>
      </c>
      <c r="B150" s="1291">
        <f>L148</f>
        <v>303.8</v>
      </c>
      <c r="C150" s="1291"/>
      <c r="D150" s="1091" t="s">
        <v>405</v>
      </c>
      <c r="E150" s="1327">
        <f>+'설계기준(유입수질농도증가20)'!C4</f>
        <v>1550</v>
      </c>
      <c r="F150" s="1327"/>
      <c r="G150" s="1328"/>
      <c r="H150" s="1091" t="s">
        <v>41</v>
      </c>
      <c r="I150" s="1304">
        <v>24</v>
      </c>
      <c r="J150" s="1304"/>
      <c r="K150" s="362" t="s">
        <v>30</v>
      </c>
      <c r="L150" s="1332">
        <f>B150/E150*I150</f>
        <v>4.7040000000000006</v>
      </c>
      <c r="M150" s="1332"/>
      <c r="N150" s="1101"/>
      <c r="O150" s="1101"/>
      <c r="P150" s="1101"/>
      <c r="Q150" s="878"/>
      <c r="R150" s="1269"/>
      <c r="S150" s="1269"/>
      <c r="T150" s="1099"/>
      <c r="U150" s="1306"/>
      <c r="V150" s="1295"/>
      <c r="W150" s="1295"/>
      <c r="X150" s="1099"/>
      <c r="Y150" s="1348"/>
      <c r="Z150" s="1295"/>
      <c r="AA150" s="364"/>
      <c r="AB150" s="1307"/>
      <c r="AC150" s="1269"/>
      <c r="AD150" s="1132"/>
      <c r="AE150" s="1132"/>
      <c r="AF150" s="1132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101" customFormat="1" ht="21" customHeight="1">
      <c r="A151" s="738" t="s">
        <v>577</v>
      </c>
      <c r="B151" s="322"/>
      <c r="C151" s="1101"/>
      <c r="D151" s="1101"/>
      <c r="E151" s="1101"/>
      <c r="F151" s="1101"/>
      <c r="G151" s="1101"/>
      <c r="H151" s="1101"/>
      <c r="I151" s="1101"/>
      <c r="J151" s="1101"/>
      <c r="K151" s="1101"/>
      <c r="L151" s="1101"/>
      <c r="M151" s="1101"/>
      <c r="N151" s="1101"/>
      <c r="O151" s="1101"/>
      <c r="P151" s="1101"/>
      <c r="Q151" s="878"/>
      <c r="R151" s="1132"/>
      <c r="S151" s="1132"/>
      <c r="T151" s="1132"/>
      <c r="U151" s="1132"/>
      <c r="V151" s="1132"/>
      <c r="W151" s="1132"/>
      <c r="X151" s="1132"/>
      <c r="Y151" s="1132"/>
      <c r="Z151" s="1132"/>
      <c r="AA151" s="1132"/>
      <c r="AB151" s="1132"/>
      <c r="AC151" s="1132"/>
      <c r="AD151" s="1132"/>
      <c r="AE151" s="1132"/>
      <c r="AF151" s="1132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1:67" s="100" customFormat="1" ht="21" customHeight="1">
      <c r="A152" s="739" t="s">
        <v>406</v>
      </c>
      <c r="B152" s="1096" t="s">
        <v>578</v>
      </c>
      <c r="C152" s="1088"/>
      <c r="D152" s="1088"/>
      <c r="E152" s="1088"/>
      <c r="F152" s="1088"/>
      <c r="G152" s="1088"/>
      <c r="H152" s="1088"/>
      <c r="I152" s="1088"/>
      <c r="J152" s="1088"/>
      <c r="K152" s="1088"/>
      <c r="L152" s="1088"/>
      <c r="M152" s="1088"/>
      <c r="N152" s="1088"/>
      <c r="O152" s="1088"/>
      <c r="P152" s="1088"/>
      <c r="Q152" s="878"/>
      <c r="R152" s="1127"/>
      <c r="S152" s="1127"/>
      <c r="T152" s="1127"/>
      <c r="U152" s="1127"/>
      <c r="V152" s="1127"/>
      <c r="W152" s="1127"/>
      <c r="X152" s="1127"/>
      <c r="Y152" s="1127"/>
      <c r="Z152" s="1127"/>
      <c r="AA152" s="1127"/>
      <c r="AB152" s="1127"/>
      <c r="AC152" s="1127"/>
      <c r="AD152" s="1127"/>
      <c r="AE152" s="1127"/>
      <c r="AF152" s="1127"/>
      <c r="AG152" s="45"/>
    </row>
    <row r="153" spans="1:67" s="100" customFormat="1" ht="21" customHeight="1">
      <c r="A153" s="739"/>
      <c r="B153" s="1096" t="s">
        <v>579</v>
      </c>
      <c r="C153" s="1088"/>
      <c r="D153" s="1088"/>
      <c r="E153" s="1088"/>
      <c r="F153" s="1088"/>
      <c r="G153" s="1088"/>
      <c r="H153" s="1088"/>
      <c r="I153" s="1088"/>
      <c r="J153" s="1088"/>
      <c r="K153" s="1088"/>
      <c r="L153" s="1088"/>
      <c r="M153" s="1088"/>
      <c r="N153" s="1088"/>
      <c r="O153" s="1088"/>
      <c r="P153" s="1088"/>
      <c r="Q153" s="878"/>
      <c r="R153" s="1127"/>
      <c r="S153" s="1127"/>
      <c r="T153" s="1127"/>
      <c r="U153" s="1127"/>
      <c r="V153" s="1127"/>
      <c r="W153" s="1127"/>
      <c r="X153" s="1127"/>
      <c r="Y153" s="1127"/>
      <c r="Z153" s="1127"/>
      <c r="AA153" s="1127"/>
      <c r="AB153" s="1127"/>
      <c r="AC153" s="1127"/>
      <c r="AD153" s="1127"/>
      <c r="AE153" s="1127"/>
      <c r="AF153" s="1127"/>
      <c r="AG153" s="45"/>
    </row>
    <row r="154" spans="1:67" s="100" customFormat="1" ht="21" customHeight="1">
      <c r="A154" s="739" t="s">
        <v>407</v>
      </c>
      <c r="B154" s="1101"/>
      <c r="C154" s="1101"/>
      <c r="D154" s="1101"/>
      <c r="E154" s="1101"/>
      <c r="F154" s="1101"/>
      <c r="G154" s="1101"/>
      <c r="H154" s="1101"/>
      <c r="I154" s="1101"/>
      <c r="J154" s="1101"/>
      <c r="K154" s="1101"/>
      <c r="L154" s="1101"/>
      <c r="M154" s="1101"/>
      <c r="N154" s="1101"/>
      <c r="O154" s="1101"/>
      <c r="P154" s="1101"/>
      <c r="Q154" s="878"/>
      <c r="R154" s="1132"/>
      <c r="S154" s="1132"/>
      <c r="T154" s="1132"/>
      <c r="U154" s="1132"/>
      <c r="V154" s="1132"/>
      <c r="W154" s="1132"/>
      <c r="X154" s="1132"/>
      <c r="Y154" s="1132"/>
      <c r="Z154" s="1132"/>
      <c r="AA154" s="1132"/>
      <c r="AB154" s="1132"/>
      <c r="AC154" s="1132"/>
      <c r="AD154" s="1132"/>
      <c r="AE154" s="1132"/>
      <c r="AF154" s="1132"/>
      <c r="AG154" s="45"/>
    </row>
    <row r="155" spans="1:67" s="100" customFormat="1" ht="21" customHeight="1">
      <c r="A155" s="857" t="s">
        <v>408</v>
      </c>
      <c r="B155" s="1101"/>
      <c r="C155" s="1091" t="s">
        <v>500</v>
      </c>
      <c r="D155" s="362" t="s">
        <v>30</v>
      </c>
      <c r="E155" s="1091" t="s">
        <v>409</v>
      </c>
      <c r="F155" s="1091" t="s">
        <v>41</v>
      </c>
      <c r="G155" s="1091" t="s">
        <v>410</v>
      </c>
      <c r="H155" s="1091" t="s">
        <v>330</v>
      </c>
      <c r="I155" s="1091" t="s">
        <v>501</v>
      </c>
      <c r="J155" s="1101"/>
      <c r="K155" s="1101"/>
      <c r="L155" s="1101"/>
      <c r="M155" s="1101"/>
      <c r="N155" s="1101"/>
      <c r="O155" s="1101"/>
      <c r="P155" s="1101"/>
      <c r="Q155" s="878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45"/>
    </row>
    <row r="156" spans="1:67" s="100" customFormat="1" ht="21" customHeight="1">
      <c r="A156" s="859" t="s">
        <v>411</v>
      </c>
      <c r="B156" s="1101"/>
      <c r="C156" s="1091" t="s">
        <v>410</v>
      </c>
      <c r="D156" s="362" t="s">
        <v>30</v>
      </c>
      <c r="E156" s="1091" t="s">
        <v>412</v>
      </c>
      <c r="F156" s="1091" t="s">
        <v>41</v>
      </c>
      <c r="G156" s="1101" t="s">
        <v>556</v>
      </c>
      <c r="H156" s="1091" t="s">
        <v>524</v>
      </c>
      <c r="I156" s="1091" t="s">
        <v>557</v>
      </c>
      <c r="J156" s="1101"/>
      <c r="K156" s="1101"/>
      <c r="L156" s="1101"/>
      <c r="M156" s="1101"/>
      <c r="N156" s="1101"/>
      <c r="O156" s="1101"/>
      <c r="P156" s="1101"/>
      <c r="Q156" s="878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45"/>
    </row>
    <row r="157" spans="1:67" s="100" customFormat="1" ht="21" customHeight="1">
      <c r="A157" s="859" t="s">
        <v>145</v>
      </c>
      <c r="B157" s="1101"/>
      <c r="C157" s="1101" t="s">
        <v>367</v>
      </c>
      <c r="D157" s="1101"/>
      <c r="E157" s="1101" t="s">
        <v>502</v>
      </c>
      <c r="F157" s="1101"/>
      <c r="G157" s="1101"/>
      <c r="H157" s="1101"/>
      <c r="I157" s="1101"/>
      <c r="J157" s="1101"/>
      <c r="K157" s="731">
        <v>0.44</v>
      </c>
      <c r="L157" s="1101" t="s">
        <v>413</v>
      </c>
      <c r="M157" s="1101"/>
      <c r="N157" s="1101"/>
      <c r="O157" s="1101"/>
      <c r="P157" s="1101"/>
      <c r="Q157" s="878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1"/>
      <c r="AB157" s="321"/>
      <c r="AC157" s="321"/>
      <c r="AD157" s="321"/>
      <c r="AE157" s="321"/>
      <c r="AF157" s="321"/>
      <c r="AG157" s="45"/>
    </row>
    <row r="158" spans="1:67" s="100" customFormat="1" ht="21" customHeight="1">
      <c r="A158" s="859"/>
      <c r="B158" s="1101"/>
      <c r="C158" s="1101"/>
      <c r="D158" s="1101"/>
      <c r="E158" s="1101" t="s">
        <v>503</v>
      </c>
      <c r="F158" s="1101"/>
      <c r="G158" s="1101"/>
      <c r="H158" s="1101"/>
      <c r="I158" s="1101"/>
      <c r="J158" s="1101"/>
      <c r="K158" s="1101"/>
      <c r="L158" s="1101"/>
      <c r="M158" s="1101"/>
      <c r="N158" s="1101"/>
      <c r="O158" s="1101"/>
      <c r="P158" s="1101"/>
      <c r="Q158" s="878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45"/>
    </row>
    <row r="159" spans="1:67" s="100" customFormat="1" ht="21" customHeight="1">
      <c r="A159" s="859"/>
      <c r="B159" s="1101"/>
      <c r="C159" s="1101"/>
      <c r="D159" s="1101"/>
      <c r="E159" s="1101" t="s">
        <v>504</v>
      </c>
      <c r="F159" s="1101"/>
      <c r="G159" s="1101"/>
      <c r="H159" s="1101"/>
      <c r="I159" s="1101"/>
      <c r="J159" s="1101"/>
      <c r="K159" s="1101"/>
      <c r="L159" s="1101"/>
      <c r="M159" s="1101"/>
      <c r="N159" s="1101"/>
      <c r="O159" s="1101"/>
      <c r="P159" s="1101"/>
      <c r="Q159" s="878"/>
      <c r="R159" s="321"/>
      <c r="S159" s="321"/>
      <c r="T159" s="321"/>
      <c r="U159" s="321"/>
      <c r="V159" s="321"/>
      <c r="W159" s="321"/>
      <c r="X159" s="321"/>
      <c r="Y159" s="321"/>
      <c r="Z159" s="321"/>
      <c r="AA159" s="321"/>
      <c r="AB159" s="321"/>
      <c r="AC159" s="321"/>
      <c r="AD159" s="321"/>
      <c r="AE159" s="321"/>
      <c r="AF159" s="321"/>
      <c r="AG159" s="45"/>
    </row>
    <row r="160" spans="1:67" s="100" customFormat="1" ht="21" customHeight="1">
      <c r="A160" s="859"/>
      <c r="B160" s="1101"/>
      <c r="C160" s="1091" t="s">
        <v>410</v>
      </c>
      <c r="D160" s="362" t="s">
        <v>30</v>
      </c>
      <c r="E160" s="1091">
        <v>1</v>
      </c>
      <c r="F160" s="1091" t="s">
        <v>343</v>
      </c>
      <c r="G160" s="1091">
        <f>K157</f>
        <v>0.44</v>
      </c>
      <c r="H160" s="1091" t="s">
        <v>141</v>
      </c>
      <c r="I160" s="1091">
        <v>1</v>
      </c>
      <c r="J160" s="1091" t="s">
        <v>343</v>
      </c>
      <c r="K160" s="1124">
        <f>K90</f>
        <v>10</v>
      </c>
      <c r="L160" s="362" t="s">
        <v>328</v>
      </c>
      <c r="M160" s="941">
        <v>0.04</v>
      </c>
      <c r="N160" s="1091" t="s">
        <v>143</v>
      </c>
      <c r="O160" s="1091"/>
      <c r="P160" s="1091"/>
      <c r="Q160" s="878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45"/>
    </row>
    <row r="161" spans="1:33" s="100" customFormat="1" ht="21" customHeight="1">
      <c r="A161" s="859"/>
      <c r="B161" s="1101"/>
      <c r="C161" s="1091"/>
      <c r="D161" s="362" t="s">
        <v>30</v>
      </c>
      <c r="E161" s="834">
        <f>(E160/G160)*(I160/K160+M160)</f>
        <v>0.31818181818181823</v>
      </c>
      <c r="F161" s="1091" t="s">
        <v>486</v>
      </c>
      <c r="G161" s="1091"/>
      <c r="H161" s="1091"/>
      <c r="I161" s="1091"/>
      <c r="J161" s="1091"/>
      <c r="K161" s="1091"/>
      <c r="L161" s="1091"/>
      <c r="M161" s="1091"/>
      <c r="N161" s="1091"/>
      <c r="O161" s="1091"/>
      <c r="P161" s="1091"/>
      <c r="Q161" s="878"/>
      <c r="R161" s="321"/>
      <c r="S161" s="321"/>
      <c r="T161" s="321"/>
      <c r="U161" s="321"/>
      <c r="V161" s="321"/>
      <c r="W161" s="321"/>
      <c r="X161" s="321"/>
      <c r="Y161" s="321"/>
      <c r="Z161" s="321"/>
      <c r="AA161" s="321"/>
      <c r="AB161" s="321"/>
      <c r="AC161" s="321"/>
      <c r="AD161" s="321"/>
      <c r="AE161" s="321"/>
      <c r="AF161" s="321"/>
      <c r="AG161" s="45"/>
    </row>
    <row r="162" spans="1:33" s="100" customFormat="1" ht="21" customHeight="1">
      <c r="A162" s="1116" t="s">
        <v>414</v>
      </c>
      <c r="B162" s="1101"/>
      <c r="C162" s="1091" t="s">
        <v>410</v>
      </c>
      <c r="D162" s="362" t="s">
        <v>30</v>
      </c>
      <c r="E162" s="1091" t="s">
        <v>558</v>
      </c>
      <c r="F162" s="362" t="s">
        <v>330</v>
      </c>
      <c r="G162" s="1124" t="s">
        <v>561</v>
      </c>
      <c r="H162" s="1124" t="s">
        <v>142</v>
      </c>
      <c r="I162" s="1091" t="s">
        <v>559</v>
      </c>
      <c r="J162" s="1091" t="s">
        <v>524</v>
      </c>
      <c r="K162" s="1091" t="s">
        <v>560</v>
      </c>
      <c r="L162" s="1101"/>
      <c r="M162" s="1101"/>
      <c r="N162" s="1101"/>
      <c r="O162" s="1101"/>
      <c r="P162" s="1101"/>
      <c r="Q162" s="878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45"/>
    </row>
    <row r="163" spans="1:33" s="100" customFormat="1" ht="21" customHeight="1">
      <c r="A163" s="859" t="s">
        <v>415</v>
      </c>
      <c r="B163" s="1101"/>
      <c r="C163" s="1101" t="s">
        <v>367</v>
      </c>
      <c r="D163" s="498"/>
      <c r="E163" s="1101" t="s">
        <v>505</v>
      </c>
      <c r="F163" s="1101"/>
      <c r="G163" s="413"/>
      <c r="H163" s="1101"/>
      <c r="I163" s="1101"/>
      <c r="J163" s="1101"/>
      <c r="K163" s="1101"/>
      <c r="L163" s="1101"/>
      <c r="M163" s="1101"/>
      <c r="N163" s="1101"/>
      <c r="O163" s="1101"/>
      <c r="P163" s="1101"/>
      <c r="Q163" s="878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 s="45"/>
    </row>
    <row r="164" spans="1:33" s="100" customFormat="1" ht="21" customHeight="1">
      <c r="A164" s="861" t="s">
        <v>416</v>
      </c>
      <c r="B164" s="1101"/>
      <c r="C164" s="1101"/>
      <c r="D164" s="498"/>
      <c r="E164" s="1101" t="s">
        <v>417</v>
      </c>
      <c r="F164" s="1101"/>
      <c r="G164" s="413"/>
      <c r="H164" s="1101"/>
      <c r="I164" s="1101"/>
      <c r="J164" s="1101"/>
      <c r="K164" s="1101"/>
      <c r="L164" s="1101"/>
      <c r="M164" s="1101"/>
      <c r="N164" s="1101"/>
      <c r="O164" s="1101"/>
      <c r="P164" s="1101"/>
      <c r="Q164" s="878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45"/>
    </row>
    <row r="165" spans="1:33" s="100" customFormat="1" ht="21" customHeight="1">
      <c r="A165" s="861"/>
      <c r="B165" s="1101"/>
      <c r="C165" s="1101"/>
      <c r="D165" s="498"/>
      <c r="E165" s="1101" t="s">
        <v>506</v>
      </c>
      <c r="F165" s="1101"/>
      <c r="G165" s="413"/>
      <c r="H165" s="1101"/>
      <c r="I165" s="1101"/>
      <c r="J165" s="1101"/>
      <c r="K165" s="1101"/>
      <c r="L165" s="1101"/>
      <c r="M165" s="1101"/>
      <c r="N165" s="1101"/>
      <c r="O165" s="1101"/>
      <c r="P165" s="1101"/>
      <c r="Q165" s="878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45"/>
    </row>
    <row r="166" spans="1:33" s="100" customFormat="1" ht="21" customHeight="1">
      <c r="A166" s="861"/>
      <c r="B166" s="1101"/>
      <c r="C166" s="1101"/>
      <c r="D166" s="498"/>
      <c r="E166" s="1101" t="s">
        <v>418</v>
      </c>
      <c r="F166" s="1101"/>
      <c r="G166" s="413"/>
      <c r="H166" s="1101"/>
      <c r="I166" s="1101"/>
      <c r="J166" s="1101"/>
      <c r="K166" s="1101"/>
      <c r="L166" s="1101"/>
      <c r="M166" s="1101"/>
      <c r="N166" s="1101"/>
      <c r="O166" s="1101"/>
      <c r="P166" s="1101"/>
      <c r="Q166" s="878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45"/>
    </row>
    <row r="167" spans="1:33" s="100" customFormat="1" ht="21" customHeight="1">
      <c r="A167" s="861"/>
      <c r="B167" s="1101"/>
      <c r="C167" s="1091" t="s">
        <v>102</v>
      </c>
      <c r="D167" s="362" t="s">
        <v>30</v>
      </c>
      <c r="E167" s="1420">
        <f>+'설계기준(유입수질농도증가20)'!F7</f>
        <v>218.7</v>
      </c>
      <c r="F167" s="1420"/>
      <c r="G167" s="951" t="s">
        <v>547</v>
      </c>
      <c r="H167" s="952">
        <f>+'설계기준(유입수질농도증가20)'!J7</f>
        <v>6</v>
      </c>
      <c r="I167" s="1091" t="s">
        <v>554</v>
      </c>
      <c r="J167" s="1086">
        <f>E161</f>
        <v>0.31818181818181823</v>
      </c>
      <c r="K167" s="1091" t="s">
        <v>41</v>
      </c>
      <c r="L167" s="1409">
        <f>'설계기준(설계치12)'!K15</f>
        <v>2400</v>
      </c>
      <c r="M167" s="1409"/>
      <c r="N167" s="1109"/>
      <c r="O167" s="1101"/>
      <c r="P167" s="1101"/>
      <c r="Q167" s="954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1"/>
      <c r="AF167" s="321"/>
      <c r="AG167" s="45"/>
    </row>
    <row r="168" spans="1:33" s="100" customFormat="1" ht="21" customHeight="1">
      <c r="A168" s="861"/>
      <c r="B168" s="1101"/>
      <c r="C168" s="1101"/>
      <c r="D168" s="362" t="s">
        <v>30</v>
      </c>
      <c r="E168" s="1419">
        <f>(E167-H167)/(J167*L167)</f>
        <v>0.27853571428571422</v>
      </c>
      <c r="F168" s="1260"/>
      <c r="G168" s="499" t="s">
        <v>30</v>
      </c>
      <c r="H168" s="1322">
        <f>E168*24</f>
        <v>6.6848571428571413</v>
      </c>
      <c r="I168" s="1323"/>
      <c r="J168" s="1101"/>
      <c r="K168" s="1101"/>
      <c r="L168" s="1101"/>
      <c r="M168" s="1101"/>
      <c r="N168" s="1101"/>
      <c r="O168" s="1101"/>
      <c r="P168" s="1101"/>
      <c r="Q168" s="878"/>
      <c r="R168" s="321"/>
      <c r="S168" s="321"/>
      <c r="T168" s="321"/>
      <c r="U168" s="321"/>
      <c r="V168" s="321"/>
      <c r="W168" s="321"/>
      <c r="X168" s="321"/>
      <c r="Y168" s="321"/>
      <c r="Z168" s="321"/>
      <c r="AA168" s="321"/>
      <c r="AB168" s="321"/>
      <c r="AC168" s="321"/>
      <c r="AD168" s="321"/>
      <c r="AE168" s="321"/>
      <c r="AF168" s="321"/>
      <c r="AG168" s="45"/>
    </row>
    <row r="169" spans="1:33" s="100" customFormat="1" ht="21" customHeight="1">
      <c r="A169" s="863" t="s">
        <v>419</v>
      </c>
      <c r="B169" s="1091" t="s">
        <v>507</v>
      </c>
      <c r="C169" s="500" t="s">
        <v>392</v>
      </c>
      <c r="D169" s="501" t="s">
        <v>377</v>
      </c>
      <c r="E169" s="1101" t="s">
        <v>330</v>
      </c>
      <c r="F169" s="1101" t="s">
        <v>373</v>
      </c>
      <c r="G169" s="1101" t="s">
        <v>420</v>
      </c>
      <c r="H169" s="502" t="s">
        <v>347</v>
      </c>
      <c r="I169" s="1101" t="s">
        <v>41</v>
      </c>
      <c r="J169" s="410" t="s">
        <v>421</v>
      </c>
      <c r="K169" s="1101"/>
      <c r="L169" s="1101"/>
      <c r="M169" s="1101"/>
      <c r="N169" s="1101"/>
      <c r="O169" s="1101"/>
      <c r="P169" s="1101"/>
      <c r="Q169" s="878"/>
      <c r="R169" s="1132"/>
      <c r="S169" s="365"/>
      <c r="T169" s="366"/>
      <c r="U169" s="1132"/>
      <c r="V169" s="1132"/>
      <c r="W169" s="1132"/>
      <c r="X169" s="367"/>
      <c r="Y169" s="1132"/>
      <c r="Z169" s="368"/>
      <c r="AA169" s="1132"/>
      <c r="AB169" s="1132"/>
      <c r="AC169" s="1132"/>
      <c r="AD169" s="1132"/>
      <c r="AE169" s="1132"/>
      <c r="AF169" s="1132"/>
      <c r="AG169" s="45"/>
    </row>
    <row r="170" spans="1:33" s="100" customFormat="1" ht="21" customHeight="1">
      <c r="A170" s="863" t="s">
        <v>422</v>
      </c>
      <c r="B170" s="1275" t="s">
        <v>367</v>
      </c>
      <c r="C170" s="1276"/>
      <c r="D170" s="1091" t="s">
        <v>423</v>
      </c>
      <c r="E170" s="1091" t="s">
        <v>30</v>
      </c>
      <c r="F170" s="1257" t="s">
        <v>424</v>
      </c>
      <c r="G170" s="1257"/>
      <c r="H170" s="1257"/>
      <c r="I170" s="1257"/>
      <c r="J170" s="1257"/>
      <c r="K170" s="1257"/>
      <c r="L170" s="1257"/>
      <c r="M170" s="1257"/>
      <c r="N170" s="1257"/>
      <c r="O170" s="1257"/>
      <c r="P170" s="1257"/>
      <c r="Q170" s="878"/>
      <c r="R170" s="1269"/>
      <c r="S170" s="1269"/>
      <c r="T170" s="1099"/>
      <c r="U170" s="1099"/>
      <c r="V170" s="1265"/>
      <c r="W170" s="1265"/>
      <c r="X170" s="1265"/>
      <c r="Y170" s="1265"/>
      <c r="Z170" s="1265"/>
      <c r="AA170" s="1265"/>
      <c r="AB170" s="1265"/>
      <c r="AC170" s="1265"/>
      <c r="AD170" s="1265"/>
      <c r="AE170" s="1265"/>
      <c r="AF170" s="1265"/>
      <c r="AG170" s="45"/>
    </row>
    <row r="171" spans="1:33" s="100" customFormat="1" ht="21" customHeight="1">
      <c r="A171" s="957" t="s">
        <v>416</v>
      </c>
      <c r="B171" s="1123"/>
      <c r="C171" s="1123"/>
      <c r="D171" s="1121" t="s">
        <v>373</v>
      </c>
      <c r="E171" s="1121" t="s">
        <v>30</v>
      </c>
      <c r="F171" s="1417" t="s">
        <v>425</v>
      </c>
      <c r="G171" s="1417"/>
      <c r="H171" s="1417"/>
      <c r="I171" s="1417"/>
      <c r="J171" s="1417"/>
      <c r="K171" s="1417"/>
      <c r="L171" s="1417"/>
      <c r="M171" s="1417"/>
      <c r="N171" s="1417"/>
      <c r="O171" s="1417"/>
      <c r="P171" s="1417"/>
      <c r="Q171" s="882"/>
      <c r="R171" s="1132"/>
      <c r="S171" s="1132"/>
      <c r="T171" s="1099"/>
      <c r="U171" s="1099"/>
      <c r="V171" s="1265"/>
      <c r="W171" s="1265"/>
      <c r="X171" s="1265"/>
      <c r="Y171" s="1265"/>
      <c r="Z171" s="1265"/>
      <c r="AA171" s="1265"/>
      <c r="AB171" s="1265"/>
      <c r="AC171" s="1265"/>
      <c r="AD171" s="1265"/>
      <c r="AE171" s="1265"/>
      <c r="AF171" s="1265"/>
      <c r="AG171" s="45"/>
    </row>
    <row r="172" spans="1:33" s="112" customFormat="1" ht="21" customHeight="1">
      <c r="A172" s="862"/>
      <c r="B172" s="1105"/>
      <c r="C172" s="1105"/>
      <c r="D172" s="1105" t="s">
        <v>347</v>
      </c>
      <c r="E172" s="1105" t="s">
        <v>30</v>
      </c>
      <c r="F172" s="1325" t="s">
        <v>508</v>
      </c>
      <c r="G172" s="1325"/>
      <c r="H172" s="1325"/>
      <c r="I172" s="1325"/>
      <c r="J172" s="1325"/>
      <c r="K172" s="1325"/>
      <c r="L172" s="1325"/>
      <c r="M172" s="1325"/>
      <c r="N172" s="1325"/>
      <c r="O172" s="1325"/>
      <c r="P172" s="1325"/>
      <c r="Q172" s="883"/>
      <c r="R172" s="1099"/>
      <c r="S172" s="1099"/>
      <c r="T172" s="1099"/>
      <c r="U172" s="1099"/>
      <c r="V172" s="1265"/>
      <c r="W172" s="1265"/>
      <c r="X172" s="1265"/>
      <c r="Y172" s="1265"/>
      <c r="Z172" s="1265"/>
      <c r="AA172" s="1265"/>
      <c r="AB172" s="1265"/>
      <c r="AC172" s="1265"/>
      <c r="AD172" s="1265"/>
      <c r="AE172" s="1265"/>
      <c r="AF172" s="1265"/>
      <c r="AG172" s="1111"/>
    </row>
    <row r="173" spans="1:33" s="112" customFormat="1" ht="21" customHeight="1">
      <c r="A173" s="861"/>
      <c r="B173" s="1091"/>
      <c r="C173" s="1091"/>
      <c r="D173" s="1091" t="s">
        <v>421</v>
      </c>
      <c r="E173" s="1091" t="s">
        <v>30</v>
      </c>
      <c r="F173" s="1088" t="str">
        <f>"질산화 미생물(㎎/ℓ),["&amp;'설계기준(설계치12)'!K15&amp;"×0.1(질산화미생물비율)]"</f>
        <v>질산화 미생물(㎎/ℓ),[2400×0.1(질산화미생물비율)]</v>
      </c>
      <c r="G173" s="1088"/>
      <c r="H173" s="1088"/>
      <c r="I173" s="1088"/>
      <c r="J173" s="1088"/>
      <c r="K173" s="1088"/>
      <c r="L173" s="1091"/>
      <c r="M173" s="1091"/>
      <c r="N173" s="1091"/>
      <c r="O173" s="1091"/>
      <c r="P173" s="1091"/>
      <c r="Q173" s="885"/>
      <c r="R173" s="1099"/>
      <c r="S173" s="1099"/>
      <c r="T173" s="1099"/>
      <c r="U173" s="1099"/>
      <c r="V173" s="1127"/>
      <c r="W173" s="1127"/>
      <c r="X173" s="1127"/>
      <c r="Y173" s="1127"/>
      <c r="Z173" s="1127"/>
      <c r="AA173" s="1127"/>
      <c r="AB173" s="1099"/>
      <c r="AC173" s="1099"/>
      <c r="AD173" s="1099"/>
      <c r="AE173" s="1099"/>
      <c r="AF173" s="1099"/>
      <c r="AG173" s="1111"/>
    </row>
    <row r="174" spans="1:33" s="112" customFormat="1" ht="21" customHeight="1">
      <c r="A174" s="861"/>
      <c r="B174" s="1091" t="s">
        <v>507</v>
      </c>
      <c r="C174" s="1091" t="s">
        <v>28</v>
      </c>
      <c r="D174" s="413">
        <f>H113</f>
        <v>49.32</v>
      </c>
      <c r="E174" s="1117" t="s">
        <v>547</v>
      </c>
      <c r="F174" s="1124">
        <f>M100</f>
        <v>0.45965040436195276</v>
      </c>
      <c r="G174" s="1091" t="s">
        <v>420</v>
      </c>
      <c r="H174" s="1086">
        <f>O94</f>
        <v>0.75000000000000011</v>
      </c>
      <c r="I174" s="1331">
        <f>'설계기준(설계치12)'!K15</f>
        <v>2400</v>
      </c>
      <c r="J174" s="1331"/>
      <c r="K174" s="947">
        <v>0.08</v>
      </c>
      <c r="L174" s="1091" t="s">
        <v>562</v>
      </c>
      <c r="M174" s="381">
        <v>24</v>
      </c>
      <c r="N174" s="1091" t="s">
        <v>30</v>
      </c>
      <c r="O174" s="1324">
        <f>(D174-F174)/(H174*I174*K174)*M174</f>
        <v>8.1433915992730075</v>
      </c>
      <c r="P174" s="1326"/>
      <c r="Q174" s="878"/>
      <c r="R174" s="1099"/>
      <c r="S174" s="946">
        <f>+H174*K174</f>
        <v>6.0000000000000012E-2</v>
      </c>
      <c r="T174" s="1371"/>
      <c r="U174" s="1371"/>
      <c r="V174" s="1099"/>
      <c r="W174" s="1135"/>
      <c r="X174" s="1372"/>
      <c r="Y174" s="1372"/>
      <c r="Z174" s="1372"/>
      <c r="AA174" s="1099"/>
      <c r="AB174" s="1099"/>
      <c r="AC174" s="369"/>
      <c r="AD174" s="1099"/>
      <c r="AE174" s="1099"/>
      <c r="AF174" s="1111"/>
    </row>
    <row r="175" spans="1:33" s="110" customFormat="1" ht="21" customHeight="1">
      <c r="A175" s="864" t="s">
        <v>426</v>
      </c>
      <c r="B175" s="1091"/>
      <c r="C175" s="1273">
        <f>+'설계기준(유입수질농도증가20)'!H4</f>
        <v>64.583333333333329</v>
      </c>
      <c r="D175" s="1273"/>
      <c r="E175" s="1274"/>
      <c r="F175" s="1091" t="s">
        <v>41</v>
      </c>
      <c r="G175" s="1324">
        <f>MAX(O174,H168)</f>
        <v>8.1433915992730075</v>
      </c>
      <c r="H175" s="1260"/>
      <c r="I175" s="1091" t="s">
        <v>30</v>
      </c>
      <c r="J175" s="1330">
        <f>C175*G175</f>
        <v>525.92737411971507</v>
      </c>
      <c r="K175" s="1330"/>
      <c r="L175" s="1091" t="s">
        <v>118</v>
      </c>
      <c r="M175" s="1091"/>
      <c r="N175" s="1101"/>
      <c r="O175" s="1091"/>
      <c r="P175" s="1091"/>
      <c r="Q175" s="884"/>
      <c r="R175" s="1133"/>
      <c r="S175" s="1345"/>
      <c r="T175" s="1345"/>
      <c r="U175" s="1346"/>
      <c r="V175" s="1133"/>
      <c r="W175" s="1365"/>
      <c r="X175" s="1346"/>
      <c r="Y175" s="1133"/>
      <c r="Z175" s="1373"/>
      <c r="AA175" s="1373"/>
      <c r="AB175" s="1133"/>
      <c r="AC175" s="1133"/>
      <c r="AD175" s="325"/>
      <c r="AE175" s="1133"/>
      <c r="AF175" s="1133"/>
      <c r="AG175" s="1111"/>
    </row>
    <row r="176" spans="1:33" s="112" customFormat="1" ht="21" customHeight="1">
      <c r="A176" s="860" t="s">
        <v>427</v>
      </c>
      <c r="B176" s="1091"/>
      <c r="C176" s="1091"/>
      <c r="D176" s="1091"/>
      <c r="E176" s="1091"/>
      <c r="F176" s="1091"/>
      <c r="G176" s="1091"/>
      <c r="H176" s="1091"/>
      <c r="I176" s="1091"/>
      <c r="J176" s="1091"/>
      <c r="K176" s="1091"/>
      <c r="L176" s="1091"/>
      <c r="M176" s="1091"/>
      <c r="N176" s="1091"/>
      <c r="O176" s="1091"/>
      <c r="P176" s="1091"/>
      <c r="Q176" s="884"/>
      <c r="R176" s="1099"/>
      <c r="S176" s="1099"/>
      <c r="T176" s="1099"/>
      <c r="U176" s="1099"/>
      <c r="V176" s="1099"/>
      <c r="W176" s="1099"/>
      <c r="X176" s="1099"/>
      <c r="Y176" s="1099"/>
      <c r="Z176" s="1099"/>
      <c r="AA176" s="1099"/>
      <c r="AB176" s="1099"/>
      <c r="AC176" s="1099"/>
      <c r="AD176" s="1099"/>
      <c r="AE176" s="1099"/>
      <c r="AF176" s="1099"/>
      <c r="AG176" s="1111"/>
    </row>
    <row r="177" spans="1:33" s="112" customFormat="1" ht="21" customHeight="1">
      <c r="A177" s="1116" t="s">
        <v>304</v>
      </c>
      <c r="B177" s="322"/>
      <c r="C177" s="1260" t="s">
        <v>121</v>
      </c>
      <c r="D177" s="1260"/>
      <c r="E177" s="1101"/>
      <c r="F177" s="1101"/>
      <c r="G177" s="1101"/>
      <c r="H177" s="1101"/>
      <c r="I177" s="1101"/>
      <c r="J177" s="1101"/>
      <c r="K177" s="1101"/>
      <c r="L177" s="1101"/>
      <c r="M177" s="1101"/>
      <c r="N177" s="1101"/>
      <c r="O177" s="1101"/>
      <c r="P177" s="1101"/>
      <c r="Q177" s="884"/>
      <c r="R177" s="1269"/>
      <c r="S177" s="1269"/>
      <c r="T177" s="1269"/>
      <c r="U177" s="1269"/>
      <c r="V177" s="1269"/>
      <c r="W177" s="1269"/>
      <c r="X177" s="1269"/>
      <c r="Y177" s="1269"/>
      <c r="Z177" s="1269"/>
      <c r="AA177" s="1269"/>
      <c r="AB177" s="1269"/>
      <c r="AC177" s="1269"/>
      <c r="AD177" s="1269"/>
      <c r="AE177" s="1269"/>
      <c r="AF177" s="1269"/>
      <c r="AG177" s="1111"/>
    </row>
    <row r="178" spans="1:33" s="112" customFormat="1" ht="21" customHeight="1">
      <c r="A178" s="1116" t="s">
        <v>122</v>
      </c>
      <c r="B178" s="1091" t="s">
        <v>307</v>
      </c>
      <c r="C178" s="309">
        <v>7</v>
      </c>
      <c r="D178" s="1091" t="s">
        <v>308</v>
      </c>
      <c r="E178" s="1091" t="s">
        <v>51</v>
      </c>
      <c r="F178" s="1091" t="s">
        <v>108</v>
      </c>
      <c r="G178" s="309">
        <v>6.4</v>
      </c>
      <c r="H178" s="1091" t="s">
        <v>308</v>
      </c>
      <c r="I178" s="1091" t="s">
        <v>51</v>
      </c>
      <c r="J178" s="1260" t="s">
        <v>428</v>
      </c>
      <c r="K178" s="1260"/>
      <c r="L178" s="309">
        <v>5.8</v>
      </c>
      <c r="M178" s="1091" t="s">
        <v>308</v>
      </c>
      <c r="N178" s="1091" t="s">
        <v>51</v>
      </c>
      <c r="O178" s="1091">
        <v>1</v>
      </c>
      <c r="P178" s="1091" t="s">
        <v>429</v>
      </c>
      <c r="Q178" s="884"/>
      <c r="R178" s="1147"/>
      <c r="S178" s="1129"/>
      <c r="T178" s="1127"/>
      <c r="U178" s="1099"/>
      <c r="V178" s="1147"/>
      <c r="W178" s="1129"/>
      <c r="X178" s="1127"/>
      <c r="Y178" s="1099"/>
      <c r="Z178" s="1269"/>
      <c r="AA178" s="1269"/>
      <c r="AB178" s="1099"/>
      <c r="AC178" s="1127"/>
      <c r="AD178" s="1099"/>
      <c r="AE178" s="1099"/>
      <c r="AF178" s="1099"/>
      <c r="AG178" s="1111"/>
    </row>
    <row r="179" spans="1:33" s="112" customFormat="1" ht="21" hidden="1" customHeight="1">
      <c r="A179" s="1116"/>
      <c r="B179" s="1091"/>
      <c r="C179" s="309"/>
      <c r="D179" s="1091"/>
      <c r="E179" s="1091"/>
      <c r="F179" s="1091"/>
      <c r="G179" s="309"/>
      <c r="H179" s="1091"/>
      <c r="I179" s="1091"/>
      <c r="J179" s="1260"/>
      <c r="K179" s="1260"/>
      <c r="L179" s="309"/>
      <c r="M179" s="1091"/>
      <c r="N179" s="1091"/>
      <c r="O179" s="1091"/>
      <c r="P179" s="1091"/>
      <c r="Q179" s="884"/>
      <c r="R179" s="1147"/>
      <c r="S179" s="1129"/>
      <c r="T179" s="1127"/>
      <c r="U179" s="1099"/>
      <c r="V179" s="1147"/>
      <c r="W179" s="1129"/>
      <c r="X179" s="1127"/>
      <c r="Y179" s="1099"/>
      <c r="Z179" s="1099"/>
      <c r="AA179" s="1099"/>
      <c r="AB179" s="1099"/>
      <c r="AC179" s="1127"/>
      <c r="AD179" s="1099"/>
      <c r="AE179" s="1099"/>
      <c r="AF179" s="1099"/>
      <c r="AG179" s="1111"/>
    </row>
    <row r="180" spans="1:33" s="112" customFormat="1" ht="21" customHeight="1">
      <c r="A180" s="1116" t="s">
        <v>131</v>
      </c>
      <c r="B180" s="1101"/>
      <c r="C180" s="1101"/>
      <c r="D180" s="1101"/>
      <c r="E180" s="1101"/>
      <c r="F180" s="1101"/>
      <c r="G180" s="1101"/>
      <c r="H180" s="1091">
        <v>2</v>
      </c>
      <c r="I180" s="1101" t="s">
        <v>313</v>
      </c>
      <c r="J180" s="1260"/>
      <c r="K180" s="1260"/>
      <c r="L180" s="309"/>
      <c r="M180" s="1091"/>
      <c r="N180" s="1091"/>
      <c r="O180" s="1091"/>
      <c r="P180" s="1091"/>
      <c r="Q180" s="884"/>
      <c r="R180" s="1132"/>
      <c r="S180" s="1132"/>
      <c r="T180" s="1132"/>
      <c r="U180" s="1132"/>
      <c r="V180" s="1132"/>
      <c r="W180" s="1132"/>
      <c r="X180" s="1099"/>
      <c r="Y180" s="1132"/>
      <c r="Z180" s="1132"/>
      <c r="AA180" s="1132"/>
      <c r="AB180" s="1132"/>
      <c r="AC180" s="1132"/>
      <c r="AD180" s="1132"/>
      <c r="AE180" s="1099"/>
      <c r="AF180" s="1099"/>
      <c r="AG180" s="1111"/>
    </row>
    <row r="181" spans="1:33" s="112" customFormat="1" ht="21" customHeight="1">
      <c r="A181" s="1116" t="s">
        <v>126</v>
      </c>
      <c r="B181" s="1091" t="s">
        <v>127</v>
      </c>
      <c r="C181" s="1091" t="s">
        <v>30</v>
      </c>
      <c r="D181" s="1272">
        <f>(C178*G178*L178*O178)+(C179*G179*L179*O179)+(C180*G180*L180*O180)</f>
        <v>259.84000000000003</v>
      </c>
      <c r="E181" s="1272"/>
      <c r="F181" s="1260" t="s">
        <v>128</v>
      </c>
      <c r="G181" s="1260"/>
      <c r="H181" s="1091" t="s">
        <v>51</v>
      </c>
      <c r="I181" s="1091">
        <v>2</v>
      </c>
      <c r="J181" s="1091" t="s">
        <v>837</v>
      </c>
      <c r="K181" s="1091" t="s">
        <v>30</v>
      </c>
      <c r="L181" s="1291">
        <f>D181*I181</f>
        <v>519.68000000000006</v>
      </c>
      <c r="M181" s="1291"/>
      <c r="N181" s="1101"/>
      <c r="O181" s="1091"/>
      <c r="P181" s="1091"/>
      <c r="Q181" s="884"/>
      <c r="R181" s="1347">
        <f>IF(+L181/J175&gt;1,1,+L181/J175)</f>
        <v>0.98812122276355796</v>
      </c>
      <c r="S181" s="1347"/>
      <c r="T181" s="1265"/>
      <c r="U181" s="1265"/>
      <c r="V181" s="1309">
        <f>+J175/L181</f>
        <v>1.012021578894156</v>
      </c>
      <c r="W181" s="1309"/>
      <c r="X181" s="1132"/>
      <c r="Y181" s="1132"/>
      <c r="Z181" s="1132"/>
      <c r="AA181" s="1132"/>
      <c r="AB181" s="1302"/>
      <c r="AC181" s="1302"/>
      <c r="AD181" s="1132"/>
      <c r="AE181" s="1099"/>
      <c r="AF181" s="1099"/>
      <c r="AG181" s="1111"/>
    </row>
    <row r="182" spans="1:33" s="112" customFormat="1" ht="21" customHeight="1">
      <c r="A182" s="1116" t="s">
        <v>430</v>
      </c>
      <c r="B182" s="1291">
        <f>L181</f>
        <v>519.68000000000006</v>
      </c>
      <c r="C182" s="1291"/>
      <c r="D182" s="1091" t="s">
        <v>52</v>
      </c>
      <c r="E182" s="1327">
        <f>'설계기준(유입수질농도증가12)'!C4</f>
        <v>1550</v>
      </c>
      <c r="F182" s="1327"/>
      <c r="G182" s="1328"/>
      <c r="H182" s="1091" t="s">
        <v>51</v>
      </c>
      <c r="I182" s="1304">
        <v>24</v>
      </c>
      <c r="J182" s="1304"/>
      <c r="K182" s="1091" t="s">
        <v>30</v>
      </c>
      <c r="L182" s="1332">
        <f>B182/E182*I182</f>
        <v>8.0466580645161301</v>
      </c>
      <c r="M182" s="1332"/>
      <c r="N182" s="1091"/>
      <c r="O182" s="1091"/>
      <c r="P182" s="1101"/>
      <c r="Q182" s="884"/>
      <c r="R182" s="1362"/>
      <c r="S182" s="1362"/>
      <c r="T182" s="1099"/>
      <c r="U182" s="1306"/>
      <c r="V182" s="1269"/>
      <c r="W182" s="1269"/>
      <c r="X182" s="1132"/>
      <c r="Y182" s="1348"/>
      <c r="Z182" s="1334"/>
      <c r="AA182" s="1099"/>
      <c r="AB182" s="1358"/>
      <c r="AC182" s="1359"/>
      <c r="AD182" s="1126"/>
      <c r="AE182" s="1126"/>
      <c r="AF182" s="1132"/>
      <c r="AG182" s="1111"/>
    </row>
    <row r="183" spans="1:33" s="112" customFormat="1" ht="21" customHeight="1">
      <c r="A183" s="1406" t="s">
        <v>431</v>
      </c>
      <c r="B183" s="1111"/>
      <c r="C183" s="1329">
        <f>E182</f>
        <v>1550</v>
      </c>
      <c r="D183" s="1329"/>
      <c r="E183" s="1091" t="s">
        <v>51</v>
      </c>
      <c r="F183" s="1329">
        <f>'설계기준(설계치12)'!F7</f>
        <v>218.7</v>
      </c>
      <c r="G183" s="1329"/>
      <c r="H183" s="1260" t="s">
        <v>30</v>
      </c>
      <c r="I183" s="1408">
        <f>C183*F183/(C184*F184)</f>
        <v>0.21743188115763543</v>
      </c>
      <c r="J183" s="1408"/>
      <c r="K183" s="1408"/>
      <c r="L183" s="1408"/>
      <c r="M183" s="1088"/>
      <c r="N183" s="1088"/>
      <c r="O183" s="1088"/>
      <c r="P183" s="1088"/>
      <c r="Q183" s="884"/>
      <c r="R183" s="1300"/>
      <c r="S183" s="1269"/>
      <c r="T183" s="1099"/>
      <c r="U183" s="1300"/>
      <c r="V183" s="1269"/>
      <c r="W183" s="1269"/>
      <c r="X183" s="1368"/>
      <c r="Y183" s="1368"/>
      <c r="Z183" s="1368"/>
      <c r="AA183" s="1368"/>
      <c r="AB183" s="1368"/>
      <c r="AC183" s="1127"/>
      <c r="AD183" s="1127"/>
      <c r="AE183" s="1099"/>
      <c r="AF183" s="1099"/>
      <c r="AG183" s="1111"/>
    </row>
    <row r="184" spans="1:33" s="112" customFormat="1" ht="21" customHeight="1">
      <c r="A184" s="1406"/>
      <c r="B184" s="1111"/>
      <c r="C184" s="1396">
        <f>'설계기준(설계치12)'!K14</f>
        <v>3000</v>
      </c>
      <c r="D184" s="1396"/>
      <c r="E184" s="1105" t="s">
        <v>51</v>
      </c>
      <c r="F184" s="1393">
        <f>L181</f>
        <v>519.68000000000006</v>
      </c>
      <c r="G184" s="1393"/>
      <c r="H184" s="1260"/>
      <c r="I184" s="1408"/>
      <c r="J184" s="1408"/>
      <c r="K184" s="1408"/>
      <c r="L184" s="1408"/>
      <c r="M184" s="1088"/>
      <c r="N184" s="1088"/>
      <c r="O184" s="1088"/>
      <c r="P184" s="1088"/>
      <c r="Q184" s="884"/>
      <c r="R184" s="1297"/>
      <c r="S184" s="1269"/>
      <c r="T184" s="1099"/>
      <c r="U184" s="1316"/>
      <c r="V184" s="1269"/>
      <c r="W184" s="1269"/>
      <c r="X184" s="1368"/>
      <c r="Y184" s="1368"/>
      <c r="Z184" s="1368"/>
      <c r="AA184" s="1368"/>
      <c r="AB184" s="1368"/>
      <c r="AC184" s="1127"/>
      <c r="AD184" s="1127"/>
      <c r="AE184" s="1099"/>
      <c r="AF184" s="1099"/>
      <c r="AG184" s="1111"/>
    </row>
    <row r="185" spans="1:33" s="112" customFormat="1" ht="21" customHeight="1">
      <c r="A185" s="1406" t="s">
        <v>432</v>
      </c>
      <c r="B185" s="1111"/>
      <c r="C185" s="1278">
        <f>'설계기준(설계치12)'!K14</f>
        <v>3000</v>
      </c>
      <c r="D185" s="1278"/>
      <c r="E185" s="1091" t="s">
        <v>51</v>
      </c>
      <c r="F185" s="1303">
        <f>L181</f>
        <v>519.68000000000006</v>
      </c>
      <c r="G185" s="1303"/>
      <c r="H185" s="1260" t="s">
        <v>30</v>
      </c>
      <c r="I185" s="1378">
        <f>C185*F185/((C186*F186))</f>
        <v>0.97783464418770949</v>
      </c>
      <c r="J185" s="1378"/>
      <c r="K185" s="1378"/>
      <c r="L185" s="1260" t="str">
        <f>"(생물반응조 SRT : "&amp;R185&amp;"day)"</f>
        <v>(생물반응조 SRT : 2.54day)</v>
      </c>
      <c r="M185" s="1260"/>
      <c r="N185" s="1260"/>
      <c r="O185" s="1260"/>
      <c r="P185" s="1426"/>
      <c r="Q185" s="884"/>
      <c r="R185" s="1407">
        <f>ROUNDUP(C185*E205/C186/F186, 2)</f>
        <v>2.5399999999999996</v>
      </c>
      <c r="S185" s="1407"/>
      <c r="T185" s="1099"/>
      <c r="U185" s="1316"/>
      <c r="V185" s="1269"/>
      <c r="W185" s="1269"/>
      <c r="X185" s="1367"/>
      <c r="Y185" s="1269"/>
      <c r="Z185" s="1099"/>
      <c r="AA185" s="1099"/>
      <c r="AB185" s="1099"/>
      <c r="AC185" s="1099"/>
      <c r="AD185" s="1099"/>
      <c r="AE185" s="1099"/>
      <c r="AF185" s="1099"/>
      <c r="AG185" s="1111"/>
    </row>
    <row r="186" spans="1:33" s="1111" customFormat="1" ht="21" customHeight="1">
      <c r="A186" s="1406"/>
      <c r="C186" s="1279">
        <f>물질수지!T37</f>
        <v>199.29750000000001</v>
      </c>
      <c r="D186" s="1279"/>
      <c r="E186" s="1105" t="s">
        <v>51</v>
      </c>
      <c r="F186" s="1262">
        <f>J101</f>
        <v>8000</v>
      </c>
      <c r="G186" s="1262"/>
      <c r="H186" s="1260"/>
      <c r="I186" s="1378"/>
      <c r="J186" s="1378"/>
      <c r="K186" s="1378"/>
      <c r="L186" s="1260"/>
      <c r="M186" s="1260"/>
      <c r="N186" s="1260"/>
      <c r="O186" s="1260"/>
      <c r="P186" s="1426"/>
      <c r="Q186" s="884"/>
      <c r="R186" s="1407"/>
      <c r="S186" s="1407"/>
      <c r="T186" s="1099"/>
      <c r="U186" s="1369"/>
      <c r="V186" s="1369"/>
      <c r="W186" s="1269"/>
      <c r="X186" s="1269"/>
      <c r="Y186" s="1269"/>
      <c r="Z186" s="370"/>
      <c r="AA186" s="1127"/>
      <c r="AB186" s="1099"/>
      <c r="AC186" s="1099"/>
      <c r="AD186" s="1099"/>
      <c r="AE186" s="1099"/>
      <c r="AF186" s="1099"/>
    </row>
    <row r="187" spans="1:33" s="112" customFormat="1" ht="21" customHeight="1">
      <c r="A187" s="1406" t="s">
        <v>433</v>
      </c>
      <c r="B187" s="1111"/>
      <c r="C187" s="1277">
        <f>E182</f>
        <v>1550</v>
      </c>
      <c r="D187" s="1277"/>
      <c r="E187" s="1091" t="s">
        <v>51</v>
      </c>
      <c r="F187" s="1277">
        <f>F183</f>
        <v>218.7</v>
      </c>
      <c r="G187" s="1277"/>
      <c r="H187" s="1260" t="s">
        <v>30</v>
      </c>
      <c r="I187" s="1394">
        <f>C187*F187/C188/1000</f>
        <v>0.65229564347290636</v>
      </c>
      <c r="J187" s="1394"/>
      <c r="K187" s="1394"/>
      <c r="L187" s="1257" t="str">
        <f>"(생물반응조 : "&amp;R187&amp;"kgBOD/㎥day)"</f>
        <v>(생물반응조 : 0.26kgBOD/㎥day)</v>
      </c>
      <c r="M187" s="1257"/>
      <c r="N187" s="1257"/>
      <c r="O187" s="1257"/>
      <c r="P187" s="1257"/>
      <c r="Q187" s="884"/>
      <c r="R187" s="1407">
        <f>ROUNDUP(C187*F187/(E202+E203+E204)/1000, 2)</f>
        <v>0.26</v>
      </c>
      <c r="S187" s="1407"/>
      <c r="T187" s="1099"/>
      <c r="U187" s="1300"/>
      <c r="V187" s="1269"/>
      <c r="W187" s="1269"/>
      <c r="X187" s="1366"/>
      <c r="Y187" s="1366"/>
      <c r="Z187" s="1295"/>
      <c r="AA187" s="1295"/>
      <c r="AB187" s="1127"/>
      <c r="AC187" s="1127"/>
      <c r="AD187" s="1127"/>
      <c r="AE187" s="1099"/>
      <c r="AF187" s="1099"/>
      <c r="AG187" s="1111"/>
    </row>
    <row r="188" spans="1:33" s="112" customFormat="1" ht="21" customHeight="1">
      <c r="A188" s="1406"/>
      <c r="B188" s="1111"/>
      <c r="C188" s="1395">
        <f>L181</f>
        <v>519.68000000000006</v>
      </c>
      <c r="D188" s="1395"/>
      <c r="E188" s="1395"/>
      <c r="F188" s="1395"/>
      <c r="G188" s="1395"/>
      <c r="H188" s="1260"/>
      <c r="I188" s="1394"/>
      <c r="J188" s="1394"/>
      <c r="K188" s="1394"/>
      <c r="L188" s="1257"/>
      <c r="M188" s="1257"/>
      <c r="N188" s="1257"/>
      <c r="O188" s="1257"/>
      <c r="P188" s="1257"/>
      <c r="Q188" s="884"/>
      <c r="R188" s="1407"/>
      <c r="S188" s="1407"/>
      <c r="T188" s="1127"/>
      <c r="U188" s="1127"/>
      <c r="V188" s="1127"/>
      <c r="W188" s="1269"/>
      <c r="X188" s="1366"/>
      <c r="Y188" s="1366"/>
      <c r="Z188" s="1295"/>
      <c r="AA188" s="1295"/>
      <c r="AB188" s="1127"/>
      <c r="AC188" s="1127"/>
      <c r="AD188" s="1127"/>
      <c r="AE188" s="1099"/>
      <c r="AF188" s="1099"/>
      <c r="AG188" s="1111"/>
    </row>
    <row r="189" spans="1:33" s="112" customFormat="1" ht="21" customHeight="1">
      <c r="A189" s="1116"/>
      <c r="B189" s="1086"/>
      <c r="C189" s="1091"/>
      <c r="D189" s="1091"/>
      <c r="E189" s="1091"/>
      <c r="F189" s="1091"/>
      <c r="G189" s="1091"/>
      <c r="H189" s="484"/>
      <c r="I189" s="484"/>
      <c r="J189" s="1088"/>
      <c r="K189" s="1088"/>
      <c r="L189" s="1088"/>
      <c r="M189" s="1088"/>
      <c r="N189" s="1088"/>
      <c r="O189" s="1088"/>
      <c r="P189" s="1088"/>
      <c r="Q189" s="884"/>
      <c r="R189" s="1135"/>
      <c r="S189" s="1135"/>
      <c r="T189" s="1127"/>
      <c r="U189" s="1127"/>
      <c r="V189" s="1127"/>
      <c r="W189" s="1099"/>
      <c r="X189" s="1134"/>
      <c r="Y189" s="1134"/>
      <c r="Z189" s="1132"/>
      <c r="AA189" s="1132"/>
      <c r="AB189" s="1127"/>
      <c r="AC189" s="1127"/>
      <c r="AD189" s="1127"/>
      <c r="AE189" s="1099"/>
      <c r="AF189" s="1099"/>
      <c r="AG189" s="1111"/>
    </row>
    <row r="190" spans="1:33" s="112" customFormat="1" ht="21" customHeight="1">
      <c r="A190" s="867"/>
      <c r="B190" s="831"/>
      <c r="C190" s="1121"/>
      <c r="D190" s="1121"/>
      <c r="E190" s="1121"/>
      <c r="F190" s="1121"/>
      <c r="G190" s="1121"/>
      <c r="H190" s="955"/>
      <c r="I190" s="955"/>
      <c r="J190" s="1102"/>
      <c r="K190" s="1102"/>
      <c r="L190" s="1102"/>
      <c r="M190" s="1102"/>
      <c r="N190" s="1102"/>
      <c r="O190" s="1102"/>
      <c r="P190" s="1102"/>
      <c r="Q190" s="882"/>
      <c r="R190" s="1135"/>
      <c r="S190" s="1135"/>
      <c r="T190" s="1127"/>
      <c r="U190" s="1127"/>
      <c r="V190" s="1127"/>
      <c r="W190" s="1099"/>
      <c r="X190" s="1134"/>
      <c r="Y190" s="1134"/>
      <c r="Z190" s="1132"/>
      <c r="AA190" s="1132"/>
      <c r="AB190" s="1127"/>
      <c r="AC190" s="1127"/>
      <c r="AD190" s="1127"/>
      <c r="AE190" s="1099"/>
      <c r="AF190" s="1099"/>
      <c r="AG190" s="1111"/>
    </row>
    <row r="191" spans="1:33" s="112" customFormat="1" ht="21" hidden="1" customHeight="1">
      <c r="A191" s="1116"/>
      <c r="B191" s="1086"/>
      <c r="C191" s="1091"/>
      <c r="D191" s="1091"/>
      <c r="E191" s="1091"/>
      <c r="F191" s="1091"/>
      <c r="G191" s="1091"/>
      <c r="H191" s="484"/>
      <c r="I191" s="484"/>
      <c r="J191" s="1088"/>
      <c r="K191" s="1088"/>
      <c r="L191" s="1088"/>
      <c r="M191" s="1088"/>
      <c r="N191" s="1088"/>
      <c r="O191" s="1088"/>
      <c r="P191" s="1088"/>
      <c r="Q191" s="884"/>
      <c r="R191" s="1135"/>
      <c r="S191" s="1135"/>
      <c r="T191" s="1127"/>
      <c r="U191" s="1127"/>
      <c r="V191" s="1127"/>
      <c r="W191" s="1099"/>
      <c r="X191" s="1134"/>
      <c r="Y191" s="1134"/>
      <c r="Z191" s="1132"/>
      <c r="AA191" s="1132"/>
      <c r="AB191" s="1127"/>
      <c r="AC191" s="1127"/>
      <c r="AD191" s="1127"/>
      <c r="AE191" s="1099"/>
      <c r="AF191" s="1099"/>
      <c r="AG191" s="1111"/>
    </row>
    <row r="192" spans="1:33" s="112" customFormat="1" ht="21" hidden="1" customHeight="1">
      <c r="A192" s="1116"/>
      <c r="B192" s="1086"/>
      <c r="C192" s="1091"/>
      <c r="D192" s="1091"/>
      <c r="E192" s="1091"/>
      <c r="F192" s="1091"/>
      <c r="G192" s="1091"/>
      <c r="H192" s="484"/>
      <c r="I192" s="484"/>
      <c r="J192" s="1088"/>
      <c r="K192" s="1088"/>
      <c r="L192" s="1088"/>
      <c r="M192" s="1088"/>
      <c r="N192" s="1088"/>
      <c r="O192" s="1088"/>
      <c r="P192" s="1088"/>
      <c r="Q192" s="884"/>
      <c r="R192" s="1135"/>
      <c r="S192" s="1135"/>
      <c r="T192" s="1127"/>
      <c r="U192" s="1127"/>
      <c r="V192" s="1127"/>
      <c r="W192" s="1099"/>
      <c r="X192" s="1134"/>
      <c r="Y192" s="1134"/>
      <c r="Z192" s="1132">
        <v>750</v>
      </c>
      <c r="AA192" s="1132"/>
      <c r="AB192" s="1127"/>
      <c r="AC192" s="1127"/>
      <c r="AD192" s="1127"/>
      <c r="AE192" s="1099"/>
      <c r="AF192" s="1099"/>
      <c r="AG192" s="1111"/>
    </row>
    <row r="193" spans="1:111" s="112" customFormat="1" ht="21" hidden="1" customHeight="1">
      <c r="A193" s="1116"/>
      <c r="B193" s="1086"/>
      <c r="C193" s="1091"/>
      <c r="D193" s="1091"/>
      <c r="E193" s="1091"/>
      <c r="F193" s="1091"/>
      <c r="G193" s="1091"/>
      <c r="H193" s="484"/>
      <c r="I193" s="484"/>
      <c r="J193" s="1088"/>
      <c r="K193" s="1088"/>
      <c r="L193" s="1088"/>
      <c r="M193" s="1088"/>
      <c r="N193" s="1088"/>
      <c r="O193" s="1088"/>
      <c r="P193" s="1088"/>
      <c r="Q193" s="884"/>
      <c r="R193" s="1135"/>
      <c r="S193" s="1135"/>
      <c r="T193" s="1127"/>
      <c r="U193" s="1127"/>
      <c r="V193" s="1127"/>
      <c r="W193" s="1099"/>
      <c r="X193" s="1134"/>
      <c r="Y193" s="1134"/>
      <c r="Z193" s="1132">
        <f>Z192/24</f>
        <v>31.25</v>
      </c>
      <c r="AA193" s="1132"/>
      <c r="AB193" s="1127"/>
      <c r="AC193" s="1127"/>
      <c r="AD193" s="1127"/>
      <c r="AE193" s="1099"/>
      <c r="AF193" s="1099"/>
      <c r="AG193" s="1111"/>
    </row>
    <row r="194" spans="1:111" s="112" customFormat="1" ht="21" hidden="1" customHeight="1">
      <c r="A194" s="865" t="s">
        <v>434</v>
      </c>
      <c r="B194" s="1260" t="s">
        <v>435</v>
      </c>
      <c r="C194" s="1260"/>
      <c r="D194" s="1091"/>
      <c r="E194" s="1091"/>
      <c r="F194" s="1091"/>
      <c r="G194" s="1091"/>
      <c r="H194" s="1091"/>
      <c r="I194" s="1091"/>
      <c r="J194" s="1091"/>
      <c r="K194" s="1091"/>
      <c r="L194" s="1091"/>
      <c r="M194" s="1091"/>
      <c r="N194" s="1091"/>
      <c r="O194" s="1091"/>
      <c r="P194" s="1091"/>
      <c r="Q194" s="884"/>
      <c r="R194" s="1269"/>
      <c r="S194" s="1269"/>
      <c r="T194" s="1099"/>
      <c r="U194" s="1099"/>
      <c r="V194" s="1099"/>
      <c r="W194" s="1099"/>
      <c r="X194" s="1099"/>
      <c r="Y194" s="1099"/>
      <c r="Z194" s="1099">
        <f>Z193*2</f>
        <v>62.5</v>
      </c>
      <c r="AA194" s="1099"/>
      <c r="AB194" s="1099"/>
      <c r="AC194" s="1099"/>
      <c r="AD194" s="1099"/>
      <c r="AE194" s="1099"/>
      <c r="AF194" s="1099"/>
      <c r="AG194" s="1111"/>
    </row>
    <row r="195" spans="1:111" s="112" customFormat="1" ht="21" hidden="1" customHeight="1">
      <c r="A195" s="865" t="s">
        <v>436</v>
      </c>
      <c r="B195" s="1267" t="s">
        <v>437</v>
      </c>
      <c r="C195" s="1267"/>
      <c r="D195" s="1267"/>
      <c r="E195" s="1266" t="s">
        <v>438</v>
      </c>
      <c r="F195" s="1266"/>
      <c r="G195" s="1266"/>
      <c r="H195" s="1266" t="s">
        <v>439</v>
      </c>
      <c r="I195" s="1266"/>
      <c r="J195" s="1266"/>
      <c r="K195" s="1266" t="s">
        <v>440</v>
      </c>
      <c r="L195" s="1266"/>
      <c r="M195" s="1266"/>
      <c r="N195" s="1266" t="s">
        <v>441</v>
      </c>
      <c r="O195" s="1266"/>
      <c r="P195" s="1091"/>
      <c r="Q195" s="884"/>
      <c r="R195" s="1269"/>
      <c r="S195" s="1269"/>
      <c r="T195" s="1269"/>
      <c r="U195" s="1269"/>
      <c r="V195" s="1269"/>
      <c r="W195" s="1269"/>
      <c r="X195" s="1269"/>
      <c r="Y195" s="1269"/>
      <c r="Z195" s="1269"/>
      <c r="AA195" s="1269"/>
      <c r="AB195" s="1269"/>
      <c r="AC195" s="1269"/>
      <c r="AD195" s="1269"/>
      <c r="AE195" s="1269"/>
      <c r="AF195" s="1099"/>
      <c r="AG195" s="1111"/>
    </row>
    <row r="196" spans="1:111" s="112" customFormat="1" ht="21" hidden="1" customHeight="1">
      <c r="A196" s="859"/>
      <c r="B196" s="1267" t="s">
        <v>442</v>
      </c>
      <c r="C196" s="1267"/>
      <c r="D196" s="1267"/>
      <c r="E196" s="1283">
        <f>J66</f>
        <v>166.66666666666666</v>
      </c>
      <c r="F196" s="1283"/>
      <c r="G196" s="1283"/>
      <c r="H196" s="1283">
        <f>E196/E182*24</f>
        <v>2.5806451612903221</v>
      </c>
      <c r="I196" s="1283"/>
      <c r="J196" s="1283"/>
      <c r="K196" s="1290">
        <f>H196/H199</f>
        <v>0.20648945023102419</v>
      </c>
      <c r="L196" s="1290"/>
      <c r="M196" s="1290"/>
      <c r="N196" s="1266"/>
      <c r="O196" s="1266"/>
      <c r="P196" s="1091"/>
      <c r="Q196" s="884"/>
      <c r="R196" s="1269"/>
      <c r="S196" s="1269"/>
      <c r="T196" s="1269"/>
      <c r="U196" s="1353"/>
      <c r="V196" s="1353"/>
      <c r="W196" s="1353"/>
      <c r="X196" s="1353"/>
      <c r="Y196" s="1353"/>
      <c r="Z196" s="1353"/>
      <c r="AA196" s="1355"/>
      <c r="AB196" s="1355"/>
      <c r="AC196" s="1355"/>
      <c r="AD196" s="1269"/>
      <c r="AE196" s="1269"/>
      <c r="AF196" s="1099"/>
      <c r="AG196" s="1111"/>
    </row>
    <row r="197" spans="1:111" s="112" customFormat="1" ht="21" hidden="1" customHeight="1">
      <c r="A197" s="859"/>
      <c r="B197" s="1404" t="s">
        <v>443</v>
      </c>
      <c r="C197" s="1404"/>
      <c r="D197" s="1404"/>
      <c r="E197" s="1403">
        <f>I143</f>
        <v>114.54969696969694</v>
      </c>
      <c r="F197" s="1403"/>
      <c r="G197" s="1403"/>
      <c r="H197" s="1403">
        <f>E197/E182*24</f>
        <v>1.7736727272727268</v>
      </c>
      <c r="I197" s="1403"/>
      <c r="J197" s="1403"/>
      <c r="K197" s="1399">
        <f>H197/H199</f>
        <v>0.14191982370841885</v>
      </c>
      <c r="L197" s="1399"/>
      <c r="M197" s="1399"/>
      <c r="N197" s="1401"/>
      <c r="O197" s="1401"/>
      <c r="P197" s="1091"/>
      <c r="Q197" s="884"/>
      <c r="R197" s="1269"/>
      <c r="S197" s="1269"/>
      <c r="T197" s="1269"/>
      <c r="U197" s="1353"/>
      <c r="V197" s="1353"/>
      <c r="W197" s="1353"/>
      <c r="X197" s="1353"/>
      <c r="Y197" s="1353"/>
      <c r="Z197" s="1353"/>
      <c r="AA197" s="1355"/>
      <c r="AB197" s="1355"/>
      <c r="AC197" s="1355"/>
      <c r="AD197" s="1269"/>
      <c r="AE197" s="1269"/>
      <c r="AF197" s="1099"/>
      <c r="AG197" s="1111"/>
    </row>
    <row r="198" spans="1:111" s="112" customFormat="1" ht="21" hidden="1" customHeight="1">
      <c r="A198" s="859"/>
      <c r="B198" s="1267" t="s">
        <v>444</v>
      </c>
      <c r="C198" s="1267"/>
      <c r="D198" s="1267"/>
      <c r="E198" s="1283">
        <f>J175</f>
        <v>525.92737411971507</v>
      </c>
      <c r="F198" s="1283"/>
      <c r="G198" s="1283"/>
      <c r="H198" s="1283">
        <f>E198/E182*24</f>
        <v>8.1433915992730075</v>
      </c>
      <c r="I198" s="1283"/>
      <c r="J198" s="1283"/>
      <c r="K198" s="1290">
        <f>H198/H199</f>
        <v>0.65159072606055701</v>
      </c>
      <c r="L198" s="1290"/>
      <c r="M198" s="1290"/>
      <c r="N198" s="1266"/>
      <c r="O198" s="1266"/>
      <c r="P198" s="1091"/>
      <c r="Q198" s="884"/>
      <c r="R198" s="1269"/>
      <c r="S198" s="1269"/>
      <c r="T198" s="1269"/>
      <c r="U198" s="1353"/>
      <c r="V198" s="1353"/>
      <c r="W198" s="1353"/>
      <c r="X198" s="1353"/>
      <c r="Y198" s="1353"/>
      <c r="Z198" s="1353"/>
      <c r="AA198" s="1355"/>
      <c r="AB198" s="1355"/>
      <c r="AC198" s="1355"/>
      <c r="AD198" s="1269"/>
      <c r="AE198" s="1269"/>
      <c r="AF198" s="1099"/>
      <c r="AG198" s="1111"/>
    </row>
    <row r="199" spans="1:111" s="112" customFormat="1" ht="21" hidden="1" customHeight="1">
      <c r="A199" s="1119"/>
      <c r="B199" s="1400" t="s">
        <v>445</v>
      </c>
      <c r="C199" s="1400"/>
      <c r="D199" s="1400"/>
      <c r="E199" s="1402">
        <f>SUM(E196:G198)</f>
        <v>807.14373775607874</v>
      </c>
      <c r="F199" s="1402"/>
      <c r="G199" s="1402"/>
      <c r="H199" s="1405">
        <f>SUM(H196:J198)</f>
        <v>12.497709487836056</v>
      </c>
      <c r="I199" s="1405"/>
      <c r="J199" s="1405"/>
      <c r="K199" s="1427">
        <f>SUM(K196:M198)</f>
        <v>1</v>
      </c>
      <c r="L199" s="1427"/>
      <c r="M199" s="1427"/>
      <c r="N199" s="1398"/>
      <c r="O199" s="1398"/>
      <c r="P199" s="1121"/>
      <c r="Q199" s="882"/>
      <c r="R199" s="1269"/>
      <c r="S199" s="1269"/>
      <c r="T199" s="1269"/>
      <c r="U199" s="1354"/>
      <c r="V199" s="1354"/>
      <c r="W199" s="1354"/>
      <c r="X199" s="1353"/>
      <c r="Y199" s="1353"/>
      <c r="Z199" s="1353"/>
      <c r="AA199" s="1355"/>
      <c r="AB199" s="1355"/>
      <c r="AC199" s="1355"/>
      <c r="AD199" s="1269"/>
      <c r="AE199" s="1269"/>
      <c r="AF199" s="1099"/>
      <c r="AG199" s="1111"/>
    </row>
    <row r="200" spans="1:111" s="112" customFormat="1" ht="21" hidden="1" customHeight="1">
      <c r="A200" s="859"/>
      <c r="B200" s="1260" t="s">
        <v>446</v>
      </c>
      <c r="C200" s="1260"/>
      <c r="D200" s="1260"/>
      <c r="E200" s="1091"/>
      <c r="F200" s="1091"/>
      <c r="G200" s="1091"/>
      <c r="H200" s="1091"/>
      <c r="I200" s="1091"/>
      <c r="J200" s="1091"/>
      <c r="K200" s="1091"/>
      <c r="L200" s="1091"/>
      <c r="M200" s="1091"/>
      <c r="N200" s="1091"/>
      <c r="O200" s="1091"/>
      <c r="P200" s="1091"/>
      <c r="Q200" s="884"/>
      <c r="R200" s="1269"/>
      <c r="S200" s="1269"/>
      <c r="T200" s="1269"/>
      <c r="U200" s="1099"/>
      <c r="V200" s="1099"/>
      <c r="W200" s="1099"/>
      <c r="X200" s="1099"/>
      <c r="Y200" s="1099"/>
      <c r="Z200" s="1099"/>
      <c r="AA200" s="1099"/>
      <c r="AB200" s="1099"/>
      <c r="AC200" s="1099"/>
      <c r="AD200" s="1099"/>
      <c r="AE200" s="1099"/>
      <c r="AF200" s="1099"/>
      <c r="AG200" s="1111"/>
      <c r="AH200" s="1111"/>
      <c r="AI200" s="1111"/>
      <c r="AJ200" s="1111"/>
      <c r="AK200" s="1111"/>
      <c r="AL200" s="1111"/>
      <c r="AM200" s="1111"/>
      <c r="AN200" s="1111"/>
      <c r="AO200" s="1111"/>
      <c r="AP200" s="1111"/>
      <c r="AQ200" s="1111"/>
      <c r="AR200" s="1111"/>
      <c r="AS200" s="1111"/>
      <c r="AT200" s="1111"/>
      <c r="AU200" s="1111"/>
      <c r="AV200" s="1111"/>
      <c r="AW200" s="1111"/>
      <c r="AX200" s="1111"/>
      <c r="AY200" s="1111"/>
      <c r="AZ200" s="1111"/>
      <c r="BA200" s="1111"/>
      <c r="BB200" s="1111"/>
      <c r="BC200" s="1111"/>
      <c r="BD200" s="1111"/>
      <c r="BE200" s="1111"/>
      <c r="BF200" s="1111"/>
      <c r="BG200" s="1111"/>
      <c r="BH200" s="1111"/>
      <c r="BI200" s="1111"/>
      <c r="BJ200" s="1111"/>
      <c r="BK200" s="1111"/>
      <c r="BL200" s="1111"/>
      <c r="BM200" s="1111"/>
      <c r="BN200" s="1111"/>
      <c r="BO200" s="1111"/>
      <c r="BP200" s="1111"/>
      <c r="BQ200" s="1111"/>
      <c r="BR200" s="1111"/>
      <c r="BS200" s="1111"/>
      <c r="BT200" s="1111"/>
      <c r="BU200" s="1111"/>
      <c r="BV200" s="1111"/>
      <c r="BW200" s="1111"/>
      <c r="BX200" s="1111"/>
      <c r="BY200" s="1111"/>
      <c r="BZ200" s="1111"/>
      <c r="CA200" s="1111"/>
      <c r="CB200" s="1111"/>
      <c r="CC200" s="1111"/>
      <c r="CD200" s="1111"/>
      <c r="CE200" s="1111"/>
      <c r="CF200" s="1111"/>
      <c r="CG200" s="1111"/>
      <c r="CH200" s="1111"/>
      <c r="CI200" s="1111"/>
      <c r="CJ200" s="1111"/>
      <c r="CK200" s="1111"/>
      <c r="CL200" s="1111"/>
      <c r="CM200" s="1111"/>
      <c r="CN200" s="1111"/>
      <c r="CO200" s="1111"/>
      <c r="CP200" s="1111"/>
      <c r="CQ200" s="1111"/>
      <c r="CR200" s="1111"/>
      <c r="CS200" s="1111"/>
      <c r="CT200" s="1111"/>
      <c r="CU200" s="1111"/>
      <c r="CV200" s="1111"/>
      <c r="CW200" s="1111"/>
      <c r="CX200" s="1111"/>
      <c r="CY200" s="1111"/>
      <c r="CZ200" s="1111"/>
      <c r="DA200" s="1111"/>
      <c r="DB200" s="1111"/>
      <c r="DC200" s="1111"/>
      <c r="DD200" s="1111"/>
      <c r="DE200" s="1111"/>
      <c r="DF200" s="1111"/>
      <c r="DG200" s="1111"/>
    </row>
    <row r="201" spans="1:111" s="112" customFormat="1" ht="21" hidden="1" customHeight="1">
      <c r="A201" s="859"/>
      <c r="B201" s="1267" t="s">
        <v>437</v>
      </c>
      <c r="C201" s="1267"/>
      <c r="D201" s="1267"/>
      <c r="E201" s="1266" t="s">
        <v>438</v>
      </c>
      <c r="F201" s="1266"/>
      <c r="G201" s="1266"/>
      <c r="H201" s="1266" t="s">
        <v>439</v>
      </c>
      <c r="I201" s="1266"/>
      <c r="J201" s="1266"/>
      <c r="K201" s="1266" t="s">
        <v>440</v>
      </c>
      <c r="L201" s="1266"/>
      <c r="M201" s="1266"/>
      <c r="N201" s="1266" t="s">
        <v>441</v>
      </c>
      <c r="O201" s="1266"/>
      <c r="P201" s="1091"/>
      <c r="Q201" s="884"/>
      <c r="R201" s="1269"/>
      <c r="S201" s="1269"/>
      <c r="T201" s="1269"/>
      <c r="U201" s="1269"/>
      <c r="V201" s="1269"/>
      <c r="W201" s="1269"/>
      <c r="X201" s="1269"/>
      <c r="Y201" s="1269"/>
      <c r="Z201" s="1269"/>
      <c r="AA201" s="1269"/>
      <c r="AB201" s="1269"/>
      <c r="AC201" s="1269"/>
      <c r="AD201" s="1269"/>
      <c r="AE201" s="1269"/>
      <c r="AF201" s="1099"/>
      <c r="AG201" s="1111"/>
      <c r="AH201" s="1111"/>
      <c r="AI201" s="1111"/>
      <c r="AJ201" s="1111"/>
      <c r="AK201" s="1111"/>
      <c r="AL201" s="1111"/>
      <c r="AM201" s="1111"/>
      <c r="AN201" s="1111"/>
      <c r="AO201" s="1111"/>
      <c r="AP201" s="1111"/>
      <c r="AQ201" s="1111"/>
      <c r="AR201" s="1111"/>
      <c r="AS201" s="1111"/>
      <c r="AT201" s="1111"/>
      <c r="AU201" s="1111"/>
      <c r="AV201" s="1111"/>
      <c r="AW201" s="1111"/>
      <c r="AX201" s="1111"/>
      <c r="AY201" s="1111"/>
      <c r="AZ201" s="1111"/>
      <c r="BA201" s="1111"/>
      <c r="BB201" s="1111"/>
      <c r="BC201" s="1111"/>
      <c r="BD201" s="1111"/>
      <c r="BE201" s="1111"/>
      <c r="BF201" s="1111"/>
      <c r="BG201" s="1111"/>
      <c r="BH201" s="1111"/>
      <c r="BI201" s="1111"/>
      <c r="BJ201" s="1111"/>
      <c r="BK201" s="1111"/>
      <c r="BL201" s="1111"/>
      <c r="BM201" s="1111"/>
      <c r="BN201" s="1111"/>
      <c r="BO201" s="1111"/>
      <c r="BP201" s="1111"/>
      <c r="BQ201" s="1111"/>
      <c r="BR201" s="1111"/>
      <c r="BS201" s="1111"/>
      <c r="BT201" s="1111"/>
      <c r="BU201" s="1111"/>
      <c r="BV201" s="1111"/>
      <c r="BW201" s="1111"/>
      <c r="BX201" s="1111"/>
      <c r="BY201" s="1111"/>
      <c r="BZ201" s="1111"/>
      <c r="CA201" s="1111"/>
      <c r="CB201" s="1111"/>
      <c r="CC201" s="1111"/>
      <c r="CD201" s="1111"/>
      <c r="CE201" s="1111"/>
      <c r="CF201" s="1111"/>
      <c r="CG201" s="1111"/>
      <c r="CH201" s="1111"/>
      <c r="CI201" s="1111"/>
      <c r="CJ201" s="1111"/>
      <c r="CK201" s="1111"/>
      <c r="CL201" s="1111"/>
      <c r="CM201" s="1111"/>
      <c r="CN201" s="1111"/>
      <c r="CO201" s="1111"/>
      <c r="CP201" s="1111"/>
      <c r="CQ201" s="1111"/>
      <c r="CR201" s="1111"/>
      <c r="CS201" s="1111"/>
      <c r="CT201" s="1111"/>
      <c r="CU201" s="1111"/>
      <c r="CV201" s="1111"/>
      <c r="CW201" s="1111"/>
      <c r="CX201" s="1111"/>
      <c r="CY201" s="1111"/>
      <c r="CZ201" s="1111"/>
      <c r="DA201" s="1111"/>
      <c r="DB201" s="1111"/>
      <c r="DC201" s="1111"/>
      <c r="DD201" s="1111"/>
      <c r="DE201" s="1111"/>
      <c r="DF201" s="1111"/>
      <c r="DG201" s="1111"/>
    </row>
    <row r="202" spans="1:111" s="112" customFormat="1" ht="21" hidden="1" customHeight="1">
      <c r="A202" s="859"/>
      <c r="B202" s="1267" t="s">
        <v>442</v>
      </c>
      <c r="C202" s="1267"/>
      <c r="D202" s="1267"/>
      <c r="E202" s="1283">
        <f>L72</f>
        <v>522</v>
      </c>
      <c r="F202" s="1283"/>
      <c r="G202" s="1283"/>
      <c r="H202" s="1283">
        <f>L74</f>
        <v>3.1320000000000001</v>
      </c>
      <c r="I202" s="1283"/>
      <c r="J202" s="1283"/>
      <c r="K202" s="1290">
        <f>H202/H205</f>
        <v>0.19719621157098915</v>
      </c>
      <c r="L202" s="1290"/>
      <c r="M202" s="1290"/>
      <c r="N202" s="1266"/>
      <c r="O202" s="1266"/>
      <c r="P202" s="1091"/>
      <c r="Q202" s="884"/>
      <c r="R202" s="1269"/>
      <c r="S202" s="1269"/>
      <c r="T202" s="1269"/>
      <c r="U202" s="1353"/>
      <c r="V202" s="1353"/>
      <c r="W202" s="1353"/>
      <c r="X202" s="1353"/>
      <c r="Y202" s="1353"/>
      <c r="Z202" s="1353"/>
      <c r="AA202" s="1355"/>
      <c r="AB202" s="1355"/>
      <c r="AC202" s="1355"/>
      <c r="AD202" s="1269"/>
      <c r="AE202" s="1269"/>
      <c r="AF202" s="1099"/>
      <c r="AG202" s="1111"/>
      <c r="AH202" s="1111"/>
      <c r="AI202" s="1111"/>
      <c r="AJ202" s="1111"/>
      <c r="AK202" s="1111"/>
      <c r="AL202" s="1111"/>
      <c r="AM202" s="1111"/>
      <c r="AN202" s="1111"/>
      <c r="AO202" s="1111"/>
      <c r="AP202" s="1111"/>
      <c r="AQ202" s="1111"/>
      <c r="AR202" s="1111"/>
      <c r="AS202" s="1111"/>
      <c r="AT202" s="1111"/>
      <c r="AU202" s="1111"/>
      <c r="AV202" s="1111"/>
      <c r="AW202" s="1111"/>
      <c r="AX202" s="1111"/>
      <c r="AY202" s="1111"/>
      <c r="AZ202" s="1111"/>
      <c r="BA202" s="1111"/>
      <c r="BB202" s="1111"/>
      <c r="BC202" s="1111"/>
      <c r="BD202" s="1111"/>
      <c r="BE202" s="1111"/>
      <c r="BF202" s="1111"/>
      <c r="BG202" s="1111"/>
      <c r="BH202" s="1111"/>
      <c r="BI202" s="1111"/>
      <c r="BJ202" s="1111"/>
      <c r="BK202" s="1111"/>
      <c r="BL202" s="1111"/>
      <c r="BM202" s="1111"/>
      <c r="BN202" s="1111"/>
      <c r="BO202" s="1111"/>
      <c r="BP202" s="1111"/>
      <c r="BQ202" s="1111"/>
      <c r="BR202" s="1111"/>
      <c r="BS202" s="1111"/>
      <c r="BT202" s="1111"/>
      <c r="BU202" s="1111"/>
      <c r="BV202" s="1111"/>
      <c r="BW202" s="1111"/>
      <c r="BX202" s="1111"/>
      <c r="BY202" s="1111"/>
      <c r="BZ202" s="1111"/>
      <c r="CA202" s="1111"/>
      <c r="CB202" s="1111"/>
      <c r="CC202" s="1111"/>
      <c r="CD202" s="1111"/>
      <c r="CE202" s="1111"/>
      <c r="CF202" s="1111"/>
      <c r="CG202" s="1111"/>
      <c r="CH202" s="1111"/>
      <c r="CI202" s="1111"/>
      <c r="CJ202" s="1111"/>
      <c r="CK202" s="1111"/>
      <c r="CL202" s="1111"/>
      <c r="CM202" s="1111"/>
      <c r="CN202" s="1111"/>
      <c r="CO202" s="1111"/>
      <c r="CP202" s="1111"/>
      <c r="CQ202" s="1111"/>
      <c r="CR202" s="1111"/>
      <c r="CS202" s="1111"/>
      <c r="CT202" s="1111"/>
      <c r="CU202" s="1111"/>
      <c r="CV202" s="1111"/>
      <c r="CW202" s="1111"/>
      <c r="CX202" s="1111"/>
      <c r="CY202" s="1111"/>
      <c r="CZ202" s="1111"/>
      <c r="DA202" s="1111"/>
      <c r="DB202" s="1111"/>
      <c r="DC202" s="1111"/>
      <c r="DD202" s="1111"/>
      <c r="DE202" s="1111"/>
      <c r="DF202" s="1111"/>
      <c r="DG202" s="1111"/>
    </row>
    <row r="203" spans="1:111" s="112" customFormat="1" ht="21" hidden="1" customHeight="1">
      <c r="A203" s="859"/>
      <c r="B203" s="1267" t="s">
        <v>443</v>
      </c>
      <c r="C203" s="1267"/>
      <c r="D203" s="1267"/>
      <c r="E203" s="1283">
        <f>L148</f>
        <v>303.8</v>
      </c>
      <c r="F203" s="1283"/>
      <c r="G203" s="1283"/>
      <c r="H203" s="1283">
        <f>E203/E182*24</f>
        <v>4.7040000000000006</v>
      </c>
      <c r="I203" s="1283"/>
      <c r="J203" s="1283"/>
      <c r="K203" s="1290">
        <f>H203/H205</f>
        <v>0.29617208787673471</v>
      </c>
      <c r="L203" s="1290"/>
      <c r="M203" s="1290"/>
      <c r="N203" s="1266"/>
      <c r="O203" s="1266"/>
      <c r="P203" s="1091"/>
      <c r="Q203" s="884"/>
      <c r="R203" s="1269"/>
      <c r="S203" s="1269"/>
      <c r="T203" s="1269"/>
      <c r="U203" s="1353"/>
      <c r="V203" s="1353"/>
      <c r="W203" s="1353"/>
      <c r="X203" s="1353"/>
      <c r="Y203" s="1353"/>
      <c r="Z203" s="1353"/>
      <c r="AA203" s="1355"/>
      <c r="AB203" s="1355"/>
      <c r="AC203" s="1355"/>
      <c r="AD203" s="1269"/>
      <c r="AE203" s="1269"/>
      <c r="AF203" s="1099"/>
      <c r="AG203" s="1111"/>
      <c r="AH203" s="1111"/>
      <c r="AI203" s="1111"/>
      <c r="AJ203" s="1111"/>
      <c r="AK203" s="1111"/>
      <c r="AL203" s="1111"/>
      <c r="AM203" s="1111"/>
      <c r="AN203" s="1111"/>
      <c r="AO203" s="1111"/>
      <c r="AP203" s="1111"/>
      <c r="AQ203" s="1111"/>
      <c r="AR203" s="1111"/>
      <c r="AS203" s="1111"/>
      <c r="AT203" s="1111"/>
      <c r="AU203" s="1111"/>
      <c r="AV203" s="1111"/>
      <c r="AW203" s="1111"/>
      <c r="AX203" s="1111"/>
      <c r="AY203" s="1111"/>
      <c r="AZ203" s="1111"/>
      <c r="BA203" s="1111"/>
      <c r="BB203" s="1111"/>
      <c r="BC203" s="1111"/>
      <c r="BD203" s="1111"/>
      <c r="BE203" s="1111"/>
      <c r="BF203" s="1111"/>
      <c r="BG203" s="1111"/>
      <c r="BH203" s="1111"/>
      <c r="BI203" s="1111"/>
      <c r="BJ203" s="1111"/>
      <c r="BK203" s="1111"/>
      <c r="BL203" s="1111"/>
      <c r="BM203" s="1111"/>
      <c r="BN203" s="1111"/>
      <c r="BO203" s="1111"/>
      <c r="BP203" s="1111"/>
      <c r="BQ203" s="1111"/>
      <c r="BR203" s="1111"/>
      <c r="BS203" s="1111"/>
      <c r="BT203" s="1111"/>
      <c r="BU203" s="1111"/>
      <c r="BV203" s="1111"/>
      <c r="BW203" s="1111"/>
      <c r="BX203" s="1111"/>
      <c r="BY203" s="1111"/>
      <c r="BZ203" s="1111"/>
      <c r="CA203" s="1111"/>
      <c r="CB203" s="1111"/>
      <c r="CC203" s="1111"/>
      <c r="CD203" s="1111"/>
      <c r="CE203" s="1111"/>
      <c r="CF203" s="1111"/>
      <c r="CG203" s="1111"/>
      <c r="CH203" s="1111"/>
      <c r="CI203" s="1111"/>
      <c r="CJ203" s="1111"/>
      <c r="CK203" s="1111"/>
      <c r="CL203" s="1111"/>
      <c r="CM203" s="1111"/>
      <c r="CN203" s="1111"/>
      <c r="CO203" s="1111"/>
      <c r="CP203" s="1111"/>
      <c r="CQ203" s="1111"/>
      <c r="CR203" s="1111"/>
      <c r="CS203" s="1111"/>
      <c r="CT203" s="1111"/>
      <c r="CU203" s="1111"/>
      <c r="CV203" s="1111"/>
      <c r="CW203" s="1111"/>
      <c r="CX203" s="1111"/>
      <c r="CY203" s="1111"/>
      <c r="CZ203" s="1111"/>
      <c r="DA203" s="1111"/>
      <c r="DB203" s="1111"/>
      <c r="DC203" s="1111"/>
      <c r="DD203" s="1111"/>
      <c r="DE203" s="1111"/>
      <c r="DF203" s="1111"/>
      <c r="DG203" s="1111"/>
    </row>
    <row r="204" spans="1:111" s="112" customFormat="1" ht="21" hidden="1" customHeight="1">
      <c r="A204" s="859"/>
      <c r="B204" s="1267" t="s">
        <v>444</v>
      </c>
      <c r="C204" s="1267"/>
      <c r="D204" s="1267"/>
      <c r="E204" s="1283">
        <f>L181</f>
        <v>519.68000000000006</v>
      </c>
      <c r="F204" s="1283"/>
      <c r="G204" s="1283"/>
      <c r="H204" s="1283">
        <f>E204/E182*24</f>
        <v>8.0466580645161301</v>
      </c>
      <c r="I204" s="1283"/>
      <c r="J204" s="1283"/>
      <c r="K204" s="1290">
        <f>H204/H205</f>
        <v>0.50663170055227613</v>
      </c>
      <c r="L204" s="1290"/>
      <c r="M204" s="1290"/>
      <c r="N204" s="1266"/>
      <c r="O204" s="1266"/>
      <c r="P204" s="1091"/>
      <c r="Q204" s="884"/>
      <c r="R204" s="1269"/>
      <c r="S204" s="1269"/>
      <c r="T204" s="1269"/>
      <c r="U204" s="1353"/>
      <c r="V204" s="1353"/>
      <c r="W204" s="1353"/>
      <c r="X204" s="1353"/>
      <c r="Y204" s="1353"/>
      <c r="Z204" s="1353"/>
      <c r="AA204" s="1355"/>
      <c r="AB204" s="1355"/>
      <c r="AC204" s="1355"/>
      <c r="AD204" s="1269"/>
      <c r="AE204" s="1269"/>
      <c r="AF204" s="1099"/>
      <c r="AG204" s="1111"/>
      <c r="AH204" s="1111"/>
      <c r="AI204" s="1111"/>
      <c r="AJ204" s="1111"/>
      <c r="AK204" s="1111"/>
      <c r="AL204" s="1111"/>
      <c r="AM204" s="1111"/>
      <c r="AN204" s="1111"/>
      <c r="AO204" s="1111"/>
      <c r="AP204" s="1111"/>
      <c r="AQ204" s="1111"/>
      <c r="AR204" s="1111"/>
      <c r="AS204" s="1111"/>
      <c r="AT204" s="1111"/>
      <c r="AU204" s="1111"/>
      <c r="AV204" s="1111"/>
      <c r="AW204" s="1111"/>
      <c r="AX204" s="1111"/>
      <c r="AY204" s="1111"/>
      <c r="AZ204" s="1111"/>
      <c r="BA204" s="1111"/>
      <c r="BB204" s="1111"/>
      <c r="BC204" s="1111"/>
      <c r="BD204" s="1111"/>
      <c r="BE204" s="1111"/>
      <c r="BF204" s="1111"/>
      <c r="BG204" s="1111"/>
      <c r="BH204" s="1111"/>
      <c r="BI204" s="1111"/>
      <c r="BJ204" s="1111"/>
      <c r="BK204" s="1111"/>
      <c r="BL204" s="1111"/>
      <c r="BM204" s="1111"/>
      <c r="BN204" s="1111"/>
      <c r="BO204" s="1111"/>
      <c r="BP204" s="1111"/>
      <c r="BQ204" s="1111"/>
      <c r="BR204" s="1111"/>
      <c r="BS204" s="1111"/>
      <c r="BT204" s="1111"/>
      <c r="BU204" s="1111"/>
      <c r="BV204" s="1111"/>
      <c r="BW204" s="1111"/>
      <c r="BX204" s="1111"/>
      <c r="BY204" s="1111"/>
      <c r="BZ204" s="1111"/>
      <c r="CA204" s="1111"/>
      <c r="CB204" s="1111"/>
      <c r="CC204" s="1111"/>
      <c r="CD204" s="1111"/>
      <c r="CE204" s="1111"/>
      <c r="CF204" s="1111"/>
      <c r="CG204" s="1111"/>
      <c r="CH204" s="1111"/>
      <c r="CI204" s="1111"/>
      <c r="CJ204" s="1111"/>
      <c r="CK204" s="1111"/>
      <c r="CL204" s="1111"/>
      <c r="CM204" s="1111"/>
      <c r="CN204" s="1111"/>
      <c r="CO204" s="1111"/>
      <c r="CP204" s="1111"/>
      <c r="CQ204" s="1111"/>
      <c r="CR204" s="1111"/>
      <c r="CS204" s="1111"/>
      <c r="CT204" s="1111"/>
      <c r="CU204" s="1111"/>
      <c r="CV204" s="1111"/>
      <c r="CW204" s="1111"/>
      <c r="CX204" s="1111"/>
      <c r="CY204" s="1111"/>
      <c r="CZ204" s="1111"/>
      <c r="DA204" s="1111"/>
      <c r="DB204" s="1111"/>
      <c r="DC204" s="1111"/>
      <c r="DD204" s="1111"/>
      <c r="DE204" s="1111"/>
      <c r="DF204" s="1111"/>
      <c r="DG204" s="1111"/>
    </row>
    <row r="205" spans="1:111" s="110" customFormat="1" ht="21" hidden="1" customHeight="1">
      <c r="A205" s="859"/>
      <c r="B205" s="1266" t="s">
        <v>445</v>
      </c>
      <c r="C205" s="1266"/>
      <c r="D205" s="1266"/>
      <c r="E205" s="1289">
        <f>SUM(E202:G204)</f>
        <v>1345.48</v>
      </c>
      <c r="F205" s="1289"/>
      <c r="G205" s="1289"/>
      <c r="H205" s="1283">
        <f>SUM(H202:J204)</f>
        <v>15.88265806451613</v>
      </c>
      <c r="I205" s="1283"/>
      <c r="J205" s="1283"/>
      <c r="K205" s="1290">
        <f>SUM(K202:M204)</f>
        <v>1</v>
      </c>
      <c r="L205" s="1290"/>
      <c r="M205" s="1290"/>
      <c r="N205" s="1266"/>
      <c r="O205" s="1266"/>
      <c r="P205" s="1149"/>
      <c r="Q205" s="884"/>
      <c r="R205" s="1269"/>
      <c r="S205" s="1269"/>
      <c r="T205" s="1269"/>
      <c r="U205" s="1354"/>
      <c r="V205" s="1354"/>
      <c r="W205" s="1354"/>
      <c r="X205" s="1353"/>
      <c r="Y205" s="1353"/>
      <c r="Z205" s="1353"/>
      <c r="AA205" s="1355"/>
      <c r="AB205" s="1355"/>
      <c r="AC205" s="1355"/>
      <c r="AD205" s="1269"/>
      <c r="AE205" s="1269"/>
      <c r="AF205" s="1099"/>
      <c r="AG205" s="1111"/>
      <c r="AH205" s="1111"/>
      <c r="AI205" s="1111"/>
      <c r="AJ205" s="1111"/>
      <c r="AK205" s="1111"/>
      <c r="AL205" s="1111"/>
      <c r="AM205" s="1111"/>
      <c r="AN205" s="1111"/>
      <c r="AO205" s="1111"/>
      <c r="AP205" s="1111"/>
      <c r="AQ205" s="1111"/>
      <c r="AR205" s="1111"/>
      <c r="AS205" s="1111"/>
      <c r="AT205" s="1111"/>
      <c r="AU205" s="1111"/>
      <c r="AV205" s="1111"/>
      <c r="AW205" s="1111"/>
      <c r="AX205" s="1111"/>
      <c r="AY205" s="1111"/>
      <c r="AZ205" s="1111"/>
      <c r="BA205" s="1111"/>
      <c r="BB205" s="1111"/>
      <c r="BC205" s="1111"/>
      <c r="BD205" s="1111"/>
      <c r="BE205" s="1111"/>
      <c r="BF205" s="1111"/>
      <c r="BG205" s="1111"/>
      <c r="BH205" s="1111"/>
      <c r="BI205" s="1111"/>
      <c r="BJ205" s="1111"/>
      <c r="BK205" s="1111"/>
      <c r="BL205" s="1111"/>
      <c r="BM205" s="1111"/>
      <c r="BN205" s="1111"/>
      <c r="BO205" s="1111"/>
      <c r="BP205" s="1111"/>
      <c r="BQ205" s="1111"/>
      <c r="BR205" s="1111"/>
      <c r="BS205" s="1111"/>
      <c r="BT205" s="1111"/>
      <c r="BU205" s="1111"/>
      <c r="BV205" s="1111"/>
      <c r="BW205" s="1111"/>
      <c r="BX205" s="1111"/>
      <c r="BY205" s="1111"/>
      <c r="BZ205" s="1111"/>
      <c r="CA205" s="1111"/>
      <c r="CB205" s="1111"/>
      <c r="CC205" s="1111"/>
      <c r="CD205" s="1111"/>
      <c r="CE205" s="1111"/>
      <c r="CF205" s="1111"/>
      <c r="CG205" s="1111"/>
      <c r="CH205" s="1111"/>
      <c r="CI205" s="1111"/>
      <c r="CJ205" s="1111"/>
      <c r="CK205" s="1111"/>
      <c r="CL205" s="1111"/>
      <c r="CM205" s="1111"/>
      <c r="CN205" s="1111"/>
      <c r="CO205" s="1111"/>
      <c r="CP205" s="1111"/>
      <c r="CQ205" s="1111"/>
      <c r="CR205" s="1111"/>
      <c r="CS205" s="1111"/>
      <c r="CT205" s="1111"/>
      <c r="CU205" s="1111"/>
      <c r="CV205" s="1111"/>
      <c r="CW205" s="1111"/>
      <c r="CX205" s="1111"/>
      <c r="CY205" s="1111"/>
      <c r="CZ205" s="1111"/>
      <c r="DA205" s="1111"/>
      <c r="DB205" s="1111"/>
      <c r="DC205" s="1111"/>
      <c r="DD205" s="1111"/>
      <c r="DE205" s="1111"/>
      <c r="DF205" s="1111"/>
      <c r="DG205" s="1111"/>
    </row>
    <row r="206" spans="1:111" s="1111" customFormat="1" ht="21" hidden="1" customHeight="1">
      <c r="A206" s="859"/>
      <c r="B206" s="1091"/>
      <c r="C206" s="1091"/>
      <c r="D206" s="1091"/>
      <c r="E206" s="372"/>
      <c r="F206" s="372"/>
      <c r="G206" s="372"/>
      <c r="H206" s="373"/>
      <c r="I206" s="373"/>
      <c r="J206" s="373"/>
      <c r="K206" s="374"/>
      <c r="L206" s="374"/>
      <c r="M206" s="374"/>
      <c r="N206" s="1091"/>
      <c r="O206" s="1091"/>
      <c r="P206" s="1091"/>
      <c r="Q206" s="884"/>
      <c r="R206" s="1099"/>
      <c r="S206" s="1099"/>
      <c r="T206" s="1099"/>
      <c r="U206" s="1114"/>
      <c r="V206" s="1114"/>
      <c r="W206" s="1114"/>
      <c r="X206" s="1115"/>
      <c r="Y206" s="1115"/>
      <c r="Z206" s="1115"/>
      <c r="AA206" s="1118"/>
      <c r="AB206" s="1118"/>
      <c r="AC206" s="1118"/>
      <c r="AD206" s="1099"/>
      <c r="AE206" s="1099"/>
      <c r="AF206" s="1099"/>
    </row>
    <row r="207" spans="1:111" s="112" customFormat="1" ht="21" hidden="1" customHeight="1">
      <c r="A207" s="866" t="s">
        <v>783</v>
      </c>
      <c r="B207" s="378" t="s">
        <v>56</v>
      </c>
      <c r="C207" s="1268" t="s">
        <v>447</v>
      </c>
      <c r="D207" s="1268"/>
      <c r="E207" s="1154"/>
      <c r="F207" s="402">
        <v>20</v>
      </c>
      <c r="G207" s="1091" t="s">
        <v>292</v>
      </c>
      <c r="H207" s="402">
        <v>30</v>
      </c>
      <c r="I207" s="1257" t="s">
        <v>449</v>
      </c>
      <c r="J207" s="1257"/>
      <c r="K207" s="1257"/>
      <c r="L207" s="1091"/>
      <c r="M207" s="1091"/>
      <c r="N207" s="1091"/>
      <c r="O207" s="1091"/>
      <c r="P207" s="1091"/>
      <c r="Q207" s="884"/>
      <c r="R207" s="400"/>
      <c r="S207" s="1147"/>
      <c r="T207" s="1147"/>
      <c r="U207" s="1147"/>
      <c r="V207" s="1099"/>
      <c r="W207" s="1099"/>
      <c r="X207" s="1099"/>
      <c r="Y207" s="1265"/>
      <c r="Z207" s="1265"/>
      <c r="AA207" s="1265"/>
      <c r="AB207" s="1099"/>
      <c r="AC207" s="1099"/>
      <c r="AD207" s="1099"/>
      <c r="AE207" s="1099"/>
      <c r="AF207" s="1099"/>
      <c r="AG207" s="1111"/>
      <c r="AH207" s="1111"/>
      <c r="AI207" s="1111"/>
      <c r="AJ207" s="1111"/>
      <c r="AK207" s="1111"/>
      <c r="AL207" s="1111"/>
      <c r="AM207" s="1111"/>
      <c r="AN207" s="1111"/>
      <c r="AO207" s="1111"/>
      <c r="AP207" s="1111"/>
      <c r="AQ207" s="1111"/>
      <c r="AR207" s="1111"/>
      <c r="AS207" s="1111"/>
      <c r="AT207" s="1111"/>
      <c r="AU207" s="1111"/>
      <c r="AV207" s="1111"/>
      <c r="AW207" s="1111"/>
      <c r="AX207" s="1111"/>
      <c r="AY207" s="1111"/>
      <c r="AZ207" s="1111"/>
      <c r="BA207" s="1111"/>
      <c r="BB207" s="1111"/>
      <c r="BC207" s="1111"/>
      <c r="BD207" s="1111"/>
      <c r="BE207" s="1111"/>
      <c r="BF207" s="1111"/>
      <c r="BG207" s="1111"/>
      <c r="BH207" s="1111"/>
      <c r="BI207" s="1111"/>
      <c r="BJ207" s="1111"/>
      <c r="BK207" s="1111"/>
      <c r="BL207" s="1111"/>
      <c r="BM207" s="1111"/>
      <c r="BN207" s="1111"/>
      <c r="BO207" s="1111"/>
      <c r="BP207" s="1111"/>
      <c r="BQ207" s="1111"/>
      <c r="BR207" s="1111"/>
      <c r="BS207" s="1111"/>
      <c r="BT207" s="1111"/>
      <c r="BU207" s="1111"/>
      <c r="BV207" s="1111"/>
      <c r="BW207" s="1111"/>
      <c r="BX207" s="1111"/>
      <c r="BY207" s="1111"/>
      <c r="BZ207" s="1111"/>
      <c r="CA207" s="1111"/>
      <c r="CB207" s="1111"/>
      <c r="CC207" s="1111"/>
      <c r="CD207" s="1111"/>
      <c r="CE207" s="1111"/>
      <c r="CF207" s="1111"/>
      <c r="CG207" s="1111"/>
      <c r="CH207" s="1111"/>
      <c r="CI207" s="1111"/>
      <c r="CJ207" s="1111"/>
      <c r="CK207" s="1111"/>
      <c r="CL207" s="1111"/>
      <c r="CM207" s="1111"/>
      <c r="CN207" s="1111"/>
      <c r="CO207" s="1111"/>
      <c r="CP207" s="1111"/>
      <c r="CQ207" s="1111"/>
      <c r="CR207" s="1111"/>
      <c r="CS207" s="1111"/>
      <c r="CT207" s="1111"/>
      <c r="CU207" s="1111"/>
      <c r="CV207" s="1111"/>
      <c r="CW207" s="1111"/>
      <c r="CX207" s="1111"/>
      <c r="CY207" s="1111"/>
      <c r="CZ207" s="1111"/>
      <c r="DA207" s="1111"/>
      <c r="DB207" s="1111"/>
      <c r="DC207" s="1111"/>
      <c r="DD207" s="1111"/>
      <c r="DE207" s="1111"/>
      <c r="DF207" s="1111"/>
      <c r="DG207" s="1111"/>
    </row>
    <row r="208" spans="1:111" s="112" customFormat="1" ht="21" hidden="1" customHeight="1">
      <c r="A208" s="860" t="s">
        <v>450</v>
      </c>
      <c r="B208" s="378" t="s">
        <v>56</v>
      </c>
      <c r="C208" s="1268" t="s">
        <v>451</v>
      </c>
      <c r="D208" s="1268"/>
      <c r="E208" s="1154"/>
      <c r="F208" s="403">
        <v>2.5</v>
      </c>
      <c r="G208" s="1091" t="s">
        <v>292</v>
      </c>
      <c r="H208" s="403">
        <v>4</v>
      </c>
      <c r="I208" s="1091" t="s">
        <v>308</v>
      </c>
      <c r="J208" s="1091"/>
      <c r="K208" s="1091"/>
      <c r="L208" s="1091"/>
      <c r="M208" s="1091"/>
      <c r="N208" s="1091"/>
      <c r="O208" s="1091"/>
      <c r="P208" s="1091"/>
      <c r="Q208" s="884"/>
      <c r="R208" s="400"/>
      <c r="S208" s="1147"/>
      <c r="T208" s="1147"/>
      <c r="U208" s="1147"/>
      <c r="V208" s="1099"/>
      <c r="W208" s="1099"/>
      <c r="X208" s="1099"/>
      <c r="Y208" s="1099"/>
      <c r="Z208" s="1099"/>
      <c r="AA208" s="1099"/>
      <c r="AB208" s="1099"/>
      <c r="AC208" s="1099"/>
      <c r="AD208" s="1099"/>
      <c r="AE208" s="1099"/>
      <c r="AF208" s="1099"/>
      <c r="AG208" s="1111"/>
      <c r="AH208" s="1111"/>
      <c r="AI208" s="1111"/>
      <c r="AJ208" s="1111"/>
      <c r="AK208" s="1111"/>
      <c r="AL208" s="1111"/>
      <c r="AM208" s="1111"/>
      <c r="AN208" s="1111"/>
      <c r="AO208" s="1111"/>
      <c r="AP208" s="1111"/>
      <c r="AQ208" s="1111"/>
      <c r="AR208" s="1111"/>
      <c r="AS208" s="1111"/>
      <c r="AT208" s="1111"/>
      <c r="AU208" s="1111"/>
      <c r="AV208" s="1111"/>
      <c r="AW208" s="1111"/>
      <c r="AX208" s="1111"/>
      <c r="AY208" s="1111"/>
      <c r="AZ208" s="1111"/>
      <c r="BA208" s="1111"/>
      <c r="BB208" s="1111"/>
      <c r="BC208" s="1111"/>
      <c r="BD208" s="1111"/>
      <c r="BE208" s="1111"/>
      <c r="BF208" s="1111"/>
      <c r="BG208" s="1111"/>
      <c r="BH208" s="1111"/>
      <c r="BI208" s="1111"/>
      <c r="BJ208" s="1111"/>
      <c r="BK208" s="1111"/>
      <c r="BL208" s="1111"/>
      <c r="BM208" s="1111"/>
      <c r="BN208" s="1111"/>
      <c r="BO208" s="1111"/>
      <c r="BP208" s="1111"/>
      <c r="BQ208" s="1111"/>
      <c r="BR208" s="1111"/>
      <c r="BS208" s="1111"/>
      <c r="BT208" s="1111"/>
      <c r="BU208" s="1111"/>
      <c r="BV208" s="1111"/>
      <c r="BW208" s="1111"/>
      <c r="BX208" s="1111"/>
      <c r="BY208" s="1111"/>
      <c r="BZ208" s="1111"/>
      <c r="CA208" s="1111"/>
      <c r="CB208" s="1111"/>
      <c r="CC208" s="1111"/>
      <c r="CD208" s="1111"/>
      <c r="CE208" s="1111"/>
      <c r="CF208" s="1111"/>
      <c r="CG208" s="1111"/>
      <c r="CH208" s="1111"/>
      <c r="CI208" s="1111"/>
      <c r="CJ208" s="1111"/>
      <c r="CK208" s="1111"/>
      <c r="CL208" s="1111"/>
      <c r="CM208" s="1111"/>
      <c r="CN208" s="1111"/>
      <c r="CO208" s="1111"/>
      <c r="CP208" s="1111"/>
      <c r="CQ208" s="1111"/>
      <c r="CR208" s="1111"/>
      <c r="CS208" s="1111"/>
      <c r="CT208" s="1111"/>
      <c r="CU208" s="1111"/>
      <c r="CV208" s="1111"/>
      <c r="CW208" s="1111"/>
      <c r="CX208" s="1111"/>
      <c r="CY208" s="1111"/>
      <c r="CZ208" s="1111"/>
      <c r="DA208" s="1111"/>
      <c r="DB208" s="1111"/>
      <c r="DC208" s="1111"/>
      <c r="DD208" s="1111"/>
      <c r="DE208" s="1111"/>
      <c r="DF208" s="1111"/>
      <c r="DG208" s="1111"/>
    </row>
    <row r="209" spans="1:111" s="112" customFormat="1" ht="21" hidden="1" customHeight="1">
      <c r="A209" s="859"/>
      <c r="B209" s="378" t="s">
        <v>56</v>
      </c>
      <c r="C209" s="1268" t="s">
        <v>452</v>
      </c>
      <c r="D209" s="1268"/>
      <c r="E209" s="1154"/>
      <c r="F209" s="402">
        <v>3</v>
      </c>
      <c r="G209" s="1091" t="s">
        <v>292</v>
      </c>
      <c r="H209" s="402">
        <v>5</v>
      </c>
      <c r="I209" s="1091" t="s">
        <v>188</v>
      </c>
      <c r="J209" s="1091"/>
      <c r="K209" s="1091"/>
      <c r="L209" s="1091"/>
      <c r="M209" s="1091"/>
      <c r="N209" s="1091"/>
      <c r="O209" s="1091"/>
      <c r="P209" s="1091"/>
      <c r="Q209" s="884"/>
      <c r="R209" s="400"/>
      <c r="S209" s="1147"/>
      <c r="T209" s="1147"/>
      <c r="U209" s="1147"/>
      <c r="V209" s="1099"/>
      <c r="W209" s="1099"/>
      <c r="X209" s="1099"/>
      <c r="Y209" s="1099"/>
      <c r="Z209" s="1099"/>
      <c r="AA209" s="1099"/>
      <c r="AB209" s="1099"/>
      <c r="AC209" s="1099"/>
      <c r="AD209" s="1099"/>
      <c r="AE209" s="1099"/>
      <c r="AF209" s="1099"/>
      <c r="AG209" s="1111"/>
      <c r="AH209" s="1111"/>
      <c r="AI209" s="1111"/>
      <c r="AJ209" s="1111"/>
      <c r="AK209" s="1111"/>
      <c r="AL209" s="1111"/>
      <c r="AM209" s="1111"/>
      <c r="AN209" s="1111"/>
      <c r="AO209" s="1111"/>
      <c r="AP209" s="1111"/>
      <c r="AQ209" s="1111"/>
      <c r="AR209" s="1111"/>
      <c r="AS209" s="1111"/>
      <c r="AT209" s="1111"/>
      <c r="AU209" s="1111"/>
      <c r="AV209" s="1111"/>
      <c r="AW209" s="1111"/>
      <c r="AX209" s="1111"/>
      <c r="AY209" s="1111"/>
      <c r="AZ209" s="1111"/>
      <c r="BA209" s="1111"/>
      <c r="BB209" s="1111"/>
      <c r="BC209" s="1111"/>
      <c r="BD209" s="1111"/>
      <c r="BE209" s="1111"/>
      <c r="BF209" s="1111"/>
      <c r="BG209" s="1111"/>
      <c r="BH209" s="1111"/>
      <c r="BI209" s="1111"/>
      <c r="BJ209" s="1111"/>
      <c r="BK209" s="1111"/>
      <c r="BL209" s="1111"/>
      <c r="BM209" s="1111"/>
      <c r="BN209" s="1111"/>
      <c r="BO209" s="1111"/>
      <c r="BP209" s="1111"/>
      <c r="BQ209" s="1111"/>
      <c r="BR209" s="1111"/>
      <c r="BS209" s="1111"/>
      <c r="BT209" s="1111"/>
      <c r="BU209" s="1111"/>
      <c r="BV209" s="1111"/>
      <c r="BW209" s="1111"/>
      <c r="BX209" s="1111"/>
      <c r="BY209" s="1111"/>
      <c r="BZ209" s="1111"/>
      <c r="CA209" s="1111"/>
      <c r="CB209" s="1111"/>
      <c r="CC209" s="1111"/>
      <c r="CD209" s="1111"/>
      <c r="CE209" s="1111"/>
      <c r="CF209" s="1111"/>
      <c r="CG209" s="1111"/>
      <c r="CH209" s="1111"/>
      <c r="CI209" s="1111"/>
      <c r="CJ209" s="1111"/>
      <c r="CK209" s="1111"/>
      <c r="CL209" s="1111"/>
      <c r="CM209" s="1111"/>
      <c r="CN209" s="1111"/>
      <c r="CO209" s="1111"/>
      <c r="CP209" s="1111"/>
      <c r="CQ209" s="1111"/>
      <c r="CR209" s="1111"/>
      <c r="CS209" s="1111"/>
      <c r="CT209" s="1111"/>
      <c r="CU209" s="1111"/>
      <c r="CV209" s="1111"/>
      <c r="CW209" s="1111"/>
      <c r="CX209" s="1111"/>
      <c r="CY209" s="1111"/>
      <c r="CZ209" s="1111"/>
      <c r="DA209" s="1111"/>
      <c r="DB209" s="1111"/>
      <c r="DC209" s="1111"/>
      <c r="DD209" s="1111"/>
      <c r="DE209" s="1111"/>
      <c r="DF209" s="1111"/>
      <c r="DG209" s="1111"/>
    </row>
    <row r="210" spans="1:111" s="112" customFormat="1" ht="21" hidden="1" customHeight="1">
      <c r="A210" s="859"/>
      <c r="B210" s="378" t="s">
        <v>56</v>
      </c>
      <c r="C210" s="1268" t="s">
        <v>453</v>
      </c>
      <c r="D210" s="1268"/>
      <c r="E210" s="1154"/>
      <c r="F210" s="402">
        <v>190</v>
      </c>
      <c r="G210" s="1257" t="s">
        <v>454</v>
      </c>
      <c r="H210" s="1257"/>
      <c r="I210" s="1257"/>
      <c r="J210" s="1257"/>
      <c r="K210" s="1091"/>
      <c r="L210" s="1091"/>
      <c r="M210" s="1091"/>
      <c r="N210" s="1091"/>
      <c r="O210" s="1091"/>
      <c r="P210" s="1091"/>
      <c r="Q210" s="884"/>
      <c r="R210" s="400"/>
      <c r="S210" s="1147"/>
      <c r="T210" s="1147"/>
      <c r="U210" s="1147"/>
      <c r="V210" s="1099"/>
      <c r="W210" s="1269"/>
      <c r="X210" s="1269"/>
      <c r="Y210" s="1269"/>
      <c r="Z210" s="1269"/>
      <c r="AA210" s="1099"/>
      <c r="AB210" s="1099"/>
      <c r="AC210" s="1099"/>
      <c r="AD210" s="1099"/>
      <c r="AE210" s="1099"/>
      <c r="AF210" s="1099"/>
      <c r="AG210" s="1111"/>
      <c r="AH210" s="1111"/>
      <c r="AI210" s="1111"/>
      <c r="AJ210" s="1111"/>
      <c r="AK210" s="1111"/>
      <c r="AL210" s="1111"/>
      <c r="AM210" s="1111"/>
      <c r="AN210" s="1111"/>
      <c r="AO210" s="1111"/>
      <c r="AP210" s="1111"/>
      <c r="AQ210" s="1111"/>
      <c r="AR210" s="1111"/>
      <c r="AS210" s="1111"/>
      <c r="AT210" s="1111"/>
      <c r="AU210" s="1111"/>
      <c r="AV210" s="1111"/>
      <c r="AW210" s="1111"/>
      <c r="AX210" s="1111"/>
      <c r="AY210" s="1111"/>
      <c r="AZ210" s="1111"/>
      <c r="BA210" s="1111"/>
      <c r="BB210" s="1111"/>
      <c r="BC210" s="1111"/>
      <c r="BD210" s="1111"/>
      <c r="BE210" s="1111"/>
      <c r="BF210" s="1111"/>
      <c r="BG210" s="1111"/>
      <c r="BH210" s="1111"/>
      <c r="BI210" s="1111"/>
      <c r="BJ210" s="1111"/>
      <c r="BK210" s="1111"/>
      <c r="BL210" s="1111"/>
      <c r="BM210" s="1111"/>
      <c r="BN210" s="1111"/>
      <c r="BO210" s="1111"/>
      <c r="BP210" s="1111"/>
      <c r="BQ210" s="1111"/>
      <c r="BR210" s="1111"/>
      <c r="BS210" s="1111"/>
      <c r="BT210" s="1111"/>
      <c r="BU210" s="1111"/>
      <c r="BV210" s="1111"/>
      <c r="BW210" s="1111"/>
      <c r="BX210" s="1111"/>
      <c r="BY210" s="1111"/>
      <c r="BZ210" s="1111"/>
      <c r="CA210" s="1111"/>
      <c r="CB210" s="1111"/>
      <c r="CC210" s="1111"/>
      <c r="CD210" s="1111"/>
      <c r="CE210" s="1111"/>
      <c r="CF210" s="1111"/>
      <c r="CG210" s="1111"/>
      <c r="CH210" s="1111"/>
      <c r="CI210" s="1111"/>
      <c r="CJ210" s="1111"/>
      <c r="CK210" s="1111"/>
      <c r="CL210" s="1111"/>
      <c r="CM210" s="1111"/>
      <c r="CN210" s="1111"/>
      <c r="CO210" s="1111"/>
      <c r="CP210" s="1111"/>
      <c r="CQ210" s="1111"/>
      <c r="CR210" s="1111"/>
      <c r="CS210" s="1111"/>
      <c r="CT210" s="1111"/>
      <c r="CU210" s="1111"/>
      <c r="CV210" s="1111"/>
      <c r="CW210" s="1111"/>
      <c r="CX210" s="1111"/>
      <c r="CY210" s="1111"/>
      <c r="CZ210" s="1111"/>
      <c r="DA210" s="1111"/>
      <c r="DB210" s="1111"/>
      <c r="DC210" s="1111"/>
      <c r="DD210" s="1111"/>
      <c r="DE210" s="1111"/>
      <c r="DF210" s="1111"/>
      <c r="DG210" s="1111"/>
    </row>
    <row r="211" spans="1:111" s="110" customFormat="1" ht="21" hidden="1" customHeight="1">
      <c r="A211" s="859"/>
      <c r="B211" s="378" t="s">
        <v>56</v>
      </c>
      <c r="C211" s="1268" t="s">
        <v>455</v>
      </c>
      <c r="D211" s="1268"/>
      <c r="E211" s="1154"/>
      <c r="F211" s="402">
        <v>95</v>
      </c>
      <c r="G211" s="1091" t="s">
        <v>292</v>
      </c>
      <c r="H211" s="402">
        <v>145</v>
      </c>
      <c r="I211" s="1257" t="s">
        <v>456</v>
      </c>
      <c r="J211" s="1257"/>
      <c r="K211" s="1257"/>
      <c r="L211" s="1091"/>
      <c r="M211" s="1091"/>
      <c r="N211" s="1091"/>
      <c r="O211" s="1091"/>
      <c r="P211" s="1091"/>
      <c r="Q211" s="884"/>
      <c r="R211" s="400"/>
      <c r="S211" s="1147"/>
      <c r="T211" s="1147"/>
      <c r="U211" s="1147"/>
      <c r="V211" s="1099"/>
      <c r="W211" s="1099"/>
      <c r="X211" s="1099"/>
      <c r="Y211" s="1265"/>
      <c r="Z211" s="1265"/>
      <c r="AA211" s="1265"/>
      <c r="AB211" s="1099"/>
      <c r="AC211" s="1099"/>
      <c r="AD211" s="1099"/>
      <c r="AE211" s="1099"/>
      <c r="AF211" s="1099"/>
      <c r="AG211" s="1111"/>
      <c r="AH211" s="1111"/>
      <c r="AI211" s="1111"/>
      <c r="AJ211" s="1111"/>
      <c r="AK211" s="1111"/>
      <c r="AL211" s="1111"/>
      <c r="AM211" s="1111"/>
      <c r="AN211" s="1111"/>
      <c r="AO211" s="1111"/>
      <c r="AP211" s="1111"/>
      <c r="AQ211" s="1111"/>
      <c r="AR211" s="1111"/>
      <c r="AS211" s="1111"/>
      <c r="AT211" s="1111"/>
      <c r="AU211" s="1111"/>
      <c r="AV211" s="1111"/>
      <c r="AW211" s="1111"/>
      <c r="AX211" s="1111"/>
      <c r="AY211" s="1111"/>
      <c r="AZ211" s="1111"/>
      <c r="BA211" s="1111"/>
      <c r="BB211" s="1111"/>
      <c r="BC211" s="1111"/>
      <c r="BD211" s="1111"/>
      <c r="BE211" s="1111"/>
      <c r="BF211" s="1111"/>
      <c r="BG211" s="1111"/>
      <c r="BH211" s="1111"/>
      <c r="BI211" s="1111"/>
      <c r="BJ211" s="1111"/>
      <c r="BK211" s="1111"/>
      <c r="BL211" s="1111"/>
      <c r="BM211" s="1111"/>
      <c r="BN211" s="1111"/>
      <c r="BO211" s="1111"/>
      <c r="BP211" s="1111"/>
      <c r="BQ211" s="1111"/>
      <c r="BR211" s="1111"/>
      <c r="BS211" s="1111"/>
      <c r="BT211" s="1111"/>
      <c r="BU211" s="1111"/>
      <c r="BV211" s="1111"/>
      <c r="BW211" s="1111"/>
      <c r="BX211" s="1111"/>
      <c r="BY211" s="1111"/>
      <c r="BZ211" s="1111"/>
      <c r="CA211" s="1111"/>
      <c r="CB211" s="1111"/>
      <c r="CC211" s="1111"/>
      <c r="CD211" s="1111"/>
      <c r="CE211" s="1111"/>
      <c r="CF211" s="1111"/>
      <c r="CG211" s="1111"/>
      <c r="CH211" s="1111"/>
      <c r="CI211" s="1111"/>
      <c r="CJ211" s="1111"/>
      <c r="CK211" s="1111"/>
      <c r="CL211" s="1111"/>
      <c r="CM211" s="1111"/>
      <c r="CN211" s="1111"/>
      <c r="CO211" s="1111"/>
      <c r="CP211" s="1111"/>
      <c r="CQ211" s="1111"/>
      <c r="CR211" s="1111"/>
      <c r="CS211" s="1111"/>
      <c r="CT211" s="1111"/>
      <c r="CU211" s="1111"/>
      <c r="CV211" s="1111"/>
      <c r="CW211" s="1111"/>
      <c r="CX211" s="1111"/>
      <c r="CY211" s="1111"/>
      <c r="CZ211" s="1111"/>
      <c r="DA211" s="1111"/>
      <c r="DB211" s="1111"/>
      <c r="DC211" s="1111"/>
      <c r="DD211" s="1111"/>
      <c r="DE211" s="1111"/>
      <c r="DF211" s="1111"/>
      <c r="DG211" s="1111"/>
    </row>
    <row r="212" spans="1:111" s="112" customFormat="1" ht="21" hidden="1" customHeight="1">
      <c r="A212" s="860" t="s">
        <v>457</v>
      </c>
      <c r="B212" s="1088"/>
      <c r="C212" s="1088"/>
      <c r="D212" s="1088"/>
      <c r="E212" s="1088"/>
      <c r="F212" s="1088"/>
      <c r="G212" s="1088"/>
      <c r="H212" s="1088"/>
      <c r="I212" s="1088"/>
      <c r="J212" s="1088"/>
      <c r="K212" s="1091"/>
      <c r="L212" s="1091"/>
      <c r="M212" s="1091"/>
      <c r="N212" s="1091"/>
      <c r="O212" s="1091"/>
      <c r="P212" s="1091"/>
      <c r="Q212" s="884"/>
      <c r="R212" s="1127"/>
      <c r="S212" s="1127"/>
      <c r="T212" s="1127"/>
      <c r="U212" s="1127"/>
      <c r="V212" s="1127"/>
      <c r="W212" s="1127"/>
      <c r="X212" s="1127"/>
      <c r="Y212" s="1127"/>
      <c r="Z212" s="1127"/>
      <c r="AA212" s="1099"/>
      <c r="AB212" s="1099"/>
      <c r="AC212" s="1099"/>
      <c r="AD212" s="1099"/>
      <c r="AE212" s="1099"/>
      <c r="AF212" s="1099"/>
      <c r="AG212" s="1111"/>
      <c r="AH212" s="1111"/>
      <c r="AI212" s="1111"/>
      <c r="AJ212" s="1111"/>
      <c r="AK212" s="1111"/>
      <c r="AL212" s="1111"/>
      <c r="AM212" s="1111"/>
      <c r="AN212" s="1111"/>
      <c r="AO212" s="1111"/>
      <c r="AP212" s="1111"/>
      <c r="AQ212" s="1111"/>
      <c r="AR212" s="1111"/>
      <c r="AS212" s="1111"/>
      <c r="AT212" s="1111"/>
      <c r="AU212" s="1111"/>
      <c r="AV212" s="1111"/>
      <c r="AW212" s="1111"/>
      <c r="AX212" s="1111"/>
      <c r="AY212" s="1111"/>
      <c r="AZ212" s="1111"/>
      <c r="BA212" s="1111"/>
      <c r="BB212" s="1111"/>
      <c r="BC212" s="1111"/>
      <c r="BD212" s="1111"/>
      <c r="BE212" s="1111"/>
      <c r="BF212" s="1111"/>
      <c r="BG212" s="1111"/>
      <c r="BH212" s="1111"/>
      <c r="BI212" s="1111"/>
      <c r="BJ212" s="1111"/>
      <c r="BK212" s="1111"/>
      <c r="BL212" s="1111"/>
      <c r="BM212" s="1111"/>
      <c r="BN212" s="1111"/>
      <c r="BO212" s="1111"/>
      <c r="BP212" s="1111"/>
      <c r="BQ212" s="1111"/>
      <c r="BR212" s="1111"/>
      <c r="BS212" s="1111"/>
      <c r="BT212" s="1111"/>
      <c r="BU212" s="1111"/>
      <c r="BV212" s="1111"/>
      <c r="BW212" s="1111"/>
      <c r="BX212" s="1111"/>
      <c r="BY212" s="1111"/>
      <c r="BZ212" s="1111"/>
      <c r="CA212" s="1111"/>
      <c r="CB212" s="1111"/>
      <c r="CC212" s="1111"/>
      <c r="CD212" s="1111"/>
      <c r="CE212" s="1111"/>
      <c r="CF212" s="1111"/>
      <c r="CG212" s="1111"/>
      <c r="CH212" s="1111"/>
      <c r="CI212" s="1111"/>
      <c r="CJ212" s="1111"/>
      <c r="CK212" s="1111"/>
      <c r="CL212" s="1111"/>
      <c r="CM212" s="1111"/>
      <c r="CN212" s="1111"/>
      <c r="CO212" s="1111"/>
      <c r="CP212" s="1111"/>
      <c r="CQ212" s="1111"/>
      <c r="CR212" s="1111"/>
      <c r="CS212" s="1111"/>
      <c r="CT212" s="1111"/>
      <c r="CU212" s="1111"/>
      <c r="CV212" s="1111"/>
      <c r="CW212" s="1111"/>
      <c r="CX212" s="1111"/>
      <c r="CY212" s="1111"/>
      <c r="CZ212" s="1111"/>
      <c r="DA212" s="1111"/>
      <c r="DB212" s="1111"/>
      <c r="DC212" s="1111"/>
      <c r="DD212" s="1111"/>
      <c r="DE212" s="1111"/>
      <c r="DF212" s="1111"/>
      <c r="DG212" s="1111"/>
    </row>
    <row r="213" spans="1:111" s="112" customFormat="1" ht="21" hidden="1" customHeight="1">
      <c r="A213" s="1116" t="s">
        <v>458</v>
      </c>
      <c r="B213" s="1449" t="s">
        <v>515</v>
      </c>
      <c r="C213" s="1450"/>
      <c r="D213" s="1450"/>
      <c r="E213" s="1266" t="s">
        <v>44</v>
      </c>
      <c r="F213" s="1266"/>
      <c r="G213" s="1266"/>
      <c r="H213" s="1266" t="s">
        <v>276</v>
      </c>
      <c r="I213" s="1266"/>
      <c r="J213" s="1266"/>
      <c r="K213" s="1266" t="s">
        <v>277</v>
      </c>
      <c r="L213" s="1266"/>
      <c r="M213" s="1266"/>
      <c r="N213" s="1266" t="s">
        <v>462</v>
      </c>
      <c r="O213" s="1266"/>
      <c r="P213" s="1266"/>
      <c r="Q213" s="884"/>
      <c r="R213" s="1351"/>
      <c r="S213" s="1265"/>
      <c r="T213" s="1265"/>
      <c r="U213" s="1269"/>
      <c r="V213" s="1269"/>
      <c r="W213" s="1269"/>
      <c r="X213" s="1269"/>
      <c r="Y213" s="1269"/>
      <c r="Z213" s="1269"/>
      <c r="AA213" s="1269"/>
      <c r="AB213" s="1269"/>
      <c r="AC213" s="1269"/>
      <c r="AD213" s="1269"/>
      <c r="AE213" s="1269"/>
      <c r="AF213" s="1269"/>
      <c r="AG213" s="1111"/>
      <c r="AH213" s="1111"/>
      <c r="AI213" s="1111"/>
      <c r="AJ213" s="1111"/>
      <c r="AK213" s="1111"/>
      <c r="AL213" s="1111"/>
      <c r="AM213" s="1111"/>
      <c r="AN213" s="1111"/>
      <c r="AO213" s="1111"/>
      <c r="AP213" s="1111"/>
      <c r="AQ213" s="1111"/>
      <c r="AR213" s="1111"/>
      <c r="AS213" s="1111"/>
      <c r="AT213" s="1111"/>
      <c r="AU213" s="1111"/>
      <c r="AV213" s="1111"/>
      <c r="AW213" s="1111"/>
      <c r="AX213" s="1111"/>
      <c r="AY213" s="1111"/>
      <c r="AZ213" s="1111"/>
      <c r="BA213" s="1111"/>
      <c r="BB213" s="1111"/>
      <c r="BC213" s="1111"/>
      <c r="BD213" s="1111"/>
      <c r="BE213" s="1111"/>
      <c r="BF213" s="1111"/>
      <c r="BG213" s="1111"/>
      <c r="BH213" s="1111"/>
      <c r="BI213" s="1111"/>
      <c r="BJ213" s="1111"/>
      <c r="BK213" s="1111"/>
      <c r="BL213" s="1111"/>
      <c r="BM213" s="1111"/>
      <c r="BN213" s="1111"/>
      <c r="BO213" s="1111"/>
      <c r="BP213" s="1111"/>
      <c r="BQ213" s="1111"/>
      <c r="BR213" s="1111"/>
      <c r="BS213" s="1111"/>
      <c r="BT213" s="1111"/>
      <c r="BU213" s="1111"/>
      <c r="BV213" s="1111"/>
      <c r="BW213" s="1111"/>
      <c r="BX213" s="1111"/>
      <c r="BY213" s="1111"/>
      <c r="BZ213" s="1111"/>
      <c r="CA213" s="1111"/>
      <c r="CB213" s="1111"/>
      <c r="CC213" s="1111"/>
      <c r="CD213" s="1111"/>
      <c r="CE213" s="1111"/>
      <c r="CF213" s="1111"/>
      <c r="CG213" s="1111"/>
      <c r="CH213" s="1111"/>
      <c r="CI213" s="1111"/>
      <c r="CJ213" s="1111"/>
      <c r="CK213" s="1111"/>
      <c r="CL213" s="1111"/>
      <c r="CM213" s="1111"/>
      <c r="CN213" s="1111"/>
      <c r="CO213" s="1111"/>
      <c r="CP213" s="1111"/>
      <c r="CQ213" s="1111"/>
      <c r="CR213" s="1111"/>
      <c r="CS213" s="1111"/>
      <c r="CT213" s="1111"/>
      <c r="CU213" s="1111"/>
      <c r="CV213" s="1111"/>
      <c r="CW213" s="1111"/>
      <c r="CX213" s="1111"/>
      <c r="CY213" s="1111"/>
      <c r="CZ213" s="1111"/>
      <c r="DA213" s="1111"/>
      <c r="DB213" s="1111"/>
      <c r="DC213" s="1111"/>
      <c r="DD213" s="1111"/>
      <c r="DE213" s="1111"/>
      <c r="DF213" s="1111"/>
      <c r="DG213" s="1111"/>
    </row>
    <row r="214" spans="1:111" s="112" customFormat="1" ht="21" hidden="1" customHeight="1">
      <c r="A214" s="1116"/>
      <c r="B214" s="1266" t="s">
        <v>463</v>
      </c>
      <c r="C214" s="1266"/>
      <c r="D214" s="1266"/>
      <c r="E214" s="1284">
        <f>C187</f>
        <v>1550</v>
      </c>
      <c r="F214" s="1284"/>
      <c r="G214" s="1284"/>
      <c r="H214" s="1284">
        <f>E214/24</f>
        <v>64.583333333333329</v>
      </c>
      <c r="I214" s="1284"/>
      <c r="J214" s="1284"/>
      <c r="K214" s="1284">
        <f>H214/60</f>
        <v>1.0763888888888888</v>
      </c>
      <c r="L214" s="1284"/>
      <c r="M214" s="1284"/>
      <c r="N214" s="1266">
        <f>K214/60</f>
        <v>1.7939814814814815E-2</v>
      </c>
      <c r="O214" s="1266"/>
      <c r="P214" s="1266"/>
      <c r="Q214" s="884"/>
      <c r="R214" s="1269"/>
      <c r="S214" s="1269"/>
      <c r="T214" s="1269"/>
      <c r="U214" s="1300"/>
      <c r="V214" s="1269"/>
      <c r="W214" s="1269"/>
      <c r="X214" s="1316"/>
      <c r="Y214" s="1316"/>
      <c r="Z214" s="1316"/>
      <c r="AA214" s="1316"/>
      <c r="AB214" s="1316"/>
      <c r="AC214" s="1316"/>
      <c r="AD214" s="1269"/>
      <c r="AE214" s="1269"/>
      <c r="AF214" s="1269"/>
      <c r="AG214" s="1111"/>
      <c r="AH214" s="1111"/>
      <c r="AI214" s="1111"/>
      <c r="AJ214" s="1111"/>
      <c r="AK214" s="1111"/>
      <c r="AL214" s="1111"/>
      <c r="AM214" s="1111"/>
      <c r="AN214" s="1111"/>
      <c r="AO214" s="1111"/>
      <c r="AP214" s="1111"/>
      <c r="AQ214" s="1111"/>
      <c r="AR214" s="1111"/>
      <c r="AS214" s="1111"/>
      <c r="AT214" s="1111"/>
      <c r="AU214" s="1111"/>
      <c r="AV214" s="1111"/>
      <c r="AW214" s="1111"/>
      <c r="AX214" s="1111"/>
      <c r="AY214" s="1111"/>
      <c r="AZ214" s="1111"/>
      <c r="BA214" s="1111"/>
      <c r="BB214" s="1111"/>
      <c r="BC214" s="1111"/>
      <c r="BD214" s="1111"/>
      <c r="BE214" s="1111"/>
      <c r="BF214" s="1111"/>
      <c r="BG214" s="1111"/>
      <c r="BH214" s="1111"/>
      <c r="BI214" s="1111"/>
      <c r="BJ214" s="1111"/>
      <c r="BK214" s="1111"/>
      <c r="BL214" s="1111"/>
      <c r="BM214" s="1111"/>
      <c r="BN214" s="1111"/>
      <c r="BO214" s="1111"/>
      <c r="BP214" s="1111"/>
      <c r="BQ214" s="1111"/>
      <c r="BR214" s="1111"/>
      <c r="BS214" s="1111"/>
      <c r="BT214" s="1111"/>
      <c r="BU214" s="1111"/>
      <c r="BV214" s="1111"/>
      <c r="BW214" s="1111"/>
      <c r="BX214" s="1111"/>
      <c r="BY214" s="1111"/>
      <c r="BZ214" s="1111"/>
      <c r="CA214" s="1111"/>
      <c r="CB214" s="1111"/>
      <c r="CC214" s="1111"/>
      <c r="CD214" s="1111"/>
      <c r="CE214" s="1111"/>
      <c r="CF214" s="1111"/>
      <c r="CG214" s="1111"/>
      <c r="CH214" s="1111"/>
      <c r="CI214" s="1111"/>
      <c r="CJ214" s="1111"/>
      <c r="CK214" s="1111"/>
      <c r="CL214" s="1111"/>
      <c r="CM214" s="1111"/>
      <c r="CN214" s="1111"/>
      <c r="CO214" s="1111"/>
      <c r="CP214" s="1111"/>
      <c r="CQ214" s="1111"/>
      <c r="CR214" s="1111"/>
      <c r="CS214" s="1111"/>
      <c r="CT214" s="1111"/>
      <c r="CU214" s="1111"/>
      <c r="CV214" s="1111"/>
      <c r="CW214" s="1111"/>
      <c r="CX214" s="1111"/>
      <c r="CY214" s="1111"/>
      <c r="CZ214" s="1111"/>
      <c r="DA214" s="1111"/>
      <c r="DB214" s="1111"/>
      <c r="DC214" s="1111"/>
      <c r="DD214" s="1111"/>
      <c r="DE214" s="1111"/>
      <c r="DF214" s="1111"/>
      <c r="DG214" s="1111"/>
    </row>
    <row r="215" spans="1:111" s="112" customFormat="1" ht="21" hidden="1" customHeight="1">
      <c r="A215" s="1116" t="s">
        <v>464</v>
      </c>
      <c r="B215" s="1091" t="s">
        <v>127</v>
      </c>
      <c r="C215" s="1091" t="s">
        <v>30</v>
      </c>
      <c r="D215" s="1370">
        <f>H214</f>
        <v>64.583333333333329</v>
      </c>
      <c r="E215" s="1370"/>
      <c r="F215" s="1370"/>
      <c r="G215" s="1091" t="s">
        <v>51</v>
      </c>
      <c r="H215" s="404">
        <f>F209</f>
        <v>3</v>
      </c>
      <c r="I215" s="1091" t="s">
        <v>292</v>
      </c>
      <c r="J215" s="405">
        <f>H209</f>
        <v>5</v>
      </c>
      <c r="K215" s="1091" t="s">
        <v>30</v>
      </c>
      <c r="L215" s="1424">
        <f>D215*H215</f>
        <v>193.75</v>
      </c>
      <c r="M215" s="1424"/>
      <c r="N215" s="1091" t="s">
        <v>292</v>
      </c>
      <c r="O215" s="1425">
        <f>D215*J215</f>
        <v>322.91666666666663</v>
      </c>
      <c r="P215" s="1425"/>
      <c r="Q215" s="884"/>
      <c r="R215" s="1099"/>
      <c r="S215" s="1099"/>
      <c r="T215" s="1357"/>
      <c r="U215" s="1357"/>
      <c r="V215" s="1269"/>
      <c r="W215" s="1099"/>
      <c r="X215" s="379"/>
      <c r="Y215" s="1099"/>
      <c r="Z215" s="380"/>
      <c r="AA215" s="1099"/>
      <c r="AB215" s="1099"/>
      <c r="AC215" s="1099"/>
      <c r="AD215" s="1099"/>
      <c r="AE215" s="1099"/>
      <c r="AF215" s="1099"/>
      <c r="AG215" s="1111"/>
      <c r="AH215" s="1111"/>
      <c r="AI215" s="1111"/>
      <c r="AJ215" s="1111"/>
      <c r="AK215" s="1111"/>
      <c r="AL215" s="1111"/>
      <c r="AM215" s="1111"/>
      <c r="AN215" s="1111"/>
      <c r="AO215" s="1111"/>
      <c r="AP215" s="1111"/>
      <c r="AQ215" s="1111"/>
      <c r="AR215" s="1111"/>
      <c r="AS215" s="1111"/>
      <c r="AT215" s="1111"/>
      <c r="AU215" s="1111"/>
      <c r="AV215" s="1111"/>
      <c r="AW215" s="1111"/>
      <c r="AX215" s="1111"/>
      <c r="AY215" s="1111"/>
      <c r="AZ215" s="1111"/>
      <c r="BA215" s="1111"/>
      <c r="BB215" s="1111"/>
      <c r="BC215" s="1111"/>
      <c r="BD215" s="1111"/>
      <c r="BE215" s="1111"/>
      <c r="BF215" s="1111"/>
      <c r="BG215" s="1111"/>
      <c r="BH215" s="1111"/>
      <c r="BI215" s="1111"/>
      <c r="BJ215" s="1111"/>
      <c r="BK215" s="1111"/>
      <c r="BL215" s="1111"/>
      <c r="BM215" s="1111"/>
      <c r="BN215" s="1111"/>
      <c r="BO215" s="1111"/>
      <c r="BP215" s="1111"/>
      <c r="BQ215" s="1111"/>
      <c r="BR215" s="1111"/>
      <c r="BS215" s="1111"/>
      <c r="BT215" s="1111"/>
      <c r="BU215" s="1111"/>
      <c r="BV215" s="1111"/>
      <c r="BW215" s="1111"/>
      <c r="BX215" s="1111"/>
      <c r="BY215" s="1111"/>
      <c r="BZ215" s="1111"/>
      <c r="CA215" s="1111"/>
      <c r="CB215" s="1111"/>
      <c r="CC215" s="1111"/>
      <c r="CD215" s="1111"/>
      <c r="CE215" s="1111"/>
      <c r="CF215" s="1111"/>
      <c r="CG215" s="1111"/>
      <c r="CH215" s="1111"/>
      <c r="CI215" s="1111"/>
      <c r="CJ215" s="1111"/>
      <c r="CK215" s="1111"/>
      <c r="CL215" s="1111"/>
      <c r="CM215" s="1111"/>
      <c r="CN215" s="1111"/>
      <c r="CO215" s="1111"/>
      <c r="CP215" s="1111"/>
      <c r="CQ215" s="1111"/>
      <c r="CR215" s="1111"/>
      <c r="CS215" s="1111"/>
      <c r="CT215" s="1111"/>
      <c r="CU215" s="1111"/>
      <c r="CV215" s="1111"/>
      <c r="CW215" s="1111"/>
      <c r="CX215" s="1111"/>
      <c r="CY215" s="1111"/>
      <c r="CZ215" s="1111"/>
      <c r="DA215" s="1111"/>
      <c r="DB215" s="1111"/>
      <c r="DC215" s="1111"/>
      <c r="DD215" s="1111"/>
      <c r="DE215" s="1111"/>
      <c r="DF215" s="1111"/>
      <c r="DG215" s="1111"/>
    </row>
    <row r="216" spans="1:111" s="112" customFormat="1" ht="21" hidden="1" customHeight="1">
      <c r="A216" s="1116" t="s">
        <v>465</v>
      </c>
      <c r="B216" s="1091" t="s">
        <v>466</v>
      </c>
      <c r="C216" s="1091" t="s">
        <v>30</v>
      </c>
      <c r="D216" s="1327">
        <f>E214</f>
        <v>1550</v>
      </c>
      <c r="E216" s="1327"/>
      <c r="F216" s="1327"/>
      <c r="G216" s="1091" t="s">
        <v>52</v>
      </c>
      <c r="H216" s="404">
        <f>F207</f>
        <v>20</v>
      </c>
      <c r="I216" s="1091" t="s">
        <v>292</v>
      </c>
      <c r="J216" s="1091">
        <v>30</v>
      </c>
      <c r="K216" s="1260" t="s">
        <v>516</v>
      </c>
      <c r="L216" s="1260"/>
      <c r="M216" s="1091" t="s">
        <v>830</v>
      </c>
      <c r="N216" s="1091"/>
      <c r="O216" s="1091"/>
      <c r="P216" s="1091"/>
      <c r="Q216" s="884"/>
      <c r="R216" s="1099"/>
      <c r="S216" s="1099"/>
      <c r="T216" s="1306"/>
      <c r="U216" s="1306"/>
      <c r="V216" s="1269"/>
      <c r="W216" s="1099"/>
      <c r="X216" s="379"/>
      <c r="Y216" s="1099"/>
      <c r="Z216" s="1099"/>
      <c r="AA216" s="1269"/>
      <c r="AB216" s="1269"/>
      <c r="AC216" s="1265"/>
      <c r="AD216" s="1265"/>
      <c r="AE216" s="1265"/>
      <c r="AF216" s="1099"/>
      <c r="AG216" s="1111"/>
      <c r="AH216" s="1111"/>
      <c r="AI216" s="1111"/>
      <c r="AJ216" s="1111"/>
      <c r="AK216" s="1111"/>
      <c r="AL216" s="1111"/>
      <c r="AM216" s="1111"/>
      <c r="AN216" s="1111"/>
      <c r="AO216" s="1111"/>
      <c r="AP216" s="1111"/>
      <c r="AQ216" s="1111"/>
      <c r="AR216" s="1111"/>
      <c r="AS216" s="1111"/>
      <c r="AT216" s="1111"/>
      <c r="AU216" s="1111"/>
      <c r="AV216" s="1111"/>
      <c r="AW216" s="1111"/>
      <c r="AX216" s="1111"/>
      <c r="AY216" s="1111"/>
      <c r="AZ216" s="1111"/>
      <c r="BA216" s="1111"/>
      <c r="BB216" s="1111"/>
      <c r="BC216" s="1111"/>
      <c r="BD216" s="1111"/>
      <c r="BE216" s="1111"/>
      <c r="BF216" s="1111"/>
      <c r="BG216" s="1111"/>
      <c r="BH216" s="1111"/>
      <c r="BI216" s="1111"/>
      <c r="BJ216" s="1111"/>
      <c r="BK216" s="1111"/>
      <c r="BL216" s="1111"/>
      <c r="BM216" s="1111"/>
      <c r="BN216" s="1111"/>
      <c r="BO216" s="1111"/>
      <c r="BP216" s="1111"/>
      <c r="BQ216" s="1111"/>
      <c r="BR216" s="1111"/>
      <c r="BS216" s="1111"/>
      <c r="BT216" s="1111"/>
      <c r="BU216" s="1111"/>
      <c r="BV216" s="1111"/>
      <c r="BW216" s="1111"/>
      <c r="BX216" s="1111"/>
      <c r="BY216" s="1111"/>
      <c r="BZ216" s="1111"/>
      <c r="CA216" s="1111"/>
      <c r="CB216" s="1111"/>
      <c r="CC216" s="1111"/>
      <c r="CD216" s="1111"/>
      <c r="CE216" s="1111"/>
      <c r="CF216" s="1111"/>
      <c r="CG216" s="1111"/>
      <c r="CH216" s="1111"/>
      <c r="CI216" s="1111"/>
      <c r="CJ216" s="1111"/>
      <c r="CK216" s="1111"/>
      <c r="CL216" s="1111"/>
      <c r="CM216" s="1111"/>
      <c r="CN216" s="1111"/>
      <c r="CO216" s="1111"/>
      <c r="CP216" s="1111"/>
      <c r="CQ216" s="1111"/>
      <c r="CR216" s="1111"/>
      <c r="CS216" s="1111"/>
      <c r="CT216" s="1111"/>
      <c r="CU216" s="1111"/>
      <c r="CV216" s="1111"/>
      <c r="CW216" s="1111"/>
      <c r="CX216" s="1111"/>
      <c r="CY216" s="1111"/>
      <c r="CZ216" s="1111"/>
      <c r="DA216" s="1111"/>
      <c r="DB216" s="1111"/>
      <c r="DC216" s="1111"/>
      <c r="DD216" s="1111"/>
      <c r="DE216" s="1111"/>
      <c r="DF216" s="1111"/>
      <c r="DG216" s="1111"/>
    </row>
    <row r="217" spans="1:111" s="112" customFormat="1" ht="21" hidden="1" customHeight="1">
      <c r="A217" s="1116"/>
      <c r="B217" s="1091"/>
      <c r="C217" s="1091" t="s">
        <v>30</v>
      </c>
      <c r="D217" s="1424">
        <f>D216/J216</f>
        <v>51.666666666666664</v>
      </c>
      <c r="E217" s="1424"/>
      <c r="F217" s="1091" t="s">
        <v>292</v>
      </c>
      <c r="G217" s="1292">
        <f>D216/H216</f>
        <v>77.5</v>
      </c>
      <c r="H217" s="1292"/>
      <c r="I217" s="1091" t="s">
        <v>467</v>
      </c>
      <c r="J217" s="1091"/>
      <c r="K217" s="1091"/>
      <c r="L217" s="1091"/>
      <c r="M217" s="1091"/>
      <c r="N217" s="1091"/>
      <c r="O217" s="1091"/>
      <c r="P217" s="1091"/>
      <c r="Q217" s="884"/>
      <c r="R217" s="1099"/>
      <c r="S217" s="1099"/>
      <c r="T217" s="1352"/>
      <c r="U217" s="1352"/>
      <c r="V217" s="1099"/>
      <c r="W217" s="1363"/>
      <c r="X217" s="1363"/>
      <c r="Y217" s="1099"/>
      <c r="Z217" s="1099"/>
      <c r="AA217" s="1099"/>
      <c r="AB217" s="1099"/>
      <c r="AC217" s="1099"/>
      <c r="AD217" s="1099"/>
      <c r="AE217" s="1099"/>
      <c r="AF217" s="1099"/>
      <c r="AG217" s="1111"/>
      <c r="AH217" s="1111"/>
      <c r="AI217" s="1111"/>
      <c r="AJ217" s="1111"/>
      <c r="AK217" s="1111"/>
      <c r="AL217" s="1111"/>
      <c r="AM217" s="1111"/>
      <c r="AN217" s="1111"/>
      <c r="AO217" s="1111"/>
      <c r="AP217" s="1111"/>
      <c r="AQ217" s="1111"/>
      <c r="AR217" s="1111"/>
      <c r="AS217" s="1111"/>
      <c r="AT217" s="1111"/>
      <c r="AU217" s="1111"/>
      <c r="AV217" s="1111"/>
      <c r="AW217" s="1111"/>
      <c r="AX217" s="1111"/>
      <c r="AY217" s="1111"/>
      <c r="AZ217" s="1111"/>
      <c r="BA217" s="1111"/>
      <c r="BB217" s="1111"/>
      <c r="BC217" s="1111"/>
      <c r="BD217" s="1111"/>
      <c r="BE217" s="1111"/>
      <c r="BF217" s="1111"/>
      <c r="BG217" s="1111"/>
      <c r="BH217" s="1111"/>
      <c r="BI217" s="1111"/>
      <c r="BJ217" s="1111"/>
      <c r="BK217" s="1111"/>
      <c r="BL217" s="1111"/>
      <c r="BM217" s="1111"/>
      <c r="BN217" s="1111"/>
      <c r="BO217" s="1111"/>
      <c r="BP217" s="1111"/>
      <c r="BQ217" s="1111"/>
      <c r="BR217" s="1111"/>
      <c r="BS217" s="1111"/>
      <c r="BT217" s="1111"/>
      <c r="BU217" s="1111"/>
      <c r="BV217" s="1111"/>
      <c r="BW217" s="1111"/>
      <c r="BX217" s="1111"/>
      <c r="BY217" s="1111"/>
      <c r="BZ217" s="1111"/>
      <c r="CA217" s="1111"/>
      <c r="CB217" s="1111"/>
      <c r="CC217" s="1111"/>
      <c r="CD217" s="1111"/>
      <c r="CE217" s="1111"/>
      <c r="CF217" s="1111"/>
      <c r="CG217" s="1111"/>
      <c r="CH217" s="1111"/>
      <c r="CI217" s="1111"/>
      <c r="CJ217" s="1111"/>
      <c r="CK217" s="1111"/>
      <c r="CL217" s="1111"/>
      <c r="CM217" s="1111"/>
      <c r="CN217" s="1111"/>
      <c r="CO217" s="1111"/>
      <c r="CP217" s="1111"/>
      <c r="CQ217" s="1111"/>
      <c r="CR217" s="1111"/>
      <c r="CS217" s="1111"/>
      <c r="CT217" s="1111"/>
      <c r="CU217" s="1111"/>
      <c r="CV217" s="1111"/>
      <c r="CW217" s="1111"/>
      <c r="CX217" s="1111"/>
      <c r="CY217" s="1111"/>
      <c r="CZ217" s="1111"/>
      <c r="DA217" s="1111"/>
      <c r="DB217" s="1111"/>
      <c r="DC217" s="1111"/>
      <c r="DD217" s="1111"/>
      <c r="DE217" s="1111"/>
      <c r="DF217" s="1111"/>
      <c r="DG217" s="1111"/>
    </row>
    <row r="218" spans="1:111" s="112" customFormat="1" ht="21" hidden="1" customHeight="1">
      <c r="A218" s="860" t="s">
        <v>427</v>
      </c>
      <c r="B218" s="1091"/>
      <c r="C218" s="1091"/>
      <c r="D218" s="1091"/>
      <c r="E218" s="1091"/>
      <c r="F218" s="1091"/>
      <c r="G218" s="1091"/>
      <c r="H218" s="1091"/>
      <c r="I218" s="1091"/>
      <c r="J218" s="1091"/>
      <c r="K218" s="1091"/>
      <c r="L218" s="1091"/>
      <c r="M218" s="1091"/>
      <c r="N218" s="1091"/>
      <c r="O218" s="1091"/>
      <c r="P218" s="1091"/>
      <c r="Q218" s="884"/>
      <c r="R218" s="1099"/>
      <c r="S218" s="1099"/>
      <c r="T218" s="1099"/>
      <c r="U218" s="1099"/>
      <c r="V218" s="1099"/>
      <c r="W218" s="1099"/>
      <c r="X218" s="1099"/>
      <c r="Y218" s="1099"/>
      <c r="Z218" s="1099"/>
      <c r="AA218" s="1099"/>
      <c r="AB218" s="1099"/>
      <c r="AC218" s="1099"/>
      <c r="AD218" s="1099"/>
      <c r="AE218" s="1099"/>
      <c r="AF218" s="1099"/>
      <c r="AG218" s="1111"/>
      <c r="AH218" s="1111"/>
      <c r="AI218" s="1111"/>
      <c r="AJ218" s="1111"/>
      <c r="AK218" s="1111"/>
      <c r="AL218" s="1111"/>
      <c r="AM218" s="1111"/>
      <c r="AN218" s="1111"/>
      <c r="AO218" s="1111"/>
      <c r="AP218" s="1111"/>
      <c r="AQ218" s="1111"/>
      <c r="AR218" s="1111"/>
      <c r="AS218" s="1111"/>
      <c r="AT218" s="1111"/>
      <c r="AU218" s="1111"/>
      <c r="AV218" s="1111"/>
      <c r="AW218" s="1111"/>
      <c r="AX218" s="1111"/>
      <c r="AY218" s="1111"/>
      <c r="AZ218" s="1111"/>
      <c r="BA218" s="1111"/>
      <c r="BB218" s="1111"/>
      <c r="BC218" s="1111"/>
      <c r="BD218" s="1111"/>
      <c r="BE218" s="1111"/>
      <c r="BF218" s="1111"/>
      <c r="BG218" s="1111"/>
      <c r="BH218" s="1111"/>
      <c r="BI218" s="1111"/>
      <c r="BJ218" s="1111"/>
      <c r="BK218" s="1111"/>
      <c r="BL218" s="1111"/>
      <c r="BM218" s="1111"/>
      <c r="BN218" s="1111"/>
      <c r="BO218" s="1111"/>
      <c r="BP218" s="1111"/>
      <c r="BQ218" s="1111"/>
      <c r="BR218" s="1111"/>
      <c r="BS218" s="1111"/>
      <c r="BT218" s="1111"/>
      <c r="BU218" s="1111"/>
      <c r="BV218" s="1111"/>
      <c r="BW218" s="1111"/>
      <c r="BX218" s="1111"/>
      <c r="BY218" s="1111"/>
      <c r="BZ218" s="1111"/>
      <c r="CA218" s="1111"/>
      <c r="CB218" s="1111"/>
      <c r="CC218" s="1111"/>
      <c r="CD218" s="1111"/>
      <c r="CE218" s="1111"/>
      <c r="CF218" s="1111"/>
      <c r="CG218" s="1111"/>
      <c r="CH218" s="1111"/>
      <c r="CI218" s="1111"/>
      <c r="CJ218" s="1111"/>
      <c r="CK218" s="1111"/>
      <c r="CL218" s="1111"/>
      <c r="CM218" s="1111"/>
      <c r="CN218" s="1111"/>
      <c r="CO218" s="1111"/>
      <c r="CP218" s="1111"/>
      <c r="CQ218" s="1111"/>
      <c r="CR218" s="1111"/>
      <c r="CS218" s="1111"/>
      <c r="CT218" s="1111"/>
      <c r="CU218" s="1111"/>
      <c r="CV218" s="1111"/>
      <c r="CW218" s="1111"/>
      <c r="CX218" s="1111"/>
      <c r="CY218" s="1111"/>
      <c r="CZ218" s="1111"/>
      <c r="DA218" s="1111"/>
      <c r="DB218" s="1111"/>
      <c r="DC218" s="1111"/>
      <c r="DD218" s="1111"/>
      <c r="DE218" s="1111"/>
      <c r="DF218" s="1111"/>
      <c r="DG218" s="1111"/>
    </row>
    <row r="219" spans="1:111" s="112" customFormat="1" ht="21" hidden="1" customHeight="1">
      <c r="A219" s="1116" t="s">
        <v>304</v>
      </c>
      <c r="B219" s="322"/>
      <c r="C219" s="1260" t="s">
        <v>468</v>
      </c>
      <c r="D219" s="1260"/>
      <c r="E219" s="1260"/>
      <c r="F219" s="1260"/>
      <c r="G219" s="1260"/>
      <c r="H219" s="1260"/>
      <c r="I219" s="1260"/>
      <c r="J219" s="1260"/>
      <c r="K219" s="1260"/>
      <c r="L219" s="1260"/>
      <c r="M219" s="1260"/>
      <c r="N219" s="1260"/>
      <c r="O219" s="1260"/>
      <c r="P219" s="1101"/>
      <c r="Q219" s="884"/>
      <c r="R219" s="1269"/>
      <c r="S219" s="1364"/>
      <c r="T219" s="1364"/>
      <c r="U219" s="1364"/>
      <c r="V219" s="1364"/>
      <c r="W219" s="1364"/>
      <c r="X219" s="1364"/>
      <c r="Y219" s="1364"/>
      <c r="Z219" s="1364"/>
      <c r="AA219" s="1364"/>
      <c r="AB219" s="1364"/>
      <c r="AC219" s="1364"/>
      <c r="AD219" s="1364"/>
      <c r="AE219" s="1364"/>
      <c r="AF219" s="1364"/>
      <c r="AG219" s="1111"/>
      <c r="AH219" s="1111"/>
      <c r="AI219" s="1111"/>
      <c r="AJ219" s="1111"/>
      <c r="AK219" s="1111"/>
      <c r="AL219" s="1111"/>
      <c r="AM219" s="1111"/>
      <c r="AN219" s="1111"/>
      <c r="AO219" s="1111"/>
      <c r="AP219" s="1111"/>
      <c r="AQ219" s="1111"/>
      <c r="AR219" s="1111"/>
      <c r="AS219" s="1111"/>
      <c r="AT219" s="1111"/>
      <c r="AU219" s="1111"/>
      <c r="AV219" s="1111"/>
      <c r="AW219" s="1111"/>
      <c r="AX219" s="1111"/>
      <c r="AY219" s="1111"/>
      <c r="AZ219" s="1111"/>
      <c r="BA219" s="1111"/>
      <c r="BB219" s="1111"/>
      <c r="BC219" s="1111"/>
      <c r="BD219" s="1111"/>
      <c r="BE219" s="1111"/>
      <c r="BF219" s="1111"/>
      <c r="BG219" s="1111"/>
      <c r="BH219" s="1111"/>
      <c r="BI219" s="1111"/>
      <c r="BJ219" s="1111"/>
      <c r="BK219" s="1111"/>
      <c r="BL219" s="1111"/>
      <c r="BM219" s="1111"/>
      <c r="BN219" s="1111"/>
      <c r="BO219" s="1111"/>
      <c r="BP219" s="1111"/>
      <c r="BQ219" s="1111"/>
      <c r="BR219" s="1111"/>
      <c r="BS219" s="1111"/>
      <c r="BT219" s="1111"/>
      <c r="BU219" s="1111"/>
      <c r="BV219" s="1111"/>
      <c r="BW219" s="1111"/>
      <c r="BX219" s="1111"/>
      <c r="BY219" s="1111"/>
      <c r="BZ219" s="1111"/>
      <c r="CA219" s="1111"/>
      <c r="CB219" s="1111"/>
      <c r="CC219" s="1111"/>
      <c r="CD219" s="1111"/>
      <c r="CE219" s="1111"/>
      <c r="CF219" s="1111"/>
      <c r="CG219" s="1111"/>
      <c r="CH219" s="1111"/>
      <c r="CI219" s="1111"/>
      <c r="CJ219" s="1111"/>
      <c r="CK219" s="1111"/>
      <c r="CL219" s="1111"/>
      <c r="CM219" s="1111"/>
      <c r="CN219" s="1111"/>
      <c r="CO219" s="1111"/>
      <c r="CP219" s="1111"/>
      <c r="CQ219" s="1111"/>
      <c r="CR219" s="1111"/>
      <c r="CS219" s="1111"/>
      <c r="CT219" s="1111"/>
      <c r="CU219" s="1111"/>
      <c r="CV219" s="1111"/>
      <c r="CW219" s="1111"/>
      <c r="CX219" s="1111"/>
      <c r="CY219" s="1111"/>
      <c r="CZ219" s="1111"/>
      <c r="DA219" s="1111"/>
      <c r="DB219" s="1111"/>
      <c r="DC219" s="1111"/>
      <c r="DD219" s="1111"/>
      <c r="DE219" s="1111"/>
      <c r="DF219" s="1111"/>
      <c r="DG219" s="1111"/>
    </row>
    <row r="220" spans="1:111" s="112" customFormat="1" ht="21" hidden="1" customHeight="1">
      <c r="A220" s="1116" t="s">
        <v>122</v>
      </c>
      <c r="B220" s="1154"/>
      <c r="C220" s="1089"/>
      <c r="D220" s="1091"/>
      <c r="E220" s="1091" t="s">
        <v>469</v>
      </c>
      <c r="F220" s="518">
        <v>12</v>
      </c>
      <c r="G220" s="1091" t="s">
        <v>308</v>
      </c>
      <c r="H220" s="1091" t="s">
        <v>51</v>
      </c>
      <c r="I220" s="1260" t="s">
        <v>123</v>
      </c>
      <c r="J220" s="1260"/>
      <c r="K220" s="1091" t="s">
        <v>311</v>
      </c>
      <c r="L220" s="519">
        <v>4.0999999999999996</v>
      </c>
      <c r="M220" s="1091" t="s">
        <v>308</v>
      </c>
      <c r="N220" s="1088"/>
      <c r="O220" s="1091"/>
      <c r="P220" s="1101"/>
      <c r="Q220" s="884"/>
      <c r="R220" s="1099"/>
      <c r="S220" s="1099"/>
      <c r="T220" s="1129"/>
      <c r="U220" s="1099"/>
      <c r="V220" s="1099"/>
      <c r="W220" s="1269"/>
      <c r="X220" s="1269"/>
      <c r="Y220" s="1099"/>
      <c r="Z220" s="1099"/>
      <c r="AA220" s="1127"/>
      <c r="AB220" s="1099"/>
      <c r="AC220" s="1099"/>
      <c r="AD220" s="1099"/>
      <c r="AE220" s="1099"/>
      <c r="AF220" s="1099"/>
      <c r="AG220" s="1111"/>
      <c r="AH220" s="1111"/>
      <c r="AI220" s="1111"/>
      <c r="AJ220" s="1111"/>
      <c r="AK220" s="1111"/>
      <c r="AL220" s="1111"/>
      <c r="AM220" s="1111"/>
      <c r="AN220" s="1111"/>
      <c r="AO220" s="1111"/>
      <c r="AP220" s="1111"/>
      <c r="AQ220" s="1111"/>
      <c r="AR220" s="1111"/>
      <c r="AS220" s="1111"/>
      <c r="AT220" s="1111"/>
      <c r="AU220" s="1111"/>
      <c r="AV220" s="1111"/>
      <c r="AW220" s="1111"/>
      <c r="AX220" s="1111"/>
      <c r="AY220" s="1111"/>
      <c r="AZ220" s="1111"/>
      <c r="BA220" s="1111"/>
      <c r="BB220" s="1111"/>
      <c r="BC220" s="1111"/>
      <c r="BD220" s="1111"/>
      <c r="BE220" s="1111"/>
      <c r="BF220" s="1111"/>
      <c r="BG220" s="1111"/>
      <c r="BH220" s="1111"/>
      <c r="BI220" s="1111"/>
      <c r="BJ220" s="1111"/>
      <c r="BK220" s="1111"/>
      <c r="BL220" s="1111"/>
      <c r="BM220" s="1111"/>
      <c r="BN220" s="1111"/>
      <c r="BO220" s="1111"/>
      <c r="BP220" s="1111"/>
      <c r="BQ220" s="1111"/>
      <c r="BR220" s="1111"/>
      <c r="BS220" s="1111"/>
      <c r="BT220" s="1111"/>
      <c r="BU220" s="1111"/>
      <c r="BV220" s="1111"/>
      <c r="BW220" s="1111"/>
      <c r="BX220" s="1111"/>
      <c r="BY220" s="1111"/>
      <c r="BZ220" s="1111"/>
      <c r="CA220" s="1111"/>
      <c r="CB220" s="1111"/>
      <c r="CC220" s="1111"/>
      <c r="CD220" s="1111"/>
      <c r="CE220" s="1111"/>
      <c r="CF220" s="1111"/>
      <c r="CG220" s="1111"/>
      <c r="CH220" s="1111"/>
      <c r="CI220" s="1111"/>
      <c r="CJ220" s="1111"/>
      <c r="CK220" s="1111"/>
      <c r="CL220" s="1111"/>
      <c r="CM220" s="1111"/>
      <c r="CN220" s="1111"/>
      <c r="CO220" s="1111"/>
      <c r="CP220" s="1111"/>
      <c r="CQ220" s="1111"/>
      <c r="CR220" s="1111"/>
      <c r="CS220" s="1111"/>
      <c r="CT220" s="1111"/>
      <c r="CU220" s="1111"/>
      <c r="CV220" s="1111"/>
      <c r="CW220" s="1111"/>
      <c r="CX220" s="1111"/>
      <c r="CY220" s="1111"/>
      <c r="CZ220" s="1111"/>
      <c r="DA220" s="1111"/>
      <c r="DB220" s="1111"/>
      <c r="DC220" s="1111"/>
      <c r="DD220" s="1111"/>
      <c r="DE220" s="1111"/>
      <c r="DF220" s="1111"/>
      <c r="DG220" s="1111"/>
    </row>
    <row r="221" spans="1:111" s="112" customFormat="1" ht="21" hidden="1" customHeight="1">
      <c r="A221" s="1116" t="s">
        <v>131</v>
      </c>
      <c r="B221" s="1091"/>
      <c r="C221" s="1091"/>
      <c r="D221" s="1091"/>
      <c r="E221" s="1091"/>
      <c r="F221" s="1091"/>
      <c r="G221" s="1091">
        <v>4</v>
      </c>
      <c r="H221" s="1091" t="s">
        <v>313</v>
      </c>
      <c r="I221" s="1091"/>
      <c r="J221" s="1091"/>
      <c r="K221" s="1091"/>
      <c r="L221" s="1091"/>
      <c r="M221" s="1091"/>
      <c r="N221" s="1091"/>
      <c r="O221" s="1091"/>
      <c r="P221" s="1091"/>
      <c r="Q221" s="884"/>
      <c r="R221" s="1099"/>
      <c r="S221" s="1099"/>
      <c r="T221" s="1099"/>
      <c r="U221" s="1099"/>
      <c r="V221" s="1099"/>
      <c r="W221" s="1099"/>
      <c r="X221" s="1099"/>
      <c r="Y221" s="1099"/>
      <c r="Z221" s="1099"/>
      <c r="AA221" s="1099"/>
      <c r="AB221" s="1099"/>
      <c r="AC221" s="1099"/>
      <c r="AD221" s="1099"/>
      <c r="AE221" s="1099"/>
      <c r="AF221" s="1099"/>
      <c r="AG221" s="1111"/>
      <c r="AH221" s="1111"/>
      <c r="AI221" s="1111"/>
      <c r="AJ221" s="1111"/>
      <c r="AK221" s="1111"/>
      <c r="AL221" s="1111"/>
      <c r="AM221" s="1111"/>
      <c r="AN221" s="1111"/>
      <c r="AO221" s="1111"/>
      <c r="AP221" s="1111"/>
      <c r="AQ221" s="1111"/>
      <c r="AR221" s="1111"/>
      <c r="AS221" s="1111"/>
      <c r="AT221" s="1111"/>
      <c r="AU221" s="1111"/>
      <c r="AV221" s="1111"/>
      <c r="AW221" s="1111"/>
      <c r="AX221" s="1111"/>
      <c r="AY221" s="1111"/>
      <c r="AZ221" s="1111"/>
      <c r="BA221" s="1111"/>
      <c r="BB221" s="1111"/>
      <c r="BC221" s="1111"/>
      <c r="BD221" s="1111"/>
      <c r="BE221" s="1111"/>
      <c r="BF221" s="1111"/>
      <c r="BG221" s="1111"/>
      <c r="BH221" s="1111"/>
      <c r="BI221" s="1111"/>
      <c r="BJ221" s="1111"/>
      <c r="BK221" s="1111"/>
      <c r="BL221" s="1111"/>
      <c r="BM221" s="1111"/>
      <c r="BN221" s="1111"/>
      <c r="BO221" s="1111"/>
      <c r="BP221" s="1111"/>
      <c r="BQ221" s="1111"/>
      <c r="BR221" s="1111"/>
      <c r="BS221" s="1111"/>
      <c r="BT221" s="1111"/>
      <c r="BU221" s="1111"/>
      <c r="BV221" s="1111"/>
      <c r="BW221" s="1111"/>
      <c r="BX221" s="1111"/>
      <c r="BY221" s="1111"/>
      <c r="BZ221" s="1111"/>
      <c r="CA221" s="1111"/>
      <c r="CB221" s="1111"/>
      <c r="CC221" s="1111"/>
      <c r="CD221" s="1111"/>
      <c r="CE221" s="1111"/>
      <c r="CF221" s="1111"/>
      <c r="CG221" s="1111"/>
      <c r="CH221" s="1111"/>
      <c r="CI221" s="1111"/>
      <c r="CJ221" s="1111"/>
      <c r="CK221" s="1111"/>
      <c r="CL221" s="1111"/>
      <c r="CM221" s="1111"/>
      <c r="CN221" s="1111"/>
      <c r="CO221" s="1111"/>
      <c r="CP221" s="1111"/>
      <c r="CQ221" s="1111"/>
      <c r="CR221" s="1111"/>
      <c r="CS221" s="1111"/>
      <c r="CT221" s="1111"/>
      <c r="CU221" s="1111"/>
      <c r="CV221" s="1111"/>
      <c r="CW221" s="1111"/>
      <c r="CX221" s="1111"/>
      <c r="CY221" s="1111"/>
      <c r="CZ221" s="1111"/>
      <c r="DA221" s="1111"/>
      <c r="DB221" s="1111"/>
      <c r="DC221" s="1111"/>
      <c r="DD221" s="1111"/>
      <c r="DE221" s="1111"/>
      <c r="DF221" s="1111"/>
      <c r="DG221" s="1111"/>
    </row>
    <row r="222" spans="1:111" s="112" customFormat="1" ht="21" hidden="1" customHeight="1">
      <c r="A222" s="1116" t="s">
        <v>126</v>
      </c>
      <c r="B222" s="1091"/>
      <c r="C222" s="1091" t="s">
        <v>127</v>
      </c>
      <c r="D222" s="1091" t="s">
        <v>30</v>
      </c>
      <c r="E222" s="1288">
        <f>ROUND(3.14*F220^2/4*L220,2)</f>
        <v>463.46</v>
      </c>
      <c r="F222" s="1288"/>
      <c r="G222" s="1260" t="s">
        <v>128</v>
      </c>
      <c r="H222" s="1260"/>
      <c r="I222" s="1091" t="s">
        <v>51</v>
      </c>
      <c r="J222" s="402">
        <f>G221</f>
        <v>4</v>
      </c>
      <c r="K222" s="1091" t="str">
        <f>H221</f>
        <v>계열</v>
      </c>
      <c r="L222" s="1091" t="s">
        <v>30</v>
      </c>
      <c r="M222" s="1291">
        <f>E222*J222</f>
        <v>1853.84</v>
      </c>
      <c r="N222" s="1291"/>
      <c r="O222" s="1088"/>
      <c r="P222" s="1091"/>
      <c r="Q222" s="884"/>
      <c r="R222" s="1099"/>
      <c r="S222" s="1099"/>
      <c r="T222" s="1099"/>
      <c r="U222" s="1356"/>
      <c r="V222" s="1356"/>
      <c r="W222" s="1269"/>
      <c r="X222" s="1269"/>
      <c r="Y222" s="1099"/>
      <c r="Z222" s="1099"/>
      <c r="AA222" s="1099"/>
      <c r="AB222" s="1099"/>
      <c r="AC222" s="1362"/>
      <c r="AD222" s="1362"/>
      <c r="AE222" s="1127"/>
      <c r="AF222" s="1099"/>
      <c r="AG222" s="1111"/>
      <c r="AH222" s="1111"/>
      <c r="AI222" s="1111"/>
      <c r="AJ222" s="1111"/>
      <c r="AK222" s="1111"/>
      <c r="AL222" s="1111"/>
      <c r="AM222" s="1111"/>
      <c r="AN222" s="1111"/>
      <c r="AO222" s="1111"/>
      <c r="AP222" s="1111"/>
      <c r="AQ222" s="1111"/>
      <c r="AR222" s="1111"/>
      <c r="AS222" s="1111"/>
      <c r="AT222" s="1111"/>
      <c r="AU222" s="1111"/>
      <c r="AV222" s="1111"/>
      <c r="AW222" s="1111"/>
      <c r="AX222" s="1111"/>
      <c r="AY222" s="1111"/>
      <c r="AZ222" s="1111"/>
      <c r="BA222" s="1111"/>
      <c r="BB222" s="1111"/>
      <c r="BC222" s="1111"/>
      <c r="BD222" s="1111"/>
      <c r="BE222" s="1111"/>
      <c r="BF222" s="1111"/>
      <c r="BG222" s="1111"/>
      <c r="BH222" s="1111"/>
      <c r="BI222" s="1111"/>
      <c r="BJ222" s="1111"/>
      <c r="BK222" s="1111"/>
      <c r="BL222" s="1111"/>
      <c r="BM222" s="1111"/>
      <c r="BN222" s="1111"/>
      <c r="BO222" s="1111"/>
      <c r="BP222" s="1111"/>
      <c r="BQ222" s="1111"/>
      <c r="BR222" s="1111"/>
      <c r="BS222" s="1111"/>
      <c r="BT222" s="1111"/>
      <c r="BU222" s="1111"/>
      <c r="BV222" s="1111"/>
      <c r="BW222" s="1111"/>
      <c r="BX222" s="1111"/>
      <c r="BY222" s="1111"/>
      <c r="BZ222" s="1111"/>
      <c r="CA222" s="1111"/>
      <c r="CB222" s="1111"/>
      <c r="CC222" s="1111"/>
      <c r="CD222" s="1111"/>
      <c r="CE222" s="1111"/>
      <c r="CF222" s="1111"/>
      <c r="CG222" s="1111"/>
      <c r="CH222" s="1111"/>
      <c r="CI222" s="1111"/>
      <c r="CJ222" s="1111"/>
      <c r="CK222" s="1111"/>
      <c r="CL222" s="1111"/>
      <c r="CM222" s="1111"/>
      <c r="CN222" s="1111"/>
      <c r="CO222" s="1111"/>
      <c r="CP222" s="1111"/>
      <c r="CQ222" s="1111"/>
      <c r="CR222" s="1111"/>
      <c r="CS222" s="1111"/>
      <c r="CT222" s="1111"/>
      <c r="CU222" s="1111"/>
      <c r="CV222" s="1111"/>
      <c r="CW222" s="1111"/>
      <c r="CX222" s="1111"/>
      <c r="CY222" s="1111"/>
      <c r="CZ222" s="1111"/>
      <c r="DA222" s="1111"/>
      <c r="DB222" s="1111"/>
      <c r="DC222" s="1111"/>
      <c r="DD222" s="1111"/>
      <c r="DE222" s="1111"/>
      <c r="DF222" s="1111"/>
      <c r="DG222" s="1111"/>
    </row>
    <row r="223" spans="1:111" s="112" customFormat="1" ht="21" hidden="1" customHeight="1">
      <c r="A223" s="1116" t="s">
        <v>470</v>
      </c>
      <c r="B223" s="1091"/>
      <c r="C223" s="1091" t="s">
        <v>466</v>
      </c>
      <c r="D223" s="1091" t="s">
        <v>30</v>
      </c>
      <c r="E223" s="1288">
        <f>ROUND(3.14*F220^2/4,2)</f>
        <v>113.04</v>
      </c>
      <c r="F223" s="1288"/>
      <c r="G223" s="1260" t="s">
        <v>517</v>
      </c>
      <c r="H223" s="1260"/>
      <c r="I223" s="1091" t="s">
        <v>51</v>
      </c>
      <c r="J223" s="402">
        <f>G221</f>
        <v>4</v>
      </c>
      <c r="K223" s="1091" t="str">
        <f>H221</f>
        <v>계열</v>
      </c>
      <c r="L223" s="1091" t="s">
        <v>30</v>
      </c>
      <c r="M223" s="1287">
        <f>E223*J223</f>
        <v>452.16</v>
      </c>
      <c r="N223" s="1287"/>
      <c r="O223" s="1088"/>
      <c r="P223" s="1091"/>
      <c r="Q223" s="884"/>
      <c r="R223" s="1099"/>
      <c r="S223" s="1099"/>
      <c r="T223" s="1099"/>
      <c r="U223" s="1356"/>
      <c r="V223" s="1356"/>
      <c r="W223" s="1269"/>
      <c r="X223" s="1269"/>
      <c r="Y223" s="1099"/>
      <c r="Z223" s="1099"/>
      <c r="AA223" s="1099"/>
      <c r="AB223" s="1099"/>
      <c r="AC223" s="1362"/>
      <c r="AD223" s="1362"/>
      <c r="AE223" s="1127"/>
      <c r="AF223" s="1099"/>
      <c r="AG223" s="1111"/>
      <c r="AH223" s="1111"/>
      <c r="AI223" s="1111"/>
      <c r="AJ223" s="1111"/>
      <c r="AK223" s="1111"/>
      <c r="AL223" s="1111"/>
      <c r="AM223" s="1111"/>
      <c r="AN223" s="1111"/>
      <c r="AO223" s="1111"/>
      <c r="AP223" s="1111"/>
      <c r="AQ223" s="1111"/>
      <c r="AR223" s="1111"/>
      <c r="AS223" s="1111"/>
      <c r="AT223" s="1111"/>
      <c r="AU223" s="1111"/>
      <c r="AV223" s="1111"/>
      <c r="AW223" s="1111"/>
      <c r="AX223" s="1111"/>
      <c r="AY223" s="1111"/>
      <c r="AZ223" s="1111"/>
      <c r="BA223" s="1111"/>
      <c r="BB223" s="1111"/>
      <c r="BC223" s="1111"/>
      <c r="BD223" s="1111"/>
      <c r="BE223" s="1111"/>
      <c r="BF223" s="1111"/>
      <c r="BG223" s="1111"/>
      <c r="BH223" s="1111"/>
      <c r="BI223" s="1111"/>
      <c r="BJ223" s="1111"/>
      <c r="BK223" s="1111"/>
      <c r="BL223" s="1111"/>
      <c r="BM223" s="1111"/>
      <c r="BN223" s="1111"/>
      <c r="BO223" s="1111"/>
      <c r="BP223" s="1111"/>
      <c r="BQ223" s="1111"/>
      <c r="BR223" s="1111"/>
      <c r="BS223" s="1111"/>
      <c r="BT223" s="1111"/>
      <c r="BU223" s="1111"/>
      <c r="BV223" s="1111"/>
      <c r="BW223" s="1111"/>
      <c r="BX223" s="1111"/>
      <c r="BY223" s="1111"/>
      <c r="BZ223" s="1111"/>
      <c r="CA223" s="1111"/>
      <c r="CB223" s="1111"/>
      <c r="CC223" s="1111"/>
      <c r="CD223" s="1111"/>
      <c r="CE223" s="1111"/>
      <c r="CF223" s="1111"/>
      <c r="CG223" s="1111"/>
      <c r="CH223" s="1111"/>
      <c r="CI223" s="1111"/>
      <c r="CJ223" s="1111"/>
      <c r="CK223" s="1111"/>
      <c r="CL223" s="1111"/>
      <c r="CM223" s="1111"/>
      <c r="CN223" s="1111"/>
      <c r="CO223" s="1111"/>
      <c r="CP223" s="1111"/>
      <c r="CQ223" s="1111"/>
      <c r="CR223" s="1111"/>
      <c r="CS223" s="1111"/>
      <c r="CT223" s="1111"/>
      <c r="CU223" s="1111"/>
      <c r="CV223" s="1111"/>
      <c r="CW223" s="1111"/>
      <c r="CX223" s="1111"/>
      <c r="CY223" s="1111"/>
      <c r="CZ223" s="1111"/>
      <c r="DA223" s="1111"/>
      <c r="DB223" s="1111"/>
      <c r="DC223" s="1111"/>
      <c r="DD223" s="1111"/>
      <c r="DE223" s="1111"/>
      <c r="DF223" s="1111"/>
      <c r="DG223" s="1111"/>
    </row>
    <row r="224" spans="1:111" s="112" customFormat="1" ht="21" hidden="1" customHeight="1">
      <c r="A224" s="860" t="s">
        <v>471</v>
      </c>
      <c r="B224" s="1091"/>
      <c r="C224" s="1091"/>
      <c r="D224" s="1091"/>
      <c r="E224" s="1091"/>
      <c r="F224" s="1091"/>
      <c r="G224" s="1091"/>
      <c r="H224" s="1091"/>
      <c r="I224" s="1091"/>
      <c r="J224" s="1091"/>
      <c r="K224" s="1091"/>
      <c r="L224" s="1091"/>
      <c r="M224" s="1091"/>
      <c r="N224" s="1091"/>
      <c r="O224" s="1091"/>
      <c r="P224" s="1091"/>
      <c r="Q224" s="884"/>
      <c r="R224" s="1099"/>
      <c r="S224" s="1099"/>
      <c r="T224" s="1099"/>
      <c r="U224" s="1099"/>
      <c r="V224" s="1099"/>
      <c r="W224" s="1099"/>
      <c r="X224" s="1099"/>
      <c r="Y224" s="1099"/>
      <c r="Z224" s="1099"/>
      <c r="AA224" s="1099"/>
      <c r="AB224" s="1099"/>
      <c r="AC224" s="1099"/>
      <c r="AD224" s="1099"/>
      <c r="AE224" s="1099"/>
      <c r="AF224" s="1099"/>
      <c r="AG224" s="1111"/>
      <c r="AH224" s="1111"/>
      <c r="AI224" s="1111"/>
      <c r="AJ224" s="1111"/>
      <c r="AK224" s="1111"/>
      <c r="AL224" s="1111"/>
      <c r="AM224" s="1111"/>
      <c r="AN224" s="1111"/>
      <c r="AO224" s="1111"/>
      <c r="AP224" s="1111"/>
      <c r="AQ224" s="1111"/>
      <c r="AR224" s="1111"/>
      <c r="AS224" s="1111"/>
      <c r="AT224" s="1111"/>
      <c r="AU224" s="1111"/>
      <c r="AV224" s="1111"/>
      <c r="AW224" s="1111"/>
      <c r="AX224" s="1111"/>
      <c r="AY224" s="1111"/>
      <c r="AZ224" s="1111"/>
      <c r="BA224" s="1111"/>
      <c r="BB224" s="1111"/>
      <c r="BC224" s="1111"/>
      <c r="BD224" s="1111"/>
      <c r="BE224" s="1111"/>
      <c r="BF224" s="1111"/>
      <c r="BG224" s="1111"/>
      <c r="BH224" s="1111"/>
      <c r="BI224" s="1111"/>
      <c r="BJ224" s="1111"/>
      <c r="BK224" s="1111"/>
      <c r="BL224" s="1111"/>
      <c r="BM224" s="1111"/>
      <c r="BN224" s="1111"/>
      <c r="BO224" s="1111"/>
      <c r="BP224" s="1111"/>
      <c r="BQ224" s="1111"/>
      <c r="BR224" s="1111"/>
      <c r="BS224" s="1111"/>
      <c r="BT224" s="1111"/>
      <c r="BU224" s="1111"/>
      <c r="BV224" s="1111"/>
      <c r="BW224" s="1111"/>
      <c r="BX224" s="1111"/>
      <c r="BY224" s="1111"/>
      <c r="BZ224" s="1111"/>
      <c r="CA224" s="1111"/>
      <c r="CB224" s="1111"/>
      <c r="CC224" s="1111"/>
      <c r="CD224" s="1111"/>
      <c r="CE224" s="1111"/>
      <c r="CF224" s="1111"/>
      <c r="CG224" s="1111"/>
      <c r="CH224" s="1111"/>
      <c r="CI224" s="1111"/>
      <c r="CJ224" s="1111"/>
      <c r="CK224" s="1111"/>
      <c r="CL224" s="1111"/>
      <c r="CM224" s="1111"/>
      <c r="CN224" s="1111"/>
      <c r="CO224" s="1111"/>
      <c r="CP224" s="1111"/>
      <c r="CQ224" s="1111"/>
      <c r="CR224" s="1111"/>
      <c r="CS224" s="1111"/>
      <c r="CT224" s="1111"/>
      <c r="CU224" s="1111"/>
      <c r="CV224" s="1111"/>
      <c r="CW224" s="1111"/>
      <c r="CX224" s="1111"/>
      <c r="CY224" s="1111"/>
      <c r="CZ224" s="1111"/>
      <c r="DA224" s="1111"/>
      <c r="DB224" s="1111"/>
      <c r="DC224" s="1111"/>
      <c r="DD224" s="1111"/>
      <c r="DE224" s="1111"/>
      <c r="DF224" s="1111"/>
      <c r="DG224" s="1111"/>
    </row>
    <row r="225" spans="1:111" s="112" customFormat="1" ht="21" hidden="1" customHeight="1">
      <c r="A225" s="1116" t="s">
        <v>472</v>
      </c>
      <c r="B225" s="1291">
        <f>M222</f>
        <v>1853.84</v>
      </c>
      <c r="C225" s="1291"/>
      <c r="D225" s="1091" t="s">
        <v>52</v>
      </c>
      <c r="E225" s="1327">
        <f>E214</f>
        <v>1550</v>
      </c>
      <c r="F225" s="1327"/>
      <c r="G225" s="1327"/>
      <c r="H225" s="1091" t="s">
        <v>51</v>
      </c>
      <c r="I225" s="303">
        <v>24</v>
      </c>
      <c r="J225" s="1091" t="s">
        <v>30</v>
      </c>
      <c r="K225" s="1324">
        <f>B225/E225*24</f>
        <v>28.704619354838712</v>
      </c>
      <c r="L225" s="1324"/>
      <c r="M225" s="1088" t="s">
        <v>473</v>
      </c>
      <c r="N225" s="1091"/>
      <c r="O225" s="1086"/>
      <c r="P225" s="1088"/>
      <c r="Q225" s="884"/>
      <c r="R225" s="1362"/>
      <c r="S225" s="1362"/>
      <c r="T225" s="1099"/>
      <c r="U225" s="1306"/>
      <c r="V225" s="1269"/>
      <c r="W225" s="1269"/>
      <c r="X225" s="1099"/>
      <c r="Y225" s="369"/>
      <c r="Z225" s="1099"/>
      <c r="AA225" s="1307"/>
      <c r="AB225" s="1269"/>
      <c r="AC225" s="1099"/>
      <c r="AD225" s="1099"/>
      <c r="AE225" s="1135"/>
      <c r="AF225" s="1127"/>
      <c r="AG225" s="1111"/>
      <c r="AH225" s="1111"/>
      <c r="AI225" s="1111"/>
      <c r="AJ225" s="1111"/>
      <c r="AK225" s="1111"/>
      <c r="AL225" s="1111"/>
      <c r="AM225" s="1111"/>
      <c r="AN225" s="1111"/>
      <c r="AO225" s="1111"/>
      <c r="AP225" s="1111"/>
      <c r="AQ225" s="1111"/>
      <c r="AR225" s="1111"/>
      <c r="AS225" s="1111"/>
      <c r="AT225" s="1111"/>
      <c r="AU225" s="1111"/>
      <c r="AV225" s="1111"/>
      <c r="AW225" s="1111"/>
      <c r="AX225" s="1111"/>
      <c r="AY225" s="1111"/>
      <c r="AZ225" s="1111"/>
      <c r="BA225" s="1111"/>
      <c r="BB225" s="1111"/>
      <c r="BC225" s="1111"/>
      <c r="BD225" s="1111"/>
      <c r="BE225" s="1111"/>
      <c r="BF225" s="1111"/>
      <c r="BG225" s="1111"/>
      <c r="BH225" s="1111"/>
      <c r="BI225" s="1111"/>
      <c r="BJ225" s="1111"/>
      <c r="BK225" s="1111"/>
      <c r="BL225" s="1111"/>
      <c r="BM225" s="1111"/>
      <c r="BN225" s="1111"/>
      <c r="BO225" s="1111"/>
      <c r="BP225" s="1111"/>
      <c r="BQ225" s="1111"/>
      <c r="BR225" s="1111"/>
      <c r="BS225" s="1111"/>
      <c r="BT225" s="1111"/>
      <c r="BU225" s="1111"/>
      <c r="BV225" s="1111"/>
      <c r="BW225" s="1111"/>
      <c r="BX225" s="1111"/>
      <c r="BY225" s="1111"/>
      <c r="BZ225" s="1111"/>
      <c r="CA225" s="1111"/>
      <c r="CB225" s="1111"/>
      <c r="CC225" s="1111"/>
      <c r="CD225" s="1111"/>
      <c r="CE225" s="1111"/>
      <c r="CF225" s="1111"/>
      <c r="CG225" s="1111"/>
      <c r="CH225" s="1111"/>
      <c r="CI225" s="1111"/>
      <c r="CJ225" s="1111"/>
      <c r="CK225" s="1111"/>
      <c r="CL225" s="1111"/>
      <c r="CM225" s="1111"/>
      <c r="CN225" s="1111"/>
      <c r="CO225" s="1111"/>
      <c r="CP225" s="1111"/>
      <c r="CQ225" s="1111"/>
      <c r="CR225" s="1111"/>
      <c r="CS225" s="1111"/>
      <c r="CT225" s="1111"/>
      <c r="CU225" s="1111"/>
      <c r="CV225" s="1111"/>
      <c r="CW225" s="1111"/>
      <c r="CX225" s="1111"/>
      <c r="CY225" s="1111"/>
      <c r="CZ225" s="1111"/>
      <c r="DA225" s="1111"/>
      <c r="DB225" s="1111"/>
      <c r="DC225" s="1111"/>
      <c r="DD225" s="1111"/>
      <c r="DE225" s="1111"/>
      <c r="DF225" s="1111"/>
      <c r="DG225" s="1111"/>
    </row>
    <row r="226" spans="1:111" s="112" customFormat="1" ht="21" hidden="1" customHeight="1">
      <c r="A226" s="1116" t="s">
        <v>474</v>
      </c>
      <c r="B226" s="1285">
        <f>E214</f>
        <v>1550</v>
      </c>
      <c r="C226" s="1286"/>
      <c r="D226" s="1260"/>
      <c r="E226" s="1091" t="s">
        <v>405</v>
      </c>
      <c r="F226" s="1287">
        <f>M223</f>
        <v>452.16</v>
      </c>
      <c r="G226" s="1287"/>
      <c r="H226" s="383" t="s">
        <v>30</v>
      </c>
      <c r="I226" s="1457">
        <f>B226/F226</f>
        <v>3.4279900920028306</v>
      </c>
      <c r="J226" s="1458"/>
      <c r="K226" s="1458"/>
      <c r="L226" s="1086"/>
      <c r="M226" s="1088" t="s">
        <v>473</v>
      </c>
      <c r="N226" s="1088"/>
      <c r="O226" s="1088"/>
      <c r="P226" s="1091"/>
      <c r="Q226" s="884"/>
      <c r="R226" s="1306"/>
      <c r="S226" s="1306"/>
      <c r="T226" s="1269"/>
      <c r="U226" s="1099"/>
      <c r="V226" s="1360"/>
      <c r="W226" s="1360"/>
      <c r="X226" s="387"/>
      <c r="Y226" s="1361"/>
      <c r="Z226" s="1269"/>
      <c r="AA226" s="1269"/>
      <c r="AB226" s="1135"/>
      <c r="AC226" s="1127"/>
      <c r="AD226" s="1127"/>
      <c r="AE226" s="1127"/>
      <c r="AF226" s="1099"/>
      <c r="AG226" s="1111"/>
      <c r="AH226" s="1111"/>
      <c r="AI226" s="1111"/>
      <c r="AJ226" s="1111"/>
      <c r="AK226" s="1111"/>
      <c r="AL226" s="1111"/>
      <c r="AM226" s="1111"/>
      <c r="AN226" s="1111"/>
      <c r="AO226" s="1111"/>
      <c r="AP226" s="1111"/>
      <c r="AQ226" s="1111"/>
      <c r="AR226" s="1111"/>
      <c r="AS226" s="1111"/>
      <c r="AT226" s="1111"/>
      <c r="AU226" s="1111"/>
    </row>
    <row r="227" spans="1:111" s="112" customFormat="1" ht="21" hidden="1" customHeight="1">
      <c r="A227" s="1116" t="s">
        <v>475</v>
      </c>
      <c r="B227" s="1151"/>
      <c r="C227" s="309">
        <v>1</v>
      </c>
      <c r="D227" s="384" t="s">
        <v>292</v>
      </c>
      <c r="E227" s="1091">
        <v>1.5</v>
      </c>
      <c r="F227" s="1091" t="s">
        <v>308</v>
      </c>
      <c r="G227" s="384"/>
      <c r="H227" s="383"/>
      <c r="I227" s="385"/>
      <c r="J227" s="385"/>
      <c r="K227" s="385"/>
      <c r="L227" s="1086"/>
      <c r="M227" s="1088"/>
      <c r="N227" s="1088"/>
      <c r="O227" s="1088"/>
      <c r="P227" s="1091"/>
      <c r="Q227" s="884"/>
      <c r="R227" s="1098"/>
      <c r="S227" s="1098"/>
      <c r="T227" s="1099"/>
      <c r="U227" s="1099"/>
      <c r="V227" s="1078"/>
      <c r="W227" s="1078"/>
      <c r="X227" s="387"/>
      <c r="Y227" s="1136"/>
      <c r="Z227" s="1099"/>
      <c r="AA227" s="1099"/>
      <c r="AB227" s="1135"/>
      <c r="AC227" s="1127"/>
      <c r="AD227" s="1127"/>
      <c r="AE227" s="1127"/>
      <c r="AF227" s="1099"/>
      <c r="AG227" s="1111"/>
      <c r="AH227" s="1111"/>
      <c r="AI227" s="1111"/>
      <c r="AJ227" s="1111"/>
      <c r="AK227" s="1111"/>
      <c r="AL227" s="1111"/>
      <c r="AM227" s="1111"/>
      <c r="AN227" s="1111"/>
      <c r="AO227" s="1111"/>
      <c r="AP227" s="1111"/>
      <c r="AQ227" s="1111"/>
      <c r="AR227" s="1111"/>
      <c r="AS227" s="1111"/>
      <c r="AT227" s="1111"/>
      <c r="AU227" s="1111"/>
    </row>
    <row r="228" spans="1:111" s="112" customFormat="1" ht="21" hidden="1" customHeight="1">
      <c r="A228" s="1116"/>
      <c r="B228" s="1151"/>
      <c r="C228" s="309"/>
      <c r="D228" s="384"/>
      <c r="E228" s="1091"/>
      <c r="F228" s="1091"/>
      <c r="G228" s="384"/>
      <c r="H228" s="383"/>
      <c r="I228" s="385"/>
      <c r="J228" s="385"/>
      <c r="K228" s="385"/>
      <c r="L228" s="1086"/>
      <c r="M228" s="1088"/>
      <c r="N228" s="1088"/>
      <c r="O228" s="1088"/>
      <c r="P228" s="1091"/>
      <c r="Q228" s="884"/>
      <c r="R228" s="1098"/>
      <c r="S228" s="1098"/>
      <c r="T228" s="1099"/>
      <c r="U228" s="1099"/>
      <c r="V228" s="1078"/>
      <c r="W228" s="1078"/>
      <c r="X228" s="387"/>
      <c r="Y228" s="1136"/>
      <c r="Z228" s="1099"/>
      <c r="AA228" s="1099"/>
      <c r="AB228" s="1135"/>
      <c r="AC228" s="1127"/>
      <c r="AD228" s="1127"/>
      <c r="AE228" s="1127"/>
      <c r="AF228" s="1099"/>
      <c r="AG228" s="1111"/>
      <c r="AH228" s="1111"/>
      <c r="AI228" s="1111"/>
      <c r="AJ228" s="1111"/>
      <c r="AK228" s="1111"/>
      <c r="AL228" s="1111"/>
      <c r="AM228" s="1111"/>
      <c r="AN228" s="1111"/>
      <c r="AO228" s="1111"/>
      <c r="AP228" s="1111"/>
      <c r="AQ228" s="1111"/>
      <c r="AR228" s="1111"/>
      <c r="AS228" s="1111"/>
      <c r="AT228" s="1111"/>
      <c r="AU228" s="1111"/>
    </row>
    <row r="229" spans="1:111" s="112" customFormat="1" ht="21" hidden="1" customHeight="1">
      <c r="A229" s="1116"/>
      <c r="B229" s="1151"/>
      <c r="C229" s="309"/>
      <c r="D229" s="384"/>
      <c r="E229" s="1091"/>
      <c r="F229" s="1091"/>
      <c r="G229" s="384"/>
      <c r="H229" s="383"/>
      <c r="I229" s="385"/>
      <c r="J229" s="385"/>
      <c r="K229" s="385"/>
      <c r="L229" s="1086"/>
      <c r="M229" s="1088"/>
      <c r="N229" s="1088"/>
      <c r="O229" s="1088"/>
      <c r="P229" s="1091"/>
      <c r="Q229" s="884"/>
      <c r="R229" s="1098"/>
      <c r="S229" s="1098"/>
      <c r="T229" s="1099"/>
      <c r="U229" s="1099"/>
      <c r="V229" s="1078"/>
      <c r="W229" s="1078"/>
      <c r="X229" s="387"/>
      <c r="Y229" s="1136"/>
      <c r="Z229" s="1099"/>
      <c r="AA229" s="1099"/>
      <c r="AB229" s="1135"/>
      <c r="AC229" s="1127"/>
      <c r="AD229" s="1127"/>
      <c r="AE229" s="1127"/>
      <c r="AF229" s="1099"/>
      <c r="AG229" s="1111"/>
      <c r="AH229" s="1111"/>
      <c r="AI229" s="1111"/>
      <c r="AJ229" s="1111"/>
      <c r="AK229" s="1111"/>
      <c r="AL229" s="1111"/>
      <c r="AM229" s="1111"/>
      <c r="AN229" s="1111"/>
      <c r="AO229" s="1111"/>
      <c r="AP229" s="1111"/>
      <c r="AQ229" s="1111"/>
      <c r="AR229" s="1111"/>
      <c r="AS229" s="1111"/>
      <c r="AT229" s="1111"/>
      <c r="AU229" s="1111"/>
    </row>
    <row r="230" spans="1:111" s="112" customFormat="1" ht="21" hidden="1" customHeight="1">
      <c r="A230" s="1116"/>
      <c r="B230" s="1151"/>
      <c r="C230" s="309"/>
      <c r="D230" s="384"/>
      <c r="E230" s="1091"/>
      <c r="F230" s="1091"/>
      <c r="G230" s="384"/>
      <c r="H230" s="383"/>
      <c r="I230" s="385"/>
      <c r="J230" s="385"/>
      <c r="K230" s="385"/>
      <c r="L230" s="1086"/>
      <c r="M230" s="1088"/>
      <c r="N230" s="1088"/>
      <c r="O230" s="1088"/>
      <c r="P230" s="1091"/>
      <c r="Q230" s="884"/>
      <c r="R230" s="1098"/>
      <c r="S230" s="1098"/>
      <c r="T230" s="1099"/>
      <c r="U230" s="1099"/>
      <c r="V230" s="1078"/>
      <c r="W230" s="1078"/>
      <c r="X230" s="387"/>
      <c r="Y230" s="1136"/>
      <c r="Z230" s="1099"/>
      <c r="AA230" s="1099"/>
      <c r="AB230" s="1135"/>
      <c r="AC230" s="1127"/>
      <c r="AD230" s="1127"/>
      <c r="AE230" s="1127"/>
      <c r="AF230" s="1099"/>
      <c r="AG230" s="1111"/>
      <c r="AH230" s="1111"/>
      <c r="AI230" s="1111"/>
      <c r="AJ230" s="1111"/>
      <c r="AK230" s="1111"/>
      <c r="AL230" s="1111"/>
      <c r="AM230" s="1111"/>
      <c r="AN230" s="1111"/>
      <c r="AO230" s="1111"/>
      <c r="AP230" s="1111"/>
      <c r="AQ230" s="1111"/>
      <c r="AR230" s="1111"/>
      <c r="AS230" s="1111"/>
      <c r="AT230" s="1111"/>
      <c r="AU230" s="1111"/>
    </row>
    <row r="231" spans="1:111" s="112" customFormat="1" ht="21" hidden="1" customHeight="1">
      <c r="A231" s="1116"/>
      <c r="B231" s="1151"/>
      <c r="C231" s="309"/>
      <c r="D231" s="384"/>
      <c r="E231" s="1091"/>
      <c r="F231" s="1091"/>
      <c r="G231" s="384"/>
      <c r="H231" s="383"/>
      <c r="I231" s="385"/>
      <c r="J231" s="385"/>
      <c r="K231" s="385"/>
      <c r="L231" s="1086"/>
      <c r="M231" s="1088"/>
      <c r="N231" s="1088"/>
      <c r="O231" s="1088"/>
      <c r="P231" s="1091"/>
      <c r="Q231" s="884"/>
      <c r="R231" s="1098"/>
      <c r="S231" s="1098"/>
      <c r="T231" s="1099"/>
      <c r="U231" s="1099"/>
      <c r="V231" s="1078"/>
      <c r="W231" s="1078"/>
      <c r="X231" s="387"/>
      <c r="Y231" s="1136"/>
      <c r="Z231" s="1099"/>
      <c r="AA231" s="1099"/>
      <c r="AB231" s="1135"/>
      <c r="AC231" s="1127"/>
      <c r="AD231" s="1127"/>
      <c r="AE231" s="1127"/>
      <c r="AF231" s="1099"/>
      <c r="AG231" s="1111"/>
      <c r="AH231" s="1111"/>
      <c r="AI231" s="1111"/>
      <c r="AJ231" s="1111"/>
      <c r="AK231" s="1111"/>
      <c r="AL231" s="1111"/>
      <c r="AM231" s="1111"/>
      <c r="AN231" s="1111"/>
      <c r="AO231" s="1111"/>
      <c r="AP231" s="1111"/>
      <c r="AQ231" s="1111"/>
      <c r="AR231" s="1111"/>
      <c r="AS231" s="1111"/>
      <c r="AT231" s="1111"/>
      <c r="AU231" s="1111"/>
    </row>
    <row r="232" spans="1:111" s="112" customFormat="1" ht="21" hidden="1" customHeight="1">
      <c r="A232" s="867"/>
      <c r="B232" s="835"/>
      <c r="C232" s="836"/>
      <c r="D232" s="837"/>
      <c r="E232" s="1121"/>
      <c r="F232" s="1121"/>
      <c r="G232" s="837"/>
      <c r="H232" s="838"/>
      <c r="I232" s="839"/>
      <c r="J232" s="839"/>
      <c r="K232" s="839"/>
      <c r="L232" s="831"/>
      <c r="M232" s="1102"/>
      <c r="N232" s="1102"/>
      <c r="O232" s="1102"/>
      <c r="P232" s="1121"/>
      <c r="Q232" s="882"/>
      <c r="R232" s="1098"/>
      <c r="S232" s="1098"/>
      <c r="T232" s="1099"/>
      <c r="U232" s="1099"/>
      <c r="V232" s="1078"/>
      <c r="W232" s="1078"/>
      <c r="X232" s="387"/>
      <c r="Y232" s="1136"/>
      <c r="Z232" s="1099"/>
      <c r="AA232" s="1099"/>
      <c r="AB232" s="1135"/>
      <c r="AC232" s="1127"/>
      <c r="AD232" s="1127"/>
      <c r="AE232" s="1127"/>
      <c r="AF232" s="1099"/>
      <c r="AG232" s="1111"/>
      <c r="AH232" s="1111"/>
      <c r="AI232" s="1111"/>
      <c r="AJ232" s="1111"/>
      <c r="AK232" s="1111"/>
      <c r="AL232" s="1111"/>
      <c r="AM232" s="1111"/>
      <c r="AN232" s="1111"/>
      <c r="AO232" s="1111"/>
      <c r="AP232" s="1111"/>
      <c r="AQ232" s="1111"/>
      <c r="AR232" s="1111"/>
      <c r="AS232" s="1111"/>
      <c r="AT232" s="1111"/>
      <c r="AU232" s="1111"/>
    </row>
    <row r="233" spans="1:111" s="471" customFormat="1" ht="20.100000000000001" hidden="1" customHeight="1">
      <c r="A233" s="866" t="s">
        <v>784</v>
      </c>
      <c r="B233" s="1150"/>
      <c r="C233" s="309"/>
      <c r="D233" s="384"/>
      <c r="E233" s="1091"/>
      <c r="F233" s="1091"/>
      <c r="G233" s="384"/>
      <c r="H233" s="383"/>
      <c r="I233" s="385"/>
      <c r="J233" s="385"/>
      <c r="K233" s="385"/>
      <c r="L233" s="1086"/>
      <c r="M233" s="1088"/>
      <c r="N233" s="1088"/>
      <c r="O233" s="1088"/>
      <c r="P233" s="1091"/>
      <c r="Q233" s="859"/>
      <c r="R233" s="469"/>
      <c r="S233" s="474"/>
      <c r="T233" s="472"/>
      <c r="U233" s="472"/>
      <c r="V233" s="475"/>
      <c r="W233" s="475"/>
      <c r="X233" s="476"/>
      <c r="Y233" s="477"/>
      <c r="Z233" s="472"/>
      <c r="AA233" s="478"/>
      <c r="AB233" s="479"/>
      <c r="AC233" s="480"/>
      <c r="AD233" s="480"/>
      <c r="AE233" s="480"/>
      <c r="AF233" s="473"/>
      <c r="AG233" s="473"/>
    </row>
    <row r="234" spans="1:111" s="471" customFormat="1" ht="20.100000000000001" hidden="1" customHeight="1">
      <c r="A234" s="1116" t="s">
        <v>0</v>
      </c>
      <c r="B234" s="322"/>
      <c r="C234" s="1101"/>
      <c r="D234" s="1101"/>
      <c r="E234" s="1101"/>
      <c r="F234" s="1101"/>
      <c r="G234" s="1101"/>
      <c r="H234" s="1101"/>
      <c r="I234" s="1101"/>
      <c r="J234" s="1101"/>
      <c r="K234" s="1101"/>
      <c r="L234" s="1101"/>
      <c r="M234" s="1101"/>
      <c r="N234" s="1101"/>
      <c r="O234" s="1101"/>
      <c r="P234" s="1101"/>
      <c r="Q234" s="739"/>
      <c r="R234" s="467"/>
      <c r="S234" s="474"/>
      <c r="T234" s="472"/>
      <c r="U234" s="472"/>
      <c r="V234" s="475"/>
      <c r="W234" s="475"/>
      <c r="X234" s="476"/>
      <c r="Y234" s="477"/>
      <c r="Z234" s="472"/>
      <c r="AA234" s="478"/>
      <c r="AB234" s="479"/>
      <c r="AC234" s="480"/>
      <c r="AD234" s="480"/>
      <c r="AE234" s="480"/>
      <c r="AF234" s="473"/>
      <c r="AG234" s="473"/>
    </row>
    <row r="235" spans="1:111" s="471" customFormat="1" ht="20.100000000000001" hidden="1" customHeight="1">
      <c r="A235" s="868" t="s">
        <v>53</v>
      </c>
      <c r="B235" s="1293" t="s">
        <v>69</v>
      </c>
      <c r="C235" s="1257"/>
      <c r="D235" s="1257"/>
      <c r="E235" s="1257"/>
      <c r="F235" s="941">
        <v>3</v>
      </c>
      <c r="G235" s="1257" t="s">
        <v>570</v>
      </c>
      <c r="H235" s="1257"/>
      <c r="I235" s="1101"/>
      <c r="J235" s="1101"/>
      <c r="K235" s="1101"/>
      <c r="L235" s="1101"/>
      <c r="M235" s="1101"/>
      <c r="N235" s="1101"/>
      <c r="O235" s="1101"/>
      <c r="P235" s="1101"/>
      <c r="Q235" s="739"/>
      <c r="R235" s="467"/>
      <c r="S235" s="474"/>
      <c r="T235" s="472"/>
      <c r="U235" s="472"/>
      <c r="V235" s="475"/>
      <c r="W235" s="475"/>
      <c r="X235" s="476"/>
      <c r="Y235" s="477"/>
      <c r="Z235" s="472"/>
      <c r="AA235" s="478"/>
      <c r="AB235" s="479"/>
      <c r="AC235" s="480"/>
      <c r="AD235" s="480"/>
      <c r="AE235" s="480"/>
      <c r="AF235" s="473"/>
      <c r="AG235" s="473"/>
    </row>
    <row r="236" spans="1:111" s="471" customFormat="1" ht="20.100000000000001" hidden="1" customHeight="1">
      <c r="A236" s="1116" t="s">
        <v>151</v>
      </c>
      <c r="B236" s="322"/>
      <c r="C236" s="1088" t="s">
        <v>571</v>
      </c>
      <c r="D236" s="1101"/>
      <c r="E236" s="1088"/>
      <c r="F236" s="1088"/>
      <c r="G236" s="1088"/>
      <c r="H236" s="1088"/>
      <c r="I236" s="525"/>
      <c r="J236" s="525"/>
      <c r="K236" s="525"/>
      <c r="L236" s="525"/>
      <c r="M236" s="1091" t="s">
        <v>152</v>
      </c>
      <c r="N236" s="1111"/>
      <c r="O236" s="1303">
        <f>O237+O243</f>
        <v>702.16823301520981</v>
      </c>
      <c r="P236" s="1452"/>
      <c r="Q236" s="886"/>
      <c r="R236" s="1158"/>
      <c r="S236" s="470"/>
      <c r="T236" s="470"/>
      <c r="U236" s="472"/>
      <c r="V236" s="475"/>
      <c r="W236" s="475"/>
      <c r="X236" s="476"/>
      <c r="Y236" s="477"/>
      <c r="Z236" s="472"/>
      <c r="AA236" s="478"/>
      <c r="AB236" s="479"/>
      <c r="AC236" s="480"/>
      <c r="AD236" s="480"/>
      <c r="AE236" s="480"/>
      <c r="AF236" s="473"/>
      <c r="AG236" s="473"/>
    </row>
    <row r="237" spans="1:111" s="471" customFormat="1" ht="20.100000000000001" hidden="1" customHeight="1">
      <c r="A237" s="1280" t="s">
        <v>572</v>
      </c>
      <c r="B237" s="1281" t="s">
        <v>153</v>
      </c>
      <c r="C237" s="1260"/>
      <c r="D237" s="1260"/>
      <c r="E237" s="1260" t="s">
        <v>573</v>
      </c>
      <c r="F237" s="1260"/>
      <c r="G237" s="1260"/>
      <c r="H237" s="1260"/>
      <c r="I237" s="1091"/>
      <c r="J237" s="1101"/>
      <c r="K237" s="1091"/>
      <c r="L237" s="1091"/>
      <c r="M237" s="1088"/>
      <c r="N237" s="1111"/>
      <c r="O237" s="1303">
        <f>O239*'설계기준(설계치12)'!C4*('설계기준(설계치12)'!F9-'설계기준(설계치12)'!J9)/1000/(1+O241*O242)</f>
        <v>364.92023301520976</v>
      </c>
      <c r="P237" s="1452"/>
      <c r="Q237" s="886"/>
      <c r="R237" s="1158"/>
      <c r="S237" s="474"/>
      <c r="T237" s="472"/>
      <c r="U237" s="472"/>
      <c r="V237" s="475"/>
      <c r="W237" s="475"/>
      <c r="X237" s="476"/>
      <c r="Y237" s="477"/>
      <c r="Z237" s="472"/>
      <c r="AA237" s="478"/>
      <c r="AB237" s="479"/>
      <c r="AC237" s="480"/>
      <c r="AD237" s="480"/>
      <c r="AE237" s="480"/>
      <c r="AF237" s="473"/>
      <c r="AG237" s="473"/>
    </row>
    <row r="238" spans="1:111" s="471" customFormat="1" ht="20.100000000000001" hidden="1" customHeight="1">
      <c r="A238" s="1280"/>
      <c r="B238" s="1281"/>
      <c r="C238" s="1260"/>
      <c r="D238" s="1260"/>
      <c r="E238" s="1282" t="s">
        <v>154</v>
      </c>
      <c r="F238" s="1282"/>
      <c r="G238" s="1282"/>
      <c r="H238" s="1282"/>
      <c r="I238" s="1091"/>
      <c r="J238" s="1101"/>
      <c r="K238" s="1091"/>
      <c r="L238" s="1091"/>
      <c r="M238" s="1101"/>
      <c r="N238" s="1111"/>
      <c r="O238" s="1303"/>
      <c r="P238" s="1452"/>
      <c r="Q238" s="886"/>
      <c r="R238" s="1158"/>
      <c r="S238" s="474"/>
      <c r="T238" s="472"/>
      <c r="U238" s="472"/>
      <c r="V238" s="475"/>
      <c r="W238" s="475"/>
      <c r="X238" s="476"/>
      <c r="Y238" s="477"/>
      <c r="Z238" s="472"/>
      <c r="AA238" s="478"/>
      <c r="AB238" s="479"/>
      <c r="AC238" s="480"/>
      <c r="AD238" s="480"/>
      <c r="AE238" s="480"/>
      <c r="AF238" s="473"/>
      <c r="AG238" s="473"/>
    </row>
    <row r="239" spans="1:111" s="471" customFormat="1" ht="20.100000000000001" hidden="1" customHeight="1">
      <c r="A239" s="1148"/>
      <c r="B239" s="322"/>
      <c r="C239" s="527" t="s">
        <v>155</v>
      </c>
      <c r="D239" s="1091" t="s">
        <v>156</v>
      </c>
      <c r="E239" s="1088" t="s">
        <v>147</v>
      </c>
      <c r="F239" s="1101"/>
      <c r="G239" s="1101"/>
      <c r="H239" s="1088"/>
      <c r="I239" s="1088"/>
      <c r="J239" s="1088"/>
      <c r="K239" s="1088"/>
      <c r="L239" s="1088"/>
      <c r="M239" s="528" t="s">
        <v>574</v>
      </c>
      <c r="N239" s="1111"/>
      <c r="O239" s="1453">
        <f>K157</f>
        <v>0.44</v>
      </c>
      <c r="P239" s="1454"/>
      <c r="Q239" s="887"/>
      <c r="R239" s="1158"/>
      <c r="S239" s="474"/>
      <c r="T239" s="470"/>
      <c r="U239" s="470"/>
      <c r="V239" s="475"/>
      <c r="W239" s="475"/>
      <c r="X239" s="476"/>
      <c r="Y239" s="477"/>
      <c r="Z239" s="472"/>
      <c r="AA239" s="478"/>
      <c r="AB239" s="479"/>
      <c r="AC239" s="480"/>
      <c r="AD239" s="480"/>
      <c r="AE239" s="480"/>
      <c r="AF239" s="473"/>
      <c r="AG239" s="473"/>
    </row>
    <row r="240" spans="1:111" s="471" customFormat="1" ht="20.100000000000001" hidden="1" customHeight="1">
      <c r="A240" s="1148"/>
      <c r="B240" s="322"/>
      <c r="C240" s="1091" t="s">
        <v>148</v>
      </c>
      <c r="D240" s="527" t="s">
        <v>156</v>
      </c>
      <c r="E240" s="1088" t="s">
        <v>575</v>
      </c>
      <c r="F240" s="1101"/>
      <c r="G240" s="1101"/>
      <c r="H240" s="1088"/>
      <c r="I240" s="1088"/>
      <c r="J240" s="1088"/>
      <c r="K240" s="1088"/>
      <c r="L240" s="1088"/>
      <c r="M240" s="1088"/>
      <c r="N240" s="1111"/>
      <c r="O240" s="1101"/>
      <c r="P240" s="1101"/>
      <c r="Q240" s="860"/>
      <c r="R240" s="468"/>
      <c r="S240" s="474"/>
      <c r="T240" s="470"/>
      <c r="U240" s="470"/>
      <c r="V240" s="475"/>
      <c r="W240" s="475"/>
      <c r="X240" s="476"/>
      <c r="Y240" s="477"/>
      <c r="Z240" s="472"/>
      <c r="AA240" s="478"/>
      <c r="AB240" s="479"/>
      <c r="AC240" s="480"/>
      <c r="AD240" s="480"/>
      <c r="AE240" s="480"/>
      <c r="AF240" s="473"/>
      <c r="AG240" s="473"/>
    </row>
    <row r="241" spans="1:33" s="471" customFormat="1" ht="20.100000000000001" hidden="1" customHeight="1">
      <c r="A241" s="1148"/>
      <c r="B241" s="322"/>
      <c r="C241" s="1091" t="s">
        <v>157</v>
      </c>
      <c r="D241" s="527" t="s">
        <v>156</v>
      </c>
      <c r="E241" s="1088" t="s">
        <v>158</v>
      </c>
      <c r="F241" s="1101"/>
      <c r="G241" s="1101"/>
      <c r="H241" s="1088"/>
      <c r="I241" s="1088"/>
      <c r="J241" s="1088"/>
      <c r="K241" s="1088"/>
      <c r="L241" s="1088"/>
      <c r="M241" s="1101" t="s">
        <v>594</v>
      </c>
      <c r="N241" s="1111"/>
      <c r="O241" s="1435">
        <v>5.0999999999999997E-2</v>
      </c>
      <c r="P241" s="1436"/>
      <c r="Q241" s="888"/>
      <c r="R241" s="1158"/>
      <c r="S241" s="474"/>
      <c r="T241" s="470"/>
      <c r="U241" s="470"/>
      <c r="V241" s="475"/>
      <c r="W241" s="475"/>
      <c r="X241" s="476"/>
      <c r="Y241" s="477"/>
      <c r="Z241" s="472"/>
      <c r="AA241" s="478"/>
      <c r="AB241" s="479"/>
      <c r="AC241" s="480"/>
      <c r="AD241" s="480"/>
      <c r="AE241" s="480"/>
      <c r="AF241" s="473"/>
      <c r="AG241" s="473"/>
    </row>
    <row r="242" spans="1:33" s="471" customFormat="1" ht="20.100000000000001" hidden="1" customHeight="1">
      <c r="A242" s="1148"/>
      <c r="B242" s="322"/>
      <c r="C242" s="1091" t="s">
        <v>149</v>
      </c>
      <c r="D242" s="527" t="s">
        <v>156</v>
      </c>
      <c r="E242" s="530" t="s">
        <v>150</v>
      </c>
      <c r="F242" s="1101"/>
      <c r="G242" s="1101"/>
      <c r="H242" s="1091"/>
      <c r="I242" s="1101"/>
      <c r="J242" s="1091"/>
      <c r="K242" s="1091"/>
      <c r="L242" s="1101"/>
      <c r="M242" s="1101"/>
      <c r="N242" s="1088"/>
      <c r="O242" s="1318">
        <f>R185</f>
        <v>2.5399999999999996</v>
      </c>
      <c r="P242" s="1437"/>
      <c r="Q242" s="889"/>
      <c r="R242" s="1158"/>
      <c r="S242" s="474"/>
      <c r="T242" s="472"/>
      <c r="U242" s="470"/>
      <c r="V242" s="470"/>
      <c r="W242" s="475"/>
      <c r="X242" s="476"/>
      <c r="Y242" s="477"/>
      <c r="Z242" s="472"/>
      <c r="AA242" s="478"/>
      <c r="AB242" s="479"/>
      <c r="AC242" s="480"/>
      <c r="AD242" s="480"/>
      <c r="AE242" s="480"/>
      <c r="AF242" s="473"/>
      <c r="AG242" s="473"/>
    </row>
    <row r="243" spans="1:33" s="471" customFormat="1" ht="20.100000000000001" hidden="1" customHeight="1">
      <c r="A243" s="1148" t="s">
        <v>567</v>
      </c>
      <c r="B243" s="322" t="s">
        <v>576</v>
      </c>
      <c r="C243" s="1101"/>
      <c r="D243" s="1101"/>
      <c r="E243" s="1088"/>
      <c r="F243" s="527"/>
      <c r="G243" s="1120"/>
      <c r="H243" s="1091"/>
      <c r="I243" s="1101"/>
      <c r="J243" s="1091"/>
      <c r="K243" s="527"/>
      <c r="L243" s="1090"/>
      <c r="M243" s="1090"/>
      <c r="N243" s="1091"/>
      <c r="O243" s="1455">
        <f>('설계기준(설계치12)'!F9-'설계기준(설계치12)'!J9)*(O245+O246*O249)*'설계기준(설계치12)'!C4/1000</f>
        <v>337.24799999999999</v>
      </c>
      <c r="P243" s="1456"/>
      <c r="Q243" s="890"/>
      <c r="R243" s="1158"/>
      <c r="S243" s="474"/>
      <c r="T243" s="472"/>
      <c r="U243" s="472"/>
      <c r="V243" s="475"/>
      <c r="W243" s="475"/>
      <c r="X243" s="476"/>
      <c r="Y243" s="477"/>
      <c r="Z243" s="472"/>
      <c r="AA243" s="478"/>
      <c r="AB243" s="479"/>
      <c r="AC243" s="480"/>
      <c r="AD243" s="480"/>
      <c r="AE243" s="480"/>
      <c r="AF243" s="473"/>
      <c r="AG243" s="473"/>
    </row>
    <row r="244" spans="1:33" s="471" customFormat="1" ht="20.100000000000001" hidden="1" customHeight="1">
      <c r="A244" s="739"/>
      <c r="B244" s="322"/>
      <c r="C244" s="1088" t="s">
        <v>86</v>
      </c>
      <c r="D244" s="1101"/>
      <c r="E244" s="1101"/>
      <c r="F244" s="527"/>
      <c r="G244" s="1120"/>
      <c r="H244" s="1091"/>
      <c r="I244" s="1101"/>
      <c r="J244" s="1091"/>
      <c r="K244" s="527"/>
      <c r="L244" s="1090"/>
      <c r="M244" s="1090"/>
      <c r="N244" s="1091"/>
      <c r="O244" s="1101"/>
      <c r="P244" s="1101"/>
      <c r="Q244" s="891"/>
      <c r="R244" s="481"/>
      <c r="S244" s="474"/>
      <c r="T244" s="472"/>
      <c r="U244" s="472"/>
      <c r="V244" s="475"/>
      <c r="W244" s="475"/>
      <c r="X244" s="476"/>
      <c r="Y244" s="477"/>
      <c r="Z244" s="472"/>
      <c r="AA244" s="478"/>
      <c r="AB244" s="479"/>
      <c r="AC244" s="480"/>
      <c r="AD244" s="480"/>
      <c r="AE244" s="480"/>
      <c r="AF244" s="473"/>
      <c r="AG244" s="473"/>
    </row>
    <row r="245" spans="1:33" s="471" customFormat="1" ht="20.100000000000001" hidden="1" customHeight="1">
      <c r="A245" s="739"/>
      <c r="B245" s="322"/>
      <c r="C245" s="1088" t="s">
        <v>568</v>
      </c>
      <c r="D245" s="1101"/>
      <c r="E245" s="1101"/>
      <c r="F245" s="527"/>
      <c r="G245" s="1120"/>
      <c r="H245" s="1091"/>
      <c r="I245" s="1101"/>
      <c r="J245" s="1091"/>
      <c r="K245" s="527"/>
      <c r="L245" s="1090"/>
      <c r="M245" s="1090"/>
      <c r="N245" s="1091"/>
      <c r="O245" s="1435">
        <v>0.2</v>
      </c>
      <c r="P245" s="1436"/>
      <c r="Q245" s="888"/>
      <c r="R245" s="1158"/>
      <c r="S245" s="474"/>
      <c r="T245" s="470"/>
      <c r="U245" s="470"/>
      <c r="V245" s="470"/>
      <c r="W245" s="475"/>
      <c r="X245" s="476"/>
      <c r="Y245" s="477"/>
      <c r="Z245" s="472"/>
      <c r="AA245" s="478"/>
      <c r="AB245" s="479"/>
      <c r="AC245" s="480"/>
      <c r="AD245" s="480"/>
      <c r="AE245" s="480"/>
      <c r="AF245" s="473"/>
      <c r="AG245" s="473"/>
    </row>
    <row r="246" spans="1:33" s="471" customFormat="1" ht="20.100000000000001" hidden="1" customHeight="1">
      <c r="A246" s="739"/>
      <c r="B246" s="322"/>
      <c r="C246" s="1088" t="s">
        <v>569</v>
      </c>
      <c r="D246" s="1101"/>
      <c r="E246" s="1101"/>
      <c r="F246" s="527"/>
      <c r="G246" s="1120"/>
      <c r="H246" s="1091"/>
      <c r="I246" s="1101"/>
      <c r="J246" s="1091"/>
      <c r="K246" s="527"/>
      <c r="L246" s="1090"/>
      <c r="M246" s="1090"/>
      <c r="N246" s="1091"/>
      <c r="O246" s="1318">
        <f>1-O245</f>
        <v>0.8</v>
      </c>
      <c r="P246" s="1437"/>
      <c r="Q246" s="889"/>
      <c r="R246" s="1158"/>
      <c r="S246" s="474"/>
      <c r="T246" s="472"/>
      <c r="U246" s="472"/>
      <c r="V246" s="475"/>
      <c r="W246" s="475"/>
      <c r="X246" s="476"/>
      <c r="Y246" s="477"/>
      <c r="Z246" s="472"/>
      <c r="AA246" s="478"/>
      <c r="AB246" s="479"/>
      <c r="AC246" s="480"/>
      <c r="AD246" s="480"/>
      <c r="AE246" s="480"/>
      <c r="AF246" s="473"/>
      <c r="AG246" s="473"/>
    </row>
    <row r="247" spans="1:33" s="471" customFormat="1" ht="20.100000000000001" hidden="1" customHeight="1">
      <c r="A247" s="739"/>
      <c r="B247" s="322"/>
      <c r="C247" s="1088" t="s">
        <v>87</v>
      </c>
      <c r="D247" s="1101"/>
      <c r="E247" s="1101"/>
      <c r="F247" s="527"/>
      <c r="G247" s="1120"/>
      <c r="H247" s="1091"/>
      <c r="I247" s="1101"/>
      <c r="J247" s="1091"/>
      <c r="K247" s="527"/>
      <c r="L247" s="1090"/>
      <c r="M247" s="1090"/>
      <c r="N247" s="1091"/>
      <c r="O247" s="1101"/>
      <c r="P247" s="1091"/>
      <c r="Q247" s="892"/>
      <c r="R247" s="482"/>
      <c r="S247" s="474"/>
      <c r="T247" s="472"/>
      <c r="U247" s="472"/>
      <c r="V247" s="475"/>
      <c r="W247" s="475"/>
      <c r="X247" s="476"/>
      <c r="Y247" s="477"/>
      <c r="Z247" s="472"/>
      <c r="AA247" s="478"/>
      <c r="AB247" s="479"/>
      <c r="AC247" s="480"/>
      <c r="AD247" s="480"/>
      <c r="AE247" s="480"/>
      <c r="AF247" s="473"/>
      <c r="AG247" s="473"/>
    </row>
    <row r="248" spans="1:33" s="471" customFormat="1" ht="20.100000000000001" hidden="1" customHeight="1">
      <c r="A248" s="739"/>
      <c r="B248" s="322"/>
      <c r="C248" s="1088" t="s">
        <v>159</v>
      </c>
      <c r="D248" s="1101"/>
      <c r="E248" s="1101"/>
      <c r="F248" s="527"/>
      <c r="G248" s="1120"/>
      <c r="H248" s="1091"/>
      <c r="I248" s="1101"/>
      <c r="J248" s="1091"/>
      <c r="K248" s="527"/>
      <c r="L248" s="1090"/>
      <c r="M248" s="1090"/>
      <c r="N248" s="1091"/>
      <c r="O248" s="1435">
        <v>0.8</v>
      </c>
      <c r="P248" s="1436"/>
      <c r="Q248" s="888"/>
      <c r="R248" s="1158"/>
      <c r="S248" s="474"/>
      <c r="T248" s="470"/>
      <c r="U248" s="470"/>
      <c r="V248" s="475"/>
      <c r="W248" s="475"/>
      <c r="X248" s="476"/>
      <c r="Y248" s="477"/>
      <c r="Z248" s="472"/>
      <c r="AA248" s="478"/>
      <c r="AB248" s="479"/>
      <c r="AC248" s="480"/>
      <c r="AD248" s="480"/>
      <c r="AE248" s="480"/>
      <c r="AF248" s="473"/>
      <c r="AG248" s="473"/>
    </row>
    <row r="249" spans="1:33" s="471" customFormat="1" ht="20.100000000000001" hidden="1" customHeight="1">
      <c r="A249" s="739"/>
      <c r="B249" s="322"/>
      <c r="C249" s="1088" t="s">
        <v>160</v>
      </c>
      <c r="D249" s="1101"/>
      <c r="E249" s="1101"/>
      <c r="F249" s="527"/>
      <c r="G249" s="1120"/>
      <c r="H249" s="1091"/>
      <c r="I249" s="1101"/>
      <c r="J249" s="1091"/>
      <c r="K249" s="527"/>
      <c r="L249" s="1090"/>
      <c r="M249" s="1090"/>
      <c r="N249" s="1091"/>
      <c r="O249" s="1318">
        <f>1-O248</f>
        <v>0.19999999999999996</v>
      </c>
      <c r="P249" s="1437"/>
      <c r="Q249" s="889"/>
      <c r="R249" s="1158"/>
      <c r="S249" s="474"/>
      <c r="T249" s="470"/>
      <c r="U249" s="470"/>
      <c r="V249" s="475"/>
      <c r="W249" s="475"/>
      <c r="X249" s="476"/>
      <c r="Y249" s="477"/>
      <c r="Z249" s="472"/>
      <c r="AA249" s="478"/>
      <c r="AB249" s="479"/>
      <c r="AC249" s="480"/>
      <c r="AD249" s="480"/>
      <c r="AE249" s="480"/>
      <c r="AF249" s="473"/>
      <c r="AG249" s="473"/>
    </row>
    <row r="250" spans="1:33" s="471" customFormat="1" ht="20.100000000000001" hidden="1" customHeight="1">
      <c r="A250" s="868" t="s">
        <v>161</v>
      </c>
      <c r="B250" s="1096" t="str">
        <f>"함수율("&amp;물질수지!T43&amp;")%인 경우"</f>
        <v>함수율(99.2)%인 경우</v>
      </c>
      <c r="C250" s="1088"/>
      <c r="D250" s="1088"/>
      <c r="E250" s="1088"/>
      <c r="F250" s="1088"/>
      <c r="G250" s="1088"/>
      <c r="H250" s="1091"/>
      <c r="I250" s="1091"/>
      <c r="J250" s="1091"/>
      <c r="K250" s="1091"/>
      <c r="L250" s="1091"/>
      <c r="M250" s="1091"/>
      <c r="N250" s="1091"/>
      <c r="O250" s="1091"/>
      <c r="P250" s="1091"/>
      <c r="Q250" s="859"/>
      <c r="R250" s="1158"/>
      <c r="S250" s="474"/>
      <c r="T250" s="472"/>
      <c r="U250" s="472"/>
      <c r="V250" s="475"/>
      <c r="W250" s="475"/>
      <c r="X250" s="476"/>
      <c r="Y250" s="477"/>
      <c r="Z250" s="472"/>
      <c r="AA250" s="478"/>
      <c r="AB250" s="479"/>
      <c r="AC250" s="480"/>
      <c r="AD250" s="480"/>
      <c r="AE250" s="480"/>
      <c r="AF250" s="473"/>
      <c r="AG250" s="473"/>
    </row>
    <row r="251" spans="1:33" s="471" customFormat="1" ht="20.100000000000001" hidden="1" customHeight="1">
      <c r="A251" s="859"/>
      <c r="B251" s="1149"/>
      <c r="C251" s="1438">
        <f>O236</f>
        <v>702.16823301520981</v>
      </c>
      <c r="D251" s="1439"/>
      <c r="E251" s="1260" t="s">
        <v>140</v>
      </c>
      <c r="F251" s="1260"/>
      <c r="G251" s="1091" t="s">
        <v>51</v>
      </c>
      <c r="H251" s="1091">
        <v>100</v>
      </c>
      <c r="I251" s="1091" t="s">
        <v>162</v>
      </c>
      <c r="J251" s="1091">
        <v>100</v>
      </c>
      <c r="K251" s="1091" t="s">
        <v>163</v>
      </c>
      <c r="L251" s="1091">
        <v>99.2</v>
      </c>
      <c r="M251" s="1091" t="s">
        <v>164</v>
      </c>
      <c r="N251" s="1440">
        <v>1000</v>
      </c>
      <c r="O251" s="1440"/>
      <c r="P251" s="1091"/>
      <c r="Q251" s="859"/>
      <c r="R251" s="1158"/>
      <c r="S251" s="474"/>
      <c r="T251" s="472"/>
      <c r="U251" s="472"/>
      <c r="V251" s="475"/>
      <c r="W251" s="475"/>
      <c r="X251" s="476"/>
      <c r="Y251" s="477"/>
      <c r="Z251" s="472"/>
      <c r="AA251" s="478"/>
      <c r="AB251" s="479"/>
      <c r="AC251" s="480"/>
      <c r="AD251" s="480"/>
      <c r="AE251" s="480"/>
      <c r="AF251" s="473"/>
      <c r="AG251" s="473"/>
    </row>
    <row r="252" spans="1:33" s="471" customFormat="1" ht="20.100000000000001" hidden="1" customHeight="1">
      <c r="A252" s="859"/>
      <c r="B252" s="1149"/>
      <c r="C252" s="1091" t="s">
        <v>152</v>
      </c>
      <c r="D252" s="1451">
        <f>C251*H251/(J251-L251)/N251</f>
        <v>87.771029126901539</v>
      </c>
      <c r="E252" s="1451"/>
      <c r="F252" s="1257" t="s">
        <v>165</v>
      </c>
      <c r="G252" s="1257"/>
      <c r="H252" s="1091"/>
      <c r="I252" s="1091"/>
      <c r="J252" s="1091"/>
      <c r="K252" s="1091"/>
      <c r="L252" s="1091"/>
      <c r="M252" s="1091"/>
      <c r="N252" s="1091"/>
      <c r="O252" s="1091"/>
      <c r="P252" s="1091"/>
      <c r="Q252" s="859"/>
      <c r="R252" s="1158"/>
      <c r="S252" s="474"/>
      <c r="T252" s="472"/>
      <c r="U252" s="472"/>
      <c r="V252" s="475"/>
      <c r="W252" s="475"/>
      <c r="X252" s="476"/>
      <c r="Y252" s="477"/>
      <c r="Z252" s="472"/>
      <c r="AA252" s="478"/>
      <c r="AB252" s="479"/>
      <c r="AC252" s="480"/>
      <c r="AD252" s="480"/>
      <c r="AE252" s="480"/>
      <c r="AF252" s="473"/>
      <c r="AG252" s="473"/>
    </row>
    <row r="253" spans="1:33" s="471" customFormat="1" ht="20.100000000000001" hidden="1" customHeight="1">
      <c r="A253" s="859"/>
      <c r="B253" s="1149"/>
      <c r="C253" s="1091"/>
      <c r="D253" s="1087"/>
      <c r="E253" s="1087"/>
      <c r="F253" s="1088"/>
      <c r="G253" s="1088"/>
      <c r="H253" s="1091"/>
      <c r="I253" s="1091"/>
      <c r="J253" s="1091"/>
      <c r="K253" s="1091"/>
      <c r="L253" s="1091"/>
      <c r="M253" s="1091"/>
      <c r="N253" s="1091"/>
      <c r="O253" s="1091"/>
      <c r="P253" s="1091"/>
      <c r="Q253" s="859"/>
      <c r="R253" s="1158"/>
      <c r="S253" s="474"/>
      <c r="T253" s="472"/>
      <c r="U253" s="472"/>
      <c r="V253" s="475"/>
      <c r="W253" s="475"/>
      <c r="X253" s="476"/>
      <c r="Y253" s="477"/>
      <c r="Z253" s="472"/>
      <c r="AA253" s="478"/>
      <c r="AB253" s="479"/>
      <c r="AC253" s="480"/>
      <c r="AD253" s="480"/>
      <c r="AE253" s="480"/>
      <c r="AF253" s="473"/>
      <c r="AG253" s="473"/>
    </row>
    <row r="254" spans="1:33" s="471" customFormat="1" ht="20.100000000000001" hidden="1" customHeight="1">
      <c r="A254" s="866" t="s">
        <v>785</v>
      </c>
      <c r="B254" s="1150"/>
      <c r="C254" s="1151"/>
      <c r="D254" s="1091"/>
      <c r="E254" s="1091"/>
      <c r="F254" s="558"/>
      <c r="G254" s="558"/>
      <c r="H254" s="383"/>
      <c r="I254" s="559"/>
      <c r="J254" s="1091"/>
      <c r="K254" s="1091"/>
      <c r="L254" s="1086"/>
      <c r="M254" s="1088"/>
      <c r="N254" s="1088"/>
      <c r="O254" s="1088"/>
      <c r="P254" s="1091"/>
      <c r="Q254" s="859"/>
      <c r="R254" s="1158"/>
      <c r="S254" s="474"/>
      <c r="T254" s="472"/>
      <c r="U254" s="472"/>
      <c r="V254" s="475"/>
      <c r="W254" s="475"/>
      <c r="X254" s="476"/>
      <c r="Y254" s="477"/>
      <c r="Z254" s="472"/>
      <c r="AA254" s="478"/>
      <c r="AB254" s="479"/>
      <c r="AC254" s="480"/>
      <c r="AD254" s="480"/>
      <c r="AE254" s="480"/>
      <c r="AF254" s="473"/>
      <c r="AG254" s="473"/>
    </row>
    <row r="255" spans="1:33" s="471" customFormat="1" ht="20.100000000000001" hidden="1" customHeight="1">
      <c r="A255" s="739" t="s">
        <v>476</v>
      </c>
      <c r="B255" s="1431" t="s">
        <v>596</v>
      </c>
      <c r="C255" s="1447"/>
      <c r="D255" s="1447"/>
      <c r="E255" s="1447"/>
      <c r="F255" s="1447"/>
      <c r="G255" s="1447"/>
      <c r="H255" s="1447"/>
      <c r="I255" s="1447"/>
      <c r="J255" s="1447"/>
      <c r="K255" s="1447"/>
      <c r="L255" s="1447"/>
      <c r="M255" s="1447"/>
      <c r="N255" s="1447"/>
      <c r="O255" s="1447"/>
      <c r="P255" s="1448"/>
      <c r="Q255" s="859"/>
      <c r="R255" s="1158"/>
      <c r="S255" s="474"/>
      <c r="T255" s="472"/>
      <c r="U255" s="472"/>
      <c r="V255" s="475"/>
      <c r="W255" s="475"/>
      <c r="X255" s="476"/>
      <c r="Y255" s="477"/>
      <c r="Z255" s="472"/>
      <c r="AA255" s="478"/>
      <c r="AB255" s="479"/>
      <c r="AC255" s="480"/>
      <c r="AD255" s="480"/>
      <c r="AE255" s="480"/>
      <c r="AF255" s="473"/>
      <c r="AG255" s="473"/>
    </row>
    <row r="256" spans="1:33" s="471" customFormat="1" ht="20.100000000000001" hidden="1" customHeight="1">
      <c r="A256" s="739" t="s">
        <v>597</v>
      </c>
      <c r="B256" s="253" t="str">
        <f>"체류시간 : 유입유량의 "&amp;R256&amp;"시간 정도"</f>
        <v>체류시간 : 유입유량의 3시간 정도</v>
      </c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859"/>
      <c r="R256" s="1158">
        <v>3</v>
      </c>
      <c r="S256" s="474"/>
      <c r="T256" s="472"/>
      <c r="U256" s="472"/>
      <c r="V256" s="475"/>
      <c r="W256" s="475"/>
      <c r="X256" s="476"/>
      <c r="Y256" s="477"/>
      <c r="Z256" s="472"/>
      <c r="AA256" s="478"/>
      <c r="AB256" s="479"/>
      <c r="AC256" s="480"/>
      <c r="AD256" s="480"/>
      <c r="AE256" s="480"/>
      <c r="AF256" s="473"/>
      <c r="AG256" s="473"/>
    </row>
    <row r="257" spans="1:33" s="471" customFormat="1" ht="20.100000000000001" hidden="1" customHeight="1">
      <c r="A257" s="739" t="s">
        <v>477</v>
      </c>
      <c r="B257" s="1444" t="s">
        <v>117</v>
      </c>
      <c r="C257" s="1445"/>
      <c r="D257" s="1445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859"/>
      <c r="R257" s="1158"/>
      <c r="S257" s="474"/>
      <c r="T257" s="472"/>
      <c r="U257" s="472"/>
      <c r="V257" s="475"/>
      <c r="W257" s="475"/>
      <c r="X257" s="476"/>
      <c r="Y257" s="477"/>
      <c r="Z257" s="472"/>
      <c r="AA257" s="478"/>
      <c r="AB257" s="479"/>
      <c r="AC257" s="480"/>
      <c r="AD257" s="480"/>
      <c r="AE257" s="480"/>
      <c r="AF257" s="473"/>
      <c r="AG257" s="473"/>
    </row>
    <row r="258" spans="1:33" s="471" customFormat="1" ht="20.100000000000001" hidden="1" customHeight="1">
      <c r="A258" s="1116"/>
      <c r="B258" s="1150"/>
      <c r="C258" s="1327">
        <f>물질수지!T7</f>
        <v>12185.125776698724</v>
      </c>
      <c r="D258" s="1327"/>
      <c r="E258" s="1327"/>
      <c r="F258" s="1079" t="s">
        <v>51</v>
      </c>
      <c r="G258" s="389">
        <f>R256</f>
        <v>3</v>
      </c>
      <c r="H258" s="1079" t="s">
        <v>30</v>
      </c>
      <c r="I258" s="1430">
        <f>C258*G258/24</f>
        <v>1523.1407220873405</v>
      </c>
      <c r="J258" s="1430"/>
      <c r="K258" s="1091"/>
      <c r="L258" s="1086"/>
      <c r="M258" s="1088"/>
      <c r="N258" s="1088"/>
      <c r="O258" s="1088"/>
      <c r="P258" s="1091"/>
      <c r="Q258" s="859"/>
      <c r="R258" s="1158"/>
      <c r="S258" s="474"/>
      <c r="T258" s="472"/>
      <c r="U258" s="472"/>
      <c r="V258" s="475"/>
      <c r="W258" s="475"/>
      <c r="X258" s="476"/>
      <c r="Y258" s="477"/>
      <c r="Z258" s="472"/>
      <c r="AA258" s="478"/>
      <c r="AB258" s="479"/>
      <c r="AC258" s="480"/>
      <c r="AD258" s="480"/>
      <c r="AE258" s="480"/>
      <c r="AF258" s="473"/>
      <c r="AG258" s="473"/>
    </row>
    <row r="259" spans="1:33" s="471" customFormat="1" ht="20.100000000000001" hidden="1" customHeight="1">
      <c r="A259" s="739" t="s">
        <v>478</v>
      </c>
      <c r="B259" s="253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859"/>
      <c r="R259" s="1158"/>
      <c r="S259" s="474"/>
      <c r="T259" s="472"/>
      <c r="U259" s="472"/>
      <c r="V259" s="475"/>
      <c r="W259" s="475"/>
      <c r="X259" s="476"/>
      <c r="Y259" s="477"/>
      <c r="Z259" s="472"/>
      <c r="AA259" s="478"/>
      <c r="AB259" s="479"/>
      <c r="AC259" s="480"/>
      <c r="AD259" s="480"/>
      <c r="AE259" s="480"/>
      <c r="AF259" s="473"/>
      <c r="AG259" s="473"/>
    </row>
    <row r="260" spans="1:33" s="471" customFormat="1" ht="20.100000000000001" hidden="1" customHeight="1">
      <c r="A260" s="1116" t="s">
        <v>602</v>
      </c>
      <c r="B260" s="253"/>
      <c r="C260" s="1250" t="s">
        <v>121</v>
      </c>
      <c r="D260" s="1250"/>
      <c r="E260" s="1250"/>
      <c r="F260" s="1250"/>
      <c r="G260" s="1250"/>
      <c r="H260" s="1250"/>
      <c r="I260" s="1250"/>
      <c r="J260" s="1250"/>
      <c r="K260" s="1250"/>
      <c r="L260" s="1250"/>
      <c r="M260" s="1250"/>
      <c r="N260" s="1250"/>
      <c r="O260" s="1250"/>
      <c r="P260" s="250"/>
      <c r="Q260" s="859"/>
      <c r="R260" s="1158"/>
      <c r="S260" s="474"/>
      <c r="T260" s="472"/>
      <c r="U260" s="472"/>
      <c r="V260" s="475"/>
      <c r="W260" s="475"/>
      <c r="X260" s="476"/>
      <c r="Y260" s="477"/>
      <c r="Z260" s="472"/>
      <c r="AA260" s="478"/>
      <c r="AB260" s="479"/>
      <c r="AC260" s="480"/>
      <c r="AD260" s="480"/>
      <c r="AE260" s="480"/>
      <c r="AF260" s="473"/>
      <c r="AG260" s="473"/>
    </row>
    <row r="261" spans="1:33" s="471" customFormat="1" ht="20.100000000000001" hidden="1" customHeight="1">
      <c r="A261" s="1116" t="s">
        <v>122</v>
      </c>
      <c r="B261" s="1095" t="s">
        <v>307</v>
      </c>
      <c r="C261" s="309">
        <v>12.7</v>
      </c>
      <c r="D261" s="1079" t="s">
        <v>36</v>
      </c>
      <c r="E261" s="1079" t="s">
        <v>51</v>
      </c>
      <c r="F261" s="1079" t="s">
        <v>108</v>
      </c>
      <c r="G261" s="309">
        <v>17.2</v>
      </c>
      <c r="H261" s="1079" t="s">
        <v>36</v>
      </c>
      <c r="I261" s="1079" t="s">
        <v>51</v>
      </c>
      <c r="J261" s="1250" t="s">
        <v>123</v>
      </c>
      <c r="K261" s="1250"/>
      <c r="L261" s="1079" t="s">
        <v>311</v>
      </c>
      <c r="M261" s="407">
        <v>3.5</v>
      </c>
      <c r="N261" s="1079" t="s">
        <v>36</v>
      </c>
      <c r="O261" s="1079"/>
      <c r="P261" s="250"/>
      <c r="Q261" s="859"/>
      <c r="R261" s="1158"/>
      <c r="S261" s="474"/>
      <c r="T261" s="472"/>
      <c r="U261" s="472"/>
      <c r="V261" s="475"/>
      <c r="W261" s="475"/>
      <c r="X261" s="476"/>
      <c r="Y261" s="477"/>
      <c r="Z261" s="472"/>
      <c r="AA261" s="478"/>
      <c r="AB261" s="479"/>
      <c r="AC261" s="480"/>
      <c r="AD261" s="480"/>
      <c r="AE261" s="480"/>
      <c r="AF261" s="473"/>
      <c r="AG261" s="473"/>
    </row>
    <row r="262" spans="1:33" s="471" customFormat="1" ht="20.100000000000001" hidden="1" customHeight="1">
      <c r="A262" s="1116" t="s">
        <v>125</v>
      </c>
      <c r="B262" s="253"/>
      <c r="C262" s="250"/>
      <c r="D262" s="250"/>
      <c r="E262" s="250"/>
      <c r="F262" s="250"/>
      <c r="G262" s="250"/>
      <c r="H262" s="1079">
        <v>2</v>
      </c>
      <c r="I262" s="250" t="s">
        <v>113</v>
      </c>
      <c r="J262" s="250"/>
      <c r="K262" s="250"/>
      <c r="L262" s="250"/>
      <c r="M262" s="250"/>
      <c r="N262" s="250"/>
      <c r="O262" s="250"/>
      <c r="P262" s="250"/>
      <c r="Q262" s="859"/>
      <c r="R262" s="1158"/>
      <c r="S262" s="474"/>
      <c r="T262" s="472"/>
      <c r="U262" s="472"/>
      <c r="V262" s="475"/>
      <c r="W262" s="475"/>
      <c r="X262" s="476"/>
      <c r="Y262" s="477"/>
      <c r="Z262" s="472"/>
      <c r="AA262" s="478"/>
      <c r="AB262" s="479"/>
      <c r="AC262" s="480"/>
      <c r="AD262" s="480"/>
      <c r="AE262" s="480"/>
      <c r="AF262" s="473"/>
      <c r="AG262" s="473"/>
    </row>
    <row r="263" spans="1:33" s="471" customFormat="1" ht="20.100000000000001" hidden="1" customHeight="1">
      <c r="A263" s="1116" t="s">
        <v>126</v>
      </c>
      <c r="B263" s="1095" t="s">
        <v>127</v>
      </c>
      <c r="C263" s="1079" t="s">
        <v>30</v>
      </c>
      <c r="D263" s="1430">
        <f>C261*G261*M261</f>
        <v>764.53999999999985</v>
      </c>
      <c r="E263" s="1430"/>
      <c r="F263" s="1079" t="s">
        <v>51</v>
      </c>
      <c r="G263" s="1079">
        <f>H262</f>
        <v>2</v>
      </c>
      <c r="H263" s="1079" t="s">
        <v>609</v>
      </c>
      <c r="I263" s="1079" t="s">
        <v>30</v>
      </c>
      <c r="J263" s="1291">
        <f>D263*G263</f>
        <v>1529.0799999999997</v>
      </c>
      <c r="K263" s="1291"/>
      <c r="L263" s="250"/>
      <c r="M263" s="250"/>
      <c r="N263" s="250"/>
      <c r="O263" s="250"/>
      <c r="P263" s="250"/>
      <c r="Q263" s="859"/>
      <c r="R263" s="1158"/>
      <c r="S263" s="474"/>
      <c r="T263" s="472"/>
      <c r="U263" s="472"/>
      <c r="V263" s="475"/>
      <c r="W263" s="475"/>
      <c r="X263" s="476"/>
      <c r="Y263" s="477"/>
      <c r="Z263" s="472"/>
      <c r="AA263" s="478"/>
      <c r="AB263" s="479"/>
      <c r="AC263" s="480"/>
      <c r="AD263" s="480"/>
      <c r="AE263" s="480"/>
      <c r="AF263" s="473"/>
      <c r="AG263" s="473"/>
    </row>
    <row r="264" spans="1:33" s="471" customFormat="1" ht="20.100000000000001" hidden="1" customHeight="1">
      <c r="A264" s="739" t="s">
        <v>480</v>
      </c>
      <c r="B264" s="253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1088"/>
      <c r="P264" s="1091"/>
      <c r="Q264" s="859"/>
      <c r="R264" s="1158"/>
      <c r="S264" s="474"/>
      <c r="T264" s="472"/>
      <c r="U264" s="472"/>
      <c r="V264" s="475"/>
      <c r="W264" s="475"/>
      <c r="X264" s="476"/>
      <c r="Y264" s="477"/>
      <c r="Z264" s="472"/>
      <c r="AA264" s="478"/>
      <c r="AB264" s="479"/>
      <c r="AC264" s="480"/>
      <c r="AD264" s="480"/>
      <c r="AE264" s="480"/>
      <c r="AF264" s="473"/>
      <c r="AG264" s="473"/>
    </row>
    <row r="265" spans="1:33" s="471" customFormat="1" ht="20.100000000000001" hidden="1" customHeight="1">
      <c r="A265" s="1116" t="s">
        <v>130</v>
      </c>
      <c r="B265" s="253"/>
      <c r="C265" s="1291">
        <f>J263</f>
        <v>1529.0799999999997</v>
      </c>
      <c r="D265" s="1291"/>
      <c r="E265" s="1079" t="s">
        <v>52</v>
      </c>
      <c r="F265" s="1327">
        <f>C258</f>
        <v>12185.125776698724</v>
      </c>
      <c r="G265" s="1327"/>
      <c r="H265" s="1327"/>
      <c r="I265" s="1079" t="s">
        <v>51</v>
      </c>
      <c r="J265" s="1304">
        <v>24</v>
      </c>
      <c r="K265" s="1304"/>
      <c r="L265" s="1079" t="s">
        <v>30</v>
      </c>
      <c r="M265" s="1332">
        <f>C265/F265*J265</f>
        <v>3.0116980876944579</v>
      </c>
      <c r="N265" s="1332"/>
      <c r="O265" s="1088"/>
      <c r="P265" s="1091"/>
      <c r="Q265" s="859"/>
      <c r="R265" s="1158"/>
      <c r="S265" s="474"/>
      <c r="T265" s="472"/>
      <c r="U265" s="472"/>
      <c r="V265" s="475"/>
      <c r="W265" s="475"/>
      <c r="X265" s="476"/>
      <c r="Y265" s="477"/>
      <c r="Z265" s="472"/>
      <c r="AA265" s="478"/>
      <c r="AB265" s="479"/>
      <c r="AC265" s="480"/>
      <c r="AD265" s="480"/>
      <c r="AE265" s="480"/>
      <c r="AF265" s="473"/>
      <c r="AG265" s="473"/>
    </row>
    <row r="266" spans="1:33" s="471" customFormat="1" ht="20.100000000000001" hidden="1" customHeight="1">
      <c r="A266" s="1116"/>
      <c r="B266" s="253"/>
      <c r="C266" s="1080"/>
      <c r="D266" s="1080"/>
      <c r="E266" s="1079"/>
      <c r="F266" s="1084"/>
      <c r="G266" s="1084"/>
      <c r="H266" s="1084"/>
      <c r="I266" s="1079"/>
      <c r="J266" s="1081"/>
      <c r="K266" s="1081"/>
      <c r="L266" s="1079"/>
      <c r="M266" s="1083"/>
      <c r="N266" s="1083"/>
      <c r="O266" s="1088"/>
      <c r="P266" s="1091"/>
      <c r="Q266" s="859"/>
      <c r="R266" s="1158"/>
      <c r="S266" s="474"/>
      <c r="T266" s="472"/>
      <c r="U266" s="472"/>
      <c r="V266" s="475"/>
      <c r="W266" s="475"/>
      <c r="X266" s="476"/>
      <c r="Y266" s="477"/>
      <c r="Z266" s="472"/>
      <c r="AA266" s="478"/>
      <c r="AB266" s="479"/>
      <c r="AC266" s="480"/>
      <c r="AD266" s="480"/>
      <c r="AE266" s="480"/>
      <c r="AF266" s="473"/>
      <c r="AG266" s="473"/>
    </row>
    <row r="267" spans="1:33" s="471" customFormat="1" ht="20.100000000000001" hidden="1" customHeight="1">
      <c r="A267" s="867"/>
      <c r="B267" s="841"/>
      <c r="C267" s="1092"/>
      <c r="D267" s="1092"/>
      <c r="E267" s="843"/>
      <c r="F267" s="844"/>
      <c r="G267" s="844"/>
      <c r="H267" s="844"/>
      <c r="I267" s="843"/>
      <c r="J267" s="845"/>
      <c r="K267" s="845"/>
      <c r="L267" s="843"/>
      <c r="M267" s="846"/>
      <c r="N267" s="846"/>
      <c r="O267" s="1102"/>
      <c r="P267" s="1121"/>
      <c r="Q267" s="1119"/>
      <c r="R267" s="1158"/>
      <c r="S267" s="474"/>
      <c r="T267" s="472"/>
      <c r="U267" s="472"/>
      <c r="V267" s="475"/>
      <c r="W267" s="475"/>
      <c r="X267" s="476"/>
      <c r="Y267" s="477"/>
      <c r="Z267" s="472"/>
      <c r="AA267" s="478"/>
      <c r="AB267" s="479"/>
      <c r="AC267" s="480"/>
      <c r="AD267" s="480"/>
      <c r="AE267" s="480"/>
      <c r="AF267" s="473"/>
      <c r="AG267" s="473"/>
    </row>
    <row r="268" spans="1:33" s="112" customFormat="1" ht="21" hidden="1" customHeight="1">
      <c r="A268" s="870" t="s">
        <v>786</v>
      </c>
      <c r="B268" s="847"/>
      <c r="C268" s="848"/>
      <c r="D268" s="848"/>
      <c r="E268" s="849"/>
      <c r="F268" s="850"/>
      <c r="G268" s="850"/>
      <c r="H268" s="850"/>
      <c r="I268" s="849"/>
      <c r="J268" s="851"/>
      <c r="K268" s="848"/>
      <c r="L268" s="849"/>
      <c r="M268" s="852"/>
      <c r="N268" s="852"/>
      <c r="O268" s="1140"/>
      <c r="P268" s="1105"/>
      <c r="Q268" s="893"/>
      <c r="R268" s="783"/>
      <c r="S268" s="1098"/>
      <c r="T268" s="1099"/>
      <c r="U268" s="1099"/>
      <c r="V268" s="1078"/>
      <c r="W268" s="1078"/>
      <c r="X268" s="387"/>
      <c r="Y268" s="1136"/>
      <c r="Z268" s="1099"/>
      <c r="AA268" s="1099"/>
      <c r="AB268" s="1135"/>
      <c r="AC268" s="1127"/>
      <c r="AD268" s="1127"/>
      <c r="AE268" s="1127"/>
      <c r="AF268" s="1099"/>
      <c r="AG268" s="1111"/>
    </row>
    <row r="269" spans="1:33" s="112" customFormat="1" ht="21" hidden="1" customHeight="1">
      <c r="A269" s="871" t="s">
        <v>476</v>
      </c>
      <c r="B269" s="1431" t="s">
        <v>580</v>
      </c>
      <c r="C269" s="1432"/>
      <c r="D269" s="1432"/>
      <c r="E269" s="1432"/>
      <c r="F269" s="1432"/>
      <c r="G269" s="1432"/>
      <c r="H269" s="1432"/>
      <c r="I269" s="1432"/>
      <c r="J269" s="1432"/>
      <c r="K269" s="1432"/>
      <c r="L269" s="1432"/>
      <c r="M269" s="1432"/>
      <c r="N269" s="1432"/>
      <c r="O269" s="1432"/>
      <c r="P269" s="1433"/>
      <c r="Q269" s="894"/>
      <c r="R269" s="783"/>
      <c r="S269" s="1098"/>
      <c r="T269" s="1099"/>
      <c r="U269" s="1099"/>
      <c r="V269" s="1078"/>
      <c r="W269" s="1078"/>
      <c r="X269" s="387"/>
      <c r="Y269" s="1136"/>
      <c r="Z269" s="1099"/>
      <c r="AA269" s="1099"/>
      <c r="AB269" s="1135"/>
      <c r="AC269" s="1127"/>
      <c r="AD269" s="1127"/>
      <c r="AE269" s="1127"/>
      <c r="AF269" s="1099"/>
      <c r="AG269" s="1111"/>
    </row>
    <row r="270" spans="1:33" s="112" customFormat="1" ht="21" hidden="1" customHeight="1">
      <c r="A270" s="871" t="s">
        <v>481</v>
      </c>
      <c r="B270" s="1431" t="str">
        <f>"체류시간 : 유입유량의 "&amp;R270&amp;"시간 정도"</f>
        <v>체류시간 : 유입유량의 1시간 정도</v>
      </c>
      <c r="C270" s="1432"/>
      <c r="D270" s="1432"/>
      <c r="E270" s="1432"/>
      <c r="F270" s="1432"/>
      <c r="G270" s="1432"/>
      <c r="H270" s="406"/>
      <c r="I270" s="250"/>
      <c r="J270" s="250"/>
      <c r="K270" s="250"/>
      <c r="L270" s="250"/>
      <c r="M270" s="250"/>
      <c r="N270" s="250"/>
      <c r="O270" s="250"/>
      <c r="P270" s="250"/>
      <c r="Q270" s="894"/>
      <c r="R270" s="783">
        <v>1</v>
      </c>
      <c r="S270" s="1098"/>
      <c r="T270" s="1099"/>
      <c r="U270" s="1099"/>
      <c r="V270" s="1078"/>
      <c r="W270" s="1078"/>
      <c r="X270" s="387"/>
      <c r="Y270" s="1136"/>
      <c r="Z270" s="1099"/>
      <c r="AA270" s="1099"/>
      <c r="AB270" s="1135"/>
      <c r="AC270" s="1127"/>
      <c r="AD270" s="1127"/>
      <c r="AE270" s="1127"/>
      <c r="AF270" s="1099"/>
      <c r="AG270" s="1111"/>
    </row>
    <row r="271" spans="1:33" s="112" customFormat="1" ht="21" hidden="1" customHeight="1">
      <c r="A271" s="739" t="s">
        <v>477</v>
      </c>
      <c r="B271" s="1444" t="s">
        <v>117</v>
      </c>
      <c r="C271" s="1445"/>
      <c r="D271" s="1445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894"/>
      <c r="R271" s="783"/>
      <c r="S271" s="1098"/>
      <c r="T271" s="1099"/>
      <c r="U271" s="1099"/>
      <c r="V271" s="1078"/>
      <c r="W271" s="1078"/>
      <c r="X271" s="387"/>
      <c r="Y271" s="1136"/>
      <c r="Z271" s="1099"/>
      <c r="AA271" s="1099"/>
      <c r="AB271" s="1135"/>
      <c r="AC271" s="1127"/>
      <c r="AD271" s="1127"/>
      <c r="AE271" s="1127"/>
      <c r="AF271" s="1099"/>
      <c r="AG271" s="1111"/>
    </row>
    <row r="272" spans="1:33" s="112" customFormat="1" ht="21" hidden="1" customHeight="1">
      <c r="A272" s="1116"/>
      <c r="B272" s="1150"/>
      <c r="C272" s="1327">
        <f>물질수지!Z7</f>
        <v>11792.426695</v>
      </c>
      <c r="D272" s="1327"/>
      <c r="E272" s="1327"/>
      <c r="F272" s="1079" t="s">
        <v>51</v>
      </c>
      <c r="G272" s="389">
        <f>R270</f>
        <v>1</v>
      </c>
      <c r="H272" s="1079" t="s">
        <v>30</v>
      </c>
      <c r="I272" s="1430">
        <f>C272*G272/24</f>
        <v>491.35111229166665</v>
      </c>
      <c r="J272" s="1430"/>
      <c r="K272" s="1091"/>
      <c r="L272" s="1086"/>
      <c r="M272" s="1088"/>
      <c r="N272" s="1088"/>
      <c r="O272" s="1088"/>
      <c r="P272" s="1091"/>
      <c r="Q272" s="894"/>
      <c r="R272" s="783"/>
      <c r="S272" s="1098"/>
      <c r="T272" s="1099"/>
      <c r="U272" s="1099"/>
      <c r="V272" s="1078"/>
      <c r="W272" s="1078"/>
      <c r="X272" s="387"/>
      <c r="Y272" s="1136"/>
      <c r="Z272" s="1099"/>
      <c r="AA272" s="1099"/>
      <c r="AB272" s="1135"/>
      <c r="AC272" s="1127"/>
      <c r="AD272" s="1127"/>
      <c r="AE272" s="1127"/>
      <c r="AF272" s="1099"/>
      <c r="AG272" s="1111"/>
    </row>
    <row r="273" spans="1:33" s="112" customFormat="1" ht="21" hidden="1" customHeight="1">
      <c r="A273" s="739" t="s">
        <v>478</v>
      </c>
      <c r="B273" s="253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894"/>
      <c r="R273" s="783"/>
      <c r="S273" s="1098"/>
      <c r="T273" s="1099"/>
      <c r="U273" s="1099"/>
      <c r="V273" s="1078"/>
      <c r="W273" s="1078"/>
      <c r="X273" s="387"/>
      <c r="Y273" s="1136"/>
      <c r="Z273" s="1099"/>
      <c r="AA273" s="1099"/>
      <c r="AB273" s="1135"/>
      <c r="AC273" s="1127"/>
      <c r="AD273" s="1127"/>
      <c r="AE273" s="1127"/>
      <c r="AF273" s="1099"/>
      <c r="AG273" s="1111"/>
    </row>
    <row r="274" spans="1:33" s="112" customFormat="1" ht="21" hidden="1" customHeight="1">
      <c r="A274" s="1116" t="s">
        <v>304</v>
      </c>
      <c r="B274" s="1428" t="s">
        <v>121</v>
      </c>
      <c r="C274" s="1250"/>
      <c r="D274" s="1250"/>
      <c r="E274" s="1250"/>
      <c r="F274" s="1250"/>
      <c r="G274" s="1250"/>
      <c r="H274" s="1250"/>
      <c r="I274" s="1250"/>
      <c r="J274" s="1250"/>
      <c r="K274" s="1250"/>
      <c r="L274" s="1250"/>
      <c r="M274" s="1250"/>
      <c r="N274" s="1250"/>
      <c r="O274" s="1250"/>
      <c r="P274" s="1429"/>
      <c r="Q274" s="894"/>
      <c r="R274" s="783"/>
      <c r="S274" s="1098"/>
      <c r="T274" s="1099"/>
      <c r="U274" s="1099"/>
      <c r="V274" s="1078"/>
      <c r="W274" s="1078"/>
      <c r="X274" s="387"/>
      <c r="Y274" s="1136"/>
      <c r="Z274" s="1099"/>
      <c r="AA274" s="1099"/>
      <c r="AB274" s="1135"/>
      <c r="AC274" s="1127"/>
      <c r="AD274" s="1127"/>
      <c r="AE274" s="1127"/>
      <c r="AF274" s="1099"/>
      <c r="AG274" s="1111"/>
    </row>
    <row r="275" spans="1:33" s="112" customFormat="1" ht="21" hidden="1" customHeight="1">
      <c r="A275" s="1116" t="s">
        <v>122</v>
      </c>
      <c r="B275" s="1095" t="s">
        <v>307</v>
      </c>
      <c r="C275" s="309">
        <f>C261</f>
        <v>12.7</v>
      </c>
      <c r="D275" s="1079" t="s">
        <v>308</v>
      </c>
      <c r="E275" s="1079" t="s">
        <v>51</v>
      </c>
      <c r="F275" s="1079" t="s">
        <v>108</v>
      </c>
      <c r="G275" s="309">
        <v>4.4000000000000004</v>
      </c>
      <c r="H275" s="1079" t="s">
        <v>308</v>
      </c>
      <c r="I275" s="1079" t="s">
        <v>51</v>
      </c>
      <c r="J275" s="1250" t="s">
        <v>123</v>
      </c>
      <c r="K275" s="1250"/>
      <c r="L275" s="1079" t="s">
        <v>311</v>
      </c>
      <c r="M275" s="407">
        <v>4.5</v>
      </c>
      <c r="N275" s="1079" t="s">
        <v>308</v>
      </c>
      <c r="O275" s="1079"/>
      <c r="P275" s="250"/>
      <c r="Q275" s="894"/>
      <c r="R275" s="783"/>
      <c r="S275" s="1098"/>
      <c r="T275" s="1099"/>
      <c r="U275" s="1099"/>
      <c r="V275" s="1078"/>
      <c r="W275" s="1078"/>
      <c r="X275" s="387"/>
      <c r="Y275" s="1136"/>
      <c r="Z275" s="1099"/>
      <c r="AA275" s="1099"/>
      <c r="AB275" s="1135"/>
      <c r="AC275" s="1127"/>
      <c r="AD275" s="1127"/>
      <c r="AE275" s="1127"/>
      <c r="AF275" s="1099"/>
      <c r="AG275" s="1111"/>
    </row>
    <row r="276" spans="1:33" s="112" customFormat="1" ht="21" hidden="1" customHeight="1">
      <c r="A276" s="1116" t="s">
        <v>125</v>
      </c>
      <c r="B276" s="253"/>
      <c r="C276" s="250"/>
      <c r="D276" s="250"/>
      <c r="E276" s="250"/>
      <c r="F276" s="250"/>
      <c r="G276" s="250"/>
      <c r="H276" s="1079">
        <v>2</v>
      </c>
      <c r="I276" s="250" t="s">
        <v>113</v>
      </c>
      <c r="J276" s="250"/>
      <c r="K276" s="250"/>
      <c r="L276" s="250"/>
      <c r="M276" s="250"/>
      <c r="N276" s="250"/>
      <c r="O276" s="250"/>
      <c r="P276" s="250"/>
      <c r="Q276" s="894"/>
      <c r="R276" s="783"/>
      <c r="S276" s="1098"/>
      <c r="T276" s="700">
        <f>G287+G275+G261+0.8</f>
        <v>28.400000000000002</v>
      </c>
      <c r="U276" s="1099"/>
      <c r="V276" s="1078"/>
      <c r="W276" s="1078"/>
      <c r="X276" s="387"/>
      <c r="Y276" s="1136"/>
      <c r="Z276" s="1099"/>
      <c r="AA276" s="1099"/>
      <c r="AB276" s="1135"/>
      <c r="AC276" s="1127"/>
      <c r="AD276" s="1127"/>
      <c r="AE276" s="1127"/>
      <c r="AF276" s="1099"/>
      <c r="AG276" s="1111"/>
    </row>
    <row r="277" spans="1:33" s="112" customFormat="1" ht="21" hidden="1" customHeight="1">
      <c r="A277" s="1116" t="s">
        <v>126</v>
      </c>
      <c r="B277" s="1095" t="s">
        <v>127</v>
      </c>
      <c r="C277" s="1079" t="s">
        <v>30</v>
      </c>
      <c r="D277" s="1430">
        <f>C275*G275*M275</f>
        <v>251.46</v>
      </c>
      <c r="E277" s="1430"/>
      <c r="F277" s="1079" t="s">
        <v>51</v>
      </c>
      <c r="G277" s="1079">
        <f>H276</f>
        <v>2</v>
      </c>
      <c r="H277" s="1079" t="s">
        <v>429</v>
      </c>
      <c r="I277" s="1079" t="s">
        <v>30</v>
      </c>
      <c r="J277" s="1430">
        <f>D277*G277</f>
        <v>502.92</v>
      </c>
      <c r="K277" s="1430"/>
      <c r="L277" s="250"/>
      <c r="M277" s="250"/>
      <c r="N277" s="250"/>
      <c r="O277" s="250"/>
      <c r="P277" s="250"/>
      <c r="Q277" s="894"/>
      <c r="R277" s="783"/>
      <c r="S277" s="1098"/>
      <c r="T277" s="1099">
        <v>28.4</v>
      </c>
      <c r="U277" s="1099"/>
      <c r="V277" s="1078"/>
      <c r="W277" s="1078"/>
      <c r="X277" s="387"/>
      <c r="Y277" s="1136"/>
      <c r="Z277" s="1099"/>
      <c r="AA277" s="1099"/>
      <c r="AB277" s="1135"/>
      <c r="AC277" s="1127"/>
      <c r="AD277" s="1127"/>
      <c r="AE277" s="1127"/>
      <c r="AF277" s="1099"/>
      <c r="AG277" s="1111"/>
    </row>
    <row r="278" spans="1:33" s="112" customFormat="1" ht="21" hidden="1" customHeight="1">
      <c r="A278" s="739" t="s">
        <v>480</v>
      </c>
      <c r="B278" s="253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1088"/>
      <c r="P278" s="1091"/>
      <c r="Q278" s="894"/>
      <c r="R278" s="783"/>
      <c r="S278" s="1098"/>
      <c r="T278" s="1099"/>
      <c r="U278" s="1099"/>
      <c r="V278" s="1078"/>
      <c r="W278" s="1078"/>
      <c r="X278" s="387"/>
      <c r="Y278" s="1136"/>
      <c r="Z278" s="1099"/>
      <c r="AA278" s="1099"/>
      <c r="AB278" s="1135"/>
      <c r="AC278" s="1127"/>
      <c r="AD278" s="1127"/>
      <c r="AE278" s="1127"/>
      <c r="AF278" s="1099"/>
      <c r="AG278" s="1111"/>
    </row>
    <row r="279" spans="1:33" s="112" customFormat="1" ht="21" hidden="1" customHeight="1">
      <c r="A279" s="1116" t="s">
        <v>318</v>
      </c>
      <c r="B279" s="253"/>
      <c r="C279" s="1446">
        <f>J277</f>
        <v>502.92</v>
      </c>
      <c r="D279" s="1446"/>
      <c r="E279" s="1079" t="s">
        <v>52</v>
      </c>
      <c r="F279" s="1327">
        <f>C272</f>
        <v>11792.426695</v>
      </c>
      <c r="G279" s="1327"/>
      <c r="H279" s="1327"/>
      <c r="I279" s="1079" t="s">
        <v>51</v>
      </c>
      <c r="J279" s="1304">
        <v>24</v>
      </c>
      <c r="K279" s="1304"/>
      <c r="L279" s="1079" t="s">
        <v>30</v>
      </c>
      <c r="M279" s="1332">
        <f>C279/F279*J279</f>
        <v>1.0235450524460521</v>
      </c>
      <c r="N279" s="1332"/>
      <c r="O279" s="1088"/>
      <c r="P279" s="1091"/>
      <c r="Q279" s="894"/>
      <c r="R279" s="783"/>
      <c r="S279" s="1098"/>
      <c r="T279" s="1099"/>
      <c r="U279" s="1099"/>
      <c r="V279" s="1078"/>
      <c r="W279" s="1078"/>
      <c r="X279" s="387"/>
      <c r="Y279" s="1136"/>
      <c r="Z279" s="1099"/>
      <c r="AA279" s="1099"/>
      <c r="AB279" s="1135"/>
      <c r="AC279" s="1127"/>
      <c r="AD279" s="1127"/>
      <c r="AE279" s="1127"/>
      <c r="AF279" s="1099"/>
      <c r="AG279" s="1111"/>
    </row>
    <row r="280" spans="1:33" s="112" customFormat="1" ht="21" hidden="1" customHeight="1">
      <c r="A280" s="1116"/>
      <c r="B280" s="250"/>
      <c r="C280" s="1093"/>
      <c r="D280" s="1093"/>
      <c r="E280" s="1079"/>
      <c r="F280" s="1084"/>
      <c r="G280" s="1084"/>
      <c r="H280" s="1084"/>
      <c r="I280" s="1079"/>
      <c r="J280" s="1081"/>
      <c r="K280" s="1081"/>
      <c r="L280" s="1079"/>
      <c r="M280" s="1083"/>
      <c r="N280" s="1083"/>
      <c r="O280" s="1088"/>
      <c r="P280" s="1091"/>
      <c r="Q280" s="894"/>
      <c r="R280" s="783"/>
      <c r="S280" s="1098"/>
      <c r="T280" s="1099"/>
      <c r="U280" s="1099"/>
      <c r="V280" s="1078"/>
      <c r="W280" s="1078"/>
      <c r="X280" s="387"/>
      <c r="Y280" s="1136"/>
      <c r="Z280" s="1099"/>
      <c r="AA280" s="1099"/>
      <c r="AB280" s="1135"/>
      <c r="AC280" s="1127"/>
      <c r="AD280" s="1127"/>
      <c r="AE280" s="1127"/>
      <c r="AF280" s="1099"/>
      <c r="AG280" s="1111"/>
    </row>
    <row r="281" spans="1:33" s="112" customFormat="1" ht="21" hidden="1" customHeight="1">
      <c r="A281" s="738" t="s">
        <v>787</v>
      </c>
      <c r="B281" s="1097"/>
      <c r="C281" s="1097"/>
      <c r="D281" s="1091"/>
      <c r="E281" s="1151"/>
      <c r="F281" s="1091"/>
      <c r="G281" s="1091"/>
      <c r="H281" s="1091"/>
      <c r="I281" s="381"/>
      <c r="J281" s="1091"/>
      <c r="K281" s="391"/>
      <c r="L281" s="391"/>
      <c r="M281" s="1088"/>
      <c r="N281" s="1091"/>
      <c r="O281" s="1086"/>
      <c r="P281" s="1088"/>
      <c r="Q281" s="884"/>
      <c r="R281" s="783"/>
      <c r="S281" s="1098"/>
      <c r="T281" s="1099"/>
      <c r="U281" s="1099"/>
      <c r="V281" s="1078"/>
      <c r="W281" s="1078"/>
      <c r="X281" s="387"/>
      <c r="Y281" s="1136"/>
      <c r="Z281" s="1099"/>
      <c r="AA281" s="1099"/>
      <c r="AB281" s="1135"/>
      <c r="AC281" s="1127"/>
      <c r="AD281" s="1127"/>
      <c r="AE281" s="1127"/>
      <c r="AF281" s="1099"/>
      <c r="AG281" s="1111"/>
    </row>
    <row r="282" spans="1:33" s="112" customFormat="1" ht="21" hidden="1" customHeight="1">
      <c r="A282" s="860" t="s">
        <v>172</v>
      </c>
      <c r="B282" s="1432" t="s">
        <v>762</v>
      </c>
      <c r="C282" s="1445"/>
      <c r="D282" s="1445"/>
      <c r="E282" s="1445"/>
      <c r="F282" s="1445"/>
      <c r="G282" s="1445"/>
      <c r="H282" s="1445"/>
      <c r="I282" s="1445"/>
      <c r="J282" s="1445"/>
      <c r="K282" s="1445"/>
      <c r="L282" s="1445"/>
      <c r="M282" s="1445"/>
      <c r="N282" s="1445"/>
      <c r="O282" s="1445"/>
      <c r="P282" s="1445"/>
      <c r="Q282" s="878"/>
      <c r="R282" s="783"/>
      <c r="S282" s="1098"/>
      <c r="T282" s="1099"/>
      <c r="U282" s="1099"/>
      <c r="V282" s="1360"/>
      <c r="W282" s="1360"/>
      <c r="X282" s="387"/>
      <c r="Y282" s="1136"/>
      <c r="Z282" s="1099"/>
      <c r="AA282" s="1099"/>
      <c r="AB282" s="1135"/>
      <c r="AC282" s="1127"/>
      <c r="AD282" s="1127"/>
      <c r="AE282" s="1127"/>
      <c r="AF282" s="1099"/>
      <c r="AG282" s="1111"/>
    </row>
    <row r="283" spans="1:33" s="112" customFormat="1" ht="21" hidden="1" customHeight="1">
      <c r="A283" s="739" t="s">
        <v>407</v>
      </c>
      <c r="B283" s="1293" t="s">
        <v>173</v>
      </c>
      <c r="C283" s="1257"/>
      <c r="D283" s="1257"/>
      <c r="E283" s="1101"/>
      <c r="F283" s="1101"/>
      <c r="G283" s="1101"/>
      <c r="H283" s="1101"/>
      <c r="I283" s="1101"/>
      <c r="J283" s="1101"/>
      <c r="K283" s="1101"/>
      <c r="L283" s="1101"/>
      <c r="M283" s="1101"/>
      <c r="N283" s="1101"/>
      <c r="O283" s="1101"/>
      <c r="P283" s="1101"/>
      <c r="Q283" s="878"/>
      <c r="R283" s="783"/>
      <c r="S283" s="1098"/>
      <c r="T283" s="1099"/>
      <c r="U283" s="1099"/>
      <c r="V283" s="1078"/>
      <c r="W283" s="1078"/>
      <c r="X283" s="387"/>
      <c r="Y283" s="1136"/>
      <c r="Z283" s="1099"/>
      <c r="AA283" s="1099"/>
      <c r="AB283" s="1135"/>
      <c r="AC283" s="1127"/>
      <c r="AD283" s="1127"/>
      <c r="AE283" s="1127"/>
      <c r="AF283" s="1099"/>
      <c r="AG283" s="1111"/>
    </row>
    <row r="284" spans="1:33" s="112" customFormat="1" ht="21" hidden="1" customHeight="1">
      <c r="A284" s="739"/>
      <c r="B284" s="1101"/>
      <c r="C284" s="1434">
        <f>물질수지!O48</f>
        <v>199.29750000000001</v>
      </c>
      <c r="D284" s="1434"/>
      <c r="E284" s="1434"/>
      <c r="F284" s="1091" t="s">
        <v>51</v>
      </c>
      <c r="G284" s="531">
        <v>3</v>
      </c>
      <c r="H284" s="1091" t="s">
        <v>152</v>
      </c>
      <c r="I284" s="1330">
        <f>C284*G284</f>
        <v>597.89250000000004</v>
      </c>
      <c r="J284" s="1260"/>
      <c r="K284" s="1091" t="s">
        <v>174</v>
      </c>
      <c r="L284" s="1101"/>
      <c r="M284" s="1101"/>
      <c r="N284" s="1101"/>
      <c r="O284" s="1101"/>
      <c r="P284" s="1101"/>
      <c r="Q284" s="878"/>
      <c r="R284" s="783"/>
      <c r="S284" s="1098"/>
      <c r="T284" s="1099"/>
      <c r="U284" s="1099"/>
      <c r="V284" s="1078"/>
      <c r="W284" s="1078"/>
      <c r="X284" s="387"/>
      <c r="Y284" s="1136"/>
      <c r="Z284" s="1099"/>
      <c r="AA284" s="1099"/>
      <c r="AB284" s="1135"/>
      <c r="AC284" s="1127"/>
      <c r="AD284" s="1127"/>
      <c r="AE284" s="1127"/>
      <c r="AF284" s="1099"/>
      <c r="AG284" s="1111"/>
    </row>
    <row r="285" spans="1:33" s="112" customFormat="1" ht="21" hidden="1" customHeight="1">
      <c r="A285" s="739" t="s">
        <v>427</v>
      </c>
      <c r="B285" s="1101"/>
      <c r="C285" s="1260" t="s">
        <v>121</v>
      </c>
      <c r="D285" s="1260"/>
      <c r="E285" s="1260"/>
      <c r="F285" s="1260"/>
      <c r="G285" s="1260"/>
      <c r="H285" s="1260"/>
      <c r="I285" s="1260"/>
      <c r="J285" s="1260"/>
      <c r="K285" s="1260"/>
      <c r="L285" s="1260"/>
      <c r="M285" s="1260"/>
      <c r="N285" s="1260"/>
      <c r="O285" s="1101"/>
      <c r="P285" s="1101"/>
      <c r="Q285" s="878"/>
      <c r="R285" s="783"/>
      <c r="S285" s="1098"/>
      <c r="T285" s="1099"/>
      <c r="U285" s="1099"/>
      <c r="V285" s="1078"/>
      <c r="W285" s="1078"/>
      <c r="X285" s="387"/>
      <c r="Y285" s="1136"/>
      <c r="Z285" s="1099"/>
      <c r="AA285" s="1099"/>
      <c r="AB285" s="1135"/>
      <c r="AC285" s="1127"/>
      <c r="AD285" s="1127"/>
      <c r="AE285" s="1127"/>
      <c r="AF285" s="1099"/>
      <c r="AG285" s="1111"/>
    </row>
    <row r="286" spans="1:33" s="112" customFormat="1" ht="21" hidden="1" customHeight="1">
      <c r="A286" s="1116" t="s">
        <v>175</v>
      </c>
      <c r="B286" s="322"/>
      <c r="C286" s="1101"/>
      <c r="D286" s="1101"/>
      <c r="E286" s="1101"/>
      <c r="F286" s="1101"/>
      <c r="G286" s="1101"/>
      <c r="H286" s="1101"/>
      <c r="I286" s="1101"/>
      <c r="J286" s="1101"/>
      <c r="K286" s="1101"/>
      <c r="L286" s="1101"/>
      <c r="M286" s="1101"/>
      <c r="N286" s="1101"/>
      <c r="O286" s="1101"/>
      <c r="P286" s="1101"/>
      <c r="Q286" s="878"/>
      <c r="R286" s="783"/>
      <c r="S286" s="1098"/>
      <c r="T286" s="1099"/>
      <c r="U286" s="1099"/>
      <c r="V286" s="1078"/>
      <c r="W286" s="1078"/>
      <c r="X286" s="387"/>
      <c r="Y286" s="1136"/>
      <c r="Z286" s="1099"/>
      <c r="AA286" s="1099"/>
      <c r="AB286" s="1135"/>
      <c r="AC286" s="1127"/>
      <c r="AD286" s="1127"/>
      <c r="AE286" s="1127"/>
      <c r="AF286" s="1099"/>
      <c r="AG286" s="1111"/>
    </row>
    <row r="287" spans="1:33" s="112" customFormat="1" ht="21" hidden="1" customHeight="1">
      <c r="A287" s="1116" t="s">
        <v>176</v>
      </c>
      <c r="B287" s="1091" t="s">
        <v>177</v>
      </c>
      <c r="C287" s="309">
        <f>C275</f>
        <v>12.7</v>
      </c>
      <c r="D287" s="1091" t="s">
        <v>178</v>
      </c>
      <c r="E287" s="1091" t="s">
        <v>51</v>
      </c>
      <c r="F287" s="1091" t="s">
        <v>179</v>
      </c>
      <c r="G287" s="309">
        <v>6</v>
      </c>
      <c r="H287" s="1091" t="s">
        <v>178</v>
      </c>
      <c r="I287" s="1091" t="s">
        <v>51</v>
      </c>
      <c r="J287" s="1260" t="s">
        <v>180</v>
      </c>
      <c r="K287" s="1260"/>
      <c r="L287" s="1091" t="s">
        <v>181</v>
      </c>
      <c r="M287" s="309">
        <v>4.5</v>
      </c>
      <c r="N287" s="1091" t="s">
        <v>178</v>
      </c>
      <c r="O287" s="1091"/>
      <c r="P287" s="1101"/>
      <c r="Q287" s="878"/>
      <c r="R287" s="783"/>
      <c r="S287" s="1098"/>
      <c r="T287" s="1099"/>
      <c r="U287" s="1099"/>
      <c r="V287" s="1078"/>
      <c r="W287" s="1078"/>
      <c r="X287" s="387"/>
      <c r="Y287" s="1136"/>
      <c r="Z287" s="1099"/>
      <c r="AA287" s="1099"/>
      <c r="AB287" s="1135"/>
      <c r="AC287" s="1127"/>
      <c r="AD287" s="1127"/>
      <c r="AE287" s="1127"/>
      <c r="AF287" s="1099"/>
      <c r="AG287" s="1111"/>
    </row>
    <row r="288" spans="1:33" s="112" customFormat="1" ht="21" hidden="1" customHeight="1">
      <c r="A288" s="1116" t="s">
        <v>182</v>
      </c>
      <c r="B288" s="1101"/>
      <c r="C288" s="1101"/>
      <c r="D288" s="1101"/>
      <c r="E288" s="1101"/>
      <c r="F288" s="1101"/>
      <c r="G288" s="1101"/>
      <c r="H288" s="1091">
        <v>2</v>
      </c>
      <c r="I288" s="1101" t="s">
        <v>113</v>
      </c>
      <c r="J288" s="1101"/>
      <c r="K288" s="1101"/>
      <c r="L288" s="1101"/>
      <c r="M288" s="1101"/>
      <c r="N288" s="1101"/>
      <c r="O288" s="1101"/>
      <c r="P288" s="1101"/>
      <c r="Q288" s="878"/>
      <c r="R288" s="783"/>
      <c r="S288" s="1098"/>
      <c r="T288" s="1099"/>
      <c r="U288" s="1099"/>
      <c r="V288" s="1078"/>
      <c r="W288" s="1078"/>
      <c r="X288" s="387"/>
      <c r="Y288" s="1136"/>
      <c r="Z288" s="1099"/>
      <c r="AA288" s="1099"/>
      <c r="AB288" s="1135"/>
      <c r="AC288" s="1127"/>
      <c r="AD288" s="1127"/>
      <c r="AE288" s="1127"/>
      <c r="AF288" s="1099"/>
      <c r="AG288" s="1111"/>
    </row>
    <row r="289" spans="1:33" s="112" customFormat="1" ht="21" hidden="1" customHeight="1">
      <c r="A289" s="1116" t="s">
        <v>183</v>
      </c>
      <c r="B289" s="1091" t="s">
        <v>184</v>
      </c>
      <c r="C289" s="1091" t="s">
        <v>152</v>
      </c>
      <c r="D289" s="1260">
        <f>C287*G287*M287</f>
        <v>342.9</v>
      </c>
      <c r="E289" s="1260"/>
      <c r="F289" s="1260" t="s">
        <v>185</v>
      </c>
      <c r="G289" s="1260"/>
      <c r="H289" s="1091" t="s">
        <v>51</v>
      </c>
      <c r="I289" s="1091">
        <f>H288</f>
        <v>2</v>
      </c>
      <c r="J289" s="1091" t="s">
        <v>186</v>
      </c>
      <c r="K289" s="1091" t="s">
        <v>152</v>
      </c>
      <c r="L289" s="1291">
        <f>D289*I289</f>
        <v>685.8</v>
      </c>
      <c r="M289" s="1291"/>
      <c r="N289" s="1101"/>
      <c r="O289" s="1101"/>
      <c r="P289" s="1101"/>
      <c r="Q289" s="878"/>
      <c r="R289" s="783"/>
      <c r="S289" s="1098"/>
      <c r="T289" s="1099"/>
      <c r="U289" s="1099"/>
      <c r="V289" s="1078"/>
      <c r="W289" s="1078"/>
      <c r="X289" s="387"/>
      <c r="Y289" s="1136"/>
      <c r="Z289" s="1099"/>
      <c r="AA289" s="1099"/>
      <c r="AB289" s="1135"/>
      <c r="AC289" s="1127"/>
      <c r="AD289" s="1127"/>
      <c r="AE289" s="1127"/>
      <c r="AF289" s="1099"/>
      <c r="AG289" s="1111"/>
    </row>
    <row r="290" spans="1:33" s="112" customFormat="1" ht="21" hidden="1" customHeight="1">
      <c r="A290" s="739" t="s">
        <v>482</v>
      </c>
      <c r="B290" s="1101"/>
      <c r="C290" s="1101"/>
      <c r="D290" s="1101"/>
      <c r="E290" s="1101"/>
      <c r="F290" s="1101"/>
      <c r="G290" s="1101"/>
      <c r="H290" s="1101"/>
      <c r="I290" s="1101"/>
      <c r="J290" s="1101"/>
      <c r="K290" s="1101"/>
      <c r="L290" s="1101"/>
      <c r="M290" s="1101"/>
      <c r="N290" s="1101"/>
      <c r="O290" s="1101"/>
      <c r="P290" s="1101"/>
      <c r="Q290" s="878"/>
      <c r="R290" s="783"/>
      <c r="S290" s="1098"/>
      <c r="T290" s="1099"/>
      <c r="U290" s="1099"/>
      <c r="V290" s="1078"/>
      <c r="W290" s="1078"/>
      <c r="X290" s="387"/>
      <c r="Y290" s="1136"/>
      <c r="Z290" s="1099"/>
      <c r="AA290" s="1099"/>
      <c r="AB290" s="1135"/>
      <c r="AC290" s="1127"/>
      <c r="AD290" s="1127"/>
      <c r="AE290" s="1127"/>
      <c r="AF290" s="1099"/>
      <c r="AG290" s="1111"/>
    </row>
    <row r="291" spans="1:33" s="112" customFormat="1" ht="21" hidden="1" customHeight="1">
      <c r="A291" s="867" t="s">
        <v>187</v>
      </c>
      <c r="B291" s="1442">
        <f>L289</f>
        <v>685.8</v>
      </c>
      <c r="C291" s="1442"/>
      <c r="D291" s="1121" t="s">
        <v>52</v>
      </c>
      <c r="E291" s="1441">
        <f>C284</f>
        <v>199.29750000000001</v>
      </c>
      <c r="F291" s="1441"/>
      <c r="G291" s="1441"/>
      <c r="H291" s="1121" t="s">
        <v>152</v>
      </c>
      <c r="I291" s="1443">
        <f>B291/E291</f>
        <v>3.4410868174462794</v>
      </c>
      <c r="J291" s="1443"/>
      <c r="K291" s="1123"/>
      <c r="L291" s="1123"/>
      <c r="M291" s="1123"/>
      <c r="N291" s="1123"/>
      <c r="O291" s="1123"/>
      <c r="P291" s="1123"/>
      <c r="Q291" s="879"/>
      <c r="R291" s="783"/>
      <c r="S291" s="1098"/>
      <c r="T291" s="1099"/>
      <c r="U291" s="1099"/>
      <c r="V291" s="1078"/>
      <c r="W291" s="1078"/>
      <c r="X291" s="387"/>
      <c r="Y291" s="1136"/>
      <c r="Z291" s="1099"/>
      <c r="AA291" s="1099"/>
      <c r="AB291" s="1135"/>
      <c r="AC291" s="1127"/>
      <c r="AD291" s="1127"/>
      <c r="AE291" s="1127"/>
      <c r="AF291" s="1099"/>
      <c r="AG291" s="1111"/>
    </row>
    <row r="292" spans="1:33" ht="21.95" customHeight="1">
      <c r="A292" s="322"/>
      <c r="B292" s="1156"/>
      <c r="C292" s="1156"/>
      <c r="D292" s="1156"/>
      <c r="E292" s="1156"/>
      <c r="F292" s="1156"/>
      <c r="G292" s="1156"/>
      <c r="H292" s="1156"/>
      <c r="I292" s="1156"/>
      <c r="J292" s="1156"/>
      <c r="K292" s="1156"/>
      <c r="L292" s="1156"/>
      <c r="M292" s="1156"/>
      <c r="N292" s="1156"/>
      <c r="O292" s="1156"/>
      <c r="P292" s="1156"/>
      <c r="Q292" s="878"/>
      <c r="R292" s="321"/>
      <c r="S292" s="321"/>
      <c r="T292" s="321"/>
      <c r="U292" s="321"/>
      <c r="V292" s="321"/>
      <c r="W292" s="321"/>
      <c r="X292" s="321"/>
      <c r="Y292" s="321"/>
      <c r="Z292" s="321"/>
      <c r="AA292" s="321"/>
      <c r="AB292" s="321"/>
      <c r="AC292" s="321"/>
      <c r="AD292" s="321"/>
      <c r="AE292" s="321"/>
      <c r="AF292" s="321"/>
    </row>
    <row r="293" spans="1:33" ht="21.95" customHeight="1">
      <c r="A293" s="322"/>
      <c r="B293" s="1156"/>
      <c r="C293" s="1156"/>
      <c r="D293" s="1156"/>
      <c r="E293" s="1156"/>
      <c r="F293" s="1156"/>
      <c r="G293" s="1156"/>
      <c r="H293" s="1156"/>
      <c r="I293" s="1156"/>
      <c r="J293" s="1156"/>
      <c r="K293" s="1156"/>
      <c r="L293" s="1156"/>
      <c r="M293" s="1156"/>
      <c r="N293" s="1156"/>
      <c r="O293" s="1156"/>
      <c r="P293" s="1156"/>
      <c r="Q293" s="878"/>
      <c r="R293" s="321"/>
      <c r="S293" s="321"/>
      <c r="T293" s="321"/>
      <c r="U293" s="321"/>
      <c r="V293" s="321"/>
      <c r="W293" s="321"/>
      <c r="X293" s="321"/>
      <c r="Y293" s="321"/>
      <c r="Z293" s="321"/>
      <c r="AA293" s="321"/>
      <c r="AB293" s="321"/>
      <c r="AC293" s="321"/>
      <c r="AD293" s="321"/>
      <c r="AE293" s="321"/>
      <c r="AF293" s="321"/>
    </row>
    <row r="294" spans="1:33" ht="21.95" customHeight="1">
      <c r="A294" s="322"/>
      <c r="B294" s="1156"/>
      <c r="C294" s="1156"/>
      <c r="D294" s="1156"/>
      <c r="E294" s="1156"/>
      <c r="F294" s="662"/>
      <c r="G294" s="1156"/>
      <c r="H294" s="1156"/>
      <c r="I294" s="1156"/>
      <c r="J294" s="1156"/>
      <c r="K294" s="1156"/>
      <c r="L294" s="1156"/>
      <c r="M294" s="1156"/>
      <c r="N294" s="1156"/>
      <c r="O294" s="1156"/>
      <c r="P294" s="1156"/>
      <c r="Q294" s="878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</row>
    <row r="295" spans="1:33" ht="21.95" customHeight="1">
      <c r="A295" s="322"/>
      <c r="B295" s="1156"/>
      <c r="C295" s="1156"/>
      <c r="D295" s="1156"/>
      <c r="E295" s="1156"/>
      <c r="F295" s="1156"/>
      <c r="G295" s="1156"/>
      <c r="H295" s="1156"/>
      <c r="I295" s="662"/>
      <c r="J295" s="1156"/>
      <c r="K295" s="1156"/>
      <c r="L295" s="1156"/>
      <c r="M295" s="1156"/>
      <c r="N295" s="1156"/>
      <c r="O295" s="1156"/>
      <c r="P295" s="1156"/>
      <c r="Q295" s="878"/>
      <c r="R295" s="321"/>
      <c r="S295" s="321"/>
      <c r="T295" s="321"/>
      <c r="U295" s="321"/>
      <c r="V295" s="321"/>
      <c r="W295" s="321"/>
      <c r="X295" s="321"/>
      <c r="Y295" s="321"/>
      <c r="Z295" s="321"/>
      <c r="AA295" s="321"/>
      <c r="AB295" s="321"/>
      <c r="AC295" s="321"/>
      <c r="AD295" s="321"/>
      <c r="AE295" s="321"/>
      <c r="AF295" s="321"/>
    </row>
    <row r="296" spans="1:33" ht="21.95" customHeight="1">
      <c r="A296" s="322"/>
      <c r="B296" s="1156"/>
      <c r="C296" s="1156"/>
      <c r="D296" s="1156"/>
      <c r="E296" s="1156"/>
      <c r="F296" s="1156"/>
      <c r="G296" s="1156"/>
      <c r="H296" s="1156"/>
      <c r="I296" s="1156"/>
      <c r="J296" s="1156"/>
      <c r="K296" s="1156"/>
      <c r="L296" s="1156"/>
      <c r="M296" s="1156"/>
      <c r="N296" s="1156"/>
      <c r="O296" s="1156"/>
      <c r="P296" s="1156"/>
      <c r="Q296" s="878"/>
      <c r="R296" s="321"/>
      <c r="S296" s="321"/>
      <c r="T296" s="321"/>
      <c r="U296" s="321"/>
      <c r="V296" s="321"/>
      <c r="W296" s="321"/>
      <c r="X296" s="321"/>
      <c r="Y296" s="321"/>
      <c r="Z296" s="321"/>
      <c r="AA296" s="321"/>
      <c r="AB296" s="321"/>
      <c r="AC296" s="321"/>
      <c r="AD296" s="321"/>
      <c r="AE296" s="321"/>
      <c r="AF296" s="321"/>
    </row>
    <row r="297" spans="1:33" ht="21.95" customHeight="1">
      <c r="A297" s="322"/>
      <c r="B297" s="1156"/>
      <c r="C297" s="1156"/>
      <c r="D297" s="1156"/>
      <c r="E297" s="1156"/>
      <c r="F297" s="1156"/>
      <c r="G297" s="1156"/>
      <c r="H297" s="1156"/>
      <c r="I297" s="1156"/>
      <c r="J297" s="1156"/>
      <c r="K297" s="1156"/>
      <c r="L297" s="1156"/>
      <c r="M297" s="1156"/>
      <c r="N297" s="1156"/>
      <c r="O297" s="1156"/>
      <c r="P297" s="1156"/>
      <c r="Q297" s="878"/>
      <c r="R297" s="321"/>
      <c r="S297" s="321"/>
      <c r="T297" s="321"/>
      <c r="U297" s="321"/>
      <c r="V297" s="321"/>
      <c r="W297" s="321"/>
      <c r="X297" s="321"/>
      <c r="Y297" s="321"/>
      <c r="Z297" s="321"/>
      <c r="AA297" s="321"/>
      <c r="AB297" s="321"/>
      <c r="AC297" s="321"/>
      <c r="AD297" s="321"/>
      <c r="AE297" s="321"/>
      <c r="AF297" s="321"/>
    </row>
    <row r="298" spans="1:33" ht="21.95" customHeight="1">
      <c r="A298" s="322"/>
      <c r="B298" s="1156"/>
      <c r="C298" s="1156"/>
      <c r="D298" s="1156"/>
      <c r="E298" s="1156"/>
      <c r="F298" s="1156"/>
      <c r="G298" s="1156"/>
      <c r="H298" s="1156"/>
      <c r="I298" s="1156"/>
      <c r="J298" s="1156"/>
      <c r="K298" s="1156"/>
      <c r="L298" s="1156"/>
      <c r="M298" s="1156"/>
      <c r="N298" s="1156"/>
      <c r="O298" s="1156"/>
      <c r="P298" s="1156"/>
      <c r="Q298" s="878"/>
      <c r="R298" s="321"/>
      <c r="S298" s="321"/>
      <c r="T298" s="321"/>
      <c r="U298" s="321"/>
      <c r="V298" s="321"/>
      <c r="W298" s="321"/>
      <c r="X298" s="321"/>
      <c r="Y298" s="321"/>
      <c r="Z298" s="321"/>
      <c r="AA298" s="321"/>
      <c r="AB298" s="321"/>
      <c r="AC298" s="321"/>
      <c r="AD298" s="321"/>
      <c r="AE298" s="321"/>
      <c r="AF298" s="321"/>
    </row>
    <row r="299" spans="1:33" ht="21.95" customHeight="1">
      <c r="A299" s="322"/>
      <c r="B299" s="1156"/>
      <c r="C299" s="1156"/>
      <c r="D299" s="1156"/>
      <c r="E299" s="1156"/>
      <c r="F299" s="1156"/>
      <c r="G299" s="1156"/>
      <c r="H299" s="1156"/>
      <c r="I299" s="1156"/>
      <c r="J299" s="1156"/>
      <c r="K299" s="1156"/>
      <c r="L299" s="1156"/>
      <c r="M299" s="1156"/>
      <c r="N299" s="1156"/>
      <c r="O299" s="1156"/>
      <c r="P299" s="1156"/>
      <c r="Q299" s="878"/>
      <c r="R299" s="321"/>
      <c r="S299" s="321"/>
      <c r="T299" s="321"/>
      <c r="U299" s="321"/>
      <c r="V299" s="321"/>
      <c r="W299" s="321"/>
      <c r="X299" s="321"/>
      <c r="Y299" s="321"/>
      <c r="Z299" s="321"/>
      <c r="AA299" s="321"/>
      <c r="AB299" s="321"/>
      <c r="AC299" s="321"/>
      <c r="AD299" s="321"/>
      <c r="AE299" s="321"/>
      <c r="AF299" s="321"/>
    </row>
    <row r="300" spans="1:33" ht="21.95" customHeight="1">
      <c r="A300" s="322"/>
      <c r="B300" s="1156"/>
      <c r="C300" s="1156"/>
      <c r="D300" s="1156"/>
      <c r="E300" s="1156"/>
      <c r="F300" s="1156"/>
      <c r="G300" s="1156"/>
      <c r="H300" s="1156"/>
      <c r="I300" s="1156"/>
      <c r="J300" s="1156"/>
      <c r="K300" s="1156"/>
      <c r="L300" s="1156"/>
      <c r="M300" s="1156"/>
      <c r="N300" s="1156"/>
      <c r="O300" s="1156"/>
      <c r="P300" s="1156"/>
      <c r="Q300" s="878"/>
      <c r="R300" s="321"/>
      <c r="S300" s="321"/>
      <c r="T300" s="321"/>
      <c r="U300" s="321"/>
      <c r="V300" s="321"/>
      <c r="W300" s="321"/>
      <c r="X300" s="321"/>
      <c r="Y300" s="321"/>
      <c r="Z300" s="321"/>
      <c r="AA300" s="321"/>
      <c r="AB300" s="321"/>
      <c r="AC300" s="321"/>
      <c r="AD300" s="321"/>
      <c r="AE300" s="321"/>
      <c r="AF300" s="321"/>
    </row>
    <row r="301" spans="1:33" ht="21.95" customHeight="1">
      <c r="A301" s="322"/>
      <c r="B301" s="1156"/>
      <c r="C301" s="1156"/>
      <c r="D301" s="1156"/>
      <c r="E301" s="1156"/>
      <c r="F301" s="1156"/>
      <c r="G301" s="1156"/>
      <c r="H301" s="1156"/>
      <c r="I301" s="1156"/>
      <c r="J301" s="1156"/>
      <c r="K301" s="1156"/>
      <c r="L301" s="1156"/>
      <c r="M301" s="1156"/>
      <c r="N301" s="1156"/>
      <c r="O301" s="1156"/>
      <c r="P301" s="1156"/>
      <c r="Q301" s="878"/>
      <c r="R301" s="321"/>
      <c r="S301" s="321"/>
      <c r="T301" s="321"/>
      <c r="U301" s="321"/>
      <c r="V301" s="321"/>
      <c r="W301" s="321"/>
      <c r="X301" s="321"/>
      <c r="Y301" s="321"/>
      <c r="Z301" s="321"/>
      <c r="AA301" s="321"/>
      <c r="AB301" s="321"/>
      <c r="AC301" s="321"/>
      <c r="AD301" s="321"/>
      <c r="AE301" s="321"/>
      <c r="AF301" s="321"/>
    </row>
    <row r="302" spans="1:33" ht="21.95" customHeight="1">
      <c r="A302" s="322"/>
      <c r="B302" s="1156"/>
      <c r="C302" s="1156"/>
      <c r="D302" s="1156"/>
      <c r="E302" s="1156"/>
      <c r="F302" s="1156"/>
      <c r="G302" s="1156"/>
      <c r="H302" s="1156"/>
      <c r="I302" s="1156"/>
      <c r="J302" s="1156"/>
      <c r="K302" s="1156"/>
      <c r="L302" s="1156"/>
      <c r="M302" s="1156"/>
      <c r="N302" s="1156"/>
      <c r="O302" s="1156"/>
      <c r="P302" s="1156"/>
      <c r="Q302" s="878"/>
      <c r="R302" s="321"/>
      <c r="S302" s="321"/>
      <c r="T302" s="321"/>
      <c r="U302" s="321"/>
      <c r="V302" s="321"/>
      <c r="W302" s="321"/>
      <c r="X302" s="321"/>
      <c r="Y302" s="321"/>
      <c r="Z302" s="321"/>
      <c r="AA302" s="321"/>
      <c r="AB302" s="321"/>
      <c r="AC302" s="321"/>
      <c r="AD302" s="321"/>
      <c r="AE302" s="321"/>
      <c r="AF302" s="321"/>
    </row>
    <row r="303" spans="1:33" ht="21.95" customHeight="1">
      <c r="A303" s="322"/>
      <c r="B303" s="1156"/>
      <c r="C303" s="1156"/>
      <c r="D303" s="1156"/>
      <c r="E303" s="1156"/>
      <c r="F303" s="1156"/>
      <c r="G303" s="1156"/>
      <c r="H303" s="1156"/>
      <c r="I303" s="1156"/>
      <c r="J303" s="1156"/>
      <c r="K303" s="1156"/>
      <c r="L303" s="1156"/>
      <c r="M303" s="1156"/>
      <c r="N303" s="1156"/>
      <c r="O303" s="1156"/>
      <c r="P303" s="1156"/>
      <c r="Q303" s="878"/>
      <c r="R303" s="321"/>
      <c r="S303" s="321"/>
      <c r="T303" s="321"/>
      <c r="U303" s="321"/>
      <c r="V303" s="321"/>
      <c r="W303" s="321"/>
      <c r="X303" s="321"/>
      <c r="Y303" s="321"/>
      <c r="Z303" s="321"/>
      <c r="AA303" s="321"/>
      <c r="AB303" s="321"/>
      <c r="AC303" s="321"/>
      <c r="AD303" s="321"/>
      <c r="AE303" s="321"/>
      <c r="AF303" s="321"/>
    </row>
    <row r="304" spans="1:33" ht="21.95" customHeight="1">
      <c r="A304" s="322"/>
      <c r="B304" s="1156"/>
      <c r="C304" s="1156"/>
      <c r="D304" s="1156"/>
      <c r="E304" s="1156"/>
      <c r="F304" s="1156"/>
      <c r="G304" s="1156"/>
      <c r="H304" s="1156"/>
      <c r="I304" s="1156"/>
      <c r="J304" s="1156"/>
      <c r="K304" s="1156"/>
      <c r="L304" s="1156"/>
      <c r="M304" s="1156"/>
      <c r="N304" s="1156"/>
      <c r="O304" s="1156"/>
      <c r="P304" s="1156"/>
      <c r="Q304" s="878"/>
      <c r="R304" s="321"/>
      <c r="S304" s="321"/>
      <c r="T304" s="321"/>
      <c r="U304" s="321"/>
      <c r="V304" s="321"/>
      <c r="W304" s="321"/>
      <c r="X304" s="321"/>
      <c r="Y304" s="321"/>
      <c r="Z304" s="321"/>
      <c r="AA304" s="321"/>
      <c r="AB304" s="321"/>
      <c r="AC304" s="321"/>
      <c r="AD304" s="321"/>
      <c r="AE304" s="321"/>
      <c r="AF304" s="321"/>
    </row>
    <row r="305" spans="1:33" ht="21.95" customHeight="1">
      <c r="A305" s="322"/>
      <c r="B305" s="1156"/>
      <c r="C305" s="1156"/>
      <c r="D305" s="1156"/>
      <c r="E305" s="1156"/>
      <c r="F305" s="1156"/>
      <c r="G305" s="1156"/>
      <c r="H305" s="1156"/>
      <c r="I305" s="1156"/>
      <c r="J305" s="1156"/>
      <c r="K305" s="1156"/>
      <c r="L305" s="1156"/>
      <c r="M305" s="1156"/>
      <c r="N305" s="1156"/>
      <c r="O305" s="1156"/>
      <c r="P305" s="1156"/>
      <c r="Q305" s="878"/>
      <c r="R305" s="321"/>
      <c r="S305" s="321"/>
      <c r="T305" s="321"/>
      <c r="U305" s="321"/>
      <c r="V305" s="321"/>
      <c r="W305" s="321"/>
      <c r="X305" s="321"/>
      <c r="Y305" s="321"/>
      <c r="Z305" s="321"/>
      <c r="AA305" s="321"/>
      <c r="AB305" s="321"/>
      <c r="AC305" s="321"/>
      <c r="AD305" s="321"/>
      <c r="AE305" s="321"/>
      <c r="AF305" s="321"/>
    </row>
    <row r="306" spans="1:33" ht="21.95" customHeight="1">
      <c r="A306" s="322"/>
      <c r="B306" s="1156"/>
      <c r="C306" s="1156"/>
      <c r="D306" s="1156"/>
      <c r="E306" s="1156"/>
      <c r="F306" s="1156"/>
      <c r="G306" s="1156"/>
      <c r="H306" s="1156"/>
      <c r="I306" s="1156"/>
      <c r="J306" s="1156"/>
      <c r="K306" s="1156"/>
      <c r="L306" s="1156"/>
      <c r="M306" s="1156"/>
      <c r="N306" s="1156"/>
      <c r="O306" s="1156"/>
      <c r="P306" s="1156"/>
      <c r="Q306" s="878"/>
      <c r="R306" s="321"/>
      <c r="S306" s="321"/>
      <c r="T306" s="321"/>
      <c r="U306" s="321"/>
      <c r="V306" s="321"/>
      <c r="W306" s="321"/>
      <c r="X306" s="321"/>
      <c r="Y306" s="321"/>
      <c r="Z306" s="321"/>
      <c r="AA306" s="321"/>
      <c r="AB306" s="321"/>
      <c r="AC306" s="321"/>
      <c r="AD306" s="321"/>
      <c r="AE306" s="321"/>
      <c r="AF306" s="321"/>
    </row>
    <row r="307" spans="1:33" ht="21.95" customHeight="1">
      <c r="A307" s="322"/>
      <c r="B307" s="1156"/>
      <c r="C307" s="1156"/>
      <c r="D307" s="1156"/>
      <c r="E307" s="1156"/>
      <c r="F307" s="1156"/>
      <c r="G307" s="1156"/>
      <c r="H307" s="1156"/>
      <c r="I307" s="1156"/>
      <c r="J307" s="1156"/>
      <c r="K307" s="1156"/>
      <c r="L307" s="1156"/>
      <c r="M307" s="1156"/>
      <c r="N307" s="1156"/>
      <c r="O307" s="1156"/>
      <c r="P307" s="1156"/>
      <c r="Q307" s="878"/>
      <c r="R307" s="321"/>
      <c r="S307" s="321"/>
      <c r="T307" s="321"/>
      <c r="U307" s="321"/>
      <c r="V307" s="321"/>
      <c r="W307" s="321"/>
      <c r="X307" s="321"/>
      <c r="Y307" s="321"/>
      <c r="Z307" s="321"/>
      <c r="AA307" s="321"/>
      <c r="AB307" s="321"/>
      <c r="AC307" s="321"/>
      <c r="AD307" s="321"/>
      <c r="AE307" s="321"/>
      <c r="AF307" s="321"/>
    </row>
    <row r="308" spans="1:33" ht="21.95" customHeight="1">
      <c r="A308" s="322"/>
      <c r="B308" s="1156"/>
      <c r="C308" s="1156"/>
      <c r="D308" s="1156"/>
      <c r="E308" s="1156"/>
      <c r="F308" s="1156"/>
      <c r="G308" s="1156"/>
      <c r="H308" s="1156"/>
      <c r="I308" s="1156"/>
      <c r="J308" s="1156"/>
      <c r="K308" s="1156"/>
      <c r="L308" s="1156"/>
      <c r="M308" s="1156"/>
      <c r="N308" s="1156"/>
      <c r="O308" s="1156"/>
      <c r="P308" s="1156"/>
      <c r="Q308" s="878"/>
      <c r="R308" s="321"/>
      <c r="S308" s="321"/>
      <c r="T308" s="321"/>
      <c r="U308" s="321"/>
      <c r="V308" s="321"/>
      <c r="W308" s="321"/>
      <c r="X308" s="321"/>
      <c r="Y308" s="321"/>
      <c r="Z308" s="321"/>
      <c r="AA308" s="321"/>
      <c r="AB308" s="321"/>
      <c r="AC308" s="321"/>
      <c r="AD308" s="321"/>
      <c r="AE308" s="321"/>
      <c r="AF308" s="321"/>
    </row>
    <row r="309" spans="1:33" ht="21.95" customHeight="1">
      <c r="A309" s="322"/>
      <c r="B309" s="1156"/>
      <c r="C309" s="1156"/>
      <c r="D309" s="1156"/>
      <c r="E309" s="1156"/>
      <c r="F309" s="1156"/>
      <c r="G309" s="1156"/>
      <c r="H309" s="1156"/>
      <c r="I309" s="1156"/>
      <c r="J309" s="1156"/>
      <c r="K309" s="1156"/>
      <c r="L309" s="1156"/>
      <c r="M309" s="1156"/>
      <c r="N309" s="1156"/>
      <c r="O309" s="1156"/>
      <c r="P309" s="1156"/>
      <c r="Q309" s="878"/>
      <c r="R309" s="321"/>
      <c r="S309" s="321"/>
      <c r="T309" s="321"/>
      <c r="U309" s="321"/>
      <c r="V309" s="321"/>
      <c r="W309" s="321"/>
      <c r="X309" s="321"/>
      <c r="Y309" s="321"/>
      <c r="Z309" s="321"/>
      <c r="AA309" s="321"/>
      <c r="AB309" s="321"/>
      <c r="AC309" s="321"/>
      <c r="AD309" s="321"/>
      <c r="AE309" s="321"/>
      <c r="AF309" s="321"/>
    </row>
    <row r="310" spans="1:33" ht="21.95" customHeight="1">
      <c r="A310" s="322"/>
      <c r="B310" s="1156"/>
      <c r="C310" s="1156"/>
      <c r="D310" s="1156"/>
      <c r="E310" s="1156"/>
      <c r="F310" s="1156"/>
      <c r="G310" s="1156"/>
      <c r="H310" s="1156"/>
      <c r="I310" s="1156"/>
      <c r="J310" s="1156"/>
      <c r="K310" s="1156"/>
      <c r="L310" s="1156"/>
      <c r="M310" s="1156"/>
      <c r="N310" s="1156"/>
      <c r="O310" s="1156"/>
      <c r="P310" s="1156"/>
      <c r="Q310" s="878"/>
      <c r="R310" s="321"/>
      <c r="S310" s="321"/>
      <c r="T310" s="321"/>
      <c r="U310" s="321"/>
      <c r="V310" s="321"/>
      <c r="W310" s="321"/>
      <c r="X310" s="321"/>
      <c r="Y310" s="321"/>
      <c r="Z310" s="321"/>
      <c r="AA310" s="321"/>
      <c r="AB310" s="321"/>
      <c r="AC310" s="321"/>
      <c r="AD310" s="321"/>
      <c r="AE310" s="321"/>
      <c r="AF310" s="321"/>
    </row>
    <row r="311" spans="1:33" ht="21.95" customHeight="1">
      <c r="A311" s="322"/>
      <c r="B311" s="1156"/>
      <c r="C311" s="1156"/>
      <c r="D311" s="1156"/>
      <c r="E311" s="1156"/>
      <c r="F311" s="1156"/>
      <c r="G311" s="1156"/>
      <c r="H311" s="1156"/>
      <c r="I311" s="1156"/>
      <c r="J311" s="1156"/>
      <c r="K311" s="1156"/>
      <c r="L311" s="1156"/>
      <c r="M311" s="1156"/>
      <c r="N311" s="1156"/>
      <c r="O311" s="1156"/>
      <c r="P311" s="1156"/>
      <c r="Q311" s="878"/>
      <c r="R311" s="321"/>
      <c r="S311" s="321"/>
      <c r="T311" s="321"/>
      <c r="U311" s="321"/>
      <c r="V311" s="321"/>
      <c r="W311" s="321"/>
      <c r="X311" s="321"/>
      <c r="Y311" s="321"/>
      <c r="Z311" s="321"/>
      <c r="AA311" s="321"/>
      <c r="AB311" s="321"/>
      <c r="AC311" s="321"/>
      <c r="AD311" s="321"/>
      <c r="AE311" s="321"/>
      <c r="AF311" s="321"/>
    </row>
    <row r="312" spans="1:33" ht="21.95" customHeight="1">
      <c r="A312" s="322"/>
      <c r="B312" s="1156"/>
      <c r="C312" s="1156"/>
      <c r="D312" s="1156"/>
      <c r="E312" s="1156"/>
      <c r="F312" s="1156"/>
      <c r="G312" s="1156"/>
      <c r="H312" s="1156"/>
      <c r="I312" s="1156"/>
      <c r="J312" s="1156"/>
      <c r="K312" s="1156"/>
      <c r="L312" s="1156"/>
      <c r="M312" s="1156"/>
      <c r="N312" s="1156"/>
      <c r="O312" s="1156"/>
      <c r="P312" s="1156"/>
      <c r="Q312" s="878"/>
      <c r="R312" s="321"/>
      <c r="S312" s="321"/>
      <c r="T312" s="321"/>
      <c r="U312" s="321"/>
      <c r="V312" s="321"/>
      <c r="W312" s="321"/>
      <c r="X312" s="321"/>
      <c r="Y312" s="321"/>
      <c r="Z312" s="321"/>
      <c r="AA312" s="321"/>
      <c r="AB312" s="321"/>
      <c r="AC312" s="321"/>
      <c r="AD312" s="321"/>
      <c r="AE312" s="321"/>
      <c r="AF312" s="321"/>
    </row>
    <row r="313" spans="1:33" ht="21.95" customHeight="1">
      <c r="A313" s="322"/>
      <c r="B313" s="1156"/>
      <c r="C313" s="1156"/>
      <c r="D313" s="1156"/>
      <c r="E313" s="1156"/>
      <c r="F313" s="1156"/>
      <c r="G313" s="1156"/>
      <c r="H313" s="1156"/>
      <c r="I313" s="1156"/>
      <c r="J313" s="1156"/>
      <c r="K313" s="1156"/>
      <c r="L313" s="1156"/>
      <c r="M313" s="1156"/>
      <c r="N313" s="1156"/>
      <c r="O313" s="1156"/>
      <c r="P313" s="1156"/>
      <c r="Q313" s="878"/>
      <c r="R313" s="321"/>
      <c r="S313" s="321"/>
      <c r="T313" s="321"/>
      <c r="U313" s="321"/>
      <c r="V313" s="321"/>
      <c r="W313" s="321"/>
      <c r="X313" s="321"/>
      <c r="Y313" s="321"/>
      <c r="Z313" s="321"/>
      <c r="AA313" s="321"/>
      <c r="AB313" s="321"/>
      <c r="AC313" s="321"/>
      <c r="AD313" s="321"/>
      <c r="AE313" s="321"/>
      <c r="AF313" s="321"/>
    </row>
    <row r="314" spans="1:33" s="112" customFormat="1" ht="21.95" customHeight="1">
      <c r="A314" s="1108"/>
      <c r="B314" s="1155"/>
      <c r="C314" s="1155"/>
      <c r="D314" s="1091"/>
      <c r="E314" s="394"/>
      <c r="F314" s="394"/>
      <c r="G314" s="394"/>
      <c r="H314" s="1091"/>
      <c r="I314" s="395"/>
      <c r="J314" s="395"/>
      <c r="K314" s="1101"/>
      <c r="L314" s="1101"/>
      <c r="M314" s="1101"/>
      <c r="N314" s="1101"/>
      <c r="O314" s="1101"/>
      <c r="P314" s="1101"/>
      <c r="Q314" s="878"/>
      <c r="R314" s="1098"/>
      <c r="S314" s="1098"/>
      <c r="T314" s="1099"/>
      <c r="U314" s="1099"/>
      <c r="V314" s="1078"/>
      <c r="W314" s="1078"/>
      <c r="X314" s="387"/>
      <c r="Y314" s="1136"/>
      <c r="Z314" s="1099"/>
      <c r="AA314" s="1099"/>
      <c r="AB314" s="1135"/>
      <c r="AC314" s="1127"/>
      <c r="AD314" s="1127"/>
      <c r="AE314" s="1127"/>
      <c r="AF314" s="1099"/>
      <c r="AG314" s="1111"/>
    </row>
    <row r="315" spans="1:33" s="112" customFormat="1" ht="21.95" customHeight="1">
      <c r="A315" s="1108"/>
      <c r="B315" s="1155"/>
      <c r="C315" s="1155"/>
      <c r="D315" s="1091"/>
      <c r="E315" s="394"/>
      <c r="F315" s="394"/>
      <c r="G315" s="394"/>
      <c r="H315" s="1091"/>
      <c r="I315" s="395"/>
      <c r="J315" s="395"/>
      <c r="K315" s="1101"/>
      <c r="L315" s="1101"/>
      <c r="M315" s="1101"/>
      <c r="N315" s="1101"/>
      <c r="O315" s="1101"/>
      <c r="P315" s="1101"/>
      <c r="Q315" s="884"/>
      <c r="R315" s="1098"/>
      <c r="S315" s="1098"/>
      <c r="T315" s="1099"/>
      <c r="U315" s="1099"/>
      <c r="V315" s="1078"/>
      <c r="W315" s="1078"/>
      <c r="X315" s="387"/>
      <c r="Y315" s="1136"/>
      <c r="Z315" s="1099"/>
      <c r="AA315" s="1099"/>
      <c r="AB315" s="1135"/>
      <c r="AC315" s="1127"/>
      <c r="AD315" s="1127"/>
      <c r="AE315" s="1127"/>
      <c r="AF315" s="1099"/>
      <c r="AG315" s="1111"/>
    </row>
    <row r="316" spans="1:33" s="112" customFormat="1" ht="21.95" customHeight="1">
      <c r="A316" s="1149"/>
      <c r="B316" s="1091"/>
      <c r="C316" s="1091"/>
      <c r="D316" s="1091"/>
      <c r="E316" s="1091"/>
      <c r="F316" s="1091"/>
      <c r="G316" s="1091"/>
      <c r="H316" s="1091"/>
      <c r="I316" s="1091"/>
      <c r="J316" s="1091"/>
      <c r="K316" s="1091"/>
      <c r="L316" s="1091"/>
      <c r="M316" s="1091"/>
      <c r="N316" s="1091"/>
      <c r="O316" s="1091"/>
      <c r="P316" s="1091"/>
      <c r="Q316" s="884"/>
      <c r="R316" s="1098"/>
      <c r="S316" s="1098"/>
      <c r="T316" s="1099"/>
      <c r="U316" s="1099"/>
      <c r="V316" s="1078"/>
      <c r="W316" s="1078"/>
      <c r="X316" s="387"/>
      <c r="Y316" s="1136"/>
      <c r="Z316" s="1099"/>
      <c r="AA316" s="1099"/>
      <c r="AB316" s="1135"/>
      <c r="AC316" s="1127"/>
      <c r="AD316" s="1127"/>
      <c r="AE316" s="1127"/>
      <c r="AF316" s="1099"/>
      <c r="AG316" s="1111"/>
    </row>
    <row r="317" spans="1:33" s="112" customFormat="1" ht="21.95" customHeight="1">
      <c r="A317" s="1149"/>
      <c r="B317" s="1091"/>
      <c r="C317" s="1091"/>
      <c r="D317" s="1091"/>
      <c r="E317" s="1091"/>
      <c r="F317" s="1091"/>
      <c r="G317" s="1091"/>
      <c r="H317" s="1091"/>
      <c r="I317" s="1091"/>
      <c r="J317" s="1091"/>
      <c r="K317" s="1091"/>
      <c r="L317" s="1091"/>
      <c r="M317" s="1091"/>
      <c r="N317" s="1091"/>
      <c r="O317" s="1091"/>
      <c r="P317" s="1091"/>
      <c r="Q317" s="884"/>
      <c r="R317" s="1098"/>
      <c r="S317" s="1098"/>
      <c r="T317" s="1099"/>
      <c r="U317" s="1099"/>
      <c r="V317" s="1078"/>
      <c r="W317" s="1078"/>
      <c r="X317" s="387"/>
      <c r="Y317" s="1136"/>
      <c r="Z317" s="1099"/>
      <c r="AA317" s="1099"/>
      <c r="AB317" s="1135"/>
      <c r="AC317" s="1127"/>
      <c r="AD317" s="1127"/>
      <c r="AE317" s="1127"/>
      <c r="AF317" s="1099"/>
      <c r="AG317" s="1111"/>
    </row>
    <row r="318" spans="1:33" s="112" customFormat="1" ht="21.95" customHeight="1">
      <c r="A318" s="1149"/>
      <c r="B318" s="1091"/>
      <c r="C318" s="1091"/>
      <c r="D318" s="1091"/>
      <c r="E318" s="1091"/>
      <c r="F318" s="1091"/>
      <c r="G318" s="1091"/>
      <c r="H318" s="1091"/>
      <c r="I318" s="1091"/>
      <c r="J318" s="1091"/>
      <c r="K318" s="1091"/>
      <c r="L318" s="1091"/>
      <c r="M318" s="1091"/>
      <c r="N318" s="1091"/>
      <c r="O318" s="1091"/>
      <c r="P318" s="1091"/>
      <c r="Q318" s="884"/>
      <c r="R318" s="1098"/>
      <c r="S318" s="1098"/>
      <c r="T318" s="1099"/>
      <c r="U318" s="1099"/>
      <c r="V318" s="1078"/>
      <c r="W318" s="1078"/>
      <c r="X318" s="387"/>
      <c r="Y318" s="1136"/>
      <c r="Z318" s="1099"/>
      <c r="AA318" s="1099"/>
      <c r="AB318" s="1135"/>
      <c r="AC318" s="1127"/>
      <c r="AD318" s="1127"/>
      <c r="AE318" s="1127"/>
      <c r="AF318" s="1099"/>
      <c r="AG318" s="1111"/>
    </row>
    <row r="319" spans="1:33" s="112" customFormat="1" ht="21.95" customHeight="1">
      <c r="A319" s="1149"/>
      <c r="B319" s="1091"/>
      <c r="C319" s="1091"/>
      <c r="D319" s="1091"/>
      <c r="E319" s="1091"/>
      <c r="F319" s="1091"/>
      <c r="G319" s="1091"/>
      <c r="H319" s="1091"/>
      <c r="I319" s="1091"/>
      <c r="J319" s="1091"/>
      <c r="K319" s="1091"/>
      <c r="L319" s="1091"/>
      <c r="M319" s="1091"/>
      <c r="N319" s="1091"/>
      <c r="O319" s="1091"/>
      <c r="P319" s="1091"/>
      <c r="Q319" s="884"/>
      <c r="R319" s="396"/>
      <c r="S319" s="1098"/>
      <c r="T319" s="1099"/>
      <c r="U319" s="1099"/>
      <c r="V319" s="1078"/>
      <c r="W319" s="1078"/>
      <c r="X319" s="387"/>
      <c r="Y319" s="1136"/>
      <c r="Z319" s="1099"/>
      <c r="AA319" s="1099"/>
      <c r="AB319" s="1135"/>
      <c r="AC319" s="1127"/>
      <c r="AD319" s="1127"/>
      <c r="AE319" s="1127"/>
      <c r="AF319" s="1099"/>
      <c r="AG319" s="1111"/>
    </row>
    <row r="320" spans="1:33" s="112" customFormat="1" ht="21.95" customHeight="1">
      <c r="A320" s="1149"/>
      <c r="B320" s="1091"/>
      <c r="C320" s="1091"/>
      <c r="D320" s="1091"/>
      <c r="E320" s="1091"/>
      <c r="F320" s="1091"/>
      <c r="G320" s="1091"/>
      <c r="H320" s="1091"/>
      <c r="I320" s="1091"/>
      <c r="J320" s="1091"/>
      <c r="K320" s="1091"/>
      <c r="L320" s="1091"/>
      <c r="M320" s="1091"/>
      <c r="N320" s="1091"/>
      <c r="O320" s="1091"/>
      <c r="P320" s="1091"/>
      <c r="Q320" s="884"/>
      <c r="R320" s="1098"/>
      <c r="S320" s="1098"/>
      <c r="T320" s="1099"/>
      <c r="U320" s="1099"/>
      <c r="V320" s="1078"/>
      <c r="W320" s="1078"/>
      <c r="X320" s="387"/>
      <c r="Y320" s="1136"/>
      <c r="Z320" s="1099"/>
      <c r="AA320" s="1099"/>
      <c r="AB320" s="1135"/>
      <c r="AC320" s="1127"/>
      <c r="AD320" s="1127"/>
      <c r="AE320" s="1127"/>
      <c r="AF320" s="1099"/>
      <c r="AG320" s="1111"/>
    </row>
    <row r="321" spans="1:33" s="112" customFormat="1" ht="21.95" customHeight="1">
      <c r="A321" s="1149"/>
      <c r="B321" s="1091"/>
      <c r="C321" s="1091"/>
      <c r="D321" s="1091"/>
      <c r="E321" s="1091"/>
      <c r="F321" s="1091"/>
      <c r="G321" s="1091"/>
      <c r="H321" s="1091"/>
      <c r="I321" s="1091"/>
      <c r="J321" s="1091"/>
      <c r="K321" s="1091"/>
      <c r="L321" s="1091"/>
      <c r="M321" s="1091"/>
      <c r="N321" s="1091"/>
      <c r="O321" s="1091"/>
      <c r="P321" s="1091"/>
      <c r="Q321" s="884"/>
      <c r="R321" s="1098"/>
      <c r="S321" s="1098"/>
      <c r="T321" s="1099"/>
      <c r="U321" s="1099"/>
      <c r="V321" s="1078"/>
      <c r="W321" s="1078"/>
      <c r="X321" s="387"/>
      <c r="Y321" s="1136"/>
      <c r="Z321" s="1099"/>
      <c r="AA321" s="1099"/>
      <c r="AB321" s="1135"/>
      <c r="AC321" s="1127"/>
      <c r="AD321" s="1127"/>
      <c r="AE321" s="1127"/>
      <c r="AF321" s="1099"/>
      <c r="AG321" s="1111"/>
    </row>
    <row r="322" spans="1:33" s="112" customFormat="1" ht="21.95" customHeight="1">
      <c r="A322" s="1149"/>
      <c r="B322" s="1091"/>
      <c r="C322" s="1091"/>
      <c r="D322" s="1091"/>
      <c r="E322" s="1091"/>
      <c r="F322" s="1091"/>
      <c r="G322" s="1091"/>
      <c r="H322" s="1091"/>
      <c r="I322" s="1091"/>
      <c r="J322" s="1091"/>
      <c r="K322" s="1091"/>
      <c r="L322" s="1091"/>
      <c r="M322" s="1091"/>
      <c r="N322" s="1091"/>
      <c r="O322" s="1091"/>
      <c r="P322" s="1091"/>
      <c r="Q322" s="884"/>
      <c r="R322" s="1098"/>
      <c r="S322" s="1098"/>
      <c r="T322" s="1099"/>
      <c r="U322" s="1099"/>
      <c r="V322" s="1078"/>
      <c r="W322" s="1078"/>
      <c r="X322" s="387"/>
      <c r="Y322" s="1136"/>
      <c r="Z322" s="1099"/>
      <c r="AA322" s="1099"/>
      <c r="AB322" s="1135"/>
      <c r="AC322" s="1127"/>
      <c r="AD322" s="1127"/>
      <c r="AE322" s="1127"/>
      <c r="AF322" s="1099"/>
      <c r="AG322" s="1111"/>
    </row>
    <row r="323" spans="1:33" s="112" customFormat="1" ht="21.95" customHeight="1">
      <c r="A323" s="1149"/>
      <c r="B323" s="1091"/>
      <c r="C323" s="1091"/>
      <c r="D323" s="1091"/>
      <c r="E323" s="1091"/>
      <c r="F323" s="1091"/>
      <c r="G323" s="1091"/>
      <c r="H323" s="1091"/>
      <c r="I323" s="1091"/>
      <c r="J323" s="1091"/>
      <c r="K323" s="1091"/>
      <c r="L323" s="1091"/>
      <c r="M323" s="1091"/>
      <c r="N323" s="1091"/>
      <c r="O323" s="1091"/>
      <c r="P323" s="1091"/>
      <c r="Q323" s="884"/>
      <c r="R323" s="1098"/>
      <c r="S323" s="1098"/>
      <c r="T323" s="1099"/>
      <c r="U323" s="1099"/>
      <c r="V323" s="1078"/>
      <c r="W323" s="1078"/>
      <c r="X323" s="387"/>
      <c r="Y323" s="1136"/>
      <c r="Z323" s="1099"/>
      <c r="AA323" s="1099"/>
      <c r="AB323" s="1135"/>
      <c r="AC323" s="1127"/>
      <c r="AD323" s="1127"/>
      <c r="AE323" s="1127"/>
      <c r="AF323" s="1099"/>
      <c r="AG323" s="1111"/>
    </row>
    <row r="324" spans="1:33" s="112" customFormat="1" ht="21.95" customHeight="1">
      <c r="A324" s="1149"/>
      <c r="B324" s="1091"/>
      <c r="C324" s="1091"/>
      <c r="D324" s="1091"/>
      <c r="E324" s="1091"/>
      <c r="F324" s="1091"/>
      <c r="G324" s="1091"/>
      <c r="H324" s="1091"/>
      <c r="I324" s="1091"/>
      <c r="J324" s="1091"/>
      <c r="K324" s="1091"/>
      <c r="L324" s="1091"/>
      <c r="M324" s="1091"/>
      <c r="N324" s="1091"/>
      <c r="O324" s="1091"/>
      <c r="P324" s="1091"/>
      <c r="Q324" s="884"/>
      <c r="R324" s="1098"/>
      <c r="S324" s="1098"/>
      <c r="T324" s="1099"/>
      <c r="U324" s="1099"/>
      <c r="V324" s="1078"/>
      <c r="W324" s="1078"/>
      <c r="X324" s="387"/>
      <c r="Y324" s="1136"/>
      <c r="Z324" s="1099"/>
      <c r="AA324" s="1099"/>
      <c r="AB324" s="1135"/>
      <c r="AC324" s="1127"/>
      <c r="AD324" s="1127"/>
      <c r="AE324" s="1127"/>
      <c r="AF324" s="1099"/>
      <c r="AG324" s="1111"/>
    </row>
    <row r="325" spans="1:33" s="112" customFormat="1" ht="21.95" customHeight="1">
      <c r="A325" s="1149"/>
      <c r="B325" s="1091"/>
      <c r="C325" s="1091"/>
      <c r="D325" s="1091"/>
      <c r="E325" s="1091"/>
      <c r="F325" s="1091"/>
      <c r="G325" s="1091"/>
      <c r="H325" s="1091"/>
      <c r="I325" s="1091"/>
      <c r="J325" s="1091"/>
      <c r="K325" s="1091"/>
      <c r="L325" s="1091"/>
      <c r="M325" s="1091"/>
      <c r="N325" s="1091"/>
      <c r="O325" s="1091"/>
      <c r="P325" s="1091"/>
      <c r="Q325" s="884"/>
      <c r="R325" s="1098"/>
      <c r="S325" s="1098"/>
      <c r="T325" s="1099"/>
      <c r="U325" s="1099"/>
      <c r="V325" s="1078"/>
      <c r="W325" s="1078"/>
      <c r="X325" s="387"/>
      <c r="Y325" s="1136"/>
      <c r="Z325" s="1099"/>
      <c r="AA325" s="1099"/>
      <c r="AB325" s="1135"/>
      <c r="AC325" s="1127"/>
      <c r="AD325" s="1127"/>
      <c r="AE325" s="1127"/>
      <c r="AF325" s="1099"/>
      <c r="AG325" s="1111"/>
    </row>
    <row r="326" spans="1:33" s="112" customFormat="1" ht="21.95" customHeight="1">
      <c r="A326" s="1149"/>
      <c r="B326" s="1091"/>
      <c r="C326" s="1091"/>
      <c r="D326" s="1091"/>
      <c r="E326" s="1091"/>
      <c r="F326" s="1091"/>
      <c r="G326" s="1091"/>
      <c r="H326" s="1091"/>
      <c r="I326" s="1091"/>
      <c r="J326" s="1091"/>
      <c r="K326" s="1091"/>
      <c r="L326" s="1091"/>
      <c r="M326" s="1091"/>
      <c r="N326" s="1091"/>
      <c r="O326" s="1091"/>
      <c r="P326" s="1091"/>
      <c r="Q326" s="884"/>
      <c r="R326" s="1098"/>
      <c r="S326" s="1098"/>
      <c r="T326" s="1099"/>
      <c r="U326" s="1099"/>
      <c r="V326" s="1078"/>
      <c r="W326" s="1078"/>
      <c r="X326" s="387"/>
      <c r="Y326" s="1136"/>
      <c r="Z326" s="1099"/>
      <c r="AA326" s="1099"/>
      <c r="AB326" s="1135"/>
      <c r="AC326" s="1127"/>
      <c r="AD326" s="1127"/>
      <c r="AE326" s="1127"/>
      <c r="AF326" s="1099"/>
      <c r="AG326" s="1111"/>
    </row>
    <row r="327" spans="1:33" s="112" customFormat="1" ht="21.95" customHeight="1">
      <c r="A327" s="1149"/>
      <c r="B327" s="1091"/>
      <c r="C327" s="1091"/>
      <c r="D327" s="1091"/>
      <c r="E327" s="1091"/>
      <c r="F327" s="1091"/>
      <c r="G327" s="1091"/>
      <c r="H327" s="1091"/>
      <c r="I327" s="1091"/>
      <c r="J327" s="1091"/>
      <c r="K327" s="1091"/>
      <c r="L327" s="1091"/>
      <c r="M327" s="1091"/>
      <c r="N327" s="1091"/>
      <c r="O327" s="1091"/>
      <c r="P327" s="1091"/>
      <c r="Q327" s="884"/>
      <c r="R327" s="1098"/>
      <c r="S327" s="1098"/>
      <c r="T327" s="1099"/>
      <c r="U327" s="1099"/>
      <c r="V327" s="1078"/>
      <c r="W327" s="1078"/>
      <c r="X327" s="387"/>
      <c r="Y327" s="1136"/>
      <c r="Z327" s="1099"/>
      <c r="AA327" s="1099"/>
      <c r="AB327" s="1135"/>
      <c r="AC327" s="1127"/>
      <c r="AD327" s="1127"/>
      <c r="AE327" s="1127"/>
      <c r="AF327" s="1099"/>
      <c r="AG327" s="1111"/>
    </row>
    <row r="328" spans="1:33" s="112" customFormat="1" ht="21.95" customHeight="1">
      <c r="A328" s="1149"/>
      <c r="B328" s="1091"/>
      <c r="C328" s="1091"/>
      <c r="D328" s="1091"/>
      <c r="E328" s="1091"/>
      <c r="F328" s="1091"/>
      <c r="G328" s="1091"/>
      <c r="H328" s="1091"/>
      <c r="I328" s="1091"/>
      <c r="J328" s="1091"/>
      <c r="K328" s="1091"/>
      <c r="L328" s="1091"/>
      <c r="M328" s="1091"/>
      <c r="N328" s="1091"/>
      <c r="O328" s="1091"/>
      <c r="P328" s="1091"/>
      <c r="Q328" s="884"/>
      <c r="R328" s="1098"/>
      <c r="S328" s="1098"/>
      <c r="T328" s="1099"/>
      <c r="U328" s="1099"/>
      <c r="V328" s="1078"/>
      <c r="W328" s="1078"/>
      <c r="X328" s="387"/>
      <c r="Y328" s="1136"/>
      <c r="Z328" s="1099"/>
      <c r="AA328" s="1099"/>
      <c r="AB328" s="1135"/>
      <c r="AC328" s="1127"/>
      <c r="AD328" s="1127"/>
      <c r="AE328" s="1127"/>
      <c r="AF328" s="1099"/>
      <c r="AG328" s="1111"/>
    </row>
    <row r="329" spans="1:33" s="112" customFormat="1" ht="21.95" customHeight="1">
      <c r="A329" s="1149"/>
      <c r="B329" s="1091"/>
      <c r="C329" s="1091"/>
      <c r="D329" s="1091"/>
      <c r="E329" s="1091"/>
      <c r="F329" s="1091"/>
      <c r="G329" s="1091"/>
      <c r="H329" s="1091"/>
      <c r="I329" s="1091"/>
      <c r="J329" s="1091"/>
      <c r="K329" s="1091"/>
      <c r="L329" s="1091"/>
      <c r="M329" s="1091"/>
      <c r="N329" s="1091"/>
      <c r="O329" s="1091"/>
      <c r="P329" s="1091"/>
      <c r="Q329" s="884"/>
      <c r="R329" s="1098"/>
      <c r="S329" s="1098"/>
      <c r="T329" s="1099"/>
      <c r="U329" s="1099"/>
      <c r="V329" s="1078"/>
      <c r="W329" s="1078"/>
      <c r="X329" s="387"/>
      <c r="Y329" s="1136"/>
      <c r="Z329" s="1099"/>
      <c r="AA329" s="1099"/>
      <c r="AB329" s="1135"/>
      <c r="AC329" s="1127"/>
      <c r="AD329" s="1127"/>
      <c r="AE329" s="1127"/>
      <c r="AF329" s="1099"/>
      <c r="AG329" s="1111"/>
    </row>
    <row r="330" spans="1:33" s="112" customFormat="1" ht="21.95" customHeight="1">
      <c r="A330" s="1149"/>
      <c r="B330" s="1091"/>
      <c r="C330" s="1091"/>
      <c r="D330" s="1091"/>
      <c r="E330" s="1091"/>
      <c r="F330" s="1091"/>
      <c r="G330" s="1091"/>
      <c r="H330" s="1091"/>
      <c r="I330" s="1091"/>
      <c r="J330" s="1091"/>
      <c r="K330" s="1091"/>
      <c r="L330" s="1091"/>
      <c r="M330" s="1091"/>
      <c r="N330" s="1091"/>
      <c r="O330" s="1091"/>
      <c r="P330" s="1091"/>
      <c r="Q330" s="884"/>
      <c r="R330" s="1098"/>
      <c r="S330" s="1098"/>
      <c r="T330" s="1099"/>
      <c r="U330" s="1099"/>
      <c r="V330" s="1078"/>
      <c r="W330" s="1078"/>
      <c r="X330" s="387"/>
      <c r="Y330" s="1136"/>
      <c r="Z330" s="1099"/>
      <c r="AA330" s="1099"/>
      <c r="AB330" s="1135"/>
      <c r="AC330" s="1127"/>
      <c r="AD330" s="1127"/>
      <c r="AE330" s="1127"/>
      <c r="AF330" s="1099"/>
      <c r="AG330" s="1111"/>
    </row>
    <row r="331" spans="1:33" s="112" customFormat="1" ht="21.95" customHeight="1">
      <c r="A331" s="1149"/>
      <c r="B331" s="1091"/>
      <c r="C331" s="1091"/>
      <c r="D331" s="1091"/>
      <c r="E331" s="1091"/>
      <c r="F331" s="1091"/>
      <c r="G331" s="1091"/>
      <c r="H331" s="1091"/>
      <c r="I331" s="1091"/>
      <c r="J331" s="1091"/>
      <c r="K331" s="1091"/>
      <c r="L331" s="1091"/>
      <c r="M331" s="1091"/>
      <c r="N331" s="1091"/>
      <c r="O331" s="1091"/>
      <c r="P331" s="1091"/>
      <c r="Q331" s="884"/>
      <c r="R331" s="1098"/>
      <c r="S331" s="1098"/>
      <c r="T331" s="1099"/>
      <c r="U331" s="1099"/>
      <c r="V331" s="1078"/>
      <c r="W331" s="1078"/>
      <c r="X331" s="387"/>
      <c r="Y331" s="1136"/>
      <c r="Z331" s="1099"/>
      <c r="AA331" s="1099"/>
      <c r="AB331" s="1135"/>
      <c r="AC331" s="1127"/>
      <c r="AD331" s="1127"/>
      <c r="AE331" s="1127"/>
      <c r="AF331" s="1099"/>
      <c r="AG331" s="1111"/>
    </row>
    <row r="332" spans="1:33" s="112" customFormat="1" ht="21.95" customHeight="1">
      <c r="A332" s="1149"/>
      <c r="B332" s="1091"/>
      <c r="C332" s="1091"/>
      <c r="D332" s="1091"/>
      <c r="E332" s="1091"/>
      <c r="F332" s="1091"/>
      <c r="G332" s="1091"/>
      <c r="H332" s="1091"/>
      <c r="I332" s="1091"/>
      <c r="J332" s="1091"/>
      <c r="K332" s="1091"/>
      <c r="L332" s="1091"/>
      <c r="M332" s="1091"/>
      <c r="N332" s="1091"/>
      <c r="O332" s="1091"/>
      <c r="P332" s="1091"/>
      <c r="Q332" s="884"/>
      <c r="R332" s="396"/>
      <c r="S332" s="1098"/>
      <c r="T332" s="1099"/>
      <c r="U332" s="1099"/>
      <c r="V332" s="1078"/>
      <c r="W332" s="1078"/>
      <c r="X332" s="387"/>
      <c r="Y332" s="1136"/>
      <c r="Z332" s="1099"/>
      <c r="AA332" s="1099"/>
      <c r="AB332" s="1135"/>
      <c r="AC332" s="1127"/>
      <c r="AD332" s="1127"/>
      <c r="AE332" s="1127"/>
      <c r="AF332" s="1099"/>
      <c r="AG332" s="1111"/>
    </row>
    <row r="333" spans="1:33" s="112" customFormat="1" ht="21.95" customHeight="1">
      <c r="A333" s="1149"/>
      <c r="B333" s="1091"/>
      <c r="C333" s="1091"/>
      <c r="D333" s="1091"/>
      <c r="E333" s="1091"/>
      <c r="F333" s="1091"/>
      <c r="G333" s="1091"/>
      <c r="H333" s="1091"/>
      <c r="I333" s="1091"/>
      <c r="J333" s="1091"/>
      <c r="K333" s="1091"/>
      <c r="L333" s="1091"/>
      <c r="M333" s="1091"/>
      <c r="N333" s="1091"/>
      <c r="O333" s="1091"/>
      <c r="P333" s="1091"/>
      <c r="Q333" s="884"/>
      <c r="R333" s="1098"/>
      <c r="S333" s="1098"/>
      <c r="T333" s="1099"/>
      <c r="U333" s="1099"/>
      <c r="V333" s="1078"/>
      <c r="W333" s="1078"/>
      <c r="X333" s="387"/>
      <c r="Y333" s="1136"/>
      <c r="Z333" s="1099"/>
      <c r="AA333" s="1099"/>
      <c r="AB333" s="1135"/>
      <c r="AC333" s="1127"/>
      <c r="AD333" s="1127"/>
      <c r="AE333" s="1127"/>
      <c r="AF333" s="1099"/>
      <c r="AG333" s="1111"/>
    </row>
    <row r="334" spans="1:33" s="112" customFormat="1" ht="21.95" customHeight="1">
      <c r="A334" s="1149"/>
      <c r="B334" s="1091"/>
      <c r="C334" s="1091"/>
      <c r="D334" s="1091"/>
      <c r="E334" s="1091"/>
      <c r="F334" s="1091"/>
      <c r="G334" s="1091"/>
      <c r="H334" s="1091"/>
      <c r="I334" s="1091"/>
      <c r="J334" s="1091"/>
      <c r="K334" s="1091"/>
      <c r="L334" s="1091"/>
      <c r="M334" s="1091"/>
      <c r="N334" s="1091"/>
      <c r="O334" s="1091"/>
      <c r="P334" s="1091"/>
      <c r="Q334" s="884"/>
      <c r="R334" s="1098"/>
      <c r="S334" s="1098"/>
      <c r="T334" s="1099"/>
      <c r="U334" s="1099"/>
      <c r="V334" s="1078"/>
      <c r="W334" s="1078"/>
      <c r="X334" s="387"/>
      <c r="Y334" s="1136"/>
      <c r="Z334" s="1099"/>
      <c r="AA334" s="1099"/>
      <c r="AB334" s="1135"/>
      <c r="AC334" s="1127"/>
      <c r="AD334" s="1127"/>
      <c r="AE334" s="1127"/>
      <c r="AF334" s="1099"/>
      <c r="AG334" s="1111"/>
    </row>
    <row r="335" spans="1:33" s="112" customFormat="1" ht="21.95" customHeight="1">
      <c r="A335" s="1149"/>
      <c r="B335" s="1091"/>
      <c r="C335" s="1091"/>
      <c r="D335" s="1091"/>
      <c r="E335" s="1091"/>
      <c r="F335" s="1091"/>
      <c r="G335" s="1091"/>
      <c r="H335" s="1091"/>
      <c r="I335" s="1091"/>
      <c r="J335" s="1091"/>
      <c r="K335" s="1091"/>
      <c r="L335" s="1091"/>
      <c r="M335" s="1091"/>
      <c r="N335" s="1091"/>
      <c r="O335" s="1091"/>
      <c r="P335" s="1091"/>
      <c r="Q335" s="895"/>
      <c r="R335" s="1098"/>
      <c r="S335" s="1098"/>
      <c r="T335" s="1099"/>
      <c r="U335" s="1099"/>
      <c r="V335" s="1078"/>
      <c r="W335" s="1078"/>
      <c r="X335" s="387"/>
      <c r="Y335" s="1136"/>
      <c r="Z335" s="1099"/>
      <c r="AA335" s="1099"/>
      <c r="AB335" s="1135"/>
      <c r="AC335" s="1127"/>
      <c r="AD335" s="1127"/>
      <c r="AE335" s="1127"/>
      <c r="AF335" s="1099"/>
      <c r="AG335" s="1111"/>
    </row>
    <row r="336" spans="1:33" s="112" customFormat="1" ht="21.95" customHeight="1">
      <c r="A336" s="872"/>
      <c r="B336" s="408"/>
      <c r="C336" s="408"/>
      <c r="D336" s="408"/>
      <c r="E336" s="408"/>
      <c r="F336" s="408"/>
      <c r="G336" s="408"/>
      <c r="H336" s="408"/>
      <c r="I336" s="408"/>
      <c r="J336" s="408"/>
      <c r="K336" s="408"/>
      <c r="L336" s="408"/>
      <c r="M336" s="408"/>
      <c r="N336" s="408"/>
      <c r="O336" s="408"/>
      <c r="P336" s="408"/>
      <c r="Q336" s="895"/>
      <c r="R336" s="115"/>
      <c r="S336" s="115"/>
      <c r="T336" s="113"/>
      <c r="U336" s="1111"/>
      <c r="V336" s="117"/>
      <c r="W336" s="117"/>
      <c r="X336" s="118"/>
      <c r="Y336" s="119"/>
      <c r="Z336" s="113"/>
      <c r="AA336" s="113"/>
      <c r="AB336" s="111"/>
      <c r="AC336" s="1094"/>
      <c r="AD336" s="1094"/>
      <c r="AE336" s="1094"/>
      <c r="AF336" s="1111"/>
      <c r="AG336" s="1111"/>
    </row>
    <row r="337" spans="1:33" s="112" customFormat="1" ht="21.95" customHeight="1">
      <c r="A337" s="872"/>
      <c r="B337" s="408"/>
      <c r="C337" s="408"/>
      <c r="D337" s="408"/>
      <c r="E337" s="408"/>
      <c r="F337" s="408"/>
      <c r="G337" s="408"/>
      <c r="H337" s="408"/>
      <c r="I337" s="408"/>
      <c r="J337" s="408"/>
      <c r="K337" s="408"/>
      <c r="L337" s="408"/>
      <c r="M337" s="408"/>
      <c r="N337" s="408"/>
      <c r="O337" s="408"/>
      <c r="P337" s="408"/>
      <c r="Q337" s="895"/>
      <c r="R337" s="115"/>
      <c r="S337" s="115"/>
      <c r="T337" s="113"/>
      <c r="U337" s="1111"/>
      <c r="V337" s="117"/>
      <c r="W337" s="117"/>
      <c r="X337" s="118"/>
      <c r="Y337" s="119"/>
      <c r="Z337" s="113"/>
      <c r="AA337" s="113"/>
      <c r="AB337" s="111"/>
      <c r="AC337" s="1094"/>
      <c r="AD337" s="1094"/>
      <c r="AE337" s="1094"/>
      <c r="AF337" s="1111"/>
      <c r="AG337" s="1111"/>
    </row>
    <row r="338" spans="1:33" s="112" customFormat="1" ht="21.95" customHeight="1">
      <c r="A338" s="872"/>
      <c r="B338" s="408"/>
      <c r="C338" s="408"/>
      <c r="D338" s="408"/>
      <c r="E338" s="408"/>
      <c r="F338" s="408"/>
      <c r="G338" s="408"/>
      <c r="H338" s="408"/>
      <c r="I338" s="408"/>
      <c r="J338" s="408"/>
      <c r="K338" s="408"/>
      <c r="L338" s="408"/>
      <c r="M338" s="408"/>
      <c r="N338" s="408"/>
      <c r="O338" s="408"/>
      <c r="P338" s="408"/>
      <c r="Q338" s="895"/>
      <c r="R338" s="115"/>
      <c r="S338" s="115"/>
      <c r="T338" s="113"/>
      <c r="U338" s="1111"/>
      <c r="V338" s="117"/>
      <c r="W338" s="117"/>
      <c r="X338" s="118"/>
      <c r="Y338" s="119"/>
      <c r="Z338" s="113"/>
      <c r="AA338" s="113"/>
      <c r="AB338" s="111"/>
      <c r="AC338" s="1094"/>
      <c r="AD338" s="1094"/>
      <c r="AE338" s="1094"/>
      <c r="AF338" s="1111"/>
      <c r="AG338" s="1111"/>
    </row>
    <row r="339" spans="1:33" s="112" customFormat="1" ht="21.95" customHeight="1">
      <c r="A339" s="872"/>
      <c r="B339" s="408"/>
      <c r="C339" s="408"/>
      <c r="D339" s="408"/>
      <c r="E339" s="408"/>
      <c r="F339" s="408"/>
      <c r="G339" s="408"/>
      <c r="H339" s="408"/>
      <c r="I339" s="408"/>
      <c r="J339" s="408"/>
      <c r="K339" s="408"/>
      <c r="L339" s="408"/>
      <c r="M339" s="408"/>
      <c r="N339" s="408"/>
      <c r="O339" s="408"/>
      <c r="P339" s="408"/>
      <c r="Q339" s="895"/>
      <c r="R339" s="115"/>
      <c r="S339" s="115"/>
      <c r="T339" s="113"/>
      <c r="U339" s="1111"/>
      <c r="V339" s="117"/>
      <c r="W339" s="117"/>
      <c r="X339" s="118"/>
      <c r="Y339" s="119"/>
      <c r="Z339" s="113"/>
      <c r="AA339" s="113"/>
      <c r="AB339" s="111"/>
      <c r="AC339" s="1094"/>
      <c r="AD339" s="1094"/>
      <c r="AE339" s="1094"/>
      <c r="AF339" s="1111"/>
      <c r="AG339" s="1111"/>
    </row>
    <row r="340" spans="1:33" s="112" customFormat="1" ht="21.95" customHeight="1">
      <c r="A340" s="872"/>
      <c r="B340" s="408"/>
      <c r="C340" s="408"/>
      <c r="D340" s="408"/>
      <c r="E340" s="408"/>
      <c r="F340" s="408"/>
      <c r="G340" s="408"/>
      <c r="H340" s="408"/>
      <c r="I340" s="408"/>
      <c r="J340" s="408"/>
      <c r="K340" s="408"/>
      <c r="L340" s="408"/>
      <c r="M340" s="408"/>
      <c r="N340" s="408"/>
      <c r="O340" s="408"/>
      <c r="P340" s="408"/>
      <c r="Q340" s="895"/>
      <c r="R340" s="115"/>
      <c r="S340" s="115"/>
      <c r="T340" s="113"/>
      <c r="U340" s="1111"/>
      <c r="V340" s="117"/>
      <c r="W340" s="117"/>
      <c r="X340" s="118"/>
      <c r="Y340" s="119"/>
      <c r="Z340" s="113"/>
      <c r="AA340" s="113"/>
      <c r="AB340" s="111"/>
      <c r="AC340" s="1094"/>
      <c r="AD340" s="1094"/>
      <c r="AE340" s="1094"/>
      <c r="AF340" s="1111"/>
      <c r="AG340" s="1111"/>
    </row>
    <row r="341" spans="1:33" s="112" customFormat="1" ht="21.95" customHeight="1">
      <c r="A341" s="872"/>
      <c r="B341" s="408"/>
      <c r="C341" s="408"/>
      <c r="D341" s="408"/>
      <c r="E341" s="408"/>
      <c r="F341" s="408"/>
      <c r="G341" s="408"/>
      <c r="H341" s="408"/>
      <c r="I341" s="408"/>
      <c r="J341" s="408"/>
      <c r="K341" s="408"/>
      <c r="L341" s="408"/>
      <c r="M341" s="408"/>
      <c r="N341" s="408"/>
      <c r="O341" s="408"/>
      <c r="P341" s="408"/>
      <c r="Q341" s="895"/>
      <c r="R341" s="115"/>
      <c r="S341" s="115"/>
      <c r="T341" s="113"/>
      <c r="U341" s="1111"/>
      <c r="V341" s="117"/>
      <c r="W341" s="117"/>
      <c r="X341" s="118"/>
      <c r="Y341" s="119"/>
      <c r="Z341" s="113"/>
      <c r="AA341" s="113"/>
      <c r="AB341" s="111"/>
      <c r="AC341" s="1094"/>
      <c r="AD341" s="1094"/>
      <c r="AE341" s="1094"/>
      <c r="AF341" s="1111"/>
      <c r="AG341" s="1111"/>
    </row>
    <row r="342" spans="1:33" s="112" customFormat="1" ht="21.95" customHeight="1">
      <c r="A342" s="872"/>
      <c r="B342" s="408"/>
      <c r="C342" s="408"/>
      <c r="D342" s="408"/>
      <c r="E342" s="408"/>
      <c r="F342" s="408"/>
      <c r="G342" s="408"/>
      <c r="H342" s="408"/>
      <c r="I342" s="408"/>
      <c r="J342" s="408"/>
      <c r="K342" s="408"/>
      <c r="L342" s="408"/>
      <c r="M342" s="408"/>
      <c r="N342" s="408"/>
      <c r="O342" s="408"/>
      <c r="P342" s="408"/>
      <c r="Q342" s="895"/>
      <c r="R342" s="114"/>
      <c r="S342" s="114"/>
      <c r="T342" s="1111"/>
      <c r="U342" s="115"/>
      <c r="V342" s="113"/>
      <c r="W342" s="113"/>
      <c r="X342" s="1111"/>
      <c r="Y342" s="116"/>
      <c r="Z342" s="1111"/>
      <c r="AA342" s="1110"/>
      <c r="AB342" s="113"/>
      <c r="AC342" s="1111"/>
      <c r="AD342" s="1111"/>
      <c r="AE342" s="111"/>
      <c r="AF342" s="1094"/>
      <c r="AG342" s="1111"/>
    </row>
    <row r="343" spans="1:33" s="112" customFormat="1" ht="21.95" customHeight="1">
      <c r="A343" s="872"/>
      <c r="B343" s="408"/>
      <c r="C343" s="408"/>
      <c r="D343" s="408"/>
      <c r="E343" s="408"/>
      <c r="F343" s="408"/>
      <c r="G343" s="408"/>
      <c r="H343" s="408"/>
      <c r="I343" s="408"/>
      <c r="J343" s="408"/>
      <c r="K343" s="408"/>
      <c r="L343" s="408"/>
      <c r="M343" s="408"/>
      <c r="N343" s="408"/>
      <c r="O343" s="408"/>
      <c r="P343" s="408"/>
      <c r="Q343" s="42"/>
      <c r="R343" s="114"/>
      <c r="S343" s="114"/>
      <c r="T343" s="1111"/>
      <c r="U343" s="115"/>
      <c r="V343" s="113"/>
      <c r="W343" s="113"/>
      <c r="X343" s="1111"/>
      <c r="Y343" s="116"/>
      <c r="Z343" s="1111"/>
      <c r="AA343" s="1110"/>
      <c r="AB343" s="113"/>
      <c r="AC343" s="1111"/>
      <c r="AD343" s="1111"/>
      <c r="AE343" s="111"/>
      <c r="AF343" s="1094"/>
      <c r="AG343" s="1111"/>
    </row>
    <row r="344" spans="1:33" s="100" customFormat="1" ht="21.95" customHeight="1">
      <c r="A344" s="873"/>
      <c r="B344" s="409"/>
      <c r="C344" s="409"/>
      <c r="D344" s="409"/>
      <c r="E344" s="409"/>
      <c r="F344" s="409"/>
      <c r="G344" s="409"/>
      <c r="H344" s="409"/>
      <c r="I344" s="409"/>
      <c r="J344" s="409"/>
      <c r="K344" s="409"/>
      <c r="L344" s="409"/>
      <c r="M344" s="409"/>
      <c r="N344" s="409"/>
      <c r="O344" s="409"/>
      <c r="P344" s="409"/>
      <c r="Q344" s="42"/>
      <c r="R344" s="1411"/>
      <c r="S344" s="1411"/>
      <c r="T344" s="1411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102"/>
      <c r="AG344" s="42"/>
    </row>
    <row r="345" spans="1:33" s="100" customFormat="1" ht="21.95" customHeight="1">
      <c r="A345" s="873"/>
      <c r="B345" s="409"/>
      <c r="C345" s="409"/>
      <c r="D345" s="409"/>
      <c r="E345" s="409"/>
      <c r="F345" s="409"/>
      <c r="G345" s="409"/>
      <c r="H345" s="409"/>
      <c r="I345" s="409"/>
      <c r="J345" s="409"/>
      <c r="K345" s="409"/>
      <c r="L345" s="409"/>
      <c r="M345" s="409"/>
      <c r="N345" s="409"/>
      <c r="O345" s="409"/>
      <c r="P345" s="409"/>
      <c r="Q345" s="42"/>
      <c r="R345" s="45"/>
      <c r="S345" s="1415"/>
      <c r="T345" s="1415"/>
      <c r="U345" s="1415"/>
      <c r="V345" s="1111"/>
      <c r="W345" s="103"/>
      <c r="X345" s="1111"/>
      <c r="Y345" s="1412"/>
      <c r="Z345" s="1412"/>
      <c r="AA345" s="45"/>
      <c r="AB345" s="45"/>
      <c r="AC345" s="45"/>
      <c r="AD345" s="45"/>
      <c r="AE345" s="45"/>
      <c r="AF345" s="102"/>
      <c r="AG345" s="42"/>
    </row>
    <row r="346" spans="1:33" s="100" customFormat="1" ht="21.95" customHeight="1">
      <c r="A346" s="873"/>
      <c r="B346" s="409"/>
      <c r="C346" s="409"/>
      <c r="D346" s="409"/>
      <c r="E346" s="409"/>
      <c r="F346" s="409"/>
      <c r="G346" s="409"/>
      <c r="H346" s="409"/>
      <c r="I346" s="409"/>
      <c r="J346" s="409"/>
      <c r="K346" s="409"/>
      <c r="L346" s="409"/>
      <c r="M346" s="409"/>
      <c r="N346" s="409"/>
      <c r="O346" s="409"/>
      <c r="P346" s="409"/>
      <c r="Q346" s="42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102"/>
      <c r="AG346" s="42"/>
    </row>
    <row r="347" spans="1:33" s="100" customFormat="1" ht="21.95" customHeight="1">
      <c r="A347" s="737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2"/>
      <c r="R347" s="1264"/>
      <c r="S347" s="1264"/>
      <c r="T347" s="1264"/>
      <c r="U347" s="1264"/>
      <c r="V347" s="1264"/>
      <c r="W347" s="1264"/>
      <c r="X347" s="1264"/>
      <c r="Y347" s="1264"/>
      <c r="Z347" s="1264"/>
      <c r="AA347" s="1264"/>
      <c r="AB347" s="1264"/>
      <c r="AC347" s="1264"/>
      <c r="AD347" s="1264"/>
      <c r="AE347" s="1264"/>
      <c r="AF347" s="1413"/>
      <c r="AG347" s="42"/>
    </row>
    <row r="348" spans="1:33" s="100" customFormat="1" ht="24.75" customHeight="1">
      <c r="A348" s="737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2"/>
      <c r="R348" s="105"/>
      <c r="S348" s="104"/>
      <c r="T348" s="1094"/>
      <c r="U348" s="1111"/>
      <c r="V348" s="105"/>
      <c r="W348" s="104"/>
      <c r="X348" s="1094"/>
      <c r="Y348" s="1111"/>
      <c r="Z348" s="1264"/>
      <c r="AA348" s="1264"/>
      <c r="AB348" s="105"/>
      <c r="AC348" s="1111"/>
      <c r="AD348" s="1094"/>
      <c r="AE348" s="1111"/>
      <c r="AF348" s="102"/>
      <c r="AG348" s="42"/>
    </row>
    <row r="349" spans="1:33" s="100" customFormat="1" ht="24.75" customHeight="1">
      <c r="A349" s="737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2"/>
      <c r="R349" s="45"/>
      <c r="S349" s="45"/>
      <c r="T349" s="45"/>
      <c r="U349" s="45"/>
      <c r="V349" s="45"/>
      <c r="W349" s="45"/>
      <c r="X349" s="1111"/>
      <c r="Y349" s="45"/>
      <c r="Z349" s="45"/>
      <c r="AA349" s="45"/>
      <c r="AB349" s="45"/>
      <c r="AC349" s="45"/>
      <c r="AD349" s="45"/>
      <c r="AE349" s="45"/>
      <c r="AF349" s="102"/>
      <c r="AG349" s="42"/>
    </row>
    <row r="350" spans="1:33" s="100" customFormat="1" ht="24.75" customHeight="1">
      <c r="A350" s="737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2"/>
      <c r="R350" s="1111"/>
      <c r="S350" s="1111"/>
      <c r="T350" s="1264"/>
      <c r="U350" s="1264"/>
      <c r="V350" s="1264"/>
      <c r="W350" s="1264"/>
      <c r="X350" s="1111"/>
      <c r="Y350" s="1111"/>
      <c r="Z350" s="45"/>
      <c r="AA350" s="1111"/>
      <c r="AB350" s="1411"/>
      <c r="AC350" s="1411"/>
      <c r="AD350" s="45"/>
      <c r="AE350" s="45"/>
      <c r="AF350" s="102"/>
      <c r="AG350" s="42"/>
    </row>
    <row r="351" spans="1:33" s="100" customFormat="1" ht="24.75" customHeight="1">
      <c r="A351" s="737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2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102"/>
      <c r="AG351" s="42"/>
    </row>
    <row r="352" spans="1:33" s="100" customFormat="1" ht="24.75" customHeight="1">
      <c r="A352" s="737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2"/>
      <c r="R352" s="1264"/>
      <c r="S352" s="1264"/>
      <c r="T352" s="1111"/>
      <c r="U352" s="1416"/>
      <c r="V352" s="1416"/>
      <c r="W352" s="1416"/>
      <c r="X352" s="1111"/>
      <c r="Y352" s="1414"/>
      <c r="Z352" s="1414"/>
      <c r="AA352" s="1111"/>
      <c r="AB352" s="1410"/>
      <c r="AC352" s="1410"/>
      <c r="AD352" s="45"/>
      <c r="AE352" s="45"/>
      <c r="AF352" s="102"/>
      <c r="AG352" s="42"/>
    </row>
    <row r="353" spans="1:33" s="100" customFormat="1" ht="24.75" customHeight="1">
      <c r="A353" s="874"/>
      <c r="B353" s="106"/>
      <c r="C353" s="106"/>
      <c r="D353" s="1111"/>
      <c r="E353" s="120"/>
      <c r="F353" s="120"/>
      <c r="G353" s="121"/>
      <c r="H353" s="1111"/>
      <c r="I353" s="122"/>
      <c r="J353" s="122"/>
      <c r="K353" s="45"/>
      <c r="L353" s="45"/>
      <c r="M353" s="45"/>
      <c r="N353" s="45"/>
      <c r="O353" s="45"/>
      <c r="P353" s="45"/>
      <c r="Q353" s="875"/>
      <c r="R353" s="1111"/>
      <c r="S353" s="1111"/>
      <c r="T353" s="1111"/>
      <c r="U353" s="1113"/>
      <c r="V353" s="1113"/>
      <c r="W353" s="1113"/>
      <c r="X353" s="1111"/>
      <c r="Y353" s="1112"/>
      <c r="Z353" s="1112"/>
      <c r="AA353" s="1111"/>
      <c r="AB353" s="1110"/>
      <c r="AC353" s="1110"/>
      <c r="AD353" s="45"/>
      <c r="AE353" s="45"/>
      <c r="AF353" s="45"/>
      <c r="AG353" s="45"/>
    </row>
  </sheetData>
  <mergeCells count="605">
    <mergeCell ref="R352:S352"/>
    <mergeCell ref="U352:W352"/>
    <mergeCell ref="Y352:Z352"/>
    <mergeCell ref="AB352:AC352"/>
    <mergeCell ref="R344:T344"/>
    <mergeCell ref="S345:U345"/>
    <mergeCell ref="Y345:Z345"/>
    <mergeCell ref="R347:AF347"/>
    <mergeCell ref="Z348:AA348"/>
    <mergeCell ref="T350:U350"/>
    <mergeCell ref="V350:W350"/>
    <mergeCell ref="AB350:AC350"/>
    <mergeCell ref="C285:N285"/>
    <mergeCell ref="J287:K287"/>
    <mergeCell ref="D289:E289"/>
    <mergeCell ref="F289:G289"/>
    <mergeCell ref="L289:M289"/>
    <mergeCell ref="B291:C291"/>
    <mergeCell ref="E291:G291"/>
    <mergeCell ref="I291:J291"/>
    <mergeCell ref="M279:N279"/>
    <mergeCell ref="B282:P282"/>
    <mergeCell ref="V282:W282"/>
    <mergeCell ref="B283:D283"/>
    <mergeCell ref="C284:E284"/>
    <mergeCell ref="I284:J284"/>
    <mergeCell ref="J275:K275"/>
    <mergeCell ref="D277:E277"/>
    <mergeCell ref="J277:K277"/>
    <mergeCell ref="C279:D279"/>
    <mergeCell ref="F279:H279"/>
    <mergeCell ref="J279:K279"/>
    <mergeCell ref="B269:P269"/>
    <mergeCell ref="B270:G270"/>
    <mergeCell ref="B271:D271"/>
    <mergeCell ref="C272:E272"/>
    <mergeCell ref="I272:J272"/>
    <mergeCell ref="B274:P274"/>
    <mergeCell ref="D263:E263"/>
    <mergeCell ref="J263:K263"/>
    <mergeCell ref="C265:D265"/>
    <mergeCell ref="F265:H265"/>
    <mergeCell ref="J265:K265"/>
    <mergeCell ref="M265:N265"/>
    <mergeCell ref="B255:P255"/>
    <mergeCell ref="B257:D257"/>
    <mergeCell ref="C258:E258"/>
    <mergeCell ref="I258:J258"/>
    <mergeCell ref="C260:O260"/>
    <mergeCell ref="J261:K261"/>
    <mergeCell ref="O248:P248"/>
    <mergeCell ref="O249:P249"/>
    <mergeCell ref="C251:D251"/>
    <mergeCell ref="E251:F251"/>
    <mergeCell ref="N251:O251"/>
    <mergeCell ref="D252:E252"/>
    <mergeCell ref="F252:G252"/>
    <mergeCell ref="O239:P239"/>
    <mergeCell ref="O241:P241"/>
    <mergeCell ref="O242:P242"/>
    <mergeCell ref="O243:P243"/>
    <mergeCell ref="O245:P245"/>
    <mergeCell ref="O246:P246"/>
    <mergeCell ref="B235:E235"/>
    <mergeCell ref="G235:H235"/>
    <mergeCell ref="O236:P236"/>
    <mergeCell ref="A237:A238"/>
    <mergeCell ref="B237:D238"/>
    <mergeCell ref="E237:H237"/>
    <mergeCell ref="O237:P238"/>
    <mergeCell ref="E238:H238"/>
    <mergeCell ref="B226:D226"/>
    <mergeCell ref="F226:G226"/>
    <mergeCell ref="I226:K226"/>
    <mergeCell ref="R226:T226"/>
    <mergeCell ref="V226:W226"/>
    <mergeCell ref="Y226:AA226"/>
    <mergeCell ref="B225:C225"/>
    <mergeCell ref="E225:G225"/>
    <mergeCell ref="K225:L225"/>
    <mergeCell ref="R225:S225"/>
    <mergeCell ref="U225:W225"/>
    <mergeCell ref="AA225:AB225"/>
    <mergeCell ref="E223:F223"/>
    <mergeCell ref="G223:H223"/>
    <mergeCell ref="M223:N223"/>
    <mergeCell ref="U223:V223"/>
    <mergeCell ref="W223:X223"/>
    <mergeCell ref="AC223:AD223"/>
    <mergeCell ref="C219:O219"/>
    <mergeCell ref="R219:AF219"/>
    <mergeCell ref="I220:J220"/>
    <mergeCell ref="W220:X220"/>
    <mergeCell ref="E222:F222"/>
    <mergeCell ref="G222:H222"/>
    <mergeCell ref="M222:N222"/>
    <mergeCell ref="U222:V222"/>
    <mergeCell ref="W222:X222"/>
    <mergeCell ref="AC222:AD222"/>
    <mergeCell ref="D216:F216"/>
    <mergeCell ref="K216:L216"/>
    <mergeCell ref="T216:V216"/>
    <mergeCell ref="AA216:AB216"/>
    <mergeCell ref="AC216:AE216"/>
    <mergeCell ref="D217:E217"/>
    <mergeCell ref="G217:H217"/>
    <mergeCell ref="T217:U217"/>
    <mergeCell ref="W217:X217"/>
    <mergeCell ref="U214:W214"/>
    <mergeCell ref="X214:Z214"/>
    <mergeCell ref="AA214:AC214"/>
    <mergeCell ref="AD214:AF214"/>
    <mergeCell ref="D215:F215"/>
    <mergeCell ref="L215:M215"/>
    <mergeCell ref="O215:P215"/>
    <mergeCell ref="T215:V215"/>
    <mergeCell ref="U213:W213"/>
    <mergeCell ref="X213:Z213"/>
    <mergeCell ref="AA213:AC213"/>
    <mergeCell ref="AD213:AF213"/>
    <mergeCell ref="B214:D214"/>
    <mergeCell ref="E214:G214"/>
    <mergeCell ref="H214:J214"/>
    <mergeCell ref="K214:M214"/>
    <mergeCell ref="N214:P214"/>
    <mergeCell ref="R214:T214"/>
    <mergeCell ref="B213:D213"/>
    <mergeCell ref="E213:G213"/>
    <mergeCell ref="H213:J213"/>
    <mergeCell ref="K213:M213"/>
    <mergeCell ref="N213:P213"/>
    <mergeCell ref="R213:T213"/>
    <mergeCell ref="C208:D208"/>
    <mergeCell ref="C209:D209"/>
    <mergeCell ref="C210:D210"/>
    <mergeCell ref="G210:J210"/>
    <mergeCell ref="W210:Z210"/>
    <mergeCell ref="C211:D211"/>
    <mergeCell ref="I211:K211"/>
    <mergeCell ref="Y211:AA211"/>
    <mergeCell ref="U205:W205"/>
    <mergeCell ref="X205:Z205"/>
    <mergeCell ref="AA205:AC205"/>
    <mergeCell ref="AD205:AE205"/>
    <mergeCell ref="C207:D207"/>
    <mergeCell ref="I207:K207"/>
    <mergeCell ref="Y207:AA207"/>
    <mergeCell ref="U204:W204"/>
    <mergeCell ref="X204:Z204"/>
    <mergeCell ref="AA204:AC204"/>
    <mergeCell ref="AD204:AE204"/>
    <mergeCell ref="B205:D205"/>
    <mergeCell ref="E205:G205"/>
    <mergeCell ref="H205:J205"/>
    <mergeCell ref="K205:M205"/>
    <mergeCell ref="N205:O205"/>
    <mergeCell ref="R205:T205"/>
    <mergeCell ref="U203:W203"/>
    <mergeCell ref="X203:Z203"/>
    <mergeCell ref="AA203:AC203"/>
    <mergeCell ref="AD203:AE203"/>
    <mergeCell ref="B204:D204"/>
    <mergeCell ref="E204:G204"/>
    <mergeCell ref="H204:J204"/>
    <mergeCell ref="K204:M204"/>
    <mergeCell ref="N204:O204"/>
    <mergeCell ref="R204:T204"/>
    <mergeCell ref="U202:W202"/>
    <mergeCell ref="X202:Z202"/>
    <mergeCell ref="AA202:AC202"/>
    <mergeCell ref="AD202:AE202"/>
    <mergeCell ref="B203:D203"/>
    <mergeCell ref="E203:G203"/>
    <mergeCell ref="H203:J203"/>
    <mergeCell ref="K203:M203"/>
    <mergeCell ref="N203:O203"/>
    <mergeCell ref="R203:T203"/>
    <mergeCell ref="U201:W201"/>
    <mergeCell ref="X201:Z201"/>
    <mergeCell ref="AA201:AC201"/>
    <mergeCell ref="AD201:AE201"/>
    <mergeCell ref="B202:D202"/>
    <mergeCell ref="E202:G202"/>
    <mergeCell ref="H202:J202"/>
    <mergeCell ref="K202:M202"/>
    <mergeCell ref="N202:O202"/>
    <mergeCell ref="R202:T202"/>
    <mergeCell ref="B201:D201"/>
    <mergeCell ref="E201:G201"/>
    <mergeCell ref="H201:J201"/>
    <mergeCell ref="K201:M201"/>
    <mergeCell ref="N201:O201"/>
    <mergeCell ref="R201:T201"/>
    <mergeCell ref="U199:W199"/>
    <mergeCell ref="X199:Z199"/>
    <mergeCell ref="AA199:AC199"/>
    <mergeCell ref="AD199:AE199"/>
    <mergeCell ref="B200:D200"/>
    <mergeCell ref="R200:T200"/>
    <mergeCell ref="U198:W198"/>
    <mergeCell ref="X198:Z198"/>
    <mergeCell ref="AA198:AC198"/>
    <mergeCell ref="AD198:AE198"/>
    <mergeCell ref="B199:D199"/>
    <mergeCell ref="E199:G199"/>
    <mergeCell ref="H199:J199"/>
    <mergeCell ref="K199:M199"/>
    <mergeCell ref="N199:O199"/>
    <mergeCell ref="R199:T199"/>
    <mergeCell ref="U197:W197"/>
    <mergeCell ref="X197:Z197"/>
    <mergeCell ref="AA197:AC197"/>
    <mergeCell ref="AD197:AE197"/>
    <mergeCell ref="B198:D198"/>
    <mergeCell ref="E198:G198"/>
    <mergeCell ref="H198:J198"/>
    <mergeCell ref="K198:M198"/>
    <mergeCell ref="N198:O198"/>
    <mergeCell ref="R198:T198"/>
    <mergeCell ref="U196:W196"/>
    <mergeCell ref="X196:Z196"/>
    <mergeCell ref="AA196:AC196"/>
    <mergeCell ref="AD196:AE196"/>
    <mergeCell ref="B197:D197"/>
    <mergeCell ref="E197:G197"/>
    <mergeCell ref="H197:J197"/>
    <mergeCell ref="K197:M197"/>
    <mergeCell ref="N197:O197"/>
    <mergeCell ref="R197:T197"/>
    <mergeCell ref="U195:W195"/>
    <mergeCell ref="X195:Z195"/>
    <mergeCell ref="AA195:AC195"/>
    <mergeCell ref="AD195:AE195"/>
    <mergeCell ref="B196:D196"/>
    <mergeCell ref="E196:G196"/>
    <mergeCell ref="H196:J196"/>
    <mergeCell ref="K196:M196"/>
    <mergeCell ref="N196:O196"/>
    <mergeCell ref="R196:T196"/>
    <mergeCell ref="B195:D195"/>
    <mergeCell ref="E195:G195"/>
    <mergeCell ref="H195:J195"/>
    <mergeCell ref="K195:M195"/>
    <mergeCell ref="N195:O195"/>
    <mergeCell ref="R195:T195"/>
    <mergeCell ref="R187:S188"/>
    <mergeCell ref="U187:V187"/>
    <mergeCell ref="W187:W188"/>
    <mergeCell ref="X187:AA188"/>
    <mergeCell ref="C188:G188"/>
    <mergeCell ref="B194:C194"/>
    <mergeCell ref="R194:S194"/>
    <mergeCell ref="A187:A188"/>
    <mergeCell ref="C187:D187"/>
    <mergeCell ref="F187:G187"/>
    <mergeCell ref="H187:H188"/>
    <mergeCell ref="I187:K188"/>
    <mergeCell ref="L187:P188"/>
    <mergeCell ref="R185:S186"/>
    <mergeCell ref="U185:V185"/>
    <mergeCell ref="W185:W186"/>
    <mergeCell ref="X185:Y186"/>
    <mergeCell ref="C186:D186"/>
    <mergeCell ref="F186:G186"/>
    <mergeCell ref="U186:V186"/>
    <mergeCell ref="A185:A186"/>
    <mergeCell ref="C185:D185"/>
    <mergeCell ref="F185:G185"/>
    <mergeCell ref="H185:H186"/>
    <mergeCell ref="I185:K186"/>
    <mergeCell ref="L185:P186"/>
    <mergeCell ref="U183:V183"/>
    <mergeCell ref="W183:W184"/>
    <mergeCell ref="X183:AB184"/>
    <mergeCell ref="C184:D184"/>
    <mergeCell ref="F184:G184"/>
    <mergeCell ref="R184:S184"/>
    <mergeCell ref="U184:V184"/>
    <mergeCell ref="A183:A184"/>
    <mergeCell ref="C183:D183"/>
    <mergeCell ref="F183:G183"/>
    <mergeCell ref="H183:H184"/>
    <mergeCell ref="I183:L184"/>
    <mergeCell ref="R183:S183"/>
    <mergeCell ref="AB181:AC181"/>
    <mergeCell ref="B182:C182"/>
    <mergeCell ref="E182:G182"/>
    <mergeCell ref="I182:J182"/>
    <mergeCell ref="L182:M182"/>
    <mergeCell ref="R182:S182"/>
    <mergeCell ref="U182:W182"/>
    <mergeCell ref="Y182:Z182"/>
    <mergeCell ref="AB182:AC182"/>
    <mergeCell ref="D181:E181"/>
    <mergeCell ref="F181:G181"/>
    <mergeCell ref="L181:M181"/>
    <mergeCell ref="R181:S181"/>
    <mergeCell ref="T181:U181"/>
    <mergeCell ref="V181:W181"/>
    <mergeCell ref="C177:D177"/>
    <mergeCell ref="R177:AF177"/>
    <mergeCell ref="J178:K178"/>
    <mergeCell ref="Z178:AA178"/>
    <mergeCell ref="J179:K179"/>
    <mergeCell ref="J180:K180"/>
    <mergeCell ref="I174:J174"/>
    <mergeCell ref="O174:P174"/>
    <mergeCell ref="T174:U174"/>
    <mergeCell ref="X174:Z174"/>
    <mergeCell ref="C175:E175"/>
    <mergeCell ref="G175:H175"/>
    <mergeCell ref="J175:K175"/>
    <mergeCell ref="S175:U175"/>
    <mergeCell ref="W175:X175"/>
    <mergeCell ref="Z175:AA175"/>
    <mergeCell ref="R170:S170"/>
    <mergeCell ref="V170:AF170"/>
    <mergeCell ref="F171:P171"/>
    <mergeCell ref="V171:AF171"/>
    <mergeCell ref="F172:P172"/>
    <mergeCell ref="V172:AF172"/>
    <mergeCell ref="E167:F167"/>
    <mergeCell ref="L167:M167"/>
    <mergeCell ref="E168:F168"/>
    <mergeCell ref="H168:I168"/>
    <mergeCell ref="B170:C170"/>
    <mergeCell ref="F170:P170"/>
    <mergeCell ref="AB148:AC148"/>
    <mergeCell ref="B150:C150"/>
    <mergeCell ref="E150:G150"/>
    <mergeCell ref="I150:J150"/>
    <mergeCell ref="L150:M150"/>
    <mergeCell ref="R150:S150"/>
    <mergeCell ref="U150:W150"/>
    <mergeCell ref="Y150:Z150"/>
    <mergeCell ref="AB150:AC150"/>
    <mergeCell ref="J146:K146"/>
    <mergeCell ref="Z146:AA146"/>
    <mergeCell ref="D148:E148"/>
    <mergeCell ref="F148:G148"/>
    <mergeCell ref="L148:M148"/>
    <mergeCell ref="T148:U148"/>
    <mergeCell ref="V148:W148"/>
    <mergeCell ref="C143:D143"/>
    <mergeCell ref="I143:J143"/>
    <mergeCell ref="S143:U143"/>
    <mergeCell ref="S144:U144"/>
    <mergeCell ref="C145:N145"/>
    <mergeCell ref="S145:U145"/>
    <mergeCell ref="X139:Y139"/>
    <mergeCell ref="H140:I140"/>
    <mergeCell ref="K140:L140"/>
    <mergeCell ref="U140:V140"/>
    <mergeCell ref="Y141:Z141"/>
    <mergeCell ref="AE141:AF141"/>
    <mergeCell ref="C138:D138"/>
    <mergeCell ref="E138:F138"/>
    <mergeCell ref="S138:T138"/>
    <mergeCell ref="U138:V138"/>
    <mergeCell ref="E139:F139"/>
    <mergeCell ref="H139:I139"/>
    <mergeCell ref="H134:I134"/>
    <mergeCell ref="X134:Z134"/>
    <mergeCell ref="C135:D135"/>
    <mergeCell ref="S135:T135"/>
    <mergeCell ref="F136:G136"/>
    <mergeCell ref="H136:I136"/>
    <mergeCell ref="V136:W136"/>
    <mergeCell ref="X136:Y136"/>
    <mergeCell ref="F129:G129"/>
    <mergeCell ref="C132:D132"/>
    <mergeCell ref="H132:P132"/>
    <mergeCell ref="X132:AF132"/>
    <mergeCell ref="H133:I133"/>
    <mergeCell ref="X133:Y133"/>
    <mergeCell ref="AA124:AB124"/>
    <mergeCell ref="AD124:AF124"/>
    <mergeCell ref="B125:K125"/>
    <mergeCell ref="C126:E126"/>
    <mergeCell ref="F127:G127"/>
    <mergeCell ref="F128:G128"/>
    <mergeCell ref="I128:J128"/>
    <mergeCell ref="L128:M128"/>
    <mergeCell ref="G123:J123"/>
    <mergeCell ref="W123:Z123"/>
    <mergeCell ref="B124:E124"/>
    <mergeCell ref="H124:I124"/>
    <mergeCell ref="K124:L124"/>
    <mergeCell ref="N124:O124"/>
    <mergeCell ref="R124:U124"/>
    <mergeCell ref="W124:Y124"/>
    <mergeCell ref="G121:J121"/>
    <mergeCell ref="S121:T121"/>
    <mergeCell ref="W121:AA121"/>
    <mergeCell ref="AB121:AD121"/>
    <mergeCell ref="G122:J122"/>
    <mergeCell ref="W122:Z122"/>
    <mergeCell ref="C118:F118"/>
    <mergeCell ref="H118:I118"/>
    <mergeCell ref="M118:O118"/>
    <mergeCell ref="S118:W118"/>
    <mergeCell ref="Y118:AA118"/>
    <mergeCell ref="G120:J120"/>
    <mergeCell ref="S120:T120"/>
    <mergeCell ref="W120:AC120"/>
    <mergeCell ref="C116:F116"/>
    <mergeCell ref="H116:I116"/>
    <mergeCell ref="M116:N116"/>
    <mergeCell ref="S116:U116"/>
    <mergeCell ref="W116:Y116"/>
    <mergeCell ref="B117:E117"/>
    <mergeCell ref="H117:I117"/>
    <mergeCell ref="W117:X117"/>
    <mergeCell ref="C114:F114"/>
    <mergeCell ref="H114:I114"/>
    <mergeCell ref="S114:W114"/>
    <mergeCell ref="Y114:AA114"/>
    <mergeCell ref="C115:F115"/>
    <mergeCell ref="H115:I115"/>
    <mergeCell ref="S115:W115"/>
    <mergeCell ref="Y115:AA115"/>
    <mergeCell ref="AC111:AD112"/>
    <mergeCell ref="F112:H112"/>
    <mergeCell ref="V112:Y112"/>
    <mergeCell ref="B113:E113"/>
    <mergeCell ref="H113:I113"/>
    <mergeCell ref="X113:Z113"/>
    <mergeCell ref="S111:T112"/>
    <mergeCell ref="U111:U112"/>
    <mergeCell ref="X111:Y111"/>
    <mergeCell ref="Z111:Z112"/>
    <mergeCell ref="AA111:AA112"/>
    <mergeCell ref="AB111:AB112"/>
    <mergeCell ref="C111:D112"/>
    <mergeCell ref="E111:E112"/>
    <mergeCell ref="I111:I112"/>
    <mergeCell ref="J111:J112"/>
    <mergeCell ref="K111:K112"/>
    <mergeCell ref="L111:M112"/>
    <mergeCell ref="U106:U107"/>
    <mergeCell ref="X106:Y106"/>
    <mergeCell ref="Z106:Z107"/>
    <mergeCell ref="AA106:AA107"/>
    <mergeCell ref="F107:I107"/>
    <mergeCell ref="V107:Y107"/>
    <mergeCell ref="C106:D107"/>
    <mergeCell ref="E106:E107"/>
    <mergeCell ref="H106:I106"/>
    <mergeCell ref="J106:J107"/>
    <mergeCell ref="K106:K107"/>
    <mergeCell ref="S106:T107"/>
    <mergeCell ref="U104:U105"/>
    <mergeCell ref="V104:Z104"/>
    <mergeCell ref="AA104:AA105"/>
    <mergeCell ref="AB104:AC105"/>
    <mergeCell ref="F105:G105"/>
    <mergeCell ref="I105:J105"/>
    <mergeCell ref="V105:W105"/>
    <mergeCell ref="Y105:Z105"/>
    <mergeCell ref="C104:D105"/>
    <mergeCell ref="E104:E105"/>
    <mergeCell ref="F104:J104"/>
    <mergeCell ref="K104:K105"/>
    <mergeCell ref="L104:M105"/>
    <mergeCell ref="S104:T105"/>
    <mergeCell ref="V102:W102"/>
    <mergeCell ref="X102:X103"/>
    <mergeCell ref="Y102:Z103"/>
    <mergeCell ref="AA102:AA103"/>
    <mergeCell ref="C103:D103"/>
    <mergeCell ref="F103:G103"/>
    <mergeCell ref="S103:T103"/>
    <mergeCell ref="V103:W103"/>
    <mergeCell ref="R101:S101"/>
    <mergeCell ref="T101:V101"/>
    <mergeCell ref="X101:Z101"/>
    <mergeCell ref="AA101:AC101"/>
    <mergeCell ref="C102:D102"/>
    <mergeCell ref="F102:G102"/>
    <mergeCell ref="H102:H103"/>
    <mergeCell ref="I102:J103"/>
    <mergeCell ref="K102:K103"/>
    <mergeCell ref="S102:T102"/>
    <mergeCell ref="I88:J88"/>
    <mergeCell ref="C89:H89"/>
    <mergeCell ref="H90:I90"/>
    <mergeCell ref="H98:I98"/>
    <mergeCell ref="C101:D101"/>
    <mergeCell ref="E101:F101"/>
    <mergeCell ref="G101:I101"/>
    <mergeCell ref="J101:K101"/>
    <mergeCell ref="Y74:Z74"/>
    <mergeCell ref="AB74:AC74"/>
    <mergeCell ref="AD74:AE74"/>
    <mergeCell ref="W79:X79"/>
    <mergeCell ref="D80:F80"/>
    <mergeCell ref="Z81:AA81"/>
    <mergeCell ref="B74:C74"/>
    <mergeCell ref="E74:G74"/>
    <mergeCell ref="I74:J74"/>
    <mergeCell ref="L74:M74"/>
    <mergeCell ref="R74:S74"/>
    <mergeCell ref="U74:W74"/>
    <mergeCell ref="C69:D69"/>
    <mergeCell ref="R69:AF69"/>
    <mergeCell ref="J70:K70"/>
    <mergeCell ref="Z70:AA70"/>
    <mergeCell ref="D72:E72"/>
    <mergeCell ref="F72:G72"/>
    <mergeCell ref="L72:M72"/>
    <mergeCell ref="T72:U72"/>
    <mergeCell ref="V72:W72"/>
    <mergeCell ref="AB72:AC72"/>
    <mergeCell ref="H57:I57"/>
    <mergeCell ref="X57:Y57"/>
    <mergeCell ref="B65:D65"/>
    <mergeCell ref="R65:T65"/>
    <mergeCell ref="C66:E66"/>
    <mergeCell ref="J66:K66"/>
    <mergeCell ref="S66:U66"/>
    <mergeCell ref="V66:W66"/>
    <mergeCell ref="Y66:Z66"/>
    <mergeCell ref="AB53:AC53"/>
    <mergeCell ref="B55:C55"/>
    <mergeCell ref="E55:G55"/>
    <mergeCell ref="I55:J55"/>
    <mergeCell ref="L55:M55"/>
    <mergeCell ref="R55:S55"/>
    <mergeCell ref="U55:W55"/>
    <mergeCell ref="Y55:Z55"/>
    <mergeCell ref="AB55:AC55"/>
    <mergeCell ref="Y48:Z48"/>
    <mergeCell ref="C50:D50"/>
    <mergeCell ref="R50:AF50"/>
    <mergeCell ref="J51:K51"/>
    <mergeCell ref="Z51:AA51"/>
    <mergeCell ref="D53:E53"/>
    <mergeCell ref="F53:G53"/>
    <mergeCell ref="L53:M53"/>
    <mergeCell ref="T53:U53"/>
    <mergeCell ref="V53:W53"/>
    <mergeCell ref="R46:X46"/>
    <mergeCell ref="B47:D47"/>
    <mergeCell ref="R47:T47"/>
    <mergeCell ref="C48:E48"/>
    <mergeCell ref="I48:J48"/>
    <mergeCell ref="S48:U48"/>
    <mergeCell ref="AB39:AC39"/>
    <mergeCell ref="B41:C41"/>
    <mergeCell ref="E41:G41"/>
    <mergeCell ref="I41:J41"/>
    <mergeCell ref="L41:M41"/>
    <mergeCell ref="R41:S41"/>
    <mergeCell ref="U41:W41"/>
    <mergeCell ref="Y41:Z41"/>
    <mergeCell ref="AB41:AC41"/>
    <mergeCell ref="C36:O36"/>
    <mergeCell ref="J37:K37"/>
    <mergeCell ref="Z37:AA37"/>
    <mergeCell ref="D39:E39"/>
    <mergeCell ref="F39:G39"/>
    <mergeCell ref="L39:M39"/>
    <mergeCell ref="T39:U39"/>
    <mergeCell ref="V39:W39"/>
    <mergeCell ref="B32:L32"/>
    <mergeCell ref="R32:X32"/>
    <mergeCell ref="B33:D33"/>
    <mergeCell ref="R33:T33"/>
    <mergeCell ref="AC33:AD33"/>
    <mergeCell ref="C34:E34"/>
    <mergeCell ref="I34:J34"/>
    <mergeCell ref="Y34:Z34"/>
    <mergeCell ref="C27:D27"/>
    <mergeCell ref="F27:H27"/>
    <mergeCell ref="J27:K27"/>
    <mergeCell ref="M27:N27"/>
    <mergeCell ref="B30:P30"/>
    <mergeCell ref="B31:P31"/>
    <mergeCell ref="U22:W22"/>
    <mergeCell ref="K23:L23"/>
    <mergeCell ref="U23:W23"/>
    <mergeCell ref="E25:F25"/>
    <mergeCell ref="G25:H25"/>
    <mergeCell ref="M25:N25"/>
    <mergeCell ref="C17:O17"/>
    <mergeCell ref="C18:M18"/>
    <mergeCell ref="C19:E19"/>
    <mergeCell ref="D20:F20"/>
    <mergeCell ref="J20:K20"/>
    <mergeCell ref="C22:O22"/>
    <mergeCell ref="C9:O9"/>
    <mergeCell ref="K10:L10"/>
    <mergeCell ref="E12:F12"/>
    <mergeCell ref="G12:H12"/>
    <mergeCell ref="M12:N12"/>
    <mergeCell ref="C14:D14"/>
    <mergeCell ref="F14:H14"/>
    <mergeCell ref="J14:K14"/>
    <mergeCell ref="M14:N14"/>
    <mergeCell ref="B2:P2"/>
    <mergeCell ref="C4:O4"/>
    <mergeCell ref="C5:M5"/>
    <mergeCell ref="C6:E6"/>
    <mergeCell ref="D7:F7"/>
    <mergeCell ref="J7:K7"/>
  </mergeCells>
  <phoneticPr fontId="2" type="noConversion"/>
  <printOptions horizontalCentered="1"/>
  <pageMargins left="0.39370078740157483" right="0.39370078740157483" top="0.98425196850393704" bottom="0.59055118110236227" header="0.39370078740157483" footer="0.39370078740157483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="70" zoomScaleNormal="70" workbookViewId="0">
      <selection activeCell="G17" sqref="G17"/>
    </sheetView>
  </sheetViews>
  <sheetFormatPr defaultRowHeight="30" customHeight="1"/>
  <cols>
    <col min="1" max="1" width="19.44140625" style="30" bestFit="1" customWidth="1"/>
    <col min="2" max="4" width="8.88671875" style="30"/>
    <col min="5" max="5" width="11.21875" style="30" bestFit="1" customWidth="1"/>
    <col min="6" max="21" width="8.88671875" style="30"/>
    <col min="22" max="22" width="8.88671875" style="1043"/>
    <col min="23" max="16384" width="8.88671875" style="30"/>
  </cols>
  <sheetData>
    <row r="1" spans="1:22" ht="30" customHeight="1">
      <c r="A1" s="15" t="s">
        <v>841</v>
      </c>
    </row>
    <row r="2" spans="1:22" ht="30" customHeight="1">
      <c r="A2" s="1229" t="s">
        <v>842</v>
      </c>
      <c r="B2" s="1229"/>
      <c r="C2" s="1229" t="s">
        <v>845</v>
      </c>
      <c r="D2" s="1229" t="s">
        <v>846</v>
      </c>
      <c r="E2" s="1229"/>
      <c r="F2" s="1229"/>
      <c r="G2" s="1229"/>
      <c r="H2" s="1229"/>
      <c r="I2" s="1229" t="s">
        <v>847</v>
      </c>
      <c r="J2" s="1229"/>
      <c r="K2" s="1229"/>
      <c r="L2" s="1229"/>
      <c r="M2" s="1229"/>
      <c r="N2" s="1228" t="s">
        <v>854</v>
      </c>
      <c r="O2" s="1228" t="s">
        <v>855</v>
      </c>
      <c r="P2" s="1459" t="s">
        <v>868</v>
      </c>
      <c r="Q2" s="1460"/>
      <c r="R2" s="1228" t="s">
        <v>864</v>
      </c>
      <c r="S2" s="1228" t="s">
        <v>857</v>
      </c>
      <c r="T2" s="1229" t="s">
        <v>858</v>
      </c>
      <c r="U2" s="1044" t="s">
        <v>860</v>
      </c>
    </row>
    <row r="3" spans="1:22" ht="30" customHeight="1">
      <c r="A3" s="1229"/>
      <c r="B3" s="1229"/>
      <c r="C3" s="1229"/>
      <c r="D3" s="1229" t="s">
        <v>848</v>
      </c>
      <c r="E3" s="1229"/>
      <c r="F3" s="1229" t="s">
        <v>849</v>
      </c>
      <c r="G3" s="1229"/>
      <c r="H3" s="1045" t="s">
        <v>850</v>
      </c>
      <c r="I3" s="1229" t="s">
        <v>851</v>
      </c>
      <c r="J3" s="1229"/>
      <c r="K3" s="1229" t="s">
        <v>853</v>
      </c>
      <c r="L3" s="1229"/>
      <c r="M3" s="1045" t="s">
        <v>852</v>
      </c>
      <c r="N3" s="1229"/>
      <c r="O3" s="1229"/>
      <c r="P3" s="1054" t="s">
        <v>856</v>
      </c>
      <c r="Q3" s="1054" t="s">
        <v>864</v>
      </c>
      <c r="R3" s="1229"/>
      <c r="S3" s="1229"/>
      <c r="T3" s="1229"/>
      <c r="U3" s="1044" t="s">
        <v>859</v>
      </c>
    </row>
    <row r="4" spans="1:22" ht="30" customHeight="1">
      <c r="A4" s="1228" t="s">
        <v>861</v>
      </c>
      <c r="B4" s="1046" t="s">
        <v>843</v>
      </c>
      <c r="C4" s="1046">
        <v>23000</v>
      </c>
      <c r="D4" s="1047">
        <f>+'구조물용량계산(설계치12)'!I143</f>
        <v>589.02566915806563</v>
      </c>
      <c r="E4" s="1048">
        <f>+'구조물용량계산(설계치12)'!F143</f>
        <v>3.5341540149483937</v>
      </c>
      <c r="F4" s="1047">
        <f>+'구조물용량계산(설계치12)'!L148</f>
        <v>303.8</v>
      </c>
      <c r="G4" s="1048">
        <f>+'구조물용량계산(설계치12)'!L150</f>
        <v>1.8228</v>
      </c>
      <c r="H4" s="1044">
        <f t="shared" ref="H4:H11" si="0">+F4/D4</f>
        <v>0.51576699608735554</v>
      </c>
      <c r="I4" s="1047">
        <f>+'구조물용량계산(설계치12)'!J175</f>
        <v>1325.9788102023317</v>
      </c>
      <c r="J4" s="1048">
        <f>+'구조물용량계산(설계치12)'!G175</f>
        <v>7.9558728612139902</v>
      </c>
      <c r="K4" s="1047">
        <f>+'구조물용량계산(설계치12)'!L181</f>
        <v>519.68000000000006</v>
      </c>
      <c r="L4" s="1048">
        <f>+'구조물용량계산(설계치12)'!L182</f>
        <v>3.11808</v>
      </c>
      <c r="M4" s="1044">
        <f t="shared" ref="M4:M11" si="1">+K4/I4</f>
        <v>0.39192179844917874</v>
      </c>
      <c r="N4" s="1044">
        <v>0.85</v>
      </c>
      <c r="O4" s="1044">
        <f t="shared" ref="O4:O11" si="2">IF(+H4&gt;1,1,H4)*IF(M4&gt;1,1,M4)*N4</f>
        <v>0.17181927938419389</v>
      </c>
      <c r="P4" s="1046">
        <v>50</v>
      </c>
      <c r="Q4" s="1049">
        <f t="shared" ref="Q4:Q11" si="3">(1-O4)*P4</f>
        <v>41.409036030790304</v>
      </c>
      <c r="R4" s="1049"/>
      <c r="S4" s="1046">
        <v>33</v>
      </c>
      <c r="T4" s="1046" t="str">
        <f t="shared" ref="T4:T11" si="4">+IF(Q4&lt;S4,"GOOD","NO GOOD")</f>
        <v>NO GOOD</v>
      </c>
      <c r="U4" s="1044">
        <v>0.28999999999999998</v>
      </c>
    </row>
    <row r="5" spans="1:22" ht="30" customHeight="1">
      <c r="A5" s="1229"/>
      <c r="B5" s="1046" t="s">
        <v>844</v>
      </c>
      <c r="C5" s="1046">
        <v>40000</v>
      </c>
      <c r="D5" s="1047">
        <f>+'[1]구조물용량계산(설계치)'!$I$143</f>
        <v>2953.1322441047337</v>
      </c>
      <c r="E5" s="1048">
        <f>+'[1]구조물용량계산(설계치)'!$F$143</f>
        <v>1.7718793464628402</v>
      </c>
      <c r="F5" s="1047">
        <f>+'[1]구조물용량계산(설계치)'!$L$148</f>
        <v>2295.7440000000001</v>
      </c>
      <c r="G5" s="1048">
        <f>+'[1]구조물용량계산(설계치)'!$L$150</f>
        <v>1.3774464000000002</v>
      </c>
      <c r="H5" s="1044">
        <f t="shared" si="0"/>
        <v>0.77739288668258533</v>
      </c>
      <c r="I5" s="1047">
        <f>+'[1]구조물용량계산(설계치)'!$J$175</f>
        <v>14126.552777748653</v>
      </c>
      <c r="J5" s="1048">
        <f>+'[1]구조물용량계산(설계치)'!$G$175</f>
        <v>8.475931666649192</v>
      </c>
      <c r="K5" s="1047">
        <f>+'[1]구조물용량계산(설계치)'!$L$181</f>
        <v>10376.794</v>
      </c>
      <c r="L5" s="1048">
        <f>+'[1]구조물용량계산(설계치)'!$L$182</f>
        <v>6.2260764000000002</v>
      </c>
      <c r="M5" s="1044">
        <f t="shared" si="1"/>
        <v>0.73455953219846659</v>
      </c>
      <c r="N5" s="1044">
        <v>0.85</v>
      </c>
      <c r="O5" s="1044">
        <f t="shared" si="2"/>
        <v>0.48538515189957909</v>
      </c>
      <c r="P5" s="1046">
        <v>59</v>
      </c>
      <c r="Q5" s="1049">
        <f t="shared" si="3"/>
        <v>30.362276037924833</v>
      </c>
      <c r="R5" s="1049"/>
      <c r="S5" s="1046">
        <v>33</v>
      </c>
      <c r="T5" s="1046" t="str">
        <f t="shared" si="4"/>
        <v>GOOD</v>
      </c>
      <c r="U5" s="1044">
        <v>0.47499999999999998</v>
      </c>
    </row>
    <row r="6" spans="1:22" ht="30" customHeight="1">
      <c r="A6" s="1228" t="s">
        <v>862</v>
      </c>
      <c r="B6" s="1046" t="s">
        <v>843</v>
      </c>
      <c r="C6" s="1046">
        <v>23000</v>
      </c>
      <c r="D6" s="1047">
        <f>+'구조물용량계산(유입수질농도증가12)'!I143</f>
        <v>228.24744679875042</v>
      </c>
      <c r="E6" s="1048">
        <f>+'구조물용량계산(유입수질농도증가12)'!F143</f>
        <v>3.5341540149483937</v>
      </c>
      <c r="F6" s="1047">
        <f>+F4</f>
        <v>303.8</v>
      </c>
      <c r="G6" s="1048">
        <f>+G4</f>
        <v>1.8228</v>
      </c>
      <c r="H6" s="1044">
        <f t="shared" si="0"/>
        <v>1.3310116028060788</v>
      </c>
      <c r="I6" s="1047">
        <f>+'구조물용량계산(유입수질농도증가12)'!J175</f>
        <v>513.81678895340349</v>
      </c>
      <c r="J6" s="1048">
        <f>+'구조물용량계산(유입수질농도증가12)'!G175</f>
        <v>7.9558728612139902</v>
      </c>
      <c r="K6" s="1047">
        <f>+K4</f>
        <v>519.68000000000006</v>
      </c>
      <c r="L6" s="1048">
        <f>+L4</f>
        <v>3.11808</v>
      </c>
      <c r="M6" s="1044">
        <f t="shared" si="1"/>
        <v>1.0114110927720743</v>
      </c>
      <c r="N6" s="1044">
        <v>0.85</v>
      </c>
      <c r="O6" s="1044">
        <f t="shared" si="2"/>
        <v>0.85</v>
      </c>
      <c r="P6" s="1046">
        <v>50</v>
      </c>
      <c r="Q6" s="1049">
        <f t="shared" si="3"/>
        <v>7.5000000000000009</v>
      </c>
      <c r="R6" s="1049"/>
      <c r="S6" s="1046">
        <v>20</v>
      </c>
      <c r="T6" s="1046" t="str">
        <f t="shared" si="4"/>
        <v>GOOD</v>
      </c>
      <c r="U6" s="1050">
        <v>1</v>
      </c>
    </row>
    <row r="7" spans="1:22" ht="30" customHeight="1">
      <c r="A7" s="1229"/>
      <c r="B7" s="1046" t="s">
        <v>844</v>
      </c>
      <c r="C7" s="1046">
        <v>40000</v>
      </c>
      <c r="D7" s="1047">
        <f>+'[1]구조물용량계산(여유용량 검토)'!$I$143</f>
        <v>3845.5341379467345</v>
      </c>
      <c r="E7" s="1048">
        <f>+'[1]구조물용량계산(여유용량 검토)'!$F$143</f>
        <v>2.3073204827680405</v>
      </c>
      <c r="F7" s="1047">
        <f>+'[1]구조물용량계산(설계치)'!$L$148</f>
        <v>2295.7440000000001</v>
      </c>
      <c r="G7" s="1048">
        <f>+'[1]구조물용량계산(설계치)'!$L$150</f>
        <v>1.3774464000000002</v>
      </c>
      <c r="H7" s="1044">
        <f t="shared" si="0"/>
        <v>0.59698962943695988</v>
      </c>
      <c r="I7" s="1047">
        <f>+'[1]구조물용량계산(설계치)'!$J$175</f>
        <v>14126.552777748653</v>
      </c>
      <c r="J7" s="1048">
        <f>+'[1]구조물용량계산(설계치)'!$G$175</f>
        <v>8.475931666649192</v>
      </c>
      <c r="K7" s="1047">
        <f>+'[1]구조물용량계산(설계치)'!$L$181</f>
        <v>10376.794</v>
      </c>
      <c r="L7" s="1048">
        <f>+'[1]구조물용량계산(설계치)'!$L$182</f>
        <v>6.2260764000000002</v>
      </c>
      <c r="M7" s="1044">
        <f t="shared" si="1"/>
        <v>0.73455953219846659</v>
      </c>
      <c r="N7" s="1044">
        <v>0.85</v>
      </c>
      <c r="O7" s="1044">
        <f t="shared" si="2"/>
        <v>0.37274575948756683</v>
      </c>
      <c r="P7" s="1046">
        <v>59</v>
      </c>
      <c r="Q7" s="1049">
        <f t="shared" si="3"/>
        <v>37.00800019023356</v>
      </c>
      <c r="R7" s="1049"/>
      <c r="S7" s="1046">
        <v>20</v>
      </c>
      <c r="T7" s="1046" t="str">
        <f t="shared" si="4"/>
        <v>NO GOOD</v>
      </c>
      <c r="U7" s="1044">
        <v>1.36</v>
      </c>
    </row>
    <row r="8" spans="1:22" ht="30" customHeight="1">
      <c r="A8" s="1228" t="s">
        <v>866</v>
      </c>
      <c r="B8" s="1046" t="s">
        <v>843</v>
      </c>
      <c r="C8" s="1046">
        <v>15620</v>
      </c>
      <c r="D8" s="1047">
        <f>+'[2]구조물용량계산(설계치)(기준강화)'!$I$143</f>
        <v>1417.6009233540831</v>
      </c>
      <c r="E8" s="1048">
        <f>+'[3]구조물용량계산(하수한계치)'!$D$141</f>
        <v>2.1781320205184374</v>
      </c>
      <c r="F8" s="1047">
        <f>+F6</f>
        <v>303.8</v>
      </c>
      <c r="G8" s="1048">
        <f>+'[3]구조물용량계산(하수한계치)'!$L$150</f>
        <v>1.7633880000000004</v>
      </c>
      <c r="H8" s="1044">
        <f t="shared" si="0"/>
        <v>0.21430572948640636</v>
      </c>
      <c r="I8" s="1047">
        <f>+'[2]구조물용량계산(설계치)(기준강화)'!$J$175</f>
        <v>5379.6023809523813</v>
      </c>
      <c r="J8" s="1048">
        <f>+'[3]구조물용량계산(하수한계치)'!$G$175</f>
        <v>8.2657142857142851</v>
      </c>
      <c r="K8" s="1047">
        <f>+K6</f>
        <v>519.68000000000006</v>
      </c>
      <c r="L8" s="1048">
        <f>+'[3]구조물용량계산(하수한계치)'!$L$182</f>
        <v>7.9474980000000004</v>
      </c>
      <c r="M8" s="1044">
        <f t="shared" si="1"/>
        <v>9.6601935087254204E-2</v>
      </c>
      <c r="N8" s="1044">
        <v>0.85</v>
      </c>
      <c r="O8" s="1044">
        <f t="shared" si="2"/>
        <v>1.7596995943371614E-2</v>
      </c>
      <c r="P8" s="1046">
        <v>57</v>
      </c>
      <c r="Q8" s="1049">
        <f t="shared" si="3"/>
        <v>55.996971231227818</v>
      </c>
      <c r="R8" s="1049" t="s">
        <v>865</v>
      </c>
      <c r="S8" s="1046">
        <v>20</v>
      </c>
      <c r="T8" s="1046" t="str">
        <f t="shared" si="4"/>
        <v>NO GOOD</v>
      </c>
      <c r="U8" s="1050">
        <v>1.28</v>
      </c>
      <c r="V8" s="1051" t="s">
        <v>863</v>
      </c>
    </row>
    <row r="9" spans="1:22" ht="30" customHeight="1">
      <c r="A9" s="1229"/>
      <c r="B9" s="1046" t="s">
        <v>844</v>
      </c>
      <c r="C9" s="1046">
        <v>24470</v>
      </c>
      <c r="D9" s="1047">
        <f>+'[4]구조물용량계산(설계치)(기준강화)'!$I$143</f>
        <v>1774.1196761911124</v>
      </c>
      <c r="E9" s="1048">
        <f>+'[5]구조물용량계산(설계치)(기준강화)'!$D$141</f>
        <v>1.7400438180869102</v>
      </c>
      <c r="F9" s="1047">
        <f>+'[1]구조물용량계산(설계치)'!$L$148</f>
        <v>2295.7440000000001</v>
      </c>
      <c r="G9" s="1048">
        <f>+'[4]구조물용량계산(설계치)(기준강화)'!$L$150</f>
        <v>2.2516492031058442</v>
      </c>
      <c r="H9" s="1044">
        <f t="shared" si="0"/>
        <v>1.2940186791281025</v>
      </c>
      <c r="I9" s="1047">
        <f>+'[4]구조물용량계산(설계치)(기준강화)'!$J$175</f>
        <v>6594.2554673432951</v>
      </c>
      <c r="J9" s="1048">
        <f>+'[4]구조물용량계산(설계치)(기준강화)'!$G$175</f>
        <v>6.4675983333158591</v>
      </c>
      <c r="K9" s="1047">
        <f>+'[1]구조물용량계산(설계치)'!$L$181</f>
        <v>10376.794</v>
      </c>
      <c r="L9" s="1048">
        <f>+'[4]구조물용량계산(설계치)(기준강화)'!$L$182:$M$182</f>
        <v>10.177484920310585</v>
      </c>
      <c r="M9" s="1044">
        <f t="shared" si="1"/>
        <v>1.5736111607123739</v>
      </c>
      <c r="N9" s="1044">
        <v>0.85</v>
      </c>
      <c r="O9" s="1044">
        <f t="shared" si="2"/>
        <v>0.85</v>
      </c>
      <c r="P9" s="1046">
        <v>46</v>
      </c>
      <c r="Q9" s="1049">
        <f t="shared" si="3"/>
        <v>6.9000000000000012</v>
      </c>
      <c r="R9" s="1049" t="s">
        <v>865</v>
      </c>
      <c r="S9" s="1046">
        <v>20</v>
      </c>
      <c r="T9" s="1046" t="str">
        <f t="shared" si="4"/>
        <v>GOOD</v>
      </c>
      <c r="U9" s="1044">
        <v>1.36</v>
      </c>
    </row>
    <row r="10" spans="1:22" ht="30" customHeight="1">
      <c r="A10" s="1228" t="s">
        <v>867</v>
      </c>
      <c r="B10" s="1046" t="s">
        <v>843</v>
      </c>
      <c r="C10" s="1046">
        <v>23000</v>
      </c>
      <c r="D10" s="1047">
        <f>+'[6]구조물용량계산(설계치)(기준강화)'!$I$143</f>
        <v>2168.5119374278142</v>
      </c>
      <c r="E10" s="1048">
        <f>+'[3]구조물용량계산(하수한계치)'!$D$141</f>
        <v>2.1781320205184374</v>
      </c>
      <c r="F10" s="1047">
        <f>+F8</f>
        <v>303.8</v>
      </c>
      <c r="G10" s="1048">
        <f>+'[6]구조물용량계산(설계치)(기준강화)'!$L$150</f>
        <v>1.1808072319410732</v>
      </c>
      <c r="H10" s="1044">
        <f t="shared" si="0"/>
        <v>0.14009606991619936</v>
      </c>
      <c r="I10" s="1047">
        <f>+'[6]구조물용량계산(설계치)(기준강화)'!$J$175</f>
        <v>8229.2073809523808</v>
      </c>
      <c r="J10" s="1048">
        <f>+'[3]구조물용량계산(하수한계치)'!$G$175</f>
        <v>8.2657142857142851</v>
      </c>
      <c r="K10" s="1047">
        <f>+K8</f>
        <v>519.68000000000006</v>
      </c>
      <c r="L10" s="1048">
        <f>+'[6]구조물용량계산(설계치)(기준강화)'!$L$182</f>
        <v>5.3218367791077261</v>
      </c>
      <c r="M10" s="1044">
        <f t="shared" si="1"/>
        <v>6.3150674900096709E-2</v>
      </c>
      <c r="N10" s="1044">
        <v>0.85</v>
      </c>
      <c r="O10" s="1044">
        <f t="shared" si="2"/>
        <v>7.5200871611502563E-3</v>
      </c>
      <c r="P10" s="1046">
        <v>57</v>
      </c>
      <c r="Q10" s="1049">
        <f t="shared" si="3"/>
        <v>56.571355031814434</v>
      </c>
      <c r="R10" s="1049" t="s">
        <v>865</v>
      </c>
      <c r="S10" s="1046">
        <v>20</v>
      </c>
      <c r="T10" s="1046" t="str">
        <f t="shared" si="4"/>
        <v>NO GOOD</v>
      </c>
      <c r="U10" s="1050">
        <v>1.28</v>
      </c>
    </row>
    <row r="11" spans="1:22" ht="30" customHeight="1">
      <c r="A11" s="1229"/>
      <c r="B11" s="1046" t="s">
        <v>844</v>
      </c>
      <c r="C11" s="1046">
        <v>40000</v>
      </c>
      <c r="D11" s="1047">
        <f>+'[5]구조물용량계산(설계치)(기준강화)'!$I$143</f>
        <v>2900.0730301448507</v>
      </c>
      <c r="E11" s="1048">
        <f>+'[5]구조물용량계산(설계치)(기준강화)'!$D$141</f>
        <v>1.7400438180869102</v>
      </c>
      <c r="F11" s="1047">
        <f>+'[1]구조물용량계산(설계치)'!$L$148</f>
        <v>2295.7440000000001</v>
      </c>
      <c r="G11" s="1048">
        <f>+'[5]구조물용량계산(설계치)(기준강화)'!$L$150</f>
        <v>1.3774464000000002</v>
      </c>
      <c r="H11" s="1044">
        <f t="shared" si="0"/>
        <v>0.79161592695661664</v>
      </c>
      <c r="I11" s="1047">
        <f>+'[5]구조물용량계산(설계치)(기준강화)'!$J$175</f>
        <v>10779.330555526432</v>
      </c>
      <c r="J11" s="1048">
        <f>+'[5]구조물용량계산(설계치)(기준강화)'!$G$175</f>
        <v>6.4675983333158591</v>
      </c>
      <c r="K11" s="1047">
        <f>+'[1]구조물용량계산(설계치)'!$L$181</f>
        <v>10376.794</v>
      </c>
      <c r="L11" s="1048">
        <f>+'[5]구조물용량계산(설계치)(기준강화)'!$L$182:$M$182</f>
        <v>6.2260764000000002</v>
      </c>
      <c r="M11" s="1044">
        <f t="shared" si="1"/>
        <v>0.96265662756579473</v>
      </c>
      <c r="N11" s="1044">
        <v>0.85</v>
      </c>
      <c r="O11" s="1044">
        <f t="shared" si="2"/>
        <v>0.64774617078571295</v>
      </c>
      <c r="P11" s="1046">
        <v>46</v>
      </c>
      <c r="Q11" s="1049">
        <f t="shared" si="3"/>
        <v>16.203676143857205</v>
      </c>
      <c r="R11" s="1049" t="s">
        <v>865</v>
      </c>
      <c r="S11" s="1046">
        <v>20</v>
      </c>
      <c r="T11" s="1046" t="str">
        <f t="shared" si="4"/>
        <v>GOOD</v>
      </c>
      <c r="U11" s="1044">
        <v>0.84</v>
      </c>
    </row>
    <row r="12" spans="1:22" ht="30" customHeight="1">
      <c r="P12" s="30">
        <v>21</v>
      </c>
    </row>
    <row r="13" spans="1:22" ht="30" customHeight="1">
      <c r="P13" s="30">
        <v>46</v>
      </c>
    </row>
    <row r="14" spans="1:22" ht="30" customHeight="1">
      <c r="P14" s="30">
        <v>86</v>
      </c>
    </row>
    <row r="15" spans="1:22" ht="30" customHeight="1">
      <c r="C15" s="30">
        <v>33738</v>
      </c>
    </row>
    <row r="16" spans="1:22" ht="30" customHeight="1">
      <c r="C16" s="30">
        <v>3436</v>
      </c>
    </row>
    <row r="17" spans="3:3" ht="30" customHeight="1">
      <c r="C17" s="30">
        <v>5093</v>
      </c>
    </row>
    <row r="18" spans="3:3" ht="30" customHeight="1">
      <c r="C18" s="30">
        <f>+C15+C16+C17</f>
        <v>42267</v>
      </c>
    </row>
  </sheetData>
  <mergeCells count="18">
    <mergeCell ref="R2:R3"/>
    <mergeCell ref="P2:Q2"/>
    <mergeCell ref="A10:A11"/>
    <mergeCell ref="S2:S3"/>
    <mergeCell ref="T2:T3"/>
    <mergeCell ref="A6:A7"/>
    <mergeCell ref="A8:A9"/>
    <mergeCell ref="C2:C3"/>
    <mergeCell ref="A4:A5"/>
    <mergeCell ref="A2:B3"/>
    <mergeCell ref="N2:N3"/>
    <mergeCell ref="O2:O3"/>
    <mergeCell ref="D2:H2"/>
    <mergeCell ref="I2:M2"/>
    <mergeCell ref="D3:E3"/>
    <mergeCell ref="F3:G3"/>
    <mergeCell ref="I3:J3"/>
    <mergeCell ref="K3:L3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70" zoomScaleNormal="70" workbookViewId="0">
      <selection activeCell="K19" sqref="K19"/>
    </sheetView>
  </sheetViews>
  <sheetFormatPr defaultRowHeight="30" customHeight="1"/>
  <cols>
    <col min="1" max="1" width="21.44140625" style="30" customWidth="1"/>
    <col min="2" max="4" width="8.88671875" style="30"/>
    <col min="5" max="5" width="11.21875" style="30" bestFit="1" customWidth="1"/>
    <col min="6" max="21" width="8.88671875" style="30"/>
    <col min="22" max="22" width="8.88671875" style="1043"/>
    <col min="23" max="16384" width="8.88671875" style="30"/>
  </cols>
  <sheetData>
    <row r="1" spans="1:22" ht="30" customHeight="1">
      <c r="A1" s="15" t="s">
        <v>841</v>
      </c>
    </row>
    <row r="2" spans="1:22" ht="30" customHeight="1">
      <c r="A2" s="1229" t="s">
        <v>842</v>
      </c>
      <c r="B2" s="1229"/>
      <c r="C2" s="1229" t="s">
        <v>845</v>
      </c>
      <c r="D2" s="1229" t="s">
        <v>846</v>
      </c>
      <c r="E2" s="1229"/>
      <c r="F2" s="1229"/>
      <c r="G2" s="1229"/>
      <c r="H2" s="1229"/>
      <c r="I2" s="1229" t="s">
        <v>847</v>
      </c>
      <c r="J2" s="1229"/>
      <c r="K2" s="1229"/>
      <c r="L2" s="1229"/>
      <c r="M2" s="1229"/>
      <c r="N2" s="1228" t="s">
        <v>869</v>
      </c>
      <c r="O2" s="1228" t="s">
        <v>855</v>
      </c>
      <c r="P2" s="1229" t="s">
        <v>868</v>
      </c>
      <c r="Q2" s="1229"/>
      <c r="R2" s="1046" t="s">
        <v>873</v>
      </c>
      <c r="S2" s="1228" t="s">
        <v>857</v>
      </c>
      <c r="T2" s="1229" t="s">
        <v>858</v>
      </c>
      <c r="U2" s="1230" t="s">
        <v>73</v>
      </c>
    </row>
    <row r="3" spans="1:22" ht="30" customHeight="1">
      <c r="A3" s="1229"/>
      <c r="B3" s="1229"/>
      <c r="C3" s="1229"/>
      <c r="D3" s="1229" t="s">
        <v>848</v>
      </c>
      <c r="E3" s="1229"/>
      <c r="F3" s="1229" t="s">
        <v>849</v>
      </c>
      <c r="G3" s="1229"/>
      <c r="H3" s="1045" t="s">
        <v>921</v>
      </c>
      <c r="I3" s="1229" t="s">
        <v>851</v>
      </c>
      <c r="J3" s="1229"/>
      <c r="K3" s="1229" t="s">
        <v>853</v>
      </c>
      <c r="L3" s="1229"/>
      <c r="M3" s="1045" t="s">
        <v>922</v>
      </c>
      <c r="N3" s="1229"/>
      <c r="O3" s="1229"/>
      <c r="P3" s="1045" t="s">
        <v>856</v>
      </c>
      <c r="Q3" s="1045" t="s">
        <v>864</v>
      </c>
      <c r="R3" s="1045" t="s">
        <v>864</v>
      </c>
      <c r="S3" s="1229"/>
      <c r="T3" s="1229"/>
      <c r="U3" s="1231"/>
    </row>
    <row r="4" spans="1:22" ht="30" customHeight="1">
      <c r="A4" s="1228" t="s">
        <v>874</v>
      </c>
      <c r="B4" s="1046" t="s">
        <v>843</v>
      </c>
      <c r="C4" s="1046">
        <v>23000</v>
      </c>
      <c r="D4" s="1047">
        <v>830.55387335185321</v>
      </c>
      <c r="E4" s="1048">
        <v>0.86666491132367285</v>
      </c>
      <c r="F4" s="1047">
        <v>1175.5920000000001</v>
      </c>
      <c r="G4" s="1048">
        <v>1.2267046956521741</v>
      </c>
      <c r="H4" s="1044">
        <f t="shared" ref="H4:H11" si="0">+F4/D4</f>
        <v>1.4154313617919594</v>
      </c>
      <c r="I4" s="1047">
        <v>6765.1289583165872</v>
      </c>
      <c r="J4" s="1048">
        <v>7.059264999982525</v>
      </c>
      <c r="K4" s="1047">
        <v>5298.3320000000003</v>
      </c>
      <c r="L4" s="1048">
        <v>5.5286942608695657</v>
      </c>
      <c r="M4" s="1044">
        <f t="shared" ref="M4:M11" si="1">+K4/I4</f>
        <v>0.78318270540675994</v>
      </c>
      <c r="N4" s="1044">
        <v>0.8</v>
      </c>
      <c r="O4" s="1044">
        <f t="shared" ref="O4:O11" si="2">IF(+H4&gt;1,1,H4)*IF(M4&gt;1,1,M4)*N4</f>
        <v>0.62654616432540799</v>
      </c>
      <c r="P4" s="1046">
        <v>50</v>
      </c>
      <c r="Q4" s="1049">
        <f t="shared" ref="Q4:Q11" si="3">(1-O4)*P4</f>
        <v>18.672691783729601</v>
      </c>
      <c r="R4" s="1049"/>
      <c r="S4" s="1046">
        <v>33</v>
      </c>
      <c r="T4" s="1046" t="str">
        <f t="shared" ref="T4:T11" si="4">+IF(Q4&lt;S4,"GOOD","NO GOOD")</f>
        <v>GOOD</v>
      </c>
      <c r="U4" s="1044">
        <v>0.28999999999999998</v>
      </c>
    </row>
    <row r="5" spans="1:22" ht="30" customHeight="1">
      <c r="A5" s="1229"/>
      <c r="B5" s="1046" t="s">
        <v>844</v>
      </c>
      <c r="C5" s="1046">
        <v>40000</v>
      </c>
      <c r="D5" s="1047">
        <v>2953.1322441047337</v>
      </c>
      <c r="E5" s="1048">
        <v>1.7718793464628402</v>
      </c>
      <c r="F5" s="1047">
        <v>2295.7440000000001</v>
      </c>
      <c r="G5" s="1048">
        <v>1.3774464000000002</v>
      </c>
      <c r="H5" s="1044">
        <f t="shared" si="0"/>
        <v>0.77739288668258533</v>
      </c>
      <c r="I5" s="1047">
        <v>14126.552777748653</v>
      </c>
      <c r="J5" s="1048">
        <v>8.475931666649192</v>
      </c>
      <c r="K5" s="1047">
        <v>10376.794</v>
      </c>
      <c r="L5" s="1048">
        <v>6.2260764000000002</v>
      </c>
      <c r="M5" s="1044">
        <f t="shared" si="1"/>
        <v>0.73455953219846659</v>
      </c>
      <c r="N5" s="1044">
        <v>0.8</v>
      </c>
      <c r="O5" s="1044">
        <f t="shared" si="2"/>
        <v>0.45683308414078039</v>
      </c>
      <c r="P5" s="1046">
        <v>59</v>
      </c>
      <c r="Q5" s="1049">
        <f t="shared" si="3"/>
        <v>32.046848035693955</v>
      </c>
      <c r="R5" s="1049"/>
      <c r="S5" s="1046">
        <v>33</v>
      </c>
      <c r="T5" s="1046" t="str">
        <f t="shared" si="4"/>
        <v>GOOD</v>
      </c>
      <c r="U5" s="1044">
        <v>0.47499999999999998</v>
      </c>
    </row>
    <row r="6" spans="1:22" ht="30" customHeight="1">
      <c r="A6" s="1228" t="s">
        <v>875</v>
      </c>
      <c r="B6" s="1046" t="s">
        <v>843</v>
      </c>
      <c r="C6" s="1046">
        <v>23000</v>
      </c>
      <c r="D6" s="1047">
        <v>830.55387335185321</v>
      </c>
      <c r="E6" s="1048">
        <v>0.86666491132367285</v>
      </c>
      <c r="F6" s="1047">
        <v>1175.5920000000001</v>
      </c>
      <c r="G6" s="1048">
        <v>1.2267046956521741</v>
      </c>
      <c r="H6" s="1044">
        <f t="shared" si="0"/>
        <v>1.4154313617919594</v>
      </c>
      <c r="I6" s="1047">
        <v>6765.1289583165872</v>
      </c>
      <c r="J6" s="1048">
        <v>7.059264999982525</v>
      </c>
      <c r="K6" s="1047">
        <v>5298.3320000000003</v>
      </c>
      <c r="L6" s="1048">
        <v>5.5286942608695657</v>
      </c>
      <c r="M6" s="1044">
        <f t="shared" si="1"/>
        <v>0.78318270540675994</v>
      </c>
      <c r="N6" s="1044">
        <v>0.8</v>
      </c>
      <c r="O6" s="1044">
        <f t="shared" si="2"/>
        <v>0.62654616432540799</v>
      </c>
      <c r="P6" s="1046">
        <v>50</v>
      </c>
      <c r="Q6" s="1049">
        <f t="shared" si="3"/>
        <v>18.672691783729601</v>
      </c>
      <c r="R6" s="1049"/>
      <c r="S6" s="1046">
        <v>20</v>
      </c>
      <c r="T6" s="1046" t="str">
        <f t="shared" si="4"/>
        <v>GOOD</v>
      </c>
      <c r="U6" s="1050">
        <v>1</v>
      </c>
    </row>
    <row r="7" spans="1:22" ht="30" customHeight="1">
      <c r="A7" s="1229"/>
      <c r="B7" s="1046" t="s">
        <v>844</v>
      </c>
      <c r="C7" s="1046">
        <v>40000</v>
      </c>
      <c r="D7" s="1047">
        <v>3845.5341379467345</v>
      </c>
      <c r="E7" s="1048">
        <v>2.3073204827680405</v>
      </c>
      <c r="F7" s="1047">
        <v>2295.7440000000001</v>
      </c>
      <c r="G7" s="1048">
        <v>1.3774464000000002</v>
      </c>
      <c r="H7" s="1044">
        <f t="shared" si="0"/>
        <v>0.59698962943695988</v>
      </c>
      <c r="I7" s="1047">
        <v>14126.552777748653</v>
      </c>
      <c r="J7" s="1048">
        <v>8.475931666649192</v>
      </c>
      <c r="K7" s="1047">
        <v>10376.794</v>
      </c>
      <c r="L7" s="1048">
        <v>6.2260764000000002</v>
      </c>
      <c r="M7" s="1044">
        <f t="shared" si="1"/>
        <v>0.73455953219846659</v>
      </c>
      <c r="N7" s="1044">
        <v>0.8</v>
      </c>
      <c r="O7" s="1044">
        <f t="shared" si="2"/>
        <v>0.35081953834123936</v>
      </c>
      <c r="P7" s="1046">
        <v>59</v>
      </c>
      <c r="Q7" s="1049">
        <f t="shared" si="3"/>
        <v>38.301647237866881</v>
      </c>
      <c r="R7" s="1049"/>
      <c r="S7" s="1046">
        <v>20</v>
      </c>
      <c r="T7" s="1046" t="str">
        <f t="shared" si="4"/>
        <v>NO GOOD</v>
      </c>
      <c r="U7" s="1044">
        <v>1.36</v>
      </c>
    </row>
    <row r="8" spans="1:22" ht="30" customHeight="1">
      <c r="A8" s="1228" t="s">
        <v>913</v>
      </c>
      <c r="B8" s="1046" t="s">
        <v>843</v>
      </c>
      <c r="C8" s="1046">
        <v>15620</v>
      </c>
      <c r="D8" s="1047">
        <v>1417.6009233540831</v>
      </c>
      <c r="E8" s="1048">
        <v>2.1781320205184374</v>
      </c>
      <c r="F8" s="1047">
        <v>1175.5920000000001</v>
      </c>
      <c r="G8" s="1048">
        <v>1.7633880000000004</v>
      </c>
      <c r="H8" s="1044">
        <f t="shared" si="0"/>
        <v>0.82928275555754916</v>
      </c>
      <c r="I8" s="1047">
        <v>5379.6023809523813</v>
      </c>
      <c r="J8" s="1048">
        <v>8.2657142857142851</v>
      </c>
      <c r="K8" s="1047">
        <v>5298.3320000000003</v>
      </c>
      <c r="L8" s="1048">
        <v>7.9474980000000004</v>
      </c>
      <c r="M8" s="1044">
        <f t="shared" si="1"/>
        <v>0.98489286471428894</v>
      </c>
      <c r="N8" s="1044">
        <v>0.8</v>
      </c>
      <c r="O8" s="1044">
        <f t="shared" si="2"/>
        <v>0.65340373502338722</v>
      </c>
      <c r="P8" s="1046">
        <v>57</v>
      </c>
      <c r="Q8" s="1049">
        <f t="shared" si="3"/>
        <v>19.755987103666929</v>
      </c>
      <c r="R8" s="1049" t="s">
        <v>865</v>
      </c>
      <c r="S8" s="1046">
        <v>20</v>
      </c>
      <c r="T8" s="1046" t="str">
        <f t="shared" si="4"/>
        <v>GOOD</v>
      </c>
      <c r="U8" s="1050">
        <v>1.28</v>
      </c>
      <c r="V8" s="1051" t="s">
        <v>863</v>
      </c>
    </row>
    <row r="9" spans="1:22" ht="30" customHeight="1">
      <c r="A9" s="1229"/>
      <c r="B9" s="1046" t="s">
        <v>844</v>
      </c>
      <c r="C9" s="1046">
        <v>24470</v>
      </c>
      <c r="D9" s="1047">
        <v>1774.1196761911124</v>
      </c>
      <c r="E9" s="1048">
        <v>1.7400438180869102</v>
      </c>
      <c r="F9" s="1047">
        <v>2295.7440000000001</v>
      </c>
      <c r="G9" s="1048">
        <v>2.2516492031058442</v>
      </c>
      <c r="H9" s="1044">
        <f t="shared" si="0"/>
        <v>1.2940186791281025</v>
      </c>
      <c r="I9" s="1047">
        <v>6594.2554673432951</v>
      </c>
      <c r="J9" s="1048">
        <v>6.4675983333158591</v>
      </c>
      <c r="K9" s="1047">
        <v>10376.794</v>
      </c>
      <c r="L9" s="1048">
        <v>10.177484920310585</v>
      </c>
      <c r="M9" s="1044">
        <f t="shared" si="1"/>
        <v>1.5736111607123739</v>
      </c>
      <c r="N9" s="1044">
        <v>0.8</v>
      </c>
      <c r="O9" s="1044">
        <f t="shared" si="2"/>
        <v>0.8</v>
      </c>
      <c r="P9" s="1046">
        <v>46</v>
      </c>
      <c r="Q9" s="1049">
        <f t="shared" si="3"/>
        <v>9.1999999999999975</v>
      </c>
      <c r="R9" s="1049" t="s">
        <v>865</v>
      </c>
      <c r="S9" s="1046">
        <v>20</v>
      </c>
      <c r="T9" s="1046" t="str">
        <f t="shared" si="4"/>
        <v>GOOD</v>
      </c>
      <c r="U9" s="1044">
        <v>0.84</v>
      </c>
    </row>
    <row r="10" spans="1:22" ht="30" customHeight="1">
      <c r="A10" s="1228" t="s">
        <v>914</v>
      </c>
      <c r="B10" s="1046" t="s">
        <v>843</v>
      </c>
      <c r="C10" s="1046">
        <v>23000</v>
      </c>
      <c r="D10" s="1047">
        <v>2087.3765196635027</v>
      </c>
      <c r="E10" s="1048">
        <v>2.1781320205184374</v>
      </c>
      <c r="F10" s="1047">
        <v>1175.5920000000001</v>
      </c>
      <c r="G10" s="1048">
        <v>1.2267046956521741</v>
      </c>
      <c r="H10" s="1044">
        <f t="shared" si="0"/>
        <v>0.56319115833951816</v>
      </c>
      <c r="I10" s="1047">
        <v>7921.3095238095239</v>
      </c>
      <c r="J10" s="1048">
        <v>8.2657142857142851</v>
      </c>
      <c r="K10" s="1047">
        <v>5298.3320000000003</v>
      </c>
      <c r="L10" s="1048">
        <v>5.5286942608695657</v>
      </c>
      <c r="M10" s="1044">
        <f t="shared" si="1"/>
        <v>0.66887071942770404</v>
      </c>
      <c r="N10" s="1044">
        <v>0.8</v>
      </c>
      <c r="O10" s="1044">
        <f t="shared" si="2"/>
        <v>0.3013616602031004</v>
      </c>
      <c r="P10" s="1046">
        <v>57</v>
      </c>
      <c r="Q10" s="1049">
        <f t="shared" si="3"/>
        <v>39.822385368423276</v>
      </c>
      <c r="R10" s="1049" t="s">
        <v>865</v>
      </c>
      <c r="S10" s="1046">
        <v>20</v>
      </c>
      <c r="T10" s="1046" t="str">
        <f t="shared" si="4"/>
        <v>NO GOOD</v>
      </c>
      <c r="U10" s="1050">
        <v>1.28</v>
      </c>
    </row>
    <row r="11" spans="1:22" ht="30" customHeight="1">
      <c r="A11" s="1228"/>
      <c r="B11" s="1046" t="s">
        <v>844</v>
      </c>
      <c r="C11" s="1046">
        <v>40000</v>
      </c>
      <c r="D11" s="1047">
        <v>2900.0730301448507</v>
      </c>
      <c r="E11" s="1048">
        <v>1.7400438180869102</v>
      </c>
      <c r="F11" s="1047">
        <v>2295.7440000000001</v>
      </c>
      <c r="G11" s="1048">
        <v>1.3774464000000002</v>
      </c>
      <c r="H11" s="1044">
        <f t="shared" si="0"/>
        <v>0.79161592695661664</v>
      </c>
      <c r="I11" s="1047">
        <v>10779.330555526432</v>
      </c>
      <c r="J11" s="1048">
        <v>6.4675983333158591</v>
      </c>
      <c r="K11" s="1047">
        <v>10376.794</v>
      </c>
      <c r="L11" s="1048">
        <v>6.2260764000000002</v>
      </c>
      <c r="M11" s="1044">
        <f t="shared" si="1"/>
        <v>0.96265662756579473</v>
      </c>
      <c r="N11" s="1044">
        <v>0.8</v>
      </c>
      <c r="O11" s="1044">
        <f t="shared" si="2"/>
        <v>0.60964345485714166</v>
      </c>
      <c r="P11" s="1046">
        <v>46</v>
      </c>
      <c r="Q11" s="1049">
        <f t="shared" si="3"/>
        <v>17.956401076571485</v>
      </c>
      <c r="R11" s="1049" t="s">
        <v>865</v>
      </c>
      <c r="S11" s="1046">
        <v>20</v>
      </c>
      <c r="T11" s="1046" t="str">
        <f t="shared" si="4"/>
        <v>GOOD</v>
      </c>
      <c r="U11" s="1044">
        <v>0.84</v>
      </c>
      <c r="V11" s="1043" t="s">
        <v>870</v>
      </c>
    </row>
    <row r="12" spans="1:22" ht="30" customHeight="1">
      <c r="A12" s="1228"/>
      <c r="B12" s="1046" t="s">
        <v>844</v>
      </c>
      <c r="C12" s="1046">
        <v>40000</v>
      </c>
      <c r="D12" s="1047">
        <v>3068</v>
      </c>
      <c r="E12" s="1048">
        <v>1.84</v>
      </c>
      <c r="F12" s="1047">
        <v>2295.7440000000001</v>
      </c>
      <c r="G12" s="1048">
        <v>1.3774464000000002</v>
      </c>
      <c r="H12" s="1044">
        <f t="shared" ref="H12" si="5">+F12/D12</f>
        <v>0.74828683181225564</v>
      </c>
      <c r="I12" s="1047">
        <v>11057</v>
      </c>
      <c r="J12" s="1048">
        <v>6.63</v>
      </c>
      <c r="K12" s="1047">
        <v>10376.794</v>
      </c>
      <c r="L12" s="1048">
        <v>6.2260764000000002</v>
      </c>
      <c r="M12" s="1044">
        <f t="shared" ref="M12" si="6">+K12/I12</f>
        <v>0.93848186669078415</v>
      </c>
      <c r="N12" s="1044">
        <v>0.8</v>
      </c>
      <c r="O12" s="1044">
        <f t="shared" ref="O12" si="7">IF(+H12&gt;1,1,H12)*IF(M12&gt;1,1,M12)*N12</f>
        <v>0.5618028981914388</v>
      </c>
      <c r="P12" s="1046">
        <v>47</v>
      </c>
      <c r="Q12" s="1049">
        <f t="shared" ref="Q12" si="8">(1-O12)*P12</f>
        <v>20.595263785002377</v>
      </c>
      <c r="R12" s="1049" t="s">
        <v>865</v>
      </c>
      <c r="S12" s="1046">
        <v>20</v>
      </c>
      <c r="T12" s="1046" t="str">
        <f t="shared" ref="T12" si="9">+IF(Q12&lt;S12,"GOOD","NO GOOD")</f>
        <v>NO GOOD</v>
      </c>
      <c r="U12" s="1044">
        <v>0.88</v>
      </c>
      <c r="V12" s="1043" t="s">
        <v>871</v>
      </c>
    </row>
    <row r="13" spans="1:22" ht="30" customHeight="1">
      <c r="A13" s="1228"/>
      <c r="B13" s="1046" t="s">
        <v>844</v>
      </c>
      <c r="C13" s="1046">
        <v>40000</v>
      </c>
      <c r="D13" s="1047">
        <v>3236</v>
      </c>
      <c r="E13" s="1048">
        <v>1.94</v>
      </c>
      <c r="F13" s="1047">
        <v>2295.7440000000001</v>
      </c>
      <c r="G13" s="1048">
        <v>1.3774464000000002</v>
      </c>
      <c r="H13" s="1044">
        <f t="shared" ref="H13" si="10">+F13/D13</f>
        <v>0.70943881334981462</v>
      </c>
      <c r="I13" s="1047">
        <v>11335</v>
      </c>
      <c r="J13" s="1048">
        <v>6.8</v>
      </c>
      <c r="K13" s="1047">
        <v>10376.794</v>
      </c>
      <c r="L13" s="1048">
        <v>6.2260764000000002</v>
      </c>
      <c r="M13" s="1044">
        <f t="shared" ref="M13" si="11">+K13/I13</f>
        <v>0.91546484340538159</v>
      </c>
      <c r="N13" s="1044">
        <v>0.8</v>
      </c>
      <c r="O13" s="1044">
        <f t="shared" ref="O13" si="12">IF(+H13&gt;1,1,H13)*IF(M13&gt;1,1,M13)*N13</f>
        <v>0.51957303373519026</v>
      </c>
      <c r="P13" s="1046">
        <v>48</v>
      </c>
      <c r="Q13" s="1049">
        <f t="shared" ref="Q13" si="13">(1-O13)*P13</f>
        <v>23.060494380710868</v>
      </c>
      <c r="R13" s="1049" t="s">
        <v>865</v>
      </c>
      <c r="S13" s="1046">
        <v>20</v>
      </c>
      <c r="T13" s="1046" t="str">
        <f t="shared" ref="T13" si="14">+IF(Q13&lt;S13,"GOOD","NO GOOD")</f>
        <v>NO GOOD</v>
      </c>
      <c r="U13" s="1044">
        <v>0.92</v>
      </c>
      <c r="V13" s="1043" t="s">
        <v>872</v>
      </c>
    </row>
    <row r="14" spans="1:22" ht="30" customHeight="1">
      <c r="A14" s="15" t="s">
        <v>876</v>
      </c>
      <c r="K14" s="30" t="s">
        <v>877</v>
      </c>
    </row>
    <row r="15" spans="1:22" ht="30" customHeight="1">
      <c r="A15" s="15" t="s">
        <v>890</v>
      </c>
      <c r="K15" s="30" t="s">
        <v>878</v>
      </c>
    </row>
    <row r="16" spans="1:22" ht="30" customHeight="1">
      <c r="A16" s="15" t="s">
        <v>880</v>
      </c>
      <c r="B16" s="1055"/>
      <c r="K16" s="30" t="s">
        <v>879</v>
      </c>
    </row>
    <row r="17" spans="1:9" ht="30" customHeight="1">
      <c r="A17" s="15" t="s">
        <v>881</v>
      </c>
    </row>
    <row r="18" spans="1:9" ht="30" customHeight="1">
      <c r="A18" s="15" t="s">
        <v>882</v>
      </c>
      <c r="I18" s="1055"/>
    </row>
    <row r="19" spans="1:9" ht="30" customHeight="1">
      <c r="A19" s="15" t="s">
        <v>888</v>
      </c>
      <c r="I19" s="1055"/>
    </row>
    <row r="21" spans="1:9" ht="30" customHeight="1">
      <c r="A21" s="15" t="s">
        <v>884</v>
      </c>
    </row>
    <row r="22" spans="1:9" ht="30" customHeight="1">
      <c r="A22" s="15" t="s">
        <v>889</v>
      </c>
    </row>
    <row r="23" spans="1:9" ht="30" customHeight="1">
      <c r="A23" s="15" t="s">
        <v>883</v>
      </c>
    </row>
    <row r="24" spans="1:9" ht="30" customHeight="1">
      <c r="A24" s="15" t="s">
        <v>885</v>
      </c>
    </row>
    <row r="26" spans="1:9" ht="30" customHeight="1">
      <c r="A26" s="15" t="s">
        <v>886</v>
      </c>
    </row>
    <row r="27" spans="1:9" ht="30" customHeight="1">
      <c r="A27" s="15" t="s">
        <v>887</v>
      </c>
    </row>
    <row r="28" spans="1:9" ht="30" customHeight="1">
      <c r="A28" s="15" t="s">
        <v>891</v>
      </c>
    </row>
    <row r="29" spans="1:9" ht="30" customHeight="1">
      <c r="A29" s="15" t="s">
        <v>892</v>
      </c>
    </row>
    <row r="30" spans="1:9" ht="30" customHeight="1">
      <c r="A30" s="15" t="s">
        <v>896</v>
      </c>
    </row>
    <row r="31" spans="1:9" ht="30" customHeight="1">
      <c r="A31" s="15" t="s">
        <v>893</v>
      </c>
    </row>
    <row r="33" spans="1:5" ht="30" customHeight="1">
      <c r="A33" s="15" t="s">
        <v>894</v>
      </c>
    </row>
    <row r="34" spans="1:5" ht="30" customHeight="1">
      <c r="A34" s="15" t="s">
        <v>895</v>
      </c>
    </row>
    <row r="35" spans="1:5" ht="30" customHeight="1">
      <c r="A35" s="15" t="s">
        <v>897</v>
      </c>
    </row>
    <row r="36" spans="1:5" ht="30" customHeight="1">
      <c r="A36" s="15" t="s">
        <v>898</v>
      </c>
    </row>
    <row r="37" spans="1:5" ht="30" customHeight="1" thickBot="1"/>
    <row r="38" spans="1:5" ht="30" customHeight="1" thickTop="1">
      <c r="A38" s="1058" t="s">
        <v>915</v>
      </c>
      <c r="B38" s="1059" t="s">
        <v>916</v>
      </c>
      <c r="C38" s="1060" t="s">
        <v>917</v>
      </c>
      <c r="D38" s="1060" t="s">
        <v>918</v>
      </c>
      <c r="E38" s="1061" t="s">
        <v>919</v>
      </c>
    </row>
    <row r="39" spans="1:5" ht="30" customHeight="1">
      <c r="A39" s="1062" t="s">
        <v>920</v>
      </c>
      <c r="B39" s="1063">
        <v>33738</v>
      </c>
      <c r="C39" s="1063">
        <v>3436</v>
      </c>
      <c r="D39" s="1063">
        <v>5093</v>
      </c>
      <c r="E39" s="1064">
        <f>SUM(B39:D39)</f>
        <v>42267</v>
      </c>
    </row>
  </sheetData>
  <mergeCells count="18">
    <mergeCell ref="C2:C3"/>
    <mergeCell ref="A4:A5"/>
    <mergeCell ref="A6:A7"/>
    <mergeCell ref="A8:A9"/>
    <mergeCell ref="A10:A13"/>
    <mergeCell ref="A2:B3"/>
    <mergeCell ref="U2:U3"/>
    <mergeCell ref="P2:Q2"/>
    <mergeCell ref="S2:S3"/>
    <mergeCell ref="T2:T3"/>
    <mergeCell ref="D3:E3"/>
    <mergeCell ref="F3:G3"/>
    <mergeCell ref="I3:J3"/>
    <mergeCell ref="K3:L3"/>
    <mergeCell ref="D2:H2"/>
    <mergeCell ref="I2:M2"/>
    <mergeCell ref="N2:N3"/>
    <mergeCell ref="O2:O3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="55" zoomScaleNormal="55" workbookViewId="0">
      <selection activeCell="L28" sqref="L28"/>
    </sheetView>
  </sheetViews>
  <sheetFormatPr defaultRowHeight="30" customHeight="1"/>
  <sheetData>
    <row r="2" spans="1:11" ht="30" customHeight="1">
      <c r="C2" s="1461" t="s">
        <v>905</v>
      </c>
      <c r="D2" s="1461"/>
      <c r="E2" s="1461" t="s">
        <v>847</v>
      </c>
      <c r="F2" s="1461"/>
      <c r="H2" s="1057" t="s">
        <v>912</v>
      </c>
      <c r="I2" s="1057"/>
      <c r="J2" s="1057" t="s">
        <v>911</v>
      </c>
    </row>
    <row r="3" spans="1:11" ht="30" customHeight="1">
      <c r="A3" s="1461" t="s">
        <v>901</v>
      </c>
      <c r="B3" s="1461" t="s">
        <v>899</v>
      </c>
      <c r="H3" s="1461">
        <v>19</v>
      </c>
      <c r="I3" s="1461" t="s">
        <v>906</v>
      </c>
      <c r="J3" s="1461">
        <v>33</v>
      </c>
      <c r="K3" s="1461" t="s">
        <v>909</v>
      </c>
    </row>
    <row r="4" spans="1:11" ht="30" customHeight="1">
      <c r="A4" s="1461"/>
      <c r="B4" s="1461"/>
      <c r="H4" s="1461"/>
      <c r="I4" s="1461"/>
      <c r="J4" s="1461"/>
      <c r="K4" s="1461"/>
    </row>
    <row r="5" spans="1:11" ht="30" customHeight="1">
      <c r="A5" s="1461"/>
    </row>
    <row r="6" spans="1:11" ht="30" customHeight="1">
      <c r="A6" s="1461"/>
      <c r="B6" s="1461" t="s">
        <v>900</v>
      </c>
      <c r="H6" s="1461">
        <v>32</v>
      </c>
      <c r="I6" s="1461" t="s">
        <v>906</v>
      </c>
      <c r="J6" s="1461">
        <v>33</v>
      </c>
      <c r="K6" s="1461" t="s">
        <v>909</v>
      </c>
    </row>
    <row r="7" spans="1:11" ht="30" customHeight="1">
      <c r="A7" s="1461"/>
      <c r="B7" s="1461"/>
      <c r="H7" s="1461"/>
      <c r="I7" s="1461"/>
      <c r="J7" s="1461"/>
      <c r="K7" s="1461"/>
    </row>
    <row r="9" spans="1:11" ht="30" customHeight="1">
      <c r="A9" s="1462" t="s">
        <v>902</v>
      </c>
      <c r="B9" s="1461" t="s">
        <v>899</v>
      </c>
      <c r="H9" s="1461">
        <v>19</v>
      </c>
      <c r="I9" s="1461" t="s">
        <v>906</v>
      </c>
      <c r="J9" s="1461">
        <v>20</v>
      </c>
      <c r="K9" s="1461" t="s">
        <v>909</v>
      </c>
    </row>
    <row r="10" spans="1:11" ht="30" customHeight="1">
      <c r="A10" s="1461"/>
      <c r="B10" s="1461"/>
      <c r="H10" s="1461"/>
      <c r="I10" s="1461"/>
      <c r="J10" s="1461"/>
      <c r="K10" s="1461"/>
    </row>
    <row r="11" spans="1:11" ht="30" customHeight="1">
      <c r="A11" s="1461"/>
    </row>
    <row r="12" spans="1:11" ht="30" customHeight="1">
      <c r="A12" s="1461"/>
      <c r="B12" s="1461" t="s">
        <v>900</v>
      </c>
      <c r="H12" s="1461">
        <v>33</v>
      </c>
      <c r="I12" s="1461" t="s">
        <v>906</v>
      </c>
      <c r="J12" s="1461">
        <v>20</v>
      </c>
      <c r="K12" s="1461" t="s">
        <v>910</v>
      </c>
    </row>
    <row r="13" spans="1:11" ht="30" customHeight="1">
      <c r="A13" s="1461"/>
      <c r="B13" s="1461"/>
      <c r="H13" s="1461"/>
      <c r="I13" s="1461"/>
      <c r="J13" s="1461"/>
      <c r="K13" s="1461"/>
    </row>
    <row r="15" spans="1:11" ht="30" customHeight="1">
      <c r="A15" s="1462" t="s">
        <v>903</v>
      </c>
      <c r="B15" s="1461" t="s">
        <v>899</v>
      </c>
      <c r="H15" s="1461">
        <v>20</v>
      </c>
      <c r="I15" s="1461" t="s">
        <v>906</v>
      </c>
      <c r="J15" s="1461">
        <v>20</v>
      </c>
      <c r="K15" s="1461" t="s">
        <v>909</v>
      </c>
    </row>
    <row r="16" spans="1:11" ht="30" customHeight="1">
      <c r="A16" s="1461"/>
      <c r="B16" s="1461"/>
      <c r="H16" s="1461"/>
      <c r="I16" s="1461"/>
      <c r="J16" s="1461"/>
      <c r="K16" s="1461"/>
    </row>
    <row r="17" spans="1:11" ht="30" customHeight="1">
      <c r="A17" s="1461"/>
    </row>
    <row r="18" spans="1:11" ht="30" customHeight="1">
      <c r="A18" s="1461"/>
      <c r="B18" s="1461" t="s">
        <v>900</v>
      </c>
      <c r="H18" s="1461">
        <v>9</v>
      </c>
      <c r="I18" s="1461" t="s">
        <v>906</v>
      </c>
      <c r="J18" s="1461">
        <v>20</v>
      </c>
      <c r="K18" s="1461" t="s">
        <v>909</v>
      </c>
    </row>
    <row r="19" spans="1:11" ht="30" customHeight="1">
      <c r="A19" s="1461"/>
      <c r="B19" s="1461"/>
      <c r="H19" s="1461"/>
      <c r="I19" s="1461"/>
      <c r="J19" s="1461"/>
      <c r="K19" s="1461"/>
    </row>
    <row r="21" spans="1:11" ht="30" customHeight="1">
      <c r="A21" s="1462" t="s">
        <v>904</v>
      </c>
      <c r="B21" s="1461" t="s">
        <v>899</v>
      </c>
      <c r="H21" s="1461">
        <v>40</v>
      </c>
      <c r="I21" s="1461" t="s">
        <v>907</v>
      </c>
      <c r="J21" s="1461">
        <v>20</v>
      </c>
      <c r="K21" s="1461" t="s">
        <v>910</v>
      </c>
    </row>
    <row r="22" spans="1:11" ht="30" customHeight="1">
      <c r="A22" s="1461"/>
      <c r="B22" s="1461"/>
      <c r="H22" s="1461"/>
      <c r="I22" s="1461"/>
      <c r="J22" s="1461"/>
      <c r="K22" s="1461"/>
    </row>
    <row r="23" spans="1:11" ht="30" customHeight="1">
      <c r="A23" s="1461"/>
    </row>
    <row r="24" spans="1:11" ht="30" customHeight="1">
      <c r="A24" s="1461"/>
      <c r="B24" s="1461" t="s">
        <v>900</v>
      </c>
      <c r="H24" s="1461">
        <v>23</v>
      </c>
      <c r="I24" s="1461" t="s">
        <v>908</v>
      </c>
      <c r="J24" s="1461">
        <v>20</v>
      </c>
      <c r="K24" s="1461" t="s">
        <v>910</v>
      </c>
    </row>
    <row r="25" spans="1:11" ht="30" customHeight="1">
      <c r="A25" s="1461"/>
      <c r="B25" s="1461"/>
      <c r="H25" s="1461"/>
      <c r="I25" s="1461"/>
      <c r="J25" s="1461"/>
      <c r="K25" s="1461"/>
    </row>
  </sheetData>
  <mergeCells count="46">
    <mergeCell ref="K3:K4"/>
    <mergeCell ref="K6:K7"/>
    <mergeCell ref="K9:K10"/>
    <mergeCell ref="K12:K13"/>
    <mergeCell ref="K15:K16"/>
    <mergeCell ref="J18:J19"/>
    <mergeCell ref="J21:J22"/>
    <mergeCell ref="J24:J25"/>
    <mergeCell ref="K21:K22"/>
    <mergeCell ref="K24:K25"/>
    <mergeCell ref="K18:K19"/>
    <mergeCell ref="J3:J4"/>
    <mergeCell ref="J6:J7"/>
    <mergeCell ref="J9:J10"/>
    <mergeCell ref="J12:J13"/>
    <mergeCell ref="J15:J16"/>
    <mergeCell ref="H15:H16"/>
    <mergeCell ref="H18:H19"/>
    <mergeCell ref="H21:H22"/>
    <mergeCell ref="H24:H25"/>
    <mergeCell ref="I3:I4"/>
    <mergeCell ref="I6:I7"/>
    <mergeCell ref="I9:I10"/>
    <mergeCell ref="I12:I13"/>
    <mergeCell ref="I15:I16"/>
    <mergeCell ref="I18:I19"/>
    <mergeCell ref="H12:H13"/>
    <mergeCell ref="I21:I22"/>
    <mergeCell ref="I24:I25"/>
    <mergeCell ref="C2:D2"/>
    <mergeCell ref="E2:F2"/>
    <mergeCell ref="H3:H4"/>
    <mergeCell ref="H6:H7"/>
    <mergeCell ref="H9:H10"/>
    <mergeCell ref="B21:B22"/>
    <mergeCell ref="B24:B25"/>
    <mergeCell ref="A3:A7"/>
    <mergeCell ref="A9:A13"/>
    <mergeCell ref="A15:A19"/>
    <mergeCell ref="A21:A25"/>
    <mergeCell ref="B3:B4"/>
    <mergeCell ref="B6:B7"/>
    <mergeCell ref="B9:B10"/>
    <mergeCell ref="B12:B13"/>
    <mergeCell ref="B15:B16"/>
    <mergeCell ref="B18:B19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1"/>
  <sheetViews>
    <sheetView view="pageBreakPreview" topLeftCell="A32" zoomScaleSheetLayoutView="100" workbookViewId="0">
      <selection activeCell="L53" sqref="L53"/>
    </sheetView>
  </sheetViews>
  <sheetFormatPr defaultRowHeight="20.100000000000001" customHeight="1"/>
  <cols>
    <col min="1" max="1" width="13.77734375" style="780" customWidth="1"/>
    <col min="2" max="8" width="4" style="780" customWidth="1"/>
    <col min="9" max="10" width="4.109375" style="780" customWidth="1"/>
    <col min="11" max="20" width="4" style="780" customWidth="1"/>
    <col min="21" max="21" width="4.77734375" style="780" customWidth="1"/>
    <col min="22" max="22" width="16" style="780" customWidth="1"/>
    <col min="23" max="23" width="8.109375" style="780" customWidth="1"/>
    <col min="24" max="25" width="4.77734375" style="780" customWidth="1"/>
    <col min="26" max="26" width="7.33203125" style="780" customWidth="1"/>
    <col min="27" max="36" width="4.77734375" style="780" customWidth="1"/>
    <col min="37" max="16384" width="8.88671875" style="780"/>
  </cols>
  <sheetData>
    <row r="1" spans="1:26" ht="21.95" customHeight="1">
      <c r="A1" s="776" t="s">
        <v>799</v>
      </c>
      <c r="B1" s="776"/>
      <c r="C1" s="776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467"/>
      <c r="T1" s="467"/>
      <c r="U1" s="467"/>
      <c r="V1" s="467"/>
      <c r="W1" s="467"/>
      <c r="X1" s="467"/>
      <c r="Y1" s="467"/>
      <c r="Z1" s="467"/>
    </row>
    <row r="2" spans="1:26" ht="21.95" customHeight="1">
      <c r="A2" s="784" t="s">
        <v>823</v>
      </c>
      <c r="B2" s="776"/>
      <c r="C2" s="776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467"/>
      <c r="T2" s="467"/>
      <c r="U2" s="467"/>
      <c r="V2" s="467"/>
      <c r="W2" s="467"/>
      <c r="X2" s="467"/>
      <c r="Y2" s="467"/>
      <c r="Z2" s="467"/>
    </row>
    <row r="3" spans="1:26" ht="21.95" customHeight="1">
      <c r="A3" s="784" t="s">
        <v>824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43"/>
      <c r="Q3" s="770"/>
      <c r="R3" s="770"/>
      <c r="S3" s="467"/>
      <c r="T3" s="467"/>
      <c r="U3" s="467"/>
      <c r="V3" s="467"/>
      <c r="W3" s="467"/>
      <c r="X3" s="467"/>
      <c r="Y3" s="467"/>
      <c r="Z3" s="467"/>
    </row>
    <row r="4" spans="1:26" ht="21.95" customHeight="1">
      <c r="A4" s="758" t="s">
        <v>0</v>
      </c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47"/>
      <c r="Q4" s="770"/>
      <c r="R4" s="770"/>
      <c r="S4" s="467"/>
      <c r="T4" s="467"/>
      <c r="U4" s="467"/>
      <c r="V4" s="467"/>
      <c r="W4" s="467"/>
      <c r="X4" s="467"/>
      <c r="Y4" s="467"/>
      <c r="Z4" s="467"/>
    </row>
    <row r="5" spans="1:26" ht="21.95" customHeight="1">
      <c r="A5" s="597" t="s">
        <v>53</v>
      </c>
      <c r="B5" s="1469" t="s">
        <v>69</v>
      </c>
      <c r="C5" s="1469"/>
      <c r="D5" s="1469"/>
      <c r="E5" s="1469"/>
      <c r="F5" s="1472">
        <v>12</v>
      </c>
      <c r="G5" s="1473"/>
      <c r="H5" s="753"/>
      <c r="I5" s="770"/>
      <c r="J5" s="770"/>
      <c r="K5" s="770"/>
      <c r="L5" s="770"/>
      <c r="M5" s="770"/>
      <c r="N5" s="770"/>
      <c r="O5" s="770"/>
      <c r="P5" s="747"/>
      <c r="Q5" s="770"/>
      <c r="R5" s="770"/>
      <c r="S5" s="467"/>
      <c r="T5" s="467"/>
      <c r="U5" s="467"/>
      <c r="V5" s="467"/>
      <c r="W5" s="467"/>
      <c r="X5" s="467"/>
      <c r="Y5" s="467"/>
      <c r="Z5" s="467"/>
    </row>
    <row r="6" spans="1:26" ht="21.95" customHeight="1">
      <c r="A6" s="597" t="s">
        <v>53</v>
      </c>
      <c r="B6" s="1469" t="s">
        <v>169</v>
      </c>
      <c r="C6" s="1469"/>
      <c r="D6" s="1469"/>
      <c r="E6" s="1469"/>
      <c r="F6" s="1476">
        <f>물질수지!C7/2</f>
        <v>5900</v>
      </c>
      <c r="G6" s="1476"/>
      <c r="H6" s="1471"/>
      <c r="I6" s="757"/>
      <c r="J6" s="757"/>
      <c r="K6" s="770"/>
      <c r="L6" s="757"/>
      <c r="M6" s="1477"/>
      <c r="N6" s="1478"/>
      <c r="O6" s="1478"/>
      <c r="P6" s="1478"/>
      <c r="Q6" s="770"/>
      <c r="R6" s="770"/>
      <c r="S6" s="467"/>
      <c r="T6" s="467"/>
      <c r="U6" s="467"/>
      <c r="V6" s="467"/>
      <c r="W6" s="467"/>
      <c r="X6" s="467"/>
      <c r="Y6" s="467"/>
      <c r="Z6" s="467"/>
    </row>
    <row r="7" spans="1:26" ht="21.95" customHeight="1">
      <c r="A7" s="597" t="s">
        <v>53</v>
      </c>
      <c r="B7" s="1469" t="s">
        <v>85</v>
      </c>
      <c r="C7" s="1469"/>
      <c r="D7" s="1469"/>
      <c r="E7" s="1469"/>
      <c r="F7" s="1470">
        <f>F6</f>
        <v>5900</v>
      </c>
      <c r="G7" s="1470"/>
      <c r="H7" s="1471"/>
      <c r="I7" s="757" t="s">
        <v>52</v>
      </c>
      <c r="J7" s="1472">
        <f>F5</f>
        <v>12</v>
      </c>
      <c r="K7" s="1473"/>
      <c r="L7" s="757" t="s">
        <v>30</v>
      </c>
      <c r="M7" s="1474">
        <f>F7/J7/60</f>
        <v>8.1944444444444446</v>
      </c>
      <c r="N7" s="1474"/>
      <c r="O7" s="1474"/>
      <c r="P7" s="604"/>
      <c r="Q7" s="770"/>
      <c r="R7" s="770"/>
      <c r="S7" s="467"/>
      <c r="T7" s="467"/>
      <c r="U7" s="467"/>
      <c r="V7" s="467"/>
      <c r="W7" s="467"/>
      <c r="X7" s="467"/>
      <c r="Y7" s="467"/>
      <c r="Z7" s="467"/>
    </row>
    <row r="8" spans="1:26" ht="21.95" customHeight="1">
      <c r="A8" s="597" t="s">
        <v>53</v>
      </c>
      <c r="B8" s="1469" t="s">
        <v>170</v>
      </c>
      <c r="C8" s="1469"/>
      <c r="D8" s="1469"/>
      <c r="E8" s="1469"/>
      <c r="F8" s="1475">
        <f>M7</f>
        <v>8.1944444444444446</v>
      </c>
      <c r="G8" s="1475"/>
      <c r="H8" s="1475"/>
      <c r="I8" s="757"/>
      <c r="J8" s="756"/>
      <c r="K8" s="770"/>
      <c r="L8" s="757"/>
      <c r="M8" s="605"/>
      <c r="N8" s="605"/>
      <c r="O8" s="605"/>
      <c r="P8" s="604"/>
      <c r="Q8" s="770"/>
      <c r="R8" s="770"/>
      <c r="S8" s="467"/>
      <c r="T8" s="467"/>
      <c r="U8" s="467"/>
      <c r="V8" s="467"/>
      <c r="W8" s="467"/>
      <c r="X8" s="467"/>
      <c r="Y8" s="467"/>
      <c r="Z8" s="467"/>
    </row>
    <row r="9" spans="1:26" ht="21.95" customHeight="1">
      <c r="A9" s="758" t="s">
        <v>2</v>
      </c>
      <c r="B9" s="770"/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467"/>
      <c r="T9" s="467"/>
      <c r="U9" s="467"/>
      <c r="V9" s="467"/>
      <c r="W9" s="467"/>
      <c r="X9" s="467"/>
      <c r="Y9" s="467"/>
      <c r="Z9" s="467"/>
    </row>
    <row r="10" spans="1:26" ht="21.95" customHeight="1" thickBot="1">
      <c r="A10" s="770"/>
      <c r="B10" s="1468" t="s">
        <v>24</v>
      </c>
      <c r="C10" s="1468"/>
      <c r="D10" s="1468"/>
      <c r="E10" s="1468" t="s">
        <v>64</v>
      </c>
      <c r="F10" s="1468"/>
      <c r="G10" s="1479" t="s">
        <v>65</v>
      </c>
      <c r="H10" s="1480"/>
      <c r="I10" s="1480"/>
      <c r="J10" s="1480"/>
      <c r="K10" s="1480"/>
      <c r="L10" s="1480"/>
      <c r="M10" s="1479" t="s">
        <v>63</v>
      </c>
      <c r="N10" s="1480"/>
      <c r="O10" s="1480"/>
      <c r="P10" s="1481"/>
      <c r="Q10" s="770"/>
      <c r="R10" s="770"/>
      <c r="S10" s="467"/>
      <c r="T10" s="467"/>
      <c r="U10" s="467"/>
      <c r="V10" s="467"/>
      <c r="W10" s="467"/>
      <c r="X10" s="467"/>
      <c r="Y10" s="467"/>
      <c r="Z10" s="467"/>
    </row>
    <row r="11" spans="1:26" ht="21.95" customHeight="1" thickTop="1">
      <c r="A11" s="770"/>
      <c r="B11" s="1482" t="s">
        <v>67</v>
      </c>
      <c r="C11" s="1482"/>
      <c r="D11" s="1482"/>
      <c r="E11" s="1266" t="s">
        <v>31</v>
      </c>
      <c r="F11" s="1266"/>
      <c r="G11" s="1483">
        <f>F8</f>
        <v>8.1944444444444446</v>
      </c>
      <c r="H11" s="1484"/>
      <c r="I11" s="1484"/>
      <c r="J11" s="1484"/>
      <c r="K11" s="1484"/>
      <c r="L11" s="1484"/>
      <c r="M11" s="1485"/>
      <c r="N11" s="1486"/>
      <c r="O11" s="1486"/>
      <c r="P11" s="1487"/>
      <c r="Q11" s="770"/>
      <c r="R11" s="770"/>
      <c r="S11" s="467"/>
      <c r="T11" s="467"/>
      <c r="U11" s="467"/>
      <c r="V11" s="467"/>
      <c r="W11" s="467"/>
      <c r="X11" s="467"/>
      <c r="Y11" s="467"/>
      <c r="Z11" s="467"/>
    </row>
    <row r="12" spans="1:26" ht="21.95" customHeight="1">
      <c r="A12" s="770"/>
      <c r="B12" s="1266" t="s">
        <v>68</v>
      </c>
      <c r="C12" s="1266"/>
      <c r="D12" s="1266"/>
      <c r="E12" s="1266" t="s">
        <v>58</v>
      </c>
      <c r="F12" s="1266"/>
      <c r="G12" s="1463"/>
      <c r="H12" s="1464"/>
      <c r="I12" s="1464"/>
      <c r="J12" s="1464"/>
      <c r="K12" s="1464"/>
      <c r="L12" s="1464"/>
      <c r="M12" s="1465"/>
      <c r="N12" s="1466"/>
      <c r="O12" s="1466"/>
      <c r="P12" s="1467"/>
      <c r="Q12" s="770"/>
      <c r="R12" s="770"/>
      <c r="S12" s="467"/>
      <c r="T12" s="467"/>
      <c r="U12" s="467"/>
      <c r="V12" s="467"/>
      <c r="W12" s="467"/>
      <c r="X12" s="467"/>
      <c r="Y12" s="467"/>
      <c r="Z12" s="467"/>
    </row>
    <row r="13" spans="1:26" ht="21.95" customHeight="1">
      <c r="A13" s="770"/>
      <c r="B13" s="1266" t="s">
        <v>70</v>
      </c>
      <c r="C13" s="1266"/>
      <c r="D13" s="1266"/>
      <c r="E13" s="1266" t="s">
        <v>61</v>
      </c>
      <c r="F13" s="1266"/>
      <c r="G13" s="1463"/>
      <c r="H13" s="1464"/>
      <c r="I13" s="1464"/>
      <c r="J13" s="1464"/>
      <c r="K13" s="1464"/>
      <c r="L13" s="1464"/>
      <c r="M13" s="1465"/>
      <c r="N13" s="1466"/>
      <c r="O13" s="1466"/>
      <c r="P13" s="1467"/>
      <c r="Q13" s="770"/>
      <c r="R13" s="770"/>
      <c r="S13" s="467"/>
      <c r="T13" s="467"/>
      <c r="U13" s="467"/>
      <c r="V13" s="467"/>
      <c r="W13" s="467"/>
      <c r="X13" s="467"/>
      <c r="Y13" s="467"/>
      <c r="Z13" s="467"/>
    </row>
    <row r="14" spans="1:26" ht="21.95" customHeight="1">
      <c r="A14" s="770"/>
      <c r="B14" s="1401" t="s">
        <v>66</v>
      </c>
      <c r="C14" s="1401"/>
      <c r="D14" s="1401"/>
      <c r="E14" s="1401" t="s">
        <v>53</v>
      </c>
      <c r="F14" s="1401"/>
      <c r="G14" s="1488" t="s">
        <v>815</v>
      </c>
      <c r="H14" s="1489"/>
      <c r="I14" s="1489"/>
      <c r="J14" s="1489"/>
      <c r="K14" s="1489"/>
      <c r="L14" s="1489"/>
      <c r="M14" s="1465"/>
      <c r="N14" s="1466"/>
      <c r="O14" s="1466"/>
      <c r="P14" s="1467"/>
      <c r="Q14" s="770"/>
      <c r="R14" s="770"/>
      <c r="S14" s="467"/>
      <c r="T14" s="467"/>
      <c r="U14" s="467"/>
      <c r="V14" s="467"/>
      <c r="W14" s="467"/>
      <c r="X14" s="467"/>
      <c r="Y14" s="467"/>
      <c r="Z14" s="467"/>
    </row>
    <row r="15" spans="1:26" ht="21.95" customHeight="1">
      <c r="A15" s="770"/>
      <c r="B15" s="1266" t="s">
        <v>32</v>
      </c>
      <c r="C15" s="1266"/>
      <c r="D15" s="1266"/>
      <c r="E15" s="1266" t="s">
        <v>33</v>
      </c>
      <c r="F15" s="1266"/>
      <c r="G15" s="1463">
        <v>3.7</v>
      </c>
      <c r="H15" s="1464"/>
      <c r="I15" s="1464"/>
      <c r="J15" s="1464"/>
      <c r="K15" s="1464"/>
      <c r="L15" s="1464"/>
      <c r="M15" s="1465"/>
      <c r="N15" s="1466"/>
      <c r="O15" s="1466"/>
      <c r="P15" s="1467"/>
      <c r="Q15" s="770"/>
      <c r="R15" s="770"/>
      <c r="S15" s="467"/>
      <c r="T15" s="467"/>
      <c r="U15" s="467"/>
      <c r="V15" s="467"/>
      <c r="W15" s="467"/>
      <c r="X15" s="467"/>
      <c r="Y15" s="467"/>
      <c r="Z15" s="467"/>
    </row>
    <row r="16" spans="1:26" ht="21.95" customHeight="1">
      <c r="A16" s="770"/>
      <c r="B16" s="1266" t="s">
        <v>34</v>
      </c>
      <c r="C16" s="1266"/>
      <c r="D16" s="1266"/>
      <c r="E16" s="1465" t="s">
        <v>35</v>
      </c>
      <c r="F16" s="1467"/>
      <c r="G16" s="1463">
        <v>1</v>
      </c>
      <c r="H16" s="1464"/>
      <c r="I16" s="1464"/>
      <c r="J16" s="1464"/>
      <c r="K16" s="1464"/>
      <c r="L16" s="1464"/>
      <c r="M16" s="1465"/>
      <c r="N16" s="1466"/>
      <c r="O16" s="1466"/>
      <c r="P16" s="1467"/>
      <c r="Q16" s="770"/>
      <c r="R16" s="770"/>
      <c r="S16" s="467"/>
      <c r="T16" s="467"/>
      <c r="U16" s="467"/>
      <c r="V16" s="467"/>
      <c r="W16" s="467"/>
      <c r="X16" s="467"/>
      <c r="Y16" s="467"/>
      <c r="Z16" s="467"/>
    </row>
    <row r="17" spans="1:26" ht="21.95" customHeight="1">
      <c r="A17" s="776"/>
      <c r="B17" s="776"/>
      <c r="C17" s="776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467"/>
      <c r="T17" s="467"/>
      <c r="U17" s="467"/>
      <c r="V17" s="467"/>
      <c r="W17" s="467"/>
      <c r="X17" s="467"/>
      <c r="Y17" s="467"/>
      <c r="Z17" s="467"/>
    </row>
    <row r="18" spans="1:26" s="596" customFormat="1" ht="21.95" customHeight="1">
      <c r="A18" s="776" t="s">
        <v>800</v>
      </c>
      <c r="B18" s="776"/>
      <c r="C18" s="753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5"/>
      <c r="T18" s="755"/>
      <c r="U18" s="755"/>
      <c r="V18" s="755"/>
      <c r="W18" s="755"/>
      <c r="X18" s="755"/>
      <c r="Y18" s="755"/>
      <c r="Z18" s="755"/>
    </row>
    <row r="19" spans="1:26" ht="21.95" customHeight="1">
      <c r="A19" s="776" t="s">
        <v>801</v>
      </c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43"/>
      <c r="Q19" s="743"/>
      <c r="R19" s="770"/>
      <c r="S19" s="467"/>
      <c r="T19" s="467"/>
      <c r="U19" s="467"/>
      <c r="V19" s="467"/>
      <c r="W19" s="467"/>
      <c r="X19" s="467"/>
      <c r="Y19" s="467"/>
      <c r="Z19" s="467"/>
    </row>
    <row r="20" spans="1:26" ht="21.95" customHeight="1">
      <c r="A20" s="758" t="s">
        <v>0</v>
      </c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70"/>
      <c r="M20" s="770"/>
      <c r="N20" s="770"/>
      <c r="O20" s="770"/>
      <c r="P20" s="747"/>
      <c r="Q20" s="743"/>
      <c r="R20" s="770"/>
      <c r="S20" s="467"/>
      <c r="T20" s="467"/>
      <c r="U20" s="467"/>
      <c r="V20" s="467"/>
      <c r="W20" s="467"/>
      <c r="X20" s="467"/>
      <c r="Y20" s="467"/>
      <c r="Z20" s="467"/>
    </row>
    <row r="21" spans="1:26" ht="21.95" customHeight="1">
      <c r="A21" s="597" t="s">
        <v>53</v>
      </c>
      <c r="B21" s="1469" t="s">
        <v>60</v>
      </c>
      <c r="C21" s="1469"/>
      <c r="D21" s="1469"/>
      <c r="E21" s="753" t="s">
        <v>802</v>
      </c>
      <c r="F21" s="753"/>
      <c r="G21" s="753"/>
      <c r="H21" s="753"/>
      <c r="I21" s="753"/>
      <c r="J21" s="753"/>
      <c r="K21" s="753"/>
      <c r="L21" s="753"/>
      <c r="M21" s="753"/>
      <c r="N21" s="753"/>
      <c r="O21" s="770"/>
      <c r="P21" s="747"/>
      <c r="Q21" s="743"/>
      <c r="R21" s="770"/>
      <c r="S21" s="467"/>
      <c r="T21" s="467"/>
      <c r="U21" s="467"/>
      <c r="V21" s="467"/>
      <c r="W21" s="467"/>
      <c r="X21" s="467"/>
      <c r="Y21" s="467"/>
      <c r="Z21" s="467"/>
    </row>
    <row r="22" spans="1:26" ht="21.95" customHeight="1">
      <c r="A22" s="597" t="s">
        <v>53</v>
      </c>
      <c r="B22" s="1469" t="s">
        <v>69</v>
      </c>
      <c r="C22" s="1469"/>
      <c r="D22" s="1469"/>
      <c r="E22" s="1469"/>
      <c r="F22" s="1472">
        <v>18</v>
      </c>
      <c r="G22" s="1473"/>
      <c r="H22" s="753"/>
      <c r="I22" s="770"/>
      <c r="J22" s="770"/>
      <c r="K22" s="770"/>
      <c r="L22" s="770"/>
      <c r="M22" s="770"/>
      <c r="N22" s="770"/>
      <c r="O22" s="770"/>
      <c r="P22" s="747"/>
      <c r="Q22" s="743"/>
      <c r="R22" s="602"/>
      <c r="S22" s="603"/>
      <c r="T22" s="603"/>
      <c r="U22" s="467"/>
      <c r="V22" s="467"/>
      <c r="W22" s="467"/>
      <c r="X22" s="467"/>
      <c r="Y22" s="467"/>
      <c r="Z22" s="467"/>
    </row>
    <row r="23" spans="1:26" ht="21.95" customHeight="1">
      <c r="A23" s="597" t="s">
        <v>53</v>
      </c>
      <c r="B23" s="1469" t="s">
        <v>169</v>
      </c>
      <c r="C23" s="1469"/>
      <c r="D23" s="1469"/>
      <c r="E23" s="1469"/>
      <c r="F23" s="1476">
        <f>물질수지!G7/2</f>
        <v>6192.2116383493621</v>
      </c>
      <c r="G23" s="1476"/>
      <c r="H23" s="1471"/>
      <c r="I23" s="757"/>
      <c r="J23" s="757"/>
      <c r="K23" s="770"/>
      <c r="L23" s="757"/>
      <c r="M23" s="1477"/>
      <c r="N23" s="1478"/>
      <c r="O23" s="1478"/>
      <c r="P23" s="1478"/>
      <c r="Q23" s="743"/>
      <c r="R23" s="602"/>
      <c r="S23" s="603"/>
      <c r="T23" s="603"/>
      <c r="U23" s="467"/>
      <c r="V23" s="467"/>
      <c r="W23" s="467"/>
      <c r="X23" s="467"/>
      <c r="Y23" s="467"/>
      <c r="Z23" s="467"/>
    </row>
    <row r="24" spans="1:26" ht="21.95" customHeight="1">
      <c r="A24" s="597" t="s">
        <v>53</v>
      </c>
      <c r="B24" s="1469" t="s">
        <v>85</v>
      </c>
      <c r="C24" s="1469"/>
      <c r="D24" s="1469"/>
      <c r="E24" s="1469"/>
      <c r="F24" s="1470">
        <f>F23</f>
        <v>6192.2116383493621</v>
      </c>
      <c r="G24" s="1470"/>
      <c r="H24" s="1471"/>
      <c r="I24" s="757" t="s">
        <v>52</v>
      </c>
      <c r="J24" s="1472">
        <f>F22</f>
        <v>18</v>
      </c>
      <c r="K24" s="1473"/>
      <c r="L24" s="757" t="s">
        <v>30</v>
      </c>
      <c r="M24" s="1474">
        <f>F24/J24/60</f>
        <v>5.7335292947679282</v>
      </c>
      <c r="N24" s="1474"/>
      <c r="O24" s="1474"/>
      <c r="P24" s="604"/>
      <c r="Q24" s="743"/>
      <c r="R24" s="602"/>
      <c r="S24" s="603"/>
      <c r="T24" s="603"/>
      <c r="U24" s="467"/>
      <c r="V24" s="467"/>
      <c r="W24" s="467"/>
      <c r="X24" s="467"/>
      <c r="Y24" s="467"/>
      <c r="Z24" s="467"/>
    </row>
    <row r="25" spans="1:26" ht="21.95" customHeight="1">
      <c r="A25" s="597" t="s">
        <v>53</v>
      </c>
      <c r="B25" s="1469" t="s">
        <v>170</v>
      </c>
      <c r="C25" s="1469"/>
      <c r="D25" s="1469"/>
      <c r="E25" s="1469"/>
      <c r="F25" s="1475">
        <f>M24</f>
        <v>5.7335292947679282</v>
      </c>
      <c r="G25" s="1475"/>
      <c r="H25" s="1475"/>
      <c r="I25" s="757"/>
      <c r="J25" s="756"/>
      <c r="K25" s="770"/>
      <c r="L25" s="757"/>
      <c r="M25" s="605"/>
      <c r="N25" s="605"/>
      <c r="O25" s="605"/>
      <c r="P25" s="604"/>
      <c r="Q25" s="743"/>
      <c r="R25" s="602"/>
      <c r="S25" s="603"/>
      <c r="T25" s="603"/>
      <c r="U25" s="467"/>
      <c r="V25" s="467"/>
      <c r="W25" s="467"/>
      <c r="X25" s="467"/>
      <c r="Y25" s="467"/>
      <c r="Z25" s="467"/>
    </row>
    <row r="26" spans="1:26" ht="21.95" customHeight="1">
      <c r="A26" s="758" t="s">
        <v>2</v>
      </c>
      <c r="B26" s="770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43"/>
      <c r="R26" s="602"/>
      <c r="S26" s="603"/>
      <c r="T26" s="603"/>
      <c r="U26" s="467"/>
      <c r="V26" s="467"/>
      <c r="W26" s="467"/>
      <c r="X26" s="467"/>
      <c r="Y26" s="467"/>
      <c r="Z26" s="467"/>
    </row>
    <row r="27" spans="1:26" ht="21.95" customHeight="1" thickBot="1">
      <c r="A27" s="770"/>
      <c r="B27" s="1468" t="s">
        <v>24</v>
      </c>
      <c r="C27" s="1468"/>
      <c r="D27" s="1468"/>
      <c r="E27" s="1468" t="s">
        <v>64</v>
      </c>
      <c r="F27" s="1468"/>
      <c r="G27" s="1479" t="s">
        <v>65</v>
      </c>
      <c r="H27" s="1480"/>
      <c r="I27" s="1480"/>
      <c r="J27" s="1480"/>
      <c r="K27" s="1480"/>
      <c r="L27" s="1480"/>
      <c r="M27" s="1479" t="s">
        <v>63</v>
      </c>
      <c r="N27" s="1480"/>
      <c r="O27" s="1480"/>
      <c r="P27" s="1481"/>
      <c r="Q27" s="743"/>
      <c r="R27" s="602"/>
      <c r="S27" s="603"/>
      <c r="T27" s="603"/>
      <c r="U27" s="467"/>
      <c r="V27" s="467"/>
      <c r="W27" s="467"/>
      <c r="X27" s="467"/>
      <c r="Y27" s="467"/>
      <c r="Z27" s="467"/>
    </row>
    <row r="28" spans="1:26" ht="21.95" customHeight="1" thickTop="1">
      <c r="A28" s="770"/>
      <c r="B28" s="1482" t="s">
        <v>67</v>
      </c>
      <c r="C28" s="1482"/>
      <c r="D28" s="1482"/>
      <c r="E28" s="1266" t="s">
        <v>31</v>
      </c>
      <c r="F28" s="1266"/>
      <c r="G28" s="1483">
        <f>F25</f>
        <v>5.7335292947679282</v>
      </c>
      <c r="H28" s="1484"/>
      <c r="I28" s="1484"/>
      <c r="J28" s="1484"/>
      <c r="K28" s="1484"/>
      <c r="L28" s="1484"/>
      <c r="M28" s="1485"/>
      <c r="N28" s="1486"/>
      <c r="O28" s="1486"/>
      <c r="P28" s="1487"/>
      <c r="Q28" s="743"/>
      <c r="R28" s="602"/>
      <c r="S28" s="603"/>
      <c r="T28" s="603"/>
      <c r="U28" s="467"/>
      <c r="V28" s="467"/>
      <c r="W28" s="467"/>
      <c r="X28" s="467"/>
      <c r="Y28" s="467"/>
      <c r="Z28" s="467"/>
    </row>
    <row r="29" spans="1:26" s="596" customFormat="1" ht="21.95" customHeight="1">
      <c r="A29" s="770"/>
      <c r="B29" s="1266" t="s">
        <v>68</v>
      </c>
      <c r="C29" s="1266"/>
      <c r="D29" s="1266"/>
      <c r="E29" s="1266" t="s">
        <v>58</v>
      </c>
      <c r="F29" s="1266"/>
      <c r="G29" s="1463">
        <v>80</v>
      </c>
      <c r="H29" s="1464"/>
      <c r="I29" s="1464"/>
      <c r="J29" s="1464"/>
      <c r="K29" s="1464"/>
      <c r="L29" s="1464"/>
      <c r="M29" s="1465"/>
      <c r="N29" s="1466"/>
      <c r="O29" s="1466"/>
      <c r="P29" s="1467"/>
      <c r="Q29" s="757"/>
      <c r="R29" s="757"/>
      <c r="S29" s="755"/>
      <c r="T29" s="755"/>
      <c r="U29" s="755"/>
      <c r="V29" s="755"/>
      <c r="W29" s="755"/>
      <c r="X29" s="755"/>
      <c r="Y29" s="755"/>
      <c r="Z29" s="755"/>
    </row>
    <row r="30" spans="1:26" s="596" customFormat="1" ht="21.95" customHeight="1">
      <c r="A30" s="770"/>
      <c r="B30" s="1266" t="s">
        <v>70</v>
      </c>
      <c r="C30" s="1266"/>
      <c r="D30" s="1266"/>
      <c r="E30" s="1266" t="s">
        <v>61</v>
      </c>
      <c r="F30" s="1266"/>
      <c r="G30" s="1463">
        <v>11</v>
      </c>
      <c r="H30" s="1464"/>
      <c r="I30" s="1464"/>
      <c r="J30" s="1464"/>
      <c r="K30" s="1464"/>
      <c r="L30" s="1464"/>
      <c r="M30" s="1465"/>
      <c r="N30" s="1466"/>
      <c r="O30" s="1466"/>
      <c r="P30" s="1467"/>
      <c r="Q30" s="757"/>
      <c r="R30" s="757"/>
      <c r="S30" s="755"/>
      <c r="T30" s="755"/>
      <c r="U30" s="755"/>
      <c r="V30" s="755"/>
      <c r="W30" s="755"/>
      <c r="X30" s="755"/>
      <c r="Y30" s="755"/>
      <c r="Z30" s="755"/>
    </row>
    <row r="31" spans="1:26" s="596" customFormat="1" ht="21.95" customHeight="1">
      <c r="A31" s="770"/>
      <c r="B31" s="1401" t="s">
        <v>66</v>
      </c>
      <c r="C31" s="1401"/>
      <c r="D31" s="1401"/>
      <c r="E31" s="1401" t="s">
        <v>53</v>
      </c>
      <c r="F31" s="1401"/>
      <c r="G31" s="1488" t="s">
        <v>814</v>
      </c>
      <c r="H31" s="1489"/>
      <c r="I31" s="1489"/>
      <c r="J31" s="1489"/>
      <c r="K31" s="1489"/>
      <c r="L31" s="1489"/>
      <c r="M31" s="1465"/>
      <c r="N31" s="1466"/>
      <c r="O31" s="1466"/>
      <c r="P31" s="1467"/>
      <c r="Q31" s="757"/>
      <c r="R31" s="757"/>
      <c r="S31" s="755"/>
      <c r="T31" s="755"/>
      <c r="U31" s="755"/>
      <c r="V31" s="755"/>
      <c r="W31" s="755"/>
      <c r="X31" s="755"/>
      <c r="Y31" s="755"/>
      <c r="Z31" s="755"/>
    </row>
    <row r="32" spans="1:26" s="596" customFormat="1" ht="21.95" customHeight="1">
      <c r="A32" s="770"/>
      <c r="B32" s="1266" t="s">
        <v>32</v>
      </c>
      <c r="C32" s="1266"/>
      <c r="D32" s="1266"/>
      <c r="E32" s="1266" t="s">
        <v>33</v>
      </c>
      <c r="F32" s="1266"/>
      <c r="G32" s="1463">
        <v>3.7</v>
      </c>
      <c r="H32" s="1464"/>
      <c r="I32" s="1464"/>
      <c r="J32" s="1464"/>
      <c r="K32" s="1464"/>
      <c r="L32" s="1464"/>
      <c r="M32" s="1465"/>
      <c r="N32" s="1466"/>
      <c r="O32" s="1466"/>
      <c r="P32" s="1467"/>
      <c r="Q32" s="757"/>
      <c r="R32" s="757"/>
      <c r="S32" s="755"/>
      <c r="T32" s="755"/>
      <c r="U32" s="755"/>
      <c r="V32" s="755"/>
      <c r="W32" s="755"/>
      <c r="X32" s="755"/>
      <c r="Y32" s="755"/>
      <c r="Z32" s="755"/>
    </row>
    <row r="33" spans="1:26" ht="21.95" customHeight="1">
      <c r="A33" s="770"/>
      <c r="B33" s="1266" t="s">
        <v>34</v>
      </c>
      <c r="C33" s="1266"/>
      <c r="D33" s="1266"/>
      <c r="E33" s="1465" t="s">
        <v>35</v>
      </c>
      <c r="F33" s="1467"/>
      <c r="G33" s="1463">
        <v>1</v>
      </c>
      <c r="H33" s="1464"/>
      <c r="I33" s="1464"/>
      <c r="J33" s="1464"/>
      <c r="K33" s="1464"/>
      <c r="L33" s="1464"/>
      <c r="M33" s="1465"/>
      <c r="N33" s="1466"/>
      <c r="O33" s="1466"/>
      <c r="P33" s="1467"/>
      <c r="Q33" s="770"/>
      <c r="R33" s="770"/>
      <c r="S33" s="467"/>
      <c r="T33" s="467"/>
      <c r="U33" s="467"/>
      <c r="V33" s="467"/>
      <c r="W33" s="467"/>
      <c r="X33" s="467"/>
      <c r="Y33" s="467"/>
      <c r="Z33" s="467"/>
    </row>
    <row r="34" spans="1:26" ht="21.95" customHeight="1">
      <c r="A34" s="776"/>
      <c r="B34" s="743"/>
      <c r="C34" s="743"/>
      <c r="D34" s="743"/>
      <c r="E34" s="743"/>
      <c r="F34" s="743"/>
      <c r="G34" s="497"/>
      <c r="H34" s="497"/>
      <c r="I34" s="497"/>
      <c r="J34" s="497"/>
      <c r="K34" s="497"/>
      <c r="L34" s="497"/>
      <c r="M34" s="743"/>
      <c r="N34" s="743"/>
      <c r="O34" s="743"/>
      <c r="P34" s="743"/>
      <c r="Q34" s="770"/>
      <c r="R34" s="770"/>
      <c r="S34" s="467"/>
      <c r="T34" s="467"/>
      <c r="U34" s="467"/>
      <c r="V34" s="467"/>
      <c r="W34" s="467"/>
      <c r="X34" s="467"/>
      <c r="Y34" s="467"/>
      <c r="Z34" s="467"/>
    </row>
    <row r="35" spans="1:26" s="596" customFormat="1" ht="21.95" customHeight="1">
      <c r="A35" s="776" t="s">
        <v>803</v>
      </c>
      <c r="B35" s="776"/>
      <c r="C35" s="753"/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/>
      <c r="P35" s="757"/>
      <c r="Q35" s="757"/>
      <c r="R35" s="757"/>
      <c r="S35" s="755"/>
      <c r="T35" s="755"/>
      <c r="U35" s="755"/>
      <c r="V35" s="755"/>
      <c r="W35" s="755"/>
      <c r="X35" s="755"/>
      <c r="Y35" s="755"/>
      <c r="Z35" s="755"/>
    </row>
    <row r="36" spans="1:26" s="596" customFormat="1" ht="21.95" customHeight="1">
      <c r="A36" s="776" t="s">
        <v>224</v>
      </c>
      <c r="B36" s="757"/>
      <c r="C36" s="757"/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5"/>
      <c r="T36" s="755"/>
      <c r="U36" s="755"/>
      <c r="V36" s="755"/>
      <c r="W36" s="755"/>
      <c r="X36" s="1493">
        <f>M44-N39</f>
        <v>-8204.5999999999985</v>
      </c>
      <c r="Y36" s="1494"/>
      <c r="Z36" s="1494"/>
    </row>
    <row r="37" spans="1:26" s="596" customFormat="1" ht="21.95" customHeight="1">
      <c r="A37" s="758" t="s">
        <v>90</v>
      </c>
      <c r="B37" s="753" t="s">
        <v>92</v>
      </c>
      <c r="C37" s="753"/>
      <c r="D37" s="753"/>
      <c r="E37" s="753" t="s">
        <v>38</v>
      </c>
      <c r="F37" s="753"/>
      <c r="G37" s="753"/>
      <c r="H37" s="1495">
        <v>0.15939999999999999</v>
      </c>
      <c r="I37" s="1495"/>
      <c r="J37" s="753"/>
      <c r="K37" s="757"/>
      <c r="L37" s="757"/>
      <c r="M37" s="757"/>
      <c r="N37" s="757"/>
      <c r="O37" s="757"/>
      <c r="P37" s="757"/>
      <c r="Q37" s="757"/>
      <c r="R37" s="757"/>
      <c r="S37" s="755"/>
      <c r="T37" s="755"/>
      <c r="U37" s="755"/>
      <c r="V37" s="755"/>
      <c r="W37" s="755"/>
      <c r="X37" s="1494">
        <f>X36/6</f>
        <v>-1367.4333333333332</v>
      </c>
      <c r="Y37" s="1494"/>
      <c r="Z37" s="1494"/>
    </row>
    <row r="38" spans="1:26" s="596" customFormat="1" ht="21.95" customHeight="1">
      <c r="A38" s="597"/>
      <c r="B38" s="1469" t="s">
        <v>93</v>
      </c>
      <c r="C38" s="1469"/>
      <c r="D38" s="1469"/>
      <c r="E38" s="1496" t="s">
        <v>39</v>
      </c>
      <c r="F38" s="1496"/>
      <c r="G38" s="1496"/>
      <c r="H38" s="1496"/>
      <c r="I38" s="606">
        <v>25</v>
      </c>
      <c r="J38" s="758" t="s">
        <v>40</v>
      </c>
      <c r="K38" s="1497">
        <v>0.8</v>
      </c>
      <c r="L38" s="1497"/>
      <c r="M38" s="757"/>
      <c r="N38" s="757"/>
      <c r="O38" s="757"/>
      <c r="P38" s="757"/>
      <c r="Q38" s="757"/>
      <c r="R38" s="757"/>
      <c r="S38" s="755"/>
      <c r="T38" s="755"/>
      <c r="U38" s="755"/>
      <c r="V38" s="755"/>
      <c r="W38" s="755"/>
      <c r="X38" s="755"/>
      <c r="Y38" s="755"/>
      <c r="Z38" s="755"/>
    </row>
    <row r="39" spans="1:26" s="596" customFormat="1" ht="21.95" customHeight="1">
      <c r="A39" s="758" t="s">
        <v>89</v>
      </c>
      <c r="B39" s="753" t="s">
        <v>92</v>
      </c>
      <c r="C39" s="753"/>
      <c r="D39" s="753"/>
      <c r="E39" s="1501">
        <f>물질수지!C7/2</f>
        <v>5900</v>
      </c>
      <c r="F39" s="1501"/>
      <c r="G39" s="1501"/>
      <c r="H39" s="607" t="s">
        <v>41</v>
      </c>
      <c r="I39" s="1502">
        <f>H37</f>
        <v>0.15939999999999999</v>
      </c>
      <c r="J39" s="1502"/>
      <c r="K39" s="753" t="s">
        <v>42</v>
      </c>
      <c r="L39" s="753"/>
      <c r="M39" s="757" t="s">
        <v>30</v>
      </c>
      <c r="N39" s="1503">
        <f>E39*I39/100*1000</f>
        <v>9404.5999999999985</v>
      </c>
      <c r="O39" s="1503"/>
      <c r="P39" s="757"/>
      <c r="Q39" s="757"/>
      <c r="R39" s="757"/>
      <c r="S39" s="755"/>
      <c r="T39" s="1490">
        <f>N39/0.8</f>
        <v>11755.749999999998</v>
      </c>
      <c r="U39" s="1490"/>
      <c r="V39" s="755"/>
      <c r="W39" s="755"/>
      <c r="X39" s="755"/>
      <c r="Y39" s="755"/>
      <c r="Z39" s="755"/>
    </row>
    <row r="40" spans="1:26" s="596" customFormat="1" ht="21.95" customHeight="1">
      <c r="A40" s="597"/>
      <c r="B40" s="753" t="s">
        <v>94</v>
      </c>
      <c r="C40" s="753"/>
      <c r="D40" s="753"/>
      <c r="E40" s="753"/>
      <c r="F40" s="1491">
        <f>N39</f>
        <v>9404.5999999999985</v>
      </c>
      <c r="G40" s="1491"/>
      <c r="H40" s="757" t="s">
        <v>41</v>
      </c>
      <c r="I40" s="757">
        <v>25</v>
      </c>
      <c r="J40" s="1469" t="s">
        <v>43</v>
      </c>
      <c r="K40" s="1469"/>
      <c r="L40" s="757" t="s">
        <v>30</v>
      </c>
      <c r="M40" s="1492">
        <f>F40*I38/100*K38</f>
        <v>1880.9199999999998</v>
      </c>
      <c r="N40" s="1492"/>
      <c r="O40" s="757"/>
      <c r="P40" s="757"/>
      <c r="Q40" s="757"/>
      <c r="R40" s="757"/>
      <c r="S40" s="755"/>
      <c r="T40" s="755"/>
      <c r="U40" s="755"/>
      <c r="V40" s="755"/>
      <c r="W40" s="755"/>
      <c r="X40" s="755"/>
      <c r="Y40" s="755"/>
      <c r="Z40" s="755"/>
    </row>
    <row r="41" spans="1:26" s="596" customFormat="1" ht="21.95" customHeight="1">
      <c r="A41" s="758" t="s">
        <v>91</v>
      </c>
      <c r="B41" s="757"/>
      <c r="C41" s="757"/>
      <c r="D41" s="757"/>
      <c r="E41" s="757"/>
      <c r="F41" s="757"/>
      <c r="G41" s="757"/>
      <c r="H41" s="757"/>
      <c r="I41" s="607"/>
      <c r="J41" s="757"/>
      <c r="K41" s="757"/>
      <c r="L41" s="757"/>
      <c r="M41" s="757"/>
      <c r="N41" s="757"/>
      <c r="O41" s="757"/>
      <c r="P41" s="757"/>
      <c r="Q41" s="757"/>
      <c r="R41" s="757"/>
      <c r="S41" s="755"/>
      <c r="T41" s="755"/>
      <c r="U41" s="755"/>
      <c r="V41" s="755"/>
      <c r="W41" s="755"/>
      <c r="X41" s="755"/>
      <c r="Y41" s="755"/>
      <c r="Z41" s="755"/>
    </row>
    <row r="42" spans="1:26" ht="21.95" customHeight="1" thickBot="1">
      <c r="A42" s="770"/>
      <c r="B42" s="1468" t="s">
        <v>24</v>
      </c>
      <c r="C42" s="1468"/>
      <c r="D42" s="1468"/>
      <c r="E42" s="1468" t="s">
        <v>64</v>
      </c>
      <c r="F42" s="1468"/>
      <c r="G42" s="1479" t="s">
        <v>65</v>
      </c>
      <c r="H42" s="1480"/>
      <c r="I42" s="1480"/>
      <c r="J42" s="1480"/>
      <c r="K42" s="1480"/>
      <c r="L42" s="1480"/>
      <c r="M42" s="1479" t="s">
        <v>63</v>
      </c>
      <c r="N42" s="1480"/>
      <c r="O42" s="1480"/>
      <c r="P42" s="1481"/>
      <c r="Q42" s="752"/>
      <c r="R42" s="770"/>
      <c r="S42" s="467"/>
      <c r="T42" s="467"/>
      <c r="U42" s="467"/>
      <c r="V42" s="467"/>
      <c r="W42" s="467"/>
      <c r="X42" s="467"/>
      <c r="Y42" s="467"/>
      <c r="Z42" s="467"/>
    </row>
    <row r="43" spans="1:26" ht="21.95" customHeight="1" thickTop="1">
      <c r="A43" s="770"/>
      <c r="B43" s="1482" t="s">
        <v>66</v>
      </c>
      <c r="C43" s="1482"/>
      <c r="D43" s="1482"/>
      <c r="E43" s="1266" t="s">
        <v>53</v>
      </c>
      <c r="F43" s="1266"/>
      <c r="G43" s="1498" t="s">
        <v>95</v>
      </c>
      <c r="H43" s="1499"/>
      <c r="I43" s="1499"/>
      <c r="J43" s="1499"/>
      <c r="K43" s="1499"/>
      <c r="L43" s="1500"/>
      <c r="M43" s="1485"/>
      <c r="N43" s="1486"/>
      <c r="O43" s="1486"/>
      <c r="P43" s="1487"/>
      <c r="Q43" s="752"/>
      <c r="R43" s="770"/>
      <c r="S43" s="467"/>
      <c r="T43" s="467"/>
      <c r="U43" s="467"/>
      <c r="V43" s="467"/>
      <c r="W43" s="467"/>
      <c r="X43" s="467"/>
      <c r="Y43" s="467"/>
      <c r="Z43" s="467"/>
    </row>
    <row r="44" spans="1:26" ht="21.95" customHeight="1">
      <c r="A44" s="770"/>
      <c r="B44" s="1266" t="s">
        <v>96</v>
      </c>
      <c r="C44" s="1266"/>
      <c r="D44" s="1266"/>
      <c r="E44" s="1266" t="s">
        <v>58</v>
      </c>
      <c r="F44" s="1266"/>
      <c r="G44" s="1504">
        <v>1000</v>
      </c>
      <c r="H44" s="1505"/>
      <c r="I44" s="1505"/>
      <c r="J44" s="1506">
        <v>1530</v>
      </c>
      <c r="K44" s="1506"/>
      <c r="L44" s="1507"/>
      <c r="M44" s="1508">
        <f>ROUND(3.14/4*(G44/1000)^2*J44/10^3*G46,2)*1000</f>
        <v>1200</v>
      </c>
      <c r="N44" s="1509"/>
      <c r="O44" s="1509"/>
      <c r="P44" s="1510"/>
      <c r="Q44" s="752"/>
      <c r="R44" s="770"/>
      <c r="S44" s="467"/>
      <c r="T44" s="467"/>
      <c r="U44" s="467"/>
      <c r="V44" s="730">
        <v>1000000000</v>
      </c>
      <c r="W44" s="467"/>
      <c r="X44" s="467"/>
      <c r="Y44" s="467"/>
      <c r="Z44" s="467"/>
    </row>
    <row r="45" spans="1:26" ht="21.95" customHeight="1">
      <c r="A45" s="770"/>
      <c r="B45" s="1266" t="s">
        <v>97</v>
      </c>
      <c r="C45" s="1266"/>
      <c r="D45" s="1266"/>
      <c r="E45" s="1266" t="s">
        <v>53</v>
      </c>
      <c r="F45" s="1266"/>
      <c r="G45" s="1465" t="s">
        <v>98</v>
      </c>
      <c r="H45" s="1466"/>
      <c r="I45" s="1466"/>
      <c r="J45" s="1466"/>
      <c r="K45" s="1466"/>
      <c r="L45" s="1467"/>
      <c r="M45" s="1465"/>
      <c r="N45" s="1466"/>
      <c r="O45" s="1466"/>
      <c r="P45" s="1467"/>
      <c r="Q45" s="752"/>
      <c r="R45" s="770"/>
      <c r="S45" s="467"/>
      <c r="T45" s="467"/>
      <c r="U45" s="467"/>
      <c r="V45" s="467">
        <v>2100000</v>
      </c>
      <c r="W45" s="467"/>
      <c r="X45" s="467"/>
      <c r="Y45" s="467"/>
      <c r="Z45" s="467"/>
    </row>
    <row r="46" spans="1:26" ht="21.95" customHeight="1">
      <c r="A46" s="770"/>
      <c r="B46" s="1266" t="s">
        <v>34</v>
      </c>
      <c r="C46" s="1266"/>
      <c r="D46" s="1266"/>
      <c r="E46" s="1266" t="s">
        <v>99</v>
      </c>
      <c r="F46" s="1266"/>
      <c r="G46" s="1463">
        <v>1</v>
      </c>
      <c r="H46" s="1464"/>
      <c r="I46" s="1464"/>
      <c r="J46" s="1464"/>
      <c r="K46" s="1464"/>
      <c r="L46" s="1516"/>
      <c r="M46" s="1465" t="s">
        <v>777</v>
      </c>
      <c r="N46" s="1466"/>
      <c r="O46" s="1466"/>
      <c r="P46" s="1467"/>
      <c r="Q46" s="752"/>
      <c r="R46" s="770"/>
      <c r="S46" s="467"/>
      <c r="T46" s="467"/>
      <c r="U46" s="467"/>
      <c r="V46" s="467">
        <f>V44/V45</f>
        <v>476.1904761904762</v>
      </c>
      <c r="W46" s="467">
        <f>V46/2</f>
        <v>238.0952380952381</v>
      </c>
      <c r="X46" s="467"/>
      <c r="Y46" s="467"/>
      <c r="Z46" s="467"/>
    </row>
    <row r="47" spans="1:26" s="596" customFormat="1" ht="21.95" customHeight="1">
      <c r="A47" s="776" t="s">
        <v>83</v>
      </c>
      <c r="B47" s="757"/>
      <c r="C47" s="757"/>
      <c r="D47" s="757"/>
      <c r="E47" s="757"/>
      <c r="F47" s="757"/>
      <c r="G47" s="757"/>
      <c r="H47" s="757"/>
      <c r="I47" s="757"/>
      <c r="J47" s="757"/>
      <c r="K47" s="757"/>
      <c r="L47" s="757"/>
      <c r="M47" s="757"/>
      <c r="N47" s="757"/>
      <c r="O47" s="757"/>
      <c r="P47" s="757"/>
      <c r="Q47" s="757"/>
      <c r="R47" s="757"/>
      <c r="S47" s="755"/>
      <c r="T47" s="755"/>
      <c r="U47" s="755"/>
      <c r="V47" s="755"/>
      <c r="W47" s="755"/>
      <c r="X47" s="755"/>
      <c r="Y47" s="755"/>
      <c r="Z47" s="755"/>
    </row>
    <row r="48" spans="1:26" s="596" customFormat="1" ht="21.95" customHeight="1">
      <c r="A48" s="758" t="s">
        <v>59</v>
      </c>
      <c r="B48" s="1496" t="s">
        <v>101</v>
      </c>
      <c r="C48" s="1496"/>
      <c r="D48" s="1496"/>
      <c r="E48" s="753"/>
      <c r="F48" s="757"/>
      <c r="G48" s="757"/>
      <c r="H48" s="757"/>
      <c r="I48" s="757"/>
      <c r="J48" s="757"/>
      <c r="K48" s="757"/>
      <c r="L48" s="757"/>
      <c r="M48" s="757"/>
      <c r="N48" s="757"/>
      <c r="O48" s="757"/>
      <c r="P48" s="757"/>
      <c r="Q48" s="757"/>
      <c r="R48" s="757"/>
      <c r="S48" s="755"/>
      <c r="T48" s="755"/>
      <c r="U48" s="755"/>
      <c r="V48" s="755">
        <f>1100*0.2</f>
        <v>220</v>
      </c>
      <c r="W48" s="755"/>
      <c r="X48" s="755"/>
      <c r="Y48" s="755"/>
      <c r="Z48" s="755"/>
    </row>
    <row r="49" spans="1:26" s="596" customFormat="1" ht="21.95" customHeight="1">
      <c r="A49" s="758" t="s">
        <v>50</v>
      </c>
      <c r="B49" s="1517">
        <v>120</v>
      </c>
      <c r="C49" s="1517"/>
      <c r="D49" s="1517"/>
      <c r="E49" s="753"/>
      <c r="F49" s="757"/>
      <c r="G49" s="757"/>
      <c r="H49" s="663">
        <f>H50/2</f>
        <v>13.125</v>
      </c>
      <c r="I49" s="663">
        <f>ROUNDUP(H49,0)</f>
        <v>14</v>
      </c>
      <c r="J49" s="757"/>
      <c r="K49" s="757"/>
      <c r="L49" s="757"/>
      <c r="M49" s="757"/>
      <c r="N49" s="757"/>
      <c r="O49" s="757"/>
      <c r="P49" s="757"/>
      <c r="Q49" s="757"/>
      <c r="R49" s="757"/>
      <c r="S49" s="755"/>
      <c r="T49" s="755"/>
      <c r="U49" s="755"/>
      <c r="V49" s="722">
        <v>220000000</v>
      </c>
      <c r="W49" s="755"/>
      <c r="X49" s="755"/>
      <c r="Y49" s="755"/>
      <c r="Z49" s="755"/>
    </row>
    <row r="50" spans="1:26" s="596" customFormat="1" ht="21.95" customHeight="1">
      <c r="A50" s="1511" t="s">
        <v>84</v>
      </c>
      <c r="B50" s="1512">
        <f>K168</f>
        <v>3.15</v>
      </c>
      <c r="C50" s="1512"/>
      <c r="D50" s="1512"/>
      <c r="E50" s="1512"/>
      <c r="F50" s="1512"/>
      <c r="G50" s="1496" t="s">
        <v>30</v>
      </c>
      <c r="H50" s="1513">
        <f>B50/B51</f>
        <v>26.25</v>
      </c>
      <c r="I50" s="1496" t="s">
        <v>57</v>
      </c>
      <c r="J50" s="1514">
        <f>I49*2</f>
        <v>28</v>
      </c>
      <c r="K50" s="608"/>
      <c r="L50" s="757"/>
      <c r="M50" s="757"/>
      <c r="N50" s="757"/>
      <c r="O50" s="757"/>
      <c r="P50" s="757"/>
      <c r="Q50" s="757"/>
      <c r="R50" s="757"/>
      <c r="S50" s="755"/>
      <c r="T50" s="755"/>
      <c r="U50" s="755"/>
      <c r="V50" s="722">
        <f>V44-V49</f>
        <v>780000000</v>
      </c>
      <c r="W50" s="755"/>
      <c r="X50" s="755"/>
      <c r="Y50" s="755"/>
      <c r="Z50" s="755"/>
    </row>
    <row r="51" spans="1:26" s="596" customFormat="1" ht="21.95" customHeight="1">
      <c r="A51" s="1511"/>
      <c r="B51" s="1515">
        <f>B49/1000</f>
        <v>0.12</v>
      </c>
      <c r="C51" s="1515"/>
      <c r="D51" s="1515"/>
      <c r="E51" s="1515"/>
      <c r="F51" s="1515"/>
      <c r="G51" s="1496"/>
      <c r="H51" s="1513"/>
      <c r="I51" s="1496"/>
      <c r="J51" s="1514"/>
      <c r="K51" s="608"/>
      <c r="L51" s="757"/>
      <c r="M51" s="757"/>
      <c r="N51" s="757"/>
      <c r="O51" s="757"/>
      <c r="P51" s="757"/>
      <c r="Q51" s="757"/>
      <c r="R51" s="757"/>
      <c r="S51" s="755"/>
      <c r="T51" s="755"/>
      <c r="U51" s="755"/>
      <c r="V51" s="722">
        <f>V50/6</f>
        <v>130000000</v>
      </c>
      <c r="W51" s="755"/>
      <c r="X51" s="755"/>
      <c r="Y51" s="755"/>
      <c r="Z51" s="755"/>
    </row>
    <row r="52" spans="1:26" s="596" customFormat="1" ht="21.95" customHeight="1">
      <c r="A52" s="757"/>
      <c r="B52" s="609"/>
      <c r="C52" s="743"/>
      <c r="D52" s="743"/>
      <c r="E52" s="743"/>
      <c r="F52" s="743"/>
      <c r="G52" s="757"/>
      <c r="H52" s="760"/>
      <c r="I52" s="757"/>
      <c r="J52" s="610"/>
      <c r="K52" s="753"/>
      <c r="L52" s="757"/>
      <c r="M52" s="757"/>
      <c r="N52" s="757"/>
      <c r="O52" s="757"/>
      <c r="P52" s="757"/>
      <c r="Q52" s="757"/>
      <c r="R52" s="757"/>
      <c r="S52" s="755"/>
      <c r="T52" s="755"/>
      <c r="U52" s="755"/>
      <c r="V52" s="755"/>
      <c r="W52" s="755"/>
      <c r="X52" s="755"/>
      <c r="Y52" s="755"/>
      <c r="Z52" s="755"/>
    </row>
    <row r="53" spans="1:26" s="596" customFormat="1" ht="21.95" customHeight="1">
      <c r="A53" s="1520" t="s">
        <v>804</v>
      </c>
      <c r="B53" s="1520"/>
      <c r="C53" s="757"/>
      <c r="D53" s="757"/>
      <c r="E53" s="757"/>
      <c r="F53" s="757"/>
      <c r="G53" s="757"/>
      <c r="H53" s="757"/>
      <c r="I53" s="757"/>
      <c r="J53" s="757"/>
      <c r="K53" s="757"/>
      <c r="L53" s="757"/>
      <c r="M53" s="757"/>
      <c r="N53" s="757"/>
      <c r="O53" s="757"/>
      <c r="P53" s="757"/>
      <c r="Q53" s="757"/>
      <c r="R53" s="757"/>
      <c r="S53" s="755"/>
      <c r="T53" s="755"/>
      <c r="U53" s="755"/>
      <c r="V53" s="755"/>
      <c r="W53" s="755"/>
      <c r="X53" s="755"/>
      <c r="Y53" s="755"/>
      <c r="Z53" s="755"/>
    </row>
    <row r="54" spans="1:26" s="596" customFormat="1" ht="21.95" customHeight="1">
      <c r="A54" s="776" t="s">
        <v>103</v>
      </c>
      <c r="B54" s="757"/>
      <c r="C54" s="757"/>
      <c r="D54" s="757"/>
      <c r="E54" s="757"/>
      <c r="F54" s="757"/>
      <c r="G54" s="757"/>
      <c r="H54" s="757"/>
      <c r="I54" s="757"/>
      <c r="J54" s="757"/>
      <c r="K54" s="757"/>
      <c r="L54" s="757"/>
      <c r="M54" s="757"/>
      <c r="N54" s="757"/>
      <c r="O54" s="757"/>
      <c r="P54" s="757"/>
      <c r="Q54" s="757"/>
      <c r="R54" s="757"/>
      <c r="S54" s="755"/>
      <c r="T54" s="755"/>
      <c r="U54" s="755"/>
      <c r="V54" s="755"/>
      <c r="W54" s="755"/>
      <c r="X54" s="755"/>
      <c r="Y54" s="755"/>
      <c r="Z54" s="755"/>
    </row>
    <row r="55" spans="1:26" s="596" customFormat="1" ht="21.95" customHeight="1">
      <c r="A55" s="758" t="s">
        <v>104</v>
      </c>
      <c r="B55" s="1469" t="s">
        <v>792</v>
      </c>
      <c r="C55" s="1469"/>
      <c r="D55" s="1469"/>
      <c r="E55" s="1469"/>
      <c r="F55" s="1469"/>
      <c r="G55" s="1469"/>
      <c r="H55" s="1469"/>
      <c r="I55" s="1469"/>
      <c r="J55" s="1469"/>
      <c r="K55" s="1469"/>
      <c r="L55" s="1469"/>
      <c r="M55" s="1469"/>
      <c r="N55" s="1469"/>
      <c r="O55" s="757"/>
      <c r="P55" s="757"/>
      <c r="Q55" s="757"/>
      <c r="R55" s="757"/>
      <c r="S55" s="755"/>
      <c r="T55" s="755"/>
      <c r="U55" s="755"/>
      <c r="V55" s="755"/>
      <c r="W55" s="755"/>
      <c r="X55" s="755"/>
      <c r="Y55" s="755"/>
      <c r="Z55" s="755"/>
    </row>
    <row r="56" spans="1:26" s="596" customFormat="1" ht="21.95" customHeight="1">
      <c r="A56" s="758" t="s">
        <v>0</v>
      </c>
      <c r="B56" s="757"/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7"/>
      <c r="Q56" s="757"/>
      <c r="R56" s="757"/>
      <c r="S56" s="755"/>
      <c r="T56" s="755"/>
      <c r="U56" s="755"/>
      <c r="V56" s="755"/>
      <c r="W56" s="755"/>
      <c r="X56" s="755"/>
      <c r="Y56" s="755"/>
      <c r="Z56" s="755"/>
    </row>
    <row r="57" spans="1:26" s="596" customFormat="1" ht="21.95" customHeight="1">
      <c r="A57" s="597" t="s">
        <v>53</v>
      </c>
      <c r="B57" s="1469" t="s">
        <v>105</v>
      </c>
      <c r="C57" s="1469"/>
      <c r="D57" s="757" t="s">
        <v>106</v>
      </c>
      <c r="E57" s="598">
        <f>'구조물용량계산(설계치12)'!C70</f>
        <v>5.8</v>
      </c>
      <c r="F57" s="757" t="s">
        <v>107</v>
      </c>
      <c r="G57" s="757" t="s">
        <v>108</v>
      </c>
      <c r="H57" s="757">
        <f>'구조물용량계산(설계치12)'!G70</f>
        <v>5</v>
      </c>
      <c r="I57" s="757" t="s">
        <v>107</v>
      </c>
      <c r="J57" s="757" t="s">
        <v>109</v>
      </c>
      <c r="K57" s="757">
        <f>'구조물용량계산(설계치12)'!M70</f>
        <v>4.5</v>
      </c>
      <c r="L57" s="599" t="s">
        <v>110</v>
      </c>
      <c r="M57" s="1521">
        <f>E57*H57*K57</f>
        <v>130.5</v>
      </c>
      <c r="N57" s="1521"/>
      <c r="O57" s="1521"/>
      <c r="P57" s="757"/>
      <c r="Q57" s="757"/>
      <c r="R57" s="757"/>
      <c r="S57" s="755"/>
      <c r="T57" s="755"/>
      <c r="U57" s="755"/>
      <c r="V57" s="755"/>
      <c r="W57" s="755"/>
      <c r="X57" s="755"/>
      <c r="Y57" s="755"/>
      <c r="Z57" s="755"/>
    </row>
    <row r="58" spans="1:26" s="596" customFormat="1" ht="21.95" customHeight="1">
      <c r="A58" s="597" t="s">
        <v>53</v>
      </c>
      <c r="B58" s="1469" t="s">
        <v>111</v>
      </c>
      <c r="C58" s="1469"/>
      <c r="D58" s="753" t="s">
        <v>167</v>
      </c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57"/>
      <c r="S58" s="755"/>
      <c r="T58" s="755"/>
      <c r="U58" s="755"/>
      <c r="V58" s="755"/>
      <c r="W58" s="755"/>
      <c r="X58" s="755"/>
      <c r="Y58" s="755"/>
      <c r="Z58" s="755"/>
    </row>
    <row r="59" spans="1:26" s="596" customFormat="1" ht="21.95" customHeight="1">
      <c r="A59" s="597" t="s">
        <v>53</v>
      </c>
      <c r="B59" s="1469" t="s">
        <v>112</v>
      </c>
      <c r="C59" s="1469"/>
      <c r="D59" s="754">
        <v>1</v>
      </c>
      <c r="E59" s="599" t="s">
        <v>35</v>
      </c>
      <c r="F59" s="1522"/>
      <c r="G59" s="1522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57"/>
      <c r="S59" s="755"/>
      <c r="T59" s="755"/>
      <c r="U59" s="755"/>
      <c r="V59" s="755"/>
      <c r="W59" s="755"/>
      <c r="X59" s="755"/>
      <c r="Y59" s="755"/>
      <c r="Z59" s="755"/>
    </row>
    <row r="60" spans="1:26" s="596" customFormat="1" ht="21.95" customHeight="1">
      <c r="A60" s="758" t="s">
        <v>2</v>
      </c>
      <c r="B60" s="757"/>
      <c r="C60" s="757"/>
      <c r="D60" s="757"/>
      <c r="E60" s="757"/>
      <c r="F60" s="757"/>
      <c r="G60" s="757"/>
      <c r="H60" s="757"/>
      <c r="I60" s="757"/>
      <c r="J60" s="757"/>
      <c r="K60" s="757"/>
      <c r="L60" s="757"/>
      <c r="M60" s="757"/>
      <c r="N60" s="757"/>
      <c r="O60" s="757"/>
      <c r="P60" s="757"/>
      <c r="Q60" s="757"/>
      <c r="R60" s="757"/>
      <c r="S60" s="755"/>
      <c r="T60" s="755"/>
      <c r="U60" s="755"/>
      <c r="V60" s="755"/>
      <c r="W60" s="755"/>
      <c r="X60" s="755"/>
      <c r="Y60" s="755"/>
      <c r="Z60" s="755"/>
    </row>
    <row r="61" spans="1:26" s="596" customFormat="1" ht="21.95" customHeight="1" thickBot="1">
      <c r="A61" s="757"/>
      <c r="B61" s="1468" t="s">
        <v>24</v>
      </c>
      <c r="C61" s="1468"/>
      <c r="D61" s="1468"/>
      <c r="E61" s="1468" t="s">
        <v>64</v>
      </c>
      <c r="F61" s="1468"/>
      <c r="G61" s="1479" t="s">
        <v>65</v>
      </c>
      <c r="H61" s="1480"/>
      <c r="I61" s="1480"/>
      <c r="J61" s="1480"/>
      <c r="K61" s="1480"/>
      <c r="L61" s="1481"/>
      <c r="M61" s="1480" t="s">
        <v>63</v>
      </c>
      <c r="N61" s="1480"/>
      <c r="O61" s="1480"/>
      <c r="P61" s="1481"/>
      <c r="Q61" s="752"/>
      <c r="R61" s="757"/>
      <c r="S61" s="755"/>
      <c r="T61" s="755"/>
      <c r="U61" s="755"/>
      <c r="V61" s="755"/>
      <c r="W61" s="755"/>
      <c r="X61" s="755"/>
      <c r="Y61" s="755"/>
      <c r="Z61" s="755"/>
    </row>
    <row r="62" spans="1:26" s="596" customFormat="1" ht="21.95" customHeight="1" thickTop="1">
      <c r="A62" s="757"/>
      <c r="B62" s="1482" t="s">
        <v>66</v>
      </c>
      <c r="C62" s="1482"/>
      <c r="D62" s="1482"/>
      <c r="E62" s="1482" t="s">
        <v>53</v>
      </c>
      <c r="F62" s="1482"/>
      <c r="G62" s="1498" t="s">
        <v>167</v>
      </c>
      <c r="H62" s="1499"/>
      <c r="I62" s="1499"/>
      <c r="J62" s="1499"/>
      <c r="K62" s="1499"/>
      <c r="L62" s="1500"/>
      <c r="M62" s="1518"/>
      <c r="N62" s="1518"/>
      <c r="O62" s="1518"/>
      <c r="P62" s="1519"/>
      <c r="Q62" s="752"/>
      <c r="R62" s="757"/>
      <c r="S62" s="755"/>
      <c r="T62" s="755"/>
      <c r="U62" s="755"/>
      <c r="V62" s="755"/>
      <c r="W62" s="755"/>
      <c r="X62" s="755"/>
      <c r="Y62" s="755"/>
      <c r="Z62" s="755"/>
    </row>
    <row r="63" spans="1:26" s="596" customFormat="1" ht="21.95" customHeight="1">
      <c r="A63" s="757"/>
      <c r="B63" s="1266" t="s">
        <v>136</v>
      </c>
      <c r="C63" s="1266"/>
      <c r="D63" s="1266"/>
      <c r="E63" s="1266" t="s">
        <v>74</v>
      </c>
      <c r="F63" s="1266"/>
      <c r="G63" s="1524">
        <f>M57</f>
        <v>130.5</v>
      </c>
      <c r="H63" s="1525"/>
      <c r="I63" s="1525"/>
      <c r="J63" s="1525"/>
      <c r="K63" s="1525"/>
      <c r="L63" s="1526"/>
      <c r="M63" s="1466"/>
      <c r="N63" s="1466"/>
      <c r="O63" s="1466"/>
      <c r="P63" s="1467"/>
      <c r="Q63" s="752"/>
      <c r="R63" s="757"/>
      <c r="S63" s="755"/>
      <c r="T63" s="755"/>
      <c r="U63" s="755"/>
      <c r="V63" s="755"/>
      <c r="W63" s="755"/>
      <c r="X63" s="755"/>
      <c r="Y63" s="755"/>
      <c r="Z63" s="755"/>
    </row>
    <row r="64" spans="1:26" s="596" customFormat="1" ht="21.95" customHeight="1">
      <c r="A64" s="757"/>
      <c r="B64" s="1266" t="s">
        <v>32</v>
      </c>
      <c r="C64" s="1266"/>
      <c r="D64" s="1266"/>
      <c r="E64" s="1266" t="s">
        <v>33</v>
      </c>
      <c r="F64" s="1266"/>
      <c r="G64" s="1463">
        <v>0.75</v>
      </c>
      <c r="H64" s="1464"/>
      <c r="I64" s="1464"/>
      <c r="J64" s="1464"/>
      <c r="K64" s="1464"/>
      <c r="L64" s="1516"/>
      <c r="M64" s="1466"/>
      <c r="N64" s="1466"/>
      <c r="O64" s="1466"/>
      <c r="P64" s="1467"/>
      <c r="Q64" s="752"/>
      <c r="R64" s="757"/>
      <c r="S64" s="755"/>
      <c r="T64" s="755"/>
      <c r="U64" s="755"/>
      <c r="V64" s="755"/>
      <c r="W64" s="755"/>
      <c r="X64" s="755"/>
      <c r="Y64" s="755"/>
      <c r="Z64" s="755"/>
    </row>
    <row r="65" spans="1:26" s="596" customFormat="1" ht="21.95" customHeight="1">
      <c r="A65" s="757"/>
      <c r="B65" s="1266" t="s">
        <v>34</v>
      </c>
      <c r="C65" s="1266"/>
      <c r="D65" s="1266"/>
      <c r="E65" s="1266" t="s">
        <v>35</v>
      </c>
      <c r="F65" s="1266"/>
      <c r="G65" s="1523">
        <v>1</v>
      </c>
      <c r="H65" s="1523"/>
      <c r="I65" s="1523"/>
      <c r="J65" s="1523"/>
      <c r="K65" s="1523"/>
      <c r="L65" s="1523"/>
      <c r="M65" s="1523"/>
      <c r="N65" s="1523"/>
      <c r="O65" s="1523"/>
      <c r="P65" s="1523"/>
      <c r="Q65" s="752"/>
      <c r="R65" s="757"/>
      <c r="S65" s="755"/>
      <c r="T65" s="755"/>
      <c r="U65" s="755"/>
      <c r="V65" s="755"/>
      <c r="W65" s="755"/>
      <c r="X65" s="755"/>
      <c r="Y65" s="755"/>
      <c r="Z65" s="755"/>
    </row>
    <row r="66" spans="1:26" s="596" customFormat="1" ht="21.95" customHeight="1">
      <c r="A66" s="743"/>
      <c r="B66" s="743"/>
      <c r="C66" s="743"/>
      <c r="D66" s="743"/>
      <c r="E66" s="743"/>
      <c r="F66" s="743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743"/>
      <c r="R66" s="743"/>
      <c r="S66" s="755"/>
      <c r="T66" s="755"/>
      <c r="U66" s="755"/>
      <c r="V66" s="755"/>
      <c r="W66" s="755"/>
      <c r="X66" s="755"/>
      <c r="Y66" s="755"/>
      <c r="Z66" s="755"/>
    </row>
    <row r="67" spans="1:26" s="596" customFormat="1" ht="21.95" customHeight="1">
      <c r="A67" s="1520" t="s">
        <v>805</v>
      </c>
      <c r="B67" s="1520"/>
      <c r="C67" s="757"/>
      <c r="D67" s="757"/>
      <c r="E67" s="757"/>
      <c r="F67" s="757"/>
      <c r="G67" s="757"/>
      <c r="H67" s="757"/>
      <c r="I67" s="757"/>
      <c r="J67" s="757"/>
      <c r="K67" s="757"/>
      <c r="L67" s="757"/>
      <c r="M67" s="757"/>
      <c r="N67" s="757"/>
      <c r="O67" s="757"/>
      <c r="P67" s="757"/>
      <c r="Q67" s="757"/>
      <c r="R67" s="757"/>
      <c r="S67" s="755"/>
      <c r="T67" s="755"/>
      <c r="U67" s="755"/>
      <c r="V67" s="755"/>
      <c r="W67" s="755"/>
      <c r="X67" s="755"/>
      <c r="Y67" s="755"/>
      <c r="Z67" s="755"/>
    </row>
    <row r="68" spans="1:26" s="596" customFormat="1" ht="21.95" customHeight="1">
      <c r="A68" s="776" t="s">
        <v>103</v>
      </c>
      <c r="B68" s="757"/>
      <c r="C68" s="757"/>
      <c r="D68" s="757"/>
      <c r="E68" s="757"/>
      <c r="F68" s="757"/>
      <c r="G68" s="757"/>
      <c r="H68" s="757"/>
      <c r="I68" s="757"/>
      <c r="J68" s="757"/>
      <c r="K68" s="757"/>
      <c r="L68" s="757"/>
      <c r="M68" s="757"/>
      <c r="N68" s="757"/>
      <c r="O68" s="757"/>
      <c r="P68" s="757"/>
      <c r="Q68" s="757"/>
      <c r="R68" s="757"/>
      <c r="S68" s="755"/>
      <c r="T68" s="755"/>
      <c r="U68" s="755"/>
      <c r="V68" s="755"/>
      <c r="W68" s="755"/>
      <c r="X68" s="755"/>
      <c r="Y68" s="755"/>
      <c r="Z68" s="755"/>
    </row>
    <row r="69" spans="1:26" s="596" customFormat="1" ht="21.95" customHeight="1">
      <c r="A69" s="758" t="s">
        <v>104</v>
      </c>
      <c r="B69" s="1469" t="s">
        <v>793</v>
      </c>
      <c r="C69" s="1469"/>
      <c r="D69" s="1469"/>
      <c r="E69" s="1469"/>
      <c r="F69" s="1469"/>
      <c r="G69" s="1469"/>
      <c r="H69" s="1469"/>
      <c r="I69" s="1469"/>
      <c r="J69" s="1469"/>
      <c r="K69" s="1469"/>
      <c r="L69" s="1469"/>
      <c r="M69" s="1469"/>
      <c r="N69" s="1469"/>
      <c r="O69" s="757"/>
      <c r="P69" s="757"/>
      <c r="Q69" s="757"/>
      <c r="R69" s="757"/>
      <c r="S69" s="755"/>
      <c r="T69" s="755"/>
      <c r="U69" s="755"/>
      <c r="V69" s="755"/>
      <c r="W69" s="755"/>
      <c r="X69" s="755"/>
      <c r="Y69" s="755"/>
      <c r="Z69" s="755"/>
    </row>
    <row r="70" spans="1:26" s="596" customFormat="1" ht="21.95" customHeight="1">
      <c r="A70" s="758" t="s">
        <v>0</v>
      </c>
      <c r="B70" s="757"/>
      <c r="C70" s="757"/>
      <c r="D70" s="757"/>
      <c r="E70" s="757"/>
      <c r="F70" s="757"/>
      <c r="G70" s="757"/>
      <c r="H70" s="757"/>
      <c r="I70" s="757"/>
      <c r="J70" s="757"/>
      <c r="K70" s="757"/>
      <c r="L70" s="757"/>
      <c r="M70" s="757"/>
      <c r="N70" s="757"/>
      <c r="O70" s="757"/>
      <c r="P70" s="757"/>
      <c r="Q70" s="757"/>
      <c r="R70" s="757"/>
      <c r="S70" s="755"/>
      <c r="T70" s="755"/>
      <c r="U70" s="755"/>
      <c r="V70" s="755"/>
      <c r="W70" s="755"/>
      <c r="X70" s="755"/>
      <c r="Y70" s="755"/>
      <c r="Z70" s="755"/>
    </row>
    <row r="71" spans="1:26" s="596" customFormat="1" ht="21.95" customHeight="1">
      <c r="A71" s="597" t="s">
        <v>53</v>
      </c>
      <c r="B71" s="1469" t="s">
        <v>105</v>
      </c>
      <c r="C71" s="1469"/>
      <c r="D71" s="757" t="s">
        <v>106</v>
      </c>
      <c r="E71" s="598">
        <f>'구조물용량계산(설계치12)'!C146</f>
        <v>7</v>
      </c>
      <c r="F71" s="757" t="s">
        <v>107</v>
      </c>
      <c r="G71" s="757" t="s">
        <v>108</v>
      </c>
      <c r="H71" s="757">
        <f>'구조물용량계산(설계치12)'!G146</f>
        <v>3.5</v>
      </c>
      <c r="I71" s="757" t="s">
        <v>107</v>
      </c>
      <c r="J71" s="757" t="s">
        <v>109</v>
      </c>
      <c r="K71" s="757">
        <f>'구조물용량계산(설계치12)'!M146</f>
        <v>6.2</v>
      </c>
      <c r="L71" s="599" t="s">
        <v>110</v>
      </c>
      <c r="M71" s="1521">
        <f>E71*H71*K71</f>
        <v>151.9</v>
      </c>
      <c r="N71" s="1521"/>
      <c r="O71" s="1521"/>
      <c r="P71" s="757"/>
      <c r="Q71" s="757"/>
      <c r="R71" s="757"/>
      <c r="S71" s="755"/>
      <c r="T71" s="755"/>
      <c r="U71" s="755"/>
      <c r="V71" s="755"/>
      <c r="W71" s="755"/>
      <c r="X71" s="755"/>
      <c r="Y71" s="755"/>
      <c r="Z71" s="755"/>
    </row>
    <row r="72" spans="1:26" s="596" customFormat="1" ht="21.95" customHeight="1">
      <c r="A72" s="597" t="s">
        <v>53</v>
      </c>
      <c r="B72" s="753" t="s">
        <v>111</v>
      </c>
      <c r="C72" s="753"/>
      <c r="D72" s="753" t="s">
        <v>167</v>
      </c>
      <c r="E72" s="757"/>
      <c r="F72" s="757"/>
      <c r="G72" s="757"/>
      <c r="H72" s="757"/>
      <c r="I72" s="757"/>
      <c r="J72" s="757"/>
      <c r="K72" s="757"/>
      <c r="L72" s="757"/>
      <c r="M72" s="757"/>
      <c r="N72" s="757"/>
      <c r="O72" s="757"/>
      <c r="P72" s="757"/>
      <c r="Q72" s="757"/>
      <c r="R72" s="757"/>
      <c r="S72" s="755"/>
      <c r="T72" s="755"/>
      <c r="U72" s="755"/>
      <c r="V72" s="755"/>
      <c r="W72" s="755"/>
      <c r="X72" s="755"/>
      <c r="Y72" s="755"/>
      <c r="Z72" s="755"/>
    </row>
    <row r="73" spans="1:26" s="596" customFormat="1" ht="21.95" customHeight="1">
      <c r="A73" s="597" t="s">
        <v>53</v>
      </c>
      <c r="B73" s="1469" t="s">
        <v>112</v>
      </c>
      <c r="C73" s="1469"/>
      <c r="D73" s="754">
        <v>1</v>
      </c>
      <c r="E73" s="599" t="s">
        <v>35</v>
      </c>
      <c r="F73" s="1522"/>
      <c r="G73" s="1522"/>
      <c r="H73" s="757"/>
      <c r="I73" s="757"/>
      <c r="J73" s="757"/>
      <c r="K73" s="757"/>
      <c r="L73" s="757"/>
      <c r="M73" s="757"/>
      <c r="N73" s="757"/>
      <c r="O73" s="757"/>
      <c r="P73" s="757"/>
      <c r="Q73" s="757"/>
      <c r="R73" s="757"/>
      <c r="S73" s="755"/>
      <c r="T73" s="755"/>
      <c r="U73" s="755"/>
      <c r="V73" s="755"/>
      <c r="W73" s="755"/>
      <c r="X73" s="755"/>
      <c r="Y73" s="755"/>
      <c r="Z73" s="755"/>
    </row>
    <row r="74" spans="1:26" s="596" customFormat="1" ht="21.95" customHeight="1">
      <c r="A74" s="758" t="s">
        <v>2</v>
      </c>
      <c r="B74" s="757"/>
      <c r="C74" s="757"/>
      <c r="D74" s="757"/>
      <c r="E74" s="757"/>
      <c r="F74" s="757"/>
      <c r="G74" s="757"/>
      <c r="H74" s="757"/>
      <c r="I74" s="757"/>
      <c r="J74" s="757"/>
      <c r="K74" s="757"/>
      <c r="L74" s="757"/>
      <c r="M74" s="757"/>
      <c r="N74" s="757"/>
      <c r="O74" s="757"/>
      <c r="P74" s="757"/>
      <c r="Q74" s="757"/>
      <c r="R74" s="757"/>
      <c r="S74" s="755"/>
      <c r="T74" s="755"/>
      <c r="U74" s="755"/>
      <c r="V74" s="755"/>
      <c r="W74" s="755"/>
      <c r="X74" s="755"/>
      <c r="Y74" s="755"/>
      <c r="Z74" s="755"/>
    </row>
    <row r="75" spans="1:26" s="596" customFormat="1" ht="21.95" customHeight="1" thickBot="1">
      <c r="A75" s="757"/>
      <c r="B75" s="1468" t="s">
        <v>24</v>
      </c>
      <c r="C75" s="1468"/>
      <c r="D75" s="1468"/>
      <c r="E75" s="1468" t="s">
        <v>64</v>
      </c>
      <c r="F75" s="1468"/>
      <c r="G75" s="1479" t="s">
        <v>65</v>
      </c>
      <c r="H75" s="1480"/>
      <c r="I75" s="1480"/>
      <c r="J75" s="1480"/>
      <c r="K75" s="1480"/>
      <c r="L75" s="1481"/>
      <c r="M75" s="1480" t="s">
        <v>63</v>
      </c>
      <c r="N75" s="1480"/>
      <c r="O75" s="1480"/>
      <c r="P75" s="1481"/>
      <c r="Q75" s="752"/>
      <c r="R75" s="757"/>
      <c r="S75" s="755"/>
      <c r="T75" s="755"/>
      <c r="U75" s="755"/>
      <c r="V75" s="755"/>
      <c r="W75" s="755"/>
      <c r="X75" s="755"/>
      <c r="Y75" s="755"/>
      <c r="Z75" s="755"/>
    </row>
    <row r="76" spans="1:26" s="596" customFormat="1" ht="21.95" customHeight="1" thickTop="1">
      <c r="A76" s="757"/>
      <c r="B76" s="1482" t="s">
        <v>66</v>
      </c>
      <c r="C76" s="1482"/>
      <c r="D76" s="1482"/>
      <c r="E76" s="1482" t="s">
        <v>53</v>
      </c>
      <c r="F76" s="1482"/>
      <c r="G76" s="1498" t="s">
        <v>168</v>
      </c>
      <c r="H76" s="1499"/>
      <c r="I76" s="1499"/>
      <c r="J76" s="1499"/>
      <c r="K76" s="1499"/>
      <c r="L76" s="1500"/>
      <c r="M76" s="1518"/>
      <c r="N76" s="1518"/>
      <c r="O76" s="1518"/>
      <c r="P76" s="1519"/>
      <c r="Q76" s="752"/>
      <c r="R76" s="757"/>
      <c r="S76" s="755"/>
      <c r="T76" s="755"/>
      <c r="U76" s="755"/>
      <c r="V76" s="755"/>
      <c r="W76" s="755"/>
      <c r="X76" s="755"/>
      <c r="Y76" s="755"/>
      <c r="Z76" s="755"/>
    </row>
    <row r="77" spans="1:26" s="596" customFormat="1" ht="21.95" customHeight="1">
      <c r="A77" s="757"/>
      <c r="B77" s="1266" t="s">
        <v>136</v>
      </c>
      <c r="C77" s="1266"/>
      <c r="D77" s="1266"/>
      <c r="E77" s="1266" t="s">
        <v>74</v>
      </c>
      <c r="F77" s="1266"/>
      <c r="G77" s="1527">
        <f>M71</f>
        <v>151.9</v>
      </c>
      <c r="H77" s="1528"/>
      <c r="I77" s="1528"/>
      <c r="J77" s="1528"/>
      <c r="K77" s="1528"/>
      <c r="L77" s="1529"/>
      <c r="M77" s="1466"/>
      <c r="N77" s="1466"/>
      <c r="O77" s="1466"/>
      <c r="P77" s="1467"/>
      <c r="Q77" s="752"/>
      <c r="R77" s="757"/>
      <c r="S77" s="755"/>
      <c r="T77" s="755"/>
      <c r="U77" s="755"/>
      <c r="V77" s="755"/>
      <c r="W77" s="755"/>
      <c r="X77" s="755"/>
      <c r="Y77" s="755"/>
      <c r="Z77" s="755"/>
    </row>
    <row r="78" spans="1:26" s="596" customFormat="1" ht="21.95" customHeight="1">
      <c r="A78" s="757"/>
      <c r="B78" s="1266" t="s">
        <v>32</v>
      </c>
      <c r="C78" s="1266"/>
      <c r="D78" s="1266"/>
      <c r="E78" s="1266" t="s">
        <v>33</v>
      </c>
      <c r="F78" s="1266"/>
      <c r="G78" s="1463">
        <v>1.5</v>
      </c>
      <c r="H78" s="1464"/>
      <c r="I78" s="1464"/>
      <c r="J78" s="1464"/>
      <c r="K78" s="1464"/>
      <c r="L78" s="1516"/>
      <c r="M78" s="1466"/>
      <c r="N78" s="1466"/>
      <c r="O78" s="1466"/>
      <c r="P78" s="1467"/>
      <c r="Q78" s="752"/>
      <c r="R78" s="757"/>
      <c r="S78" s="755"/>
      <c r="T78" s="755"/>
      <c r="U78" s="755"/>
      <c r="V78" s="755"/>
      <c r="W78" s="755"/>
      <c r="X78" s="755"/>
      <c r="Y78" s="755"/>
      <c r="Z78" s="755"/>
    </row>
    <row r="79" spans="1:26" s="596" customFormat="1" ht="21.95" customHeight="1">
      <c r="A79" s="757"/>
      <c r="B79" s="1266" t="s">
        <v>34</v>
      </c>
      <c r="C79" s="1266"/>
      <c r="D79" s="1266"/>
      <c r="E79" s="1266" t="s">
        <v>35</v>
      </c>
      <c r="F79" s="1266"/>
      <c r="G79" s="1463">
        <f>D73</f>
        <v>1</v>
      </c>
      <c r="H79" s="1464"/>
      <c r="I79" s="1464"/>
      <c r="J79" s="1464"/>
      <c r="K79" s="1464"/>
      <c r="L79" s="1516"/>
      <c r="M79" s="1464" t="s">
        <v>137</v>
      </c>
      <c r="N79" s="1464"/>
      <c r="O79" s="1464"/>
      <c r="P79" s="1516"/>
      <c r="Q79" s="752"/>
      <c r="R79" s="757"/>
      <c r="S79" s="755"/>
      <c r="T79" s="755"/>
      <c r="U79" s="755"/>
      <c r="V79" s="755"/>
      <c r="W79" s="755"/>
      <c r="X79" s="755"/>
      <c r="Y79" s="755"/>
      <c r="Z79" s="755"/>
    </row>
    <row r="80" spans="1:26" s="596" customFormat="1" ht="21.95" customHeight="1">
      <c r="A80" s="757"/>
      <c r="B80" s="743"/>
      <c r="C80" s="743"/>
      <c r="D80" s="743"/>
      <c r="E80" s="743"/>
      <c r="F80" s="743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743"/>
      <c r="R80" s="757"/>
      <c r="S80" s="755"/>
      <c r="T80" s="755"/>
      <c r="U80" s="755"/>
      <c r="V80" s="755"/>
      <c r="W80" s="755"/>
      <c r="X80" s="755"/>
      <c r="Y80" s="755"/>
      <c r="Z80" s="755"/>
    </row>
    <row r="81" spans="1:33" ht="21.95" customHeight="1">
      <c r="A81" s="611" t="s">
        <v>806</v>
      </c>
      <c r="B81" s="770"/>
      <c r="C81" s="770"/>
      <c r="D81" s="770"/>
      <c r="E81" s="770"/>
      <c r="F81" s="770"/>
      <c r="G81" s="770"/>
      <c r="H81" s="770"/>
      <c r="I81" s="770"/>
      <c r="J81" s="770"/>
      <c r="K81" s="770"/>
      <c r="L81" s="770"/>
      <c r="M81" s="770"/>
      <c r="N81" s="770"/>
      <c r="O81" s="770"/>
      <c r="P81" s="770"/>
      <c r="Q81" s="770"/>
      <c r="R81" s="770"/>
      <c r="S81" s="467"/>
      <c r="T81" s="467"/>
      <c r="U81" s="467"/>
      <c r="V81" s="467"/>
      <c r="W81" s="467"/>
      <c r="X81" s="467"/>
      <c r="Y81" s="467"/>
      <c r="Z81" s="467"/>
    </row>
    <row r="82" spans="1:33" ht="21.95" customHeight="1">
      <c r="A82" s="776" t="s">
        <v>215</v>
      </c>
      <c r="B82" s="770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  <c r="P82" s="770"/>
      <c r="Q82" s="770"/>
      <c r="R82" s="770"/>
      <c r="S82" s="467"/>
      <c r="T82" s="467"/>
      <c r="U82" s="467"/>
      <c r="V82" s="467"/>
      <c r="W82" s="467"/>
      <c r="X82" s="467"/>
      <c r="Y82" s="467"/>
      <c r="Z82" s="467"/>
    </row>
    <row r="83" spans="1:33" s="616" customFormat="1" ht="21.95" customHeight="1">
      <c r="A83" s="748" t="s">
        <v>190</v>
      </c>
      <c r="B83" s="745"/>
      <c r="C83" s="745"/>
      <c r="D83" s="747"/>
      <c r="E83" s="747"/>
      <c r="F83" s="747"/>
      <c r="G83" s="747"/>
      <c r="H83" s="747"/>
      <c r="I83" s="747"/>
      <c r="J83" s="747"/>
      <c r="K83" s="747"/>
      <c r="L83" s="747"/>
      <c r="M83" s="747"/>
      <c r="N83" s="747"/>
      <c r="O83" s="747"/>
      <c r="P83" s="747"/>
      <c r="Q83" s="743"/>
      <c r="R83" s="743"/>
      <c r="S83" s="612"/>
      <c r="T83" s="612"/>
      <c r="U83" s="613"/>
      <c r="V83" s="613"/>
      <c r="W83" s="613"/>
      <c r="X83" s="614"/>
      <c r="Y83" s="614"/>
      <c r="Z83" s="614"/>
      <c r="AA83" s="615"/>
      <c r="AB83" s="615"/>
      <c r="AC83" s="615"/>
      <c r="AG83" s="617"/>
    </row>
    <row r="84" spans="1:33" s="616" customFormat="1" ht="21.95" customHeight="1">
      <c r="A84" s="618" t="s">
        <v>191</v>
      </c>
      <c r="B84" s="619" t="s">
        <v>192</v>
      </c>
      <c r="C84" s="747"/>
      <c r="D84" s="747"/>
      <c r="E84" s="747"/>
      <c r="F84" s="747"/>
      <c r="G84" s="747"/>
      <c r="H84" s="747"/>
      <c r="I84" s="747"/>
      <c r="J84" s="747"/>
      <c r="K84" s="747"/>
      <c r="L84" s="747"/>
      <c r="M84" s="747"/>
      <c r="N84" s="747"/>
      <c r="O84" s="747"/>
      <c r="P84" s="747"/>
      <c r="Q84" s="743"/>
      <c r="R84" s="743"/>
      <c r="S84" s="612"/>
      <c r="T84" s="612"/>
      <c r="U84" s="613"/>
      <c r="V84" s="613"/>
      <c r="W84" s="613"/>
      <c r="X84" s="614"/>
      <c r="Y84" s="614"/>
      <c r="Z84" s="614"/>
      <c r="AA84" s="615"/>
      <c r="AB84" s="615"/>
      <c r="AC84" s="615"/>
      <c r="AG84" s="617"/>
    </row>
    <row r="85" spans="1:33" s="616" customFormat="1" ht="21.95" customHeight="1">
      <c r="A85" s="747"/>
      <c r="B85" s="619" t="s">
        <v>701</v>
      </c>
      <c r="C85" s="747"/>
      <c r="D85" s="747"/>
      <c r="E85" s="747"/>
      <c r="F85" s="747"/>
      <c r="G85" s="747"/>
      <c r="H85" s="747"/>
      <c r="I85" s="747"/>
      <c r="J85" s="747"/>
      <c r="K85" s="747"/>
      <c r="L85" s="747"/>
      <c r="M85" s="747"/>
      <c r="N85" s="747"/>
      <c r="O85" s="747"/>
      <c r="P85" s="747"/>
      <c r="Q85" s="743"/>
      <c r="R85" s="743"/>
      <c r="S85" s="612"/>
      <c r="T85" s="612"/>
      <c r="U85" s="613"/>
      <c r="V85" s="613"/>
      <c r="W85" s="613"/>
      <c r="X85" s="614"/>
      <c r="Y85" s="614"/>
      <c r="Z85" s="614"/>
      <c r="AA85" s="615"/>
      <c r="AB85" s="615"/>
      <c r="AC85" s="615"/>
      <c r="AG85" s="617"/>
    </row>
    <row r="86" spans="1:33" s="616" customFormat="1" ht="21.95" customHeight="1">
      <c r="A86" s="747"/>
      <c r="B86" s="1266" t="s">
        <v>193</v>
      </c>
      <c r="C86" s="1266"/>
      <c r="D86" s="1531" t="s">
        <v>702</v>
      </c>
      <c r="E86" s="1531"/>
      <c r="F86" s="1531"/>
      <c r="G86" s="1532" t="s">
        <v>194</v>
      </c>
      <c r="H86" s="1533"/>
      <c r="I86" s="1531" t="s">
        <v>195</v>
      </c>
      <c r="J86" s="1531"/>
      <c r="K86" s="1531" t="s">
        <v>196</v>
      </c>
      <c r="L86" s="1531"/>
      <c r="M86" s="1531"/>
      <c r="N86" s="1531" t="s">
        <v>703</v>
      </c>
      <c r="O86" s="1531"/>
      <c r="P86" s="1531"/>
      <c r="Q86" s="752"/>
      <c r="R86" s="743"/>
      <c r="S86" s="612"/>
      <c r="T86" s="612"/>
      <c r="U86" s="613"/>
      <c r="V86" s="613"/>
      <c r="W86" s="613"/>
      <c r="X86" s="614"/>
      <c r="Y86" s="614"/>
      <c r="Z86" s="614"/>
      <c r="AA86" s="615"/>
      <c r="AB86" s="615"/>
      <c r="AC86" s="615"/>
      <c r="AG86" s="617"/>
    </row>
    <row r="87" spans="1:33" s="616" customFormat="1" ht="21.95" customHeight="1">
      <c r="A87" s="747"/>
      <c r="B87" s="1531"/>
      <c r="C87" s="1531"/>
      <c r="D87" s="1523">
        <v>0.6</v>
      </c>
      <c r="E87" s="1523"/>
      <c r="F87" s="1523"/>
      <c r="G87" s="1530">
        <f>'설계기준(설계치12)'!C4/2*('설계기준(설계치12)'!F7-'설계기준(설계치12)'!J7)/1000</f>
        <v>425.4</v>
      </c>
      <c r="H87" s="1530"/>
      <c r="I87" s="1545">
        <f>K93</f>
        <v>39.020799999999994</v>
      </c>
      <c r="J87" s="1545"/>
      <c r="K87" s="1523">
        <v>2.86</v>
      </c>
      <c r="L87" s="1523"/>
      <c r="M87" s="1523"/>
      <c r="N87" s="1530">
        <f>D87*(G87-I87*K87)</f>
        <v>188.28030720000001</v>
      </c>
      <c r="O87" s="1530"/>
      <c r="P87" s="1530"/>
      <c r="Q87" s="752"/>
      <c r="R87" s="743"/>
      <c r="S87" s="612"/>
      <c r="T87" s="612"/>
      <c r="U87" s="613"/>
      <c r="V87" s="613"/>
      <c r="W87" s="613"/>
      <c r="X87" s="614"/>
      <c r="Y87" s="614"/>
      <c r="Z87" s="614"/>
      <c r="AA87" s="615"/>
      <c r="AB87" s="615"/>
      <c r="AC87" s="615"/>
      <c r="AG87" s="617"/>
    </row>
    <row r="88" spans="1:33" s="616" customFormat="1" ht="21.95" customHeight="1">
      <c r="A88" s="747"/>
      <c r="B88" s="296"/>
      <c r="C88" s="619" t="s">
        <v>704</v>
      </c>
      <c r="D88" s="747"/>
      <c r="E88" s="747"/>
      <c r="F88" s="747"/>
      <c r="G88" s="747"/>
      <c r="H88" s="747"/>
      <c r="I88" s="747"/>
      <c r="J88" s="747"/>
      <c r="K88" s="747"/>
      <c r="L88" s="747"/>
      <c r="M88" s="747"/>
      <c r="N88" s="747"/>
      <c r="O88" s="747"/>
      <c r="P88" s="296"/>
      <c r="Q88" s="743"/>
      <c r="R88" s="743"/>
      <c r="S88" s="612"/>
      <c r="T88" s="612"/>
      <c r="U88" s="613"/>
      <c r="V88" s="613"/>
      <c r="W88" s="613"/>
      <c r="X88" s="614"/>
      <c r="Y88" s="614"/>
      <c r="Z88" s="614"/>
      <c r="AA88" s="615"/>
      <c r="AB88" s="615"/>
      <c r="AC88" s="615"/>
      <c r="AG88" s="617"/>
    </row>
    <row r="89" spans="1:33" s="616" customFormat="1" ht="21.95" customHeight="1">
      <c r="A89" s="747"/>
      <c r="B89" s="747"/>
      <c r="C89" s="619" t="s">
        <v>705</v>
      </c>
      <c r="D89" s="747"/>
      <c r="E89" s="747"/>
      <c r="F89" s="747"/>
      <c r="G89" s="747"/>
      <c r="H89" s="747"/>
      <c r="I89" s="747"/>
      <c r="J89" s="747"/>
      <c r="K89" s="747"/>
      <c r="L89" s="747"/>
      <c r="M89" s="747"/>
      <c r="N89" s="747"/>
      <c r="O89" s="747"/>
      <c r="P89" s="747"/>
      <c r="Q89" s="743"/>
      <c r="R89" s="743"/>
      <c r="S89" s="612"/>
      <c r="T89" s="612"/>
      <c r="U89" s="613"/>
      <c r="V89" s="613"/>
      <c r="W89" s="613"/>
      <c r="X89" s="614"/>
      <c r="Y89" s="614"/>
      <c r="Z89" s="614"/>
      <c r="AA89" s="615"/>
      <c r="AB89" s="615"/>
      <c r="AC89" s="615"/>
      <c r="AG89" s="617"/>
    </row>
    <row r="90" spans="1:33" s="616" customFormat="1" ht="21.95" customHeight="1">
      <c r="A90" s="747"/>
      <c r="B90" s="620" t="s">
        <v>706</v>
      </c>
      <c r="C90" s="743" t="s">
        <v>1</v>
      </c>
      <c r="D90" s="619" t="s">
        <v>707</v>
      </c>
      <c r="E90" s="747"/>
      <c r="F90" s="747"/>
      <c r="G90" s="747"/>
      <c r="H90" s="747"/>
      <c r="I90" s="747"/>
      <c r="J90" s="747"/>
      <c r="K90" s="747"/>
      <c r="L90" s="747"/>
      <c r="M90" s="747"/>
      <c r="N90" s="747"/>
      <c r="O90" s="747"/>
      <c r="P90" s="747"/>
      <c r="Q90" s="743"/>
      <c r="R90" s="743"/>
      <c r="S90" s="612"/>
      <c r="T90" s="612"/>
      <c r="U90" s="613"/>
      <c r="V90" s="613"/>
      <c r="W90" s="613"/>
      <c r="X90" s="614"/>
      <c r="Y90" s="614"/>
      <c r="Z90" s="614"/>
      <c r="AA90" s="615"/>
      <c r="AB90" s="615"/>
      <c r="AC90" s="615"/>
      <c r="AG90" s="617"/>
    </row>
    <row r="91" spans="1:33" s="616" customFormat="1" ht="21.95" customHeight="1">
      <c r="A91" s="747"/>
      <c r="B91" s="1266" t="s">
        <v>37</v>
      </c>
      <c r="C91" s="1266"/>
      <c r="D91" s="1266"/>
      <c r="E91" s="1531" t="s">
        <v>708</v>
      </c>
      <c r="F91" s="1531"/>
      <c r="G91" s="1531"/>
      <c r="H91" s="1532" t="s">
        <v>197</v>
      </c>
      <c r="I91" s="1534"/>
      <c r="J91" s="1533"/>
      <c r="K91" s="1535" t="s">
        <v>195</v>
      </c>
      <c r="L91" s="1282"/>
      <c r="M91" s="1536"/>
      <c r="N91" s="747"/>
      <c r="O91" s="747"/>
      <c r="P91" s="747"/>
      <c r="Q91" s="743"/>
      <c r="R91" s="743"/>
      <c r="S91" s="612"/>
      <c r="T91" s="612"/>
      <c r="U91" s="613"/>
      <c r="V91" s="613"/>
      <c r="W91" s="613"/>
      <c r="X91" s="614"/>
      <c r="Y91" s="614"/>
      <c r="Z91" s="614"/>
      <c r="AA91" s="615"/>
      <c r="AB91" s="615"/>
      <c r="AC91" s="615"/>
      <c r="AG91" s="617"/>
    </row>
    <row r="92" spans="1:33" s="616" customFormat="1" ht="21.95" customHeight="1">
      <c r="A92" s="747"/>
      <c r="B92" s="1266"/>
      <c r="C92" s="1266"/>
      <c r="D92" s="1266"/>
      <c r="E92" s="1531"/>
      <c r="F92" s="1531"/>
      <c r="G92" s="1531"/>
      <c r="H92" s="1532"/>
      <c r="I92" s="1534"/>
      <c r="J92" s="1533"/>
      <c r="K92" s="1537"/>
      <c r="L92" s="1321"/>
      <c r="M92" s="1538"/>
      <c r="N92" s="747"/>
      <c r="O92" s="747"/>
      <c r="P92" s="747"/>
      <c r="Q92" s="743"/>
      <c r="R92" s="743"/>
      <c r="S92" s="612"/>
      <c r="T92" s="612"/>
      <c r="U92" s="613"/>
      <c r="V92" s="613"/>
      <c r="W92" s="613"/>
      <c r="X92" s="614"/>
      <c r="Y92" s="614"/>
      <c r="Z92" s="614"/>
      <c r="AA92" s="615"/>
      <c r="AB92" s="615"/>
      <c r="AC92" s="615"/>
      <c r="AG92" s="617"/>
    </row>
    <row r="93" spans="1:33" s="616" customFormat="1" ht="21.95" customHeight="1">
      <c r="A93" s="747"/>
      <c r="B93" s="1266"/>
      <c r="C93" s="1266"/>
      <c r="D93" s="1266"/>
      <c r="E93" s="1530">
        <f>'설계기준(설계치12)'!C4/2</f>
        <v>2000</v>
      </c>
      <c r="F93" s="1530"/>
      <c r="G93" s="1530"/>
      <c r="H93" s="1539">
        <f>'구조물용량계산(설계치12)'!F129</f>
        <v>19.510399999999997</v>
      </c>
      <c r="I93" s="1540"/>
      <c r="J93" s="1541"/>
      <c r="K93" s="1542">
        <f>E93*H93/1000</f>
        <v>39.020799999999994</v>
      </c>
      <c r="L93" s="1543"/>
      <c r="M93" s="1544"/>
      <c r="N93" s="747"/>
      <c r="O93" s="747"/>
      <c r="P93" s="747"/>
      <c r="Q93" s="743"/>
      <c r="R93" s="743"/>
      <c r="S93" s="612"/>
      <c r="T93" s="612"/>
      <c r="U93" s="613"/>
      <c r="V93" s="613"/>
      <c r="W93" s="613"/>
      <c r="X93" s="614"/>
      <c r="Y93" s="614"/>
      <c r="Z93" s="614"/>
      <c r="AA93" s="615"/>
      <c r="AB93" s="615"/>
      <c r="AC93" s="615"/>
      <c r="AG93" s="617"/>
    </row>
    <row r="94" spans="1:33" s="616" customFormat="1" ht="21.95" customHeight="1">
      <c r="A94" s="747"/>
      <c r="B94" s="747"/>
      <c r="C94" s="619" t="s">
        <v>77</v>
      </c>
      <c r="D94" s="747"/>
      <c r="E94" s="747"/>
      <c r="F94" s="747"/>
      <c r="G94" s="747"/>
      <c r="H94" s="747"/>
      <c r="I94" s="747"/>
      <c r="J94" s="747"/>
      <c r="K94" s="747"/>
      <c r="L94" s="747"/>
      <c r="M94" s="747"/>
      <c r="N94" s="747"/>
      <c r="O94" s="747"/>
      <c r="P94" s="747"/>
      <c r="Q94" s="743"/>
      <c r="R94" s="743"/>
      <c r="S94" s="612"/>
      <c r="T94" s="612"/>
      <c r="U94" s="613"/>
      <c r="V94" s="613"/>
      <c r="W94" s="613"/>
      <c r="X94" s="614"/>
      <c r="Y94" s="614"/>
      <c r="Z94" s="614"/>
      <c r="AA94" s="615"/>
      <c r="AB94" s="615"/>
      <c r="AC94" s="615"/>
      <c r="AG94" s="617"/>
    </row>
    <row r="95" spans="1:33" s="616" customFormat="1" ht="21.95" customHeight="1">
      <c r="A95" s="747"/>
      <c r="B95" s="747"/>
      <c r="C95" s="619" t="s">
        <v>78</v>
      </c>
      <c r="D95" s="747"/>
      <c r="E95" s="747"/>
      <c r="F95" s="747"/>
      <c r="G95" s="747"/>
      <c r="H95" s="747"/>
      <c r="I95" s="747"/>
      <c r="J95" s="747"/>
      <c r="K95" s="747"/>
      <c r="L95" s="747"/>
      <c r="M95" s="747"/>
      <c r="N95" s="747"/>
      <c r="O95" s="747"/>
      <c r="P95" s="747"/>
      <c r="Q95" s="743"/>
      <c r="R95" s="743"/>
      <c r="S95" s="612"/>
      <c r="T95" s="612"/>
      <c r="U95" s="613"/>
      <c r="V95" s="613"/>
      <c r="W95" s="613"/>
      <c r="X95" s="614"/>
      <c r="Y95" s="614"/>
      <c r="Z95" s="614"/>
      <c r="AA95" s="615"/>
      <c r="AB95" s="615"/>
      <c r="AC95" s="615"/>
      <c r="AG95" s="617"/>
    </row>
    <row r="96" spans="1:33" s="616" customFormat="1" ht="21.95" customHeight="1">
      <c r="A96" s="747"/>
      <c r="B96" s="747"/>
      <c r="C96" s="619" t="s">
        <v>709</v>
      </c>
      <c r="D96" s="747"/>
      <c r="E96" s="747"/>
      <c r="F96" s="747"/>
      <c r="G96" s="747"/>
      <c r="H96" s="747"/>
      <c r="I96" s="747"/>
      <c r="J96" s="747"/>
      <c r="K96" s="747"/>
      <c r="L96" s="747"/>
      <c r="M96" s="747"/>
      <c r="N96" s="747"/>
      <c r="O96" s="747"/>
      <c r="P96" s="747"/>
      <c r="Q96" s="743"/>
      <c r="R96" s="743"/>
      <c r="S96" s="612"/>
      <c r="T96" s="612"/>
      <c r="U96" s="613"/>
      <c r="V96" s="613"/>
      <c r="W96" s="613"/>
      <c r="X96" s="614"/>
      <c r="Y96" s="614"/>
      <c r="Z96" s="614"/>
      <c r="AA96" s="615"/>
      <c r="AB96" s="615"/>
      <c r="AC96" s="615"/>
      <c r="AG96" s="617"/>
    </row>
    <row r="97" spans="1:33" s="616" customFormat="1" ht="21.95" customHeight="1">
      <c r="A97" s="618" t="s">
        <v>198</v>
      </c>
      <c r="B97" s="619" t="s">
        <v>199</v>
      </c>
      <c r="C97" s="747"/>
      <c r="D97" s="747"/>
      <c r="E97" s="747"/>
      <c r="F97" s="747"/>
      <c r="G97" s="747"/>
      <c r="H97" s="747"/>
      <c r="I97" s="747"/>
      <c r="J97" s="747"/>
      <c r="K97" s="747"/>
      <c r="L97" s="747"/>
      <c r="M97" s="747"/>
      <c r="N97" s="747"/>
      <c r="O97" s="747"/>
      <c r="P97" s="747"/>
      <c r="Q97" s="743"/>
      <c r="R97" s="743"/>
      <c r="S97" s="612"/>
      <c r="T97" s="612"/>
      <c r="U97" s="613"/>
      <c r="V97" s="613"/>
      <c r="W97" s="613"/>
      <c r="X97" s="614"/>
      <c r="Y97" s="614"/>
      <c r="Z97" s="614"/>
      <c r="AA97" s="615"/>
      <c r="AB97" s="615"/>
      <c r="AC97" s="615"/>
      <c r="AG97" s="617"/>
    </row>
    <row r="98" spans="1:33" s="616" customFormat="1" ht="21.95" customHeight="1">
      <c r="A98" s="747"/>
      <c r="B98" s="620" t="s">
        <v>710</v>
      </c>
      <c r="C98" s="747"/>
      <c r="D98" s="747"/>
      <c r="E98" s="747"/>
      <c r="F98" s="747"/>
      <c r="G98" s="747"/>
      <c r="H98" s="747"/>
      <c r="I98" s="747"/>
      <c r="J98" s="747"/>
      <c r="K98" s="747"/>
      <c r="L98" s="747"/>
      <c r="M98" s="747"/>
      <c r="N98" s="747"/>
      <c r="O98" s="747"/>
      <c r="P98" s="621"/>
      <c r="Q98" s="743"/>
      <c r="R98" s="743"/>
      <c r="S98" s="612"/>
      <c r="T98" s="612"/>
      <c r="U98" s="613"/>
      <c r="V98" s="613"/>
      <c r="W98" s="613"/>
      <c r="X98" s="614"/>
      <c r="Y98" s="614"/>
      <c r="Z98" s="614"/>
      <c r="AA98" s="615"/>
      <c r="AB98" s="615"/>
      <c r="AC98" s="615"/>
      <c r="AG98" s="617"/>
    </row>
    <row r="99" spans="1:33" s="616" customFormat="1" ht="21.95" customHeight="1">
      <c r="A99" s="747"/>
      <c r="B99" s="1266" t="s">
        <v>200</v>
      </c>
      <c r="C99" s="1266"/>
      <c r="D99" s="1531" t="s">
        <v>711</v>
      </c>
      <c r="E99" s="1531"/>
      <c r="F99" s="1531"/>
      <c r="G99" s="1546" t="s">
        <v>712</v>
      </c>
      <c r="H99" s="1282"/>
      <c r="I99" s="1282"/>
      <c r="J99" s="1282"/>
      <c r="K99" s="1282"/>
      <c r="L99" s="1536"/>
      <c r="M99" s="1535" t="s">
        <v>713</v>
      </c>
      <c r="N99" s="1547"/>
      <c r="O99" s="1531" t="s">
        <v>714</v>
      </c>
      <c r="P99" s="1531"/>
      <c r="Q99" s="752"/>
      <c r="R99" s="743"/>
      <c r="S99" s="612"/>
      <c r="T99" s="612"/>
      <c r="U99" s="613"/>
      <c r="V99" s="613"/>
      <c r="W99" s="613"/>
      <c r="X99" s="614"/>
      <c r="Y99" s="614"/>
      <c r="Z99" s="614"/>
      <c r="AA99" s="615"/>
      <c r="AB99" s="615"/>
      <c r="AC99" s="615"/>
      <c r="AG99" s="617"/>
    </row>
    <row r="100" spans="1:33" s="616" customFormat="1" ht="21.95" customHeight="1">
      <c r="A100" s="747"/>
      <c r="B100" s="1266"/>
      <c r="C100" s="1266"/>
      <c r="D100" s="1531"/>
      <c r="E100" s="1531"/>
      <c r="F100" s="1531"/>
      <c r="G100" s="1537"/>
      <c r="H100" s="1321"/>
      <c r="I100" s="1321"/>
      <c r="J100" s="1321"/>
      <c r="K100" s="1321"/>
      <c r="L100" s="1538"/>
      <c r="M100" s="1548"/>
      <c r="N100" s="1549"/>
      <c r="O100" s="1531"/>
      <c r="P100" s="1531"/>
      <c r="Q100" s="752"/>
      <c r="R100" s="743"/>
      <c r="S100" s="612"/>
      <c r="T100" s="612"/>
      <c r="U100" s="613"/>
      <c r="V100" s="613"/>
      <c r="W100" s="613"/>
      <c r="X100" s="614"/>
      <c r="Y100" s="614"/>
      <c r="Z100" s="614"/>
      <c r="AA100" s="615"/>
      <c r="AB100" s="615"/>
      <c r="AC100" s="615"/>
      <c r="AG100" s="617"/>
    </row>
    <row r="101" spans="1:33" s="616" customFormat="1" ht="21.95" customHeight="1">
      <c r="A101" s="747"/>
      <c r="B101" s="1531"/>
      <c r="C101" s="1531"/>
      <c r="D101" s="1523">
        <v>0.1</v>
      </c>
      <c r="E101" s="1523"/>
      <c r="F101" s="1523"/>
      <c r="G101" s="1539">
        <f>'구조물용량계산(설계치12)'!L181/2</f>
        <v>259.84000000000003</v>
      </c>
      <c r="H101" s="1540"/>
      <c r="I101" s="1540"/>
      <c r="J101" s="1540"/>
      <c r="K101" s="1540"/>
      <c r="L101" s="1541"/>
      <c r="M101" s="1550">
        <f>L107</f>
        <v>2.25</v>
      </c>
      <c r="N101" s="1551"/>
      <c r="O101" s="1530">
        <f>D101*G101*M101</f>
        <v>58.464000000000013</v>
      </c>
      <c r="P101" s="1530"/>
      <c r="Q101" s="752"/>
      <c r="R101" s="743"/>
      <c r="S101" s="612"/>
      <c r="T101" s="612"/>
      <c r="U101" s="613"/>
      <c r="V101" s="613"/>
      <c r="W101" s="613"/>
      <c r="X101" s="614"/>
      <c r="Y101" s="614"/>
      <c r="Z101" s="614"/>
      <c r="AA101" s="615"/>
      <c r="AB101" s="615"/>
      <c r="AC101" s="615"/>
      <c r="AG101" s="617"/>
    </row>
    <row r="102" spans="1:33" s="616" customFormat="1" ht="21.95" customHeight="1">
      <c r="A102" s="747"/>
      <c r="B102" s="747"/>
      <c r="C102" s="619" t="s">
        <v>715</v>
      </c>
      <c r="D102" s="747"/>
      <c r="E102" s="747"/>
      <c r="F102" s="747"/>
      <c r="G102" s="747"/>
      <c r="H102" s="747"/>
      <c r="I102" s="747"/>
      <c r="J102" s="747"/>
      <c r="K102" s="747"/>
      <c r="L102" s="747"/>
      <c r="M102" s="747"/>
      <c r="N102" s="747"/>
      <c r="O102" s="747"/>
      <c r="P102" s="747"/>
      <c r="Q102" s="743"/>
      <c r="R102" s="743"/>
      <c r="S102" s="612"/>
      <c r="T102" s="612"/>
      <c r="U102" s="613"/>
      <c r="V102" s="613"/>
      <c r="W102" s="613"/>
      <c r="X102" s="614"/>
      <c r="Y102" s="614"/>
      <c r="Z102" s="614"/>
      <c r="AA102" s="615"/>
      <c r="AB102" s="615"/>
      <c r="AC102" s="615"/>
      <c r="AG102" s="617"/>
    </row>
    <row r="103" spans="1:33" s="616" customFormat="1" ht="21.95" customHeight="1">
      <c r="A103" s="747"/>
      <c r="B103" s="747"/>
      <c r="C103" s="619" t="s">
        <v>79</v>
      </c>
      <c r="D103" s="747"/>
      <c r="E103" s="747"/>
      <c r="F103" s="747"/>
      <c r="G103" s="747"/>
      <c r="H103" s="747"/>
      <c r="I103" s="747"/>
      <c r="J103" s="747"/>
      <c r="K103" s="747"/>
      <c r="L103" s="747"/>
      <c r="M103" s="747"/>
      <c r="N103" s="747"/>
      <c r="O103" s="747"/>
      <c r="P103" s="747"/>
      <c r="Q103" s="743"/>
      <c r="R103" s="743"/>
      <c r="S103" s="612"/>
      <c r="T103" s="612"/>
      <c r="U103" s="613"/>
      <c r="V103" s="613"/>
      <c r="W103" s="613"/>
      <c r="X103" s="614"/>
      <c r="Y103" s="614"/>
      <c r="Z103" s="614"/>
      <c r="AA103" s="615"/>
      <c r="AB103" s="615"/>
      <c r="AC103" s="615"/>
      <c r="AG103" s="617"/>
    </row>
    <row r="104" spans="1:33" s="616" customFormat="1" ht="21.95" customHeight="1">
      <c r="A104" s="747"/>
      <c r="B104" s="747"/>
      <c r="C104" s="747"/>
      <c r="D104" s="619" t="s">
        <v>716</v>
      </c>
      <c r="E104" s="747"/>
      <c r="F104" s="747"/>
      <c r="G104" s="747"/>
      <c r="H104" s="747"/>
      <c r="I104" s="747"/>
      <c r="J104" s="747"/>
      <c r="K104" s="747"/>
      <c r="L104" s="747"/>
      <c r="M104" s="747"/>
      <c r="N104" s="747"/>
      <c r="O104" s="747"/>
      <c r="P104" s="747"/>
      <c r="Q104" s="743"/>
      <c r="R104" s="743"/>
      <c r="S104" s="612"/>
      <c r="T104" s="612"/>
      <c r="U104" s="613"/>
      <c r="V104" s="613"/>
      <c r="W104" s="613"/>
      <c r="X104" s="614"/>
      <c r="Y104" s="614"/>
      <c r="Z104" s="614"/>
      <c r="AA104" s="615"/>
      <c r="AB104" s="615"/>
      <c r="AC104" s="615"/>
      <c r="AG104" s="617"/>
    </row>
    <row r="105" spans="1:33" s="616" customFormat="1" ht="21.95" customHeight="1">
      <c r="A105" s="747"/>
      <c r="B105" s="747"/>
      <c r="C105" s="619" t="s">
        <v>717</v>
      </c>
      <c r="D105" s="747"/>
      <c r="E105" s="747"/>
      <c r="F105" s="747"/>
      <c r="G105" s="747"/>
      <c r="H105" s="747"/>
      <c r="I105" s="747"/>
      <c r="J105" s="747"/>
      <c r="K105" s="747"/>
      <c r="L105" s="747"/>
      <c r="M105" s="747"/>
      <c r="N105" s="747"/>
      <c r="O105" s="747"/>
      <c r="P105" s="747"/>
      <c r="Q105" s="743"/>
      <c r="R105" s="743"/>
      <c r="S105" s="612"/>
      <c r="T105" s="612"/>
      <c r="U105" s="613"/>
      <c r="V105" s="613"/>
      <c r="W105" s="613"/>
      <c r="X105" s="614"/>
      <c r="Y105" s="614"/>
      <c r="Z105" s="614"/>
      <c r="AA105" s="615"/>
      <c r="AB105" s="615"/>
      <c r="AC105" s="615"/>
      <c r="AG105" s="617"/>
    </row>
    <row r="106" spans="1:33" s="616" customFormat="1" ht="21.95" customHeight="1">
      <c r="A106" s="747"/>
      <c r="B106" s="747"/>
      <c r="C106" s="619" t="s">
        <v>718</v>
      </c>
      <c r="D106" s="747"/>
      <c r="E106" s="747"/>
      <c r="F106" s="747"/>
      <c r="G106" s="747"/>
      <c r="H106" s="747"/>
      <c r="I106" s="747"/>
      <c r="J106" s="747"/>
      <c r="K106" s="747"/>
      <c r="L106" s="747"/>
      <c r="M106" s="747"/>
      <c r="N106" s="747"/>
      <c r="O106" s="747"/>
      <c r="P106" s="747"/>
      <c r="Q106" s="743"/>
      <c r="R106" s="743"/>
      <c r="S106" s="612"/>
      <c r="T106" s="612"/>
      <c r="U106" s="613"/>
      <c r="V106" s="613"/>
      <c r="W106" s="613"/>
      <c r="X106" s="614"/>
      <c r="Y106" s="614"/>
      <c r="Z106" s="614"/>
      <c r="AA106" s="615"/>
      <c r="AB106" s="615"/>
      <c r="AC106" s="615"/>
      <c r="AG106" s="617"/>
    </row>
    <row r="107" spans="1:33" s="616" customFormat="1" ht="21.95" customHeight="1">
      <c r="A107" s="747"/>
      <c r="B107" s="747"/>
      <c r="C107" s="747"/>
      <c r="D107" s="1552">
        <f>'설계기준(설계치12)'!K14</f>
        <v>3000</v>
      </c>
      <c r="E107" s="1552"/>
      <c r="F107" s="1552"/>
      <c r="G107" s="1553">
        <v>0.75</v>
      </c>
      <c r="H107" s="1553"/>
      <c r="I107" s="1554" t="s">
        <v>719</v>
      </c>
      <c r="J107" s="1555"/>
      <c r="K107" s="747" t="s">
        <v>30</v>
      </c>
      <c r="L107" s="1556">
        <f>D107*G107/1000</f>
        <v>2.25</v>
      </c>
      <c r="M107" s="1556"/>
      <c r="N107" s="619" t="s">
        <v>720</v>
      </c>
      <c r="O107" s="747"/>
      <c r="P107" s="619"/>
      <c r="Q107" s="743"/>
      <c r="R107" s="743"/>
      <c r="S107" s="612"/>
      <c r="T107" s="612"/>
      <c r="U107" s="613"/>
      <c r="V107" s="613"/>
      <c r="W107" s="613"/>
      <c r="X107" s="614"/>
      <c r="Y107" s="614"/>
      <c r="Z107" s="614"/>
      <c r="AA107" s="615"/>
      <c r="AB107" s="615"/>
      <c r="AC107" s="615"/>
      <c r="AG107" s="617"/>
    </row>
    <row r="108" spans="1:33" s="616" customFormat="1" ht="21.95" customHeight="1">
      <c r="A108" s="618" t="s">
        <v>201</v>
      </c>
      <c r="B108" s="619" t="s">
        <v>202</v>
      </c>
      <c r="C108" s="747"/>
      <c r="D108" s="747"/>
      <c r="E108" s="747"/>
      <c r="F108" s="747"/>
      <c r="G108" s="747"/>
      <c r="H108" s="747"/>
      <c r="I108" s="747"/>
      <c r="J108" s="747"/>
      <c r="K108" s="747"/>
      <c r="L108" s="747"/>
      <c r="M108" s="747"/>
      <c r="N108" s="747"/>
      <c r="O108" s="747"/>
      <c r="P108" s="747"/>
      <c r="Q108" s="743"/>
      <c r="R108" s="743"/>
      <c r="S108" s="612"/>
      <c r="T108" s="612"/>
      <c r="U108" s="613"/>
      <c r="V108" s="613"/>
      <c r="W108" s="613"/>
      <c r="X108" s="614"/>
      <c r="Y108" s="614"/>
      <c r="Z108" s="614"/>
      <c r="AA108" s="615"/>
      <c r="AB108" s="615"/>
      <c r="AC108" s="615"/>
      <c r="AG108" s="617"/>
    </row>
    <row r="109" spans="1:33" s="616" customFormat="1" ht="21.95" customHeight="1">
      <c r="A109" s="747"/>
      <c r="B109" s="619" t="s">
        <v>721</v>
      </c>
      <c r="C109" s="747"/>
      <c r="D109" s="747"/>
      <c r="E109" s="747"/>
      <c r="F109" s="747"/>
      <c r="G109" s="747"/>
      <c r="H109" s="747"/>
      <c r="I109" s="747"/>
      <c r="J109" s="747"/>
      <c r="K109" s="747"/>
      <c r="L109" s="747"/>
      <c r="M109" s="747"/>
      <c r="N109" s="747"/>
      <c r="O109" s="747"/>
      <c r="P109" s="747"/>
      <c r="Q109" s="743"/>
      <c r="R109" s="743"/>
      <c r="S109" s="612"/>
      <c r="T109" s="612"/>
      <c r="U109" s="613"/>
      <c r="V109" s="613"/>
      <c r="W109" s="613"/>
      <c r="X109" s="614"/>
      <c r="Y109" s="614"/>
      <c r="Z109" s="614"/>
      <c r="AA109" s="615"/>
      <c r="AB109" s="615"/>
      <c r="AC109" s="615"/>
      <c r="AG109" s="617"/>
    </row>
    <row r="110" spans="1:33" s="616" customFormat="1" ht="21.95" customHeight="1">
      <c r="A110" s="747"/>
      <c r="B110" s="1266" t="s">
        <v>200</v>
      </c>
      <c r="C110" s="1266"/>
      <c r="D110" s="1531" t="s">
        <v>722</v>
      </c>
      <c r="E110" s="1531"/>
      <c r="F110" s="1532"/>
      <c r="G110" s="1535" t="s">
        <v>203</v>
      </c>
      <c r="H110" s="1536"/>
      <c r="I110" s="1557" t="s">
        <v>204</v>
      </c>
      <c r="J110" s="1547"/>
      <c r="K110" s="1531" t="s">
        <v>723</v>
      </c>
      <c r="L110" s="1531"/>
      <c r="M110" s="743"/>
      <c r="N110" s="743"/>
      <c r="O110" s="743"/>
      <c r="P110" s="747"/>
      <c r="Q110" s="743"/>
      <c r="R110" s="743"/>
      <c r="S110" s="612"/>
      <c r="T110" s="612"/>
      <c r="U110" s="613"/>
      <c r="V110" s="613"/>
      <c r="W110" s="613"/>
      <c r="X110" s="614"/>
      <c r="Y110" s="614"/>
      <c r="Z110" s="614"/>
      <c r="AA110" s="615"/>
      <c r="AB110" s="615"/>
      <c r="AC110" s="615"/>
      <c r="AG110" s="617"/>
    </row>
    <row r="111" spans="1:33" s="616" customFormat="1" ht="21.95" customHeight="1">
      <c r="A111" s="747"/>
      <c r="B111" s="1266"/>
      <c r="C111" s="1266"/>
      <c r="D111" s="1531"/>
      <c r="E111" s="1531"/>
      <c r="F111" s="1532"/>
      <c r="G111" s="1537"/>
      <c r="H111" s="1538"/>
      <c r="I111" s="1558"/>
      <c r="J111" s="1549"/>
      <c r="K111" s="1531"/>
      <c r="L111" s="1531"/>
      <c r="M111" s="743"/>
      <c r="N111" s="743"/>
      <c r="O111" s="743"/>
      <c r="P111" s="747"/>
      <c r="Q111" s="743"/>
      <c r="R111" s="743"/>
      <c r="S111" s="612"/>
      <c r="T111" s="612"/>
      <c r="U111" s="613"/>
      <c r="V111" s="613"/>
      <c r="W111" s="613"/>
      <c r="X111" s="614"/>
      <c r="Y111" s="614"/>
      <c r="Z111" s="614"/>
      <c r="AA111" s="615"/>
      <c r="AB111" s="615"/>
      <c r="AC111" s="615"/>
      <c r="AG111" s="617"/>
    </row>
    <row r="112" spans="1:33" s="616" customFormat="1" ht="21.95" customHeight="1">
      <c r="A112" s="747"/>
      <c r="B112" s="1531"/>
      <c r="C112" s="1531"/>
      <c r="D112" s="1523">
        <v>4.57</v>
      </c>
      <c r="E112" s="1523"/>
      <c r="F112" s="1523"/>
      <c r="G112" s="1559">
        <f>'구조물용량계산(설계치12)'!N124</f>
        <v>49.048000000000002</v>
      </c>
      <c r="H112" s="1560"/>
      <c r="I112" s="1542">
        <f>G112*'설계기준(설계치12)'!C4/1000/2</f>
        <v>98.096000000000004</v>
      </c>
      <c r="J112" s="1544"/>
      <c r="K112" s="1530">
        <f>D112*I112</f>
        <v>448.29872000000006</v>
      </c>
      <c r="L112" s="1530"/>
      <c r="M112" s="743"/>
      <c r="N112" s="743"/>
      <c r="O112" s="743"/>
      <c r="P112" s="747"/>
      <c r="Q112" s="743"/>
      <c r="R112" s="743"/>
      <c r="S112" s="612"/>
      <c r="T112" s="612"/>
      <c r="U112" s="613"/>
      <c r="V112" s="613"/>
      <c r="W112" s="613"/>
      <c r="X112" s="614"/>
      <c r="Y112" s="614"/>
      <c r="Z112" s="614"/>
      <c r="AA112" s="615"/>
      <c r="AB112" s="615"/>
      <c r="AC112" s="615"/>
      <c r="AG112" s="617"/>
    </row>
    <row r="113" spans="1:33" s="616" customFormat="1" ht="21.95" customHeight="1">
      <c r="A113" s="747"/>
      <c r="B113" s="296"/>
      <c r="C113" s="619" t="s">
        <v>724</v>
      </c>
      <c r="D113" s="747"/>
      <c r="E113" s="747"/>
      <c r="F113" s="747"/>
      <c r="G113" s="747"/>
      <c r="H113" s="747"/>
      <c r="I113" s="747"/>
      <c r="J113" s="747"/>
      <c r="K113" s="747"/>
      <c r="L113" s="747"/>
      <c r="M113" s="747"/>
      <c r="N113" s="747"/>
      <c r="O113" s="747"/>
      <c r="P113" s="747"/>
      <c r="Q113" s="743"/>
      <c r="R113" s="743"/>
      <c r="S113" s="612"/>
      <c r="T113" s="612"/>
      <c r="U113" s="613"/>
      <c r="V113" s="613"/>
      <c r="W113" s="613"/>
      <c r="X113" s="614"/>
      <c r="Y113" s="614"/>
      <c r="Z113" s="614"/>
      <c r="AA113" s="615"/>
      <c r="AB113" s="615"/>
      <c r="AC113" s="615"/>
      <c r="AG113" s="617"/>
    </row>
    <row r="114" spans="1:33" s="616" customFormat="1" ht="21.95" customHeight="1">
      <c r="A114" s="747"/>
      <c r="B114" s="747"/>
      <c r="C114" s="619" t="s">
        <v>725</v>
      </c>
      <c r="D114" s="747"/>
      <c r="E114" s="747"/>
      <c r="F114" s="747"/>
      <c r="G114" s="747"/>
      <c r="H114" s="747"/>
      <c r="I114" s="747"/>
      <c r="J114" s="747"/>
      <c r="K114" s="747"/>
      <c r="L114" s="747"/>
      <c r="M114" s="747"/>
      <c r="N114" s="747"/>
      <c r="O114" s="747"/>
      <c r="P114" s="747"/>
      <c r="Q114" s="743"/>
      <c r="R114" s="743"/>
      <c r="S114" s="612"/>
      <c r="T114" s="612"/>
      <c r="U114" s="613"/>
      <c r="V114" s="613"/>
      <c r="W114" s="613"/>
      <c r="X114" s="614"/>
      <c r="Y114" s="614"/>
      <c r="Z114" s="614"/>
      <c r="AA114" s="615"/>
      <c r="AB114" s="615"/>
      <c r="AC114" s="615"/>
      <c r="AG114" s="617"/>
    </row>
    <row r="115" spans="1:33" s="616" customFormat="1" ht="21.95" customHeight="1">
      <c r="A115" s="618" t="s">
        <v>205</v>
      </c>
      <c r="B115" s="619" t="s">
        <v>726</v>
      </c>
      <c r="C115" s="747"/>
      <c r="D115" s="747"/>
      <c r="E115" s="747"/>
      <c r="F115" s="747"/>
      <c r="G115" s="747"/>
      <c r="H115" s="747"/>
      <c r="I115" s="747"/>
      <c r="J115" s="747"/>
      <c r="K115" s="747"/>
      <c r="L115" s="747"/>
      <c r="M115" s="747"/>
      <c r="N115" s="747"/>
      <c r="O115" s="747"/>
      <c r="P115" s="747"/>
      <c r="Q115" s="743"/>
      <c r="R115" s="743"/>
      <c r="S115" s="612"/>
      <c r="T115" s="612"/>
      <c r="U115" s="613"/>
      <c r="V115" s="613"/>
      <c r="W115" s="613"/>
      <c r="X115" s="614"/>
      <c r="Y115" s="614"/>
      <c r="Z115" s="614"/>
      <c r="AA115" s="615"/>
      <c r="AB115" s="615"/>
      <c r="AC115" s="615"/>
      <c r="AG115" s="617"/>
    </row>
    <row r="116" spans="1:33" s="616" customFormat="1" ht="21.95" customHeight="1">
      <c r="A116" s="618" t="s">
        <v>206</v>
      </c>
      <c r="B116" s="619" t="s">
        <v>207</v>
      </c>
      <c r="C116" s="747"/>
      <c r="D116" s="747"/>
      <c r="E116" s="747"/>
      <c r="F116" s="747"/>
      <c r="G116" s="747"/>
      <c r="H116" s="747"/>
      <c r="I116" s="747"/>
      <c r="J116" s="747"/>
      <c r="K116" s="747"/>
      <c r="L116" s="747"/>
      <c r="M116" s="747"/>
      <c r="N116" s="747"/>
      <c r="O116" s="747"/>
      <c r="P116" s="747"/>
      <c r="Q116" s="747"/>
      <c r="R116" s="770"/>
      <c r="S116" s="612"/>
      <c r="T116" s="612"/>
      <c r="U116" s="613"/>
      <c r="V116" s="613"/>
      <c r="W116" s="613"/>
      <c r="X116" s="614"/>
      <c r="Y116" s="614"/>
      <c r="Z116" s="614"/>
      <c r="AA116" s="615"/>
      <c r="AB116" s="615"/>
      <c r="AC116" s="615"/>
      <c r="AG116" s="617"/>
    </row>
    <row r="117" spans="1:33" s="616" customFormat="1" ht="21.95" customHeight="1">
      <c r="A117" s="747"/>
      <c r="B117" s="619" t="s">
        <v>727</v>
      </c>
      <c r="C117" s="747"/>
      <c r="D117" s="747"/>
      <c r="E117" s="747"/>
      <c r="F117" s="747"/>
      <c r="G117" s="747"/>
      <c r="H117" s="747"/>
      <c r="I117" s="747"/>
      <c r="J117" s="747"/>
      <c r="K117" s="747"/>
      <c r="L117" s="747"/>
      <c r="M117" s="747"/>
      <c r="N117" s="747"/>
      <c r="O117" s="747"/>
      <c r="P117" s="747"/>
      <c r="Q117" s="747"/>
      <c r="R117" s="770"/>
      <c r="S117" s="612"/>
      <c r="T117" s="612"/>
      <c r="U117" s="613"/>
      <c r="V117" s="613"/>
      <c r="W117" s="613"/>
      <c r="X117" s="614"/>
      <c r="Y117" s="614"/>
      <c r="Z117" s="614"/>
      <c r="AA117" s="615"/>
      <c r="AB117" s="615"/>
      <c r="AC117" s="615"/>
      <c r="AG117" s="617"/>
    </row>
    <row r="118" spans="1:33" s="616" customFormat="1" ht="21.95" customHeight="1">
      <c r="A118" s="747"/>
      <c r="B118" s="619"/>
      <c r="C118" s="747"/>
      <c r="D118" s="747"/>
      <c r="E118" s="747"/>
      <c r="F118" s="747"/>
      <c r="G118" s="747"/>
      <c r="H118" s="747"/>
      <c r="I118" s="747"/>
      <c r="J118" s="747"/>
      <c r="K118" s="747"/>
      <c r="L118" s="747"/>
      <c r="M118" s="747"/>
      <c r="N118" s="747"/>
      <c r="O118" s="747"/>
      <c r="P118" s="747"/>
      <c r="Q118" s="747"/>
      <c r="R118" s="770"/>
      <c r="S118" s="612"/>
      <c r="T118" s="612"/>
      <c r="U118" s="613"/>
      <c r="V118" s="613"/>
      <c r="W118" s="613"/>
      <c r="X118" s="614"/>
      <c r="Y118" s="614"/>
      <c r="Z118" s="614"/>
      <c r="AA118" s="615"/>
      <c r="AB118" s="615"/>
      <c r="AC118" s="615"/>
      <c r="AG118" s="617"/>
    </row>
    <row r="119" spans="1:33" s="616" customFormat="1" ht="21.95" customHeight="1">
      <c r="A119" s="747"/>
      <c r="B119" s="620"/>
      <c r="C119" s="747"/>
      <c r="D119" s="747"/>
      <c r="E119" s="747"/>
      <c r="F119" s="747"/>
      <c r="G119" s="747"/>
      <c r="H119" s="747"/>
      <c r="I119" s="747"/>
      <c r="J119" s="747"/>
      <c r="K119" s="747"/>
      <c r="L119" s="747"/>
      <c r="M119" s="747"/>
      <c r="N119" s="747"/>
      <c r="O119" s="747"/>
      <c r="P119" s="747"/>
      <c r="Q119" s="747"/>
      <c r="R119" s="770"/>
      <c r="S119" s="612"/>
      <c r="T119" s="612"/>
      <c r="U119" s="613"/>
      <c r="V119" s="613"/>
      <c r="W119" s="613"/>
      <c r="X119" s="614"/>
      <c r="Y119" s="614"/>
      <c r="Z119" s="614"/>
      <c r="AA119" s="615"/>
      <c r="AB119" s="615"/>
      <c r="AC119" s="615"/>
      <c r="AG119" s="617"/>
    </row>
    <row r="120" spans="1:33" s="616" customFormat="1" ht="21.95" customHeight="1">
      <c r="A120" s="747"/>
      <c r="B120" s="1266" t="s">
        <v>200</v>
      </c>
      <c r="C120" s="1266"/>
      <c r="D120" s="1531" t="s">
        <v>703</v>
      </c>
      <c r="E120" s="1531"/>
      <c r="F120" s="1531"/>
      <c r="G120" s="1531" t="s">
        <v>714</v>
      </c>
      <c r="H120" s="1531"/>
      <c r="I120" s="1531"/>
      <c r="J120" s="1531" t="s">
        <v>723</v>
      </c>
      <c r="K120" s="1531"/>
      <c r="L120" s="1531"/>
      <c r="M120" s="1531" t="s">
        <v>728</v>
      </c>
      <c r="N120" s="1531"/>
      <c r="O120" s="1531"/>
      <c r="P120" s="747"/>
      <c r="Q120" s="747"/>
      <c r="R120" s="743"/>
      <c r="S120" s="612"/>
      <c r="T120" s="612"/>
      <c r="U120" s="613"/>
      <c r="V120" s="613"/>
      <c r="W120" s="613"/>
      <c r="X120" s="614"/>
      <c r="Y120" s="614"/>
      <c r="Z120" s="614"/>
      <c r="AA120" s="615"/>
      <c r="AB120" s="615"/>
      <c r="AC120" s="615"/>
      <c r="AG120" s="617"/>
    </row>
    <row r="121" spans="1:33" s="616" customFormat="1" ht="21.95" customHeight="1">
      <c r="A121" s="747"/>
      <c r="B121" s="1266"/>
      <c r="C121" s="1266"/>
      <c r="D121" s="1531"/>
      <c r="E121" s="1531"/>
      <c r="F121" s="1531"/>
      <c r="G121" s="1531"/>
      <c r="H121" s="1531"/>
      <c r="I121" s="1531"/>
      <c r="J121" s="1531"/>
      <c r="K121" s="1531"/>
      <c r="L121" s="1531"/>
      <c r="M121" s="1531"/>
      <c r="N121" s="1531"/>
      <c r="O121" s="1531"/>
      <c r="P121" s="747"/>
      <c r="Q121" s="747"/>
      <c r="R121" s="743"/>
      <c r="S121" s="612"/>
      <c r="T121" s="612"/>
      <c r="U121" s="613"/>
      <c r="V121" s="613"/>
      <c r="W121" s="613"/>
      <c r="X121" s="614"/>
      <c r="Y121" s="614"/>
      <c r="Z121" s="614"/>
      <c r="AA121" s="615"/>
      <c r="AB121" s="615"/>
      <c r="AC121" s="615"/>
      <c r="AG121" s="617"/>
    </row>
    <row r="122" spans="1:33" s="616" customFormat="1" ht="21.95" customHeight="1">
      <c r="A122" s="747"/>
      <c r="B122" s="1531"/>
      <c r="C122" s="1531"/>
      <c r="D122" s="1530">
        <f>N87</f>
        <v>188.28030720000001</v>
      </c>
      <c r="E122" s="1530"/>
      <c r="F122" s="1530"/>
      <c r="G122" s="1530">
        <f>O101</f>
        <v>58.464000000000013</v>
      </c>
      <c r="H122" s="1530"/>
      <c r="I122" s="1530"/>
      <c r="J122" s="1530">
        <f>K112</f>
        <v>448.29872000000006</v>
      </c>
      <c r="K122" s="1530"/>
      <c r="L122" s="1530"/>
      <c r="M122" s="1530">
        <f>D122+G122+J122</f>
        <v>695.0430272000001</v>
      </c>
      <c r="N122" s="1530"/>
      <c r="O122" s="1530"/>
      <c r="P122" s="747"/>
      <c r="Q122" s="747"/>
      <c r="R122" s="743"/>
      <c r="S122" s="612"/>
      <c r="T122" s="612"/>
      <c r="U122" s="613"/>
      <c r="V122" s="613"/>
      <c r="W122" s="613"/>
      <c r="X122" s="614"/>
      <c r="Y122" s="614"/>
      <c r="Z122" s="614"/>
      <c r="AA122" s="615"/>
      <c r="AB122" s="615"/>
      <c r="AC122" s="615"/>
      <c r="AG122" s="617"/>
    </row>
    <row r="123" spans="1:33" s="616" customFormat="1" ht="21.95" customHeight="1">
      <c r="A123" s="747"/>
      <c r="B123" s="747"/>
      <c r="C123" s="619" t="s">
        <v>729</v>
      </c>
      <c r="D123" s="747"/>
      <c r="E123" s="747"/>
      <c r="F123" s="747"/>
      <c r="G123" s="747"/>
      <c r="H123" s="747"/>
      <c r="I123" s="747"/>
      <c r="J123" s="747"/>
      <c r="K123" s="747"/>
      <c r="L123" s="747"/>
      <c r="M123" s="747"/>
      <c r="N123" s="747"/>
      <c r="O123" s="747"/>
      <c r="P123" s="747"/>
      <c r="Q123" s="747"/>
      <c r="R123" s="770"/>
      <c r="S123" s="612"/>
      <c r="T123" s="612"/>
      <c r="U123" s="613"/>
      <c r="V123" s="613"/>
      <c r="W123" s="613"/>
      <c r="X123" s="614"/>
      <c r="Y123" s="614"/>
      <c r="Z123" s="614"/>
      <c r="AA123" s="615"/>
      <c r="AB123" s="615"/>
      <c r="AC123" s="615"/>
      <c r="AG123" s="617"/>
    </row>
    <row r="124" spans="1:33" s="616" customFormat="1" ht="21.95" customHeight="1">
      <c r="A124" s="747"/>
      <c r="B124" s="747"/>
      <c r="C124" s="619" t="s">
        <v>704</v>
      </c>
      <c r="D124" s="747"/>
      <c r="E124" s="747"/>
      <c r="F124" s="747"/>
      <c r="G124" s="747"/>
      <c r="H124" s="747"/>
      <c r="I124" s="747"/>
      <c r="J124" s="747"/>
      <c r="K124" s="747"/>
      <c r="L124" s="747"/>
      <c r="M124" s="747"/>
      <c r="N124" s="747"/>
      <c r="O124" s="747"/>
      <c r="P124" s="747"/>
      <c r="Q124" s="747"/>
      <c r="R124" s="770"/>
      <c r="S124" s="612"/>
      <c r="T124" s="612"/>
      <c r="U124" s="613"/>
      <c r="V124" s="613"/>
      <c r="W124" s="613"/>
      <c r="X124" s="614"/>
      <c r="Y124" s="614"/>
      <c r="Z124" s="614"/>
      <c r="AA124" s="615"/>
      <c r="AB124" s="615"/>
      <c r="AC124" s="615"/>
      <c r="AG124" s="617"/>
    </row>
    <row r="125" spans="1:33" s="616" customFormat="1" ht="21.95" customHeight="1">
      <c r="A125" s="747"/>
      <c r="B125" s="747"/>
      <c r="C125" s="619" t="s">
        <v>715</v>
      </c>
      <c r="D125" s="747"/>
      <c r="E125" s="747"/>
      <c r="F125" s="747"/>
      <c r="G125" s="747"/>
      <c r="H125" s="747"/>
      <c r="I125" s="747"/>
      <c r="J125" s="747"/>
      <c r="K125" s="747"/>
      <c r="L125" s="747"/>
      <c r="M125" s="747"/>
      <c r="N125" s="747"/>
      <c r="O125" s="747"/>
      <c r="P125" s="747"/>
      <c r="Q125" s="747"/>
      <c r="R125" s="770"/>
      <c r="S125" s="612"/>
      <c r="T125" s="612"/>
      <c r="U125" s="613"/>
      <c r="V125" s="613"/>
      <c r="W125" s="613"/>
      <c r="X125" s="614"/>
      <c r="Y125" s="614"/>
      <c r="Z125" s="614"/>
      <c r="AA125" s="615"/>
      <c r="AB125" s="615"/>
      <c r="AC125" s="615"/>
      <c r="AG125" s="617"/>
    </row>
    <row r="126" spans="1:33" s="616" customFormat="1" ht="21.95" customHeight="1">
      <c r="A126" s="747"/>
      <c r="B126" s="747"/>
      <c r="C126" s="619" t="s">
        <v>724</v>
      </c>
      <c r="D126" s="747"/>
      <c r="E126" s="747"/>
      <c r="F126" s="747"/>
      <c r="G126" s="747"/>
      <c r="H126" s="747"/>
      <c r="I126" s="747"/>
      <c r="J126" s="747"/>
      <c r="K126" s="747"/>
      <c r="L126" s="747"/>
      <c r="M126" s="747"/>
      <c r="N126" s="747"/>
      <c r="O126" s="747"/>
      <c r="P126" s="747"/>
      <c r="Q126" s="747"/>
      <c r="R126" s="770"/>
      <c r="S126" s="612"/>
      <c r="T126" s="612"/>
      <c r="U126" s="613"/>
      <c r="V126" s="613"/>
      <c r="W126" s="613"/>
      <c r="X126" s="614"/>
      <c r="Y126" s="614"/>
      <c r="Z126" s="614"/>
      <c r="AA126" s="615"/>
      <c r="AB126" s="615"/>
      <c r="AC126" s="615"/>
      <c r="AG126" s="617"/>
    </row>
    <row r="127" spans="1:33" s="616" customFormat="1" ht="21.95" customHeight="1">
      <c r="A127" s="747"/>
      <c r="B127" s="747"/>
      <c r="C127" s="619" t="s">
        <v>730</v>
      </c>
      <c r="D127" s="747"/>
      <c r="E127" s="747"/>
      <c r="F127" s="747"/>
      <c r="G127" s="747"/>
      <c r="H127" s="747"/>
      <c r="I127" s="747"/>
      <c r="J127" s="747"/>
      <c r="K127" s="747"/>
      <c r="L127" s="747"/>
      <c r="M127" s="747"/>
      <c r="N127" s="747"/>
      <c r="O127" s="747"/>
      <c r="P127" s="747"/>
      <c r="Q127" s="747"/>
      <c r="R127" s="770"/>
      <c r="S127" s="612"/>
      <c r="T127" s="612"/>
      <c r="U127" s="613"/>
      <c r="V127" s="613"/>
      <c r="W127" s="613"/>
      <c r="X127" s="614"/>
      <c r="Y127" s="614"/>
      <c r="Z127" s="614"/>
      <c r="AA127" s="615"/>
      <c r="AB127" s="615"/>
      <c r="AC127" s="615"/>
      <c r="AG127" s="617"/>
    </row>
    <row r="128" spans="1:33" s="616" customFormat="1" ht="21.95" customHeight="1">
      <c r="A128" s="748" t="s">
        <v>208</v>
      </c>
      <c r="B128" s="747"/>
      <c r="C128" s="619"/>
      <c r="D128" s="747"/>
      <c r="E128" s="747"/>
      <c r="F128" s="747"/>
      <c r="G128" s="747"/>
      <c r="H128" s="747"/>
      <c r="I128" s="747"/>
      <c r="J128" s="747"/>
      <c r="K128" s="747"/>
      <c r="L128" s="747"/>
      <c r="M128" s="747"/>
      <c r="N128" s="747"/>
      <c r="O128" s="747"/>
      <c r="P128" s="747"/>
      <c r="Q128" s="747"/>
      <c r="R128" s="770"/>
      <c r="S128" s="612"/>
      <c r="T128" s="612"/>
      <c r="U128" s="613"/>
      <c r="V128" s="613"/>
      <c r="W128" s="613"/>
      <c r="X128" s="614"/>
      <c r="Y128" s="614"/>
      <c r="Z128" s="614"/>
      <c r="AA128" s="615"/>
      <c r="AB128" s="615"/>
      <c r="AC128" s="615"/>
      <c r="AG128" s="617"/>
    </row>
    <row r="129" spans="1:33" s="616" customFormat="1" ht="21.95" customHeight="1">
      <c r="A129" s="748"/>
      <c r="B129" s="1561" t="s">
        <v>75</v>
      </c>
      <c r="C129" s="1561"/>
      <c r="D129" s="1321" t="s">
        <v>731</v>
      </c>
      <c r="E129" s="1321"/>
      <c r="F129" s="1321"/>
      <c r="G129" s="1321"/>
      <c r="H129" s="1321"/>
      <c r="I129" s="1321"/>
      <c r="J129" s="1321"/>
      <c r="K129" s="1260" t="s">
        <v>41</v>
      </c>
      <c r="L129" s="1321">
        <v>760</v>
      </c>
      <c r="M129" s="1321"/>
      <c r="N129" s="745"/>
      <c r="O129" s="743"/>
      <c r="P129" s="743"/>
      <c r="Q129" s="743"/>
      <c r="R129" s="770"/>
      <c r="S129" s="612"/>
      <c r="T129" s="612"/>
      <c r="U129" s="613"/>
      <c r="V129" s="613"/>
      <c r="W129" s="613"/>
      <c r="X129" s="614"/>
      <c r="Y129" s="614"/>
      <c r="Z129" s="614"/>
      <c r="AA129" s="615"/>
      <c r="AB129" s="615"/>
      <c r="AC129" s="615"/>
      <c r="AG129" s="617"/>
    </row>
    <row r="130" spans="1:33" s="616" customFormat="1" ht="21.95" customHeight="1">
      <c r="A130" s="747"/>
      <c r="B130" s="1562"/>
      <c r="C130" s="1562"/>
      <c r="D130" s="1466" t="s">
        <v>732</v>
      </c>
      <c r="E130" s="1466"/>
      <c r="F130" s="1466"/>
      <c r="G130" s="1466"/>
      <c r="H130" s="1466"/>
      <c r="I130" s="1466"/>
      <c r="J130" s="1466"/>
      <c r="K130" s="1321"/>
      <c r="L130" s="1466" t="s">
        <v>209</v>
      </c>
      <c r="M130" s="1466"/>
      <c r="N130" s="745"/>
      <c r="O130" s="743"/>
      <c r="P130" s="766"/>
      <c r="Q130" s="766"/>
      <c r="R130" s="770"/>
      <c r="S130" s="612"/>
      <c r="T130" s="612"/>
      <c r="U130" s="613"/>
      <c r="V130" s="613"/>
      <c r="W130" s="613"/>
      <c r="X130" s="614"/>
      <c r="Y130" s="614"/>
      <c r="Z130" s="614"/>
      <c r="AA130" s="615"/>
      <c r="AB130" s="615"/>
      <c r="AC130" s="615"/>
      <c r="AG130" s="617"/>
    </row>
    <row r="131" spans="1:33" s="616" customFormat="1" ht="21.95" customHeight="1">
      <c r="A131" s="746"/>
      <c r="B131" s="1266" t="s">
        <v>200</v>
      </c>
      <c r="C131" s="1531" t="s">
        <v>733</v>
      </c>
      <c r="D131" s="1531"/>
      <c r="E131" s="1531" t="s">
        <v>734</v>
      </c>
      <c r="F131" s="1531"/>
      <c r="G131" s="1531" t="s">
        <v>210</v>
      </c>
      <c r="H131" s="1531"/>
      <c r="I131" s="1531" t="s">
        <v>563</v>
      </c>
      <c r="J131" s="1531" t="s">
        <v>211</v>
      </c>
      <c r="K131" s="1531" t="s">
        <v>564</v>
      </c>
      <c r="L131" s="1565"/>
      <c r="M131" s="1531" t="s">
        <v>735</v>
      </c>
      <c r="N131" s="1531" t="s">
        <v>736</v>
      </c>
      <c r="O131" s="1531" t="s">
        <v>565</v>
      </c>
      <c r="P131" s="1531" t="s">
        <v>737</v>
      </c>
      <c r="Q131" s="1531"/>
      <c r="R131" s="743"/>
      <c r="S131" s="612"/>
      <c r="T131" s="612"/>
      <c r="U131" s="613"/>
      <c r="V131" s="613"/>
      <c r="W131" s="613"/>
      <c r="X131" s="614"/>
      <c r="Y131" s="614"/>
      <c r="Z131" s="614"/>
      <c r="AA131" s="615"/>
      <c r="AB131" s="615"/>
      <c r="AC131" s="615"/>
      <c r="AG131" s="617"/>
    </row>
    <row r="132" spans="1:33" s="616" customFormat="1" ht="21.95" customHeight="1">
      <c r="A132" s="749"/>
      <c r="B132" s="1266"/>
      <c r="C132" s="1531"/>
      <c r="D132" s="1531"/>
      <c r="E132" s="1531"/>
      <c r="F132" s="1531"/>
      <c r="G132" s="1531"/>
      <c r="H132" s="1531"/>
      <c r="I132" s="1531"/>
      <c r="J132" s="1531"/>
      <c r="K132" s="1565"/>
      <c r="L132" s="1565"/>
      <c r="M132" s="1531"/>
      <c r="N132" s="1531"/>
      <c r="O132" s="1531"/>
      <c r="P132" s="1531"/>
      <c r="Q132" s="1531"/>
      <c r="R132" s="743"/>
      <c r="S132" s="612"/>
      <c r="T132" s="612"/>
      <c r="U132" s="613"/>
      <c r="V132" s="613"/>
      <c r="W132" s="613"/>
      <c r="X132" s="614"/>
      <c r="Y132" s="614"/>
      <c r="Z132" s="614"/>
      <c r="AA132" s="615"/>
      <c r="AB132" s="615"/>
      <c r="AC132" s="615"/>
      <c r="AG132" s="617"/>
    </row>
    <row r="133" spans="1:33" s="616" customFormat="1" ht="21.95" customHeight="1">
      <c r="A133" s="750"/>
      <c r="B133" s="622"/>
      <c r="C133" s="1530">
        <f>M122</f>
        <v>695.0430272000001</v>
      </c>
      <c r="D133" s="1530"/>
      <c r="E133" s="1563">
        <f>I136</f>
        <v>9.08</v>
      </c>
      <c r="F133" s="1563"/>
      <c r="G133" s="1266">
        <f>K138</f>
        <v>1.1953125</v>
      </c>
      <c r="H133" s="1266"/>
      <c r="I133" s="742">
        <f>M140</f>
        <v>12</v>
      </c>
      <c r="J133" s="742">
        <f>L141</f>
        <v>0.83</v>
      </c>
      <c r="K133" s="1266">
        <f>L142</f>
        <v>0.95</v>
      </c>
      <c r="L133" s="1266"/>
      <c r="M133" s="742">
        <f>L143</f>
        <v>9.08</v>
      </c>
      <c r="N133" s="769">
        <f>L144</f>
        <v>2</v>
      </c>
      <c r="O133" s="777">
        <f>G145</f>
        <v>760</v>
      </c>
      <c r="P133" s="1530">
        <f>(C133*E133*G133*L129)/(1.024^(I133-20)*J133*(K133*M133*K138-N133)*O133)</f>
        <v>1322.0854522112916</v>
      </c>
      <c r="Q133" s="1530"/>
      <c r="R133" s="743"/>
      <c r="S133" s="612"/>
      <c r="T133" s="612"/>
      <c r="U133" s="613"/>
      <c r="V133" s="613"/>
      <c r="W133" s="613"/>
      <c r="X133" s="614"/>
      <c r="Y133" s="614"/>
      <c r="Z133" s="614"/>
      <c r="AA133" s="615"/>
      <c r="AB133" s="615"/>
      <c r="AC133" s="615"/>
      <c r="AG133" s="617"/>
    </row>
    <row r="134" spans="1:33" s="616" customFormat="1" ht="21.95" customHeight="1">
      <c r="A134" s="747"/>
      <c r="B134" s="296"/>
      <c r="C134" s="623" t="s">
        <v>738</v>
      </c>
      <c r="D134" s="296"/>
      <c r="E134" s="747"/>
      <c r="F134" s="747"/>
      <c r="G134" s="747"/>
      <c r="H134" s="747"/>
      <c r="I134" s="747"/>
      <c r="J134" s="747"/>
      <c r="K134" s="747"/>
      <c r="L134" s="747"/>
      <c r="M134" s="747"/>
      <c r="N134" s="747"/>
      <c r="O134" s="747"/>
      <c r="P134" s="296"/>
      <c r="Q134" s="296"/>
      <c r="R134" s="770"/>
      <c r="S134" s="612"/>
      <c r="T134" s="612"/>
      <c r="U134" s="613"/>
      <c r="V134" s="613"/>
      <c r="W134" s="613"/>
      <c r="X134" s="614"/>
      <c r="Y134" s="614"/>
      <c r="Z134" s="614"/>
      <c r="AA134" s="615"/>
      <c r="AB134" s="615"/>
      <c r="AC134" s="615"/>
      <c r="AG134" s="617"/>
    </row>
    <row r="135" spans="1:33" s="616" customFormat="1" ht="21.95" customHeight="1">
      <c r="A135" s="747"/>
      <c r="B135" s="747"/>
      <c r="C135" s="619" t="s">
        <v>739</v>
      </c>
      <c r="D135" s="747"/>
      <c r="E135" s="747"/>
      <c r="F135" s="747"/>
      <c r="G135" s="747"/>
      <c r="H135" s="747"/>
      <c r="I135" s="747"/>
      <c r="J135" s="747"/>
      <c r="K135" s="747"/>
      <c r="L135" s="747"/>
      <c r="M135" s="747"/>
      <c r="N135" s="747"/>
      <c r="O135" s="747"/>
      <c r="P135" s="747"/>
      <c r="Q135" s="747"/>
      <c r="R135" s="770"/>
      <c r="S135" s="612"/>
      <c r="T135" s="612"/>
      <c r="U135" s="612"/>
      <c r="V135" s="612"/>
      <c r="W135" s="612"/>
      <c r="X135" s="612"/>
      <c r="Y135" s="612"/>
      <c r="Z135" s="612"/>
    </row>
    <row r="136" spans="1:33" s="616" customFormat="1" ht="21.95" customHeight="1">
      <c r="A136" s="747"/>
      <c r="B136" s="747"/>
      <c r="C136" s="619" t="s">
        <v>740</v>
      </c>
      <c r="D136" s="747"/>
      <c r="E136" s="747"/>
      <c r="F136" s="747"/>
      <c r="G136" s="747"/>
      <c r="H136" s="747"/>
      <c r="I136" s="624">
        <v>9.08</v>
      </c>
      <c r="J136" s="625" t="s">
        <v>212</v>
      </c>
      <c r="K136" s="747"/>
      <c r="L136" s="747"/>
      <c r="M136" s="747"/>
      <c r="N136" s="626"/>
      <c r="O136" s="747"/>
      <c r="P136" s="626"/>
      <c r="Q136" s="747"/>
      <c r="R136" s="770"/>
      <c r="S136" s="612"/>
      <c r="T136" s="612"/>
      <c r="U136" s="612"/>
      <c r="V136" s="612"/>
      <c r="W136" s="612"/>
      <c r="X136" s="612"/>
      <c r="Y136" s="612"/>
      <c r="Z136" s="612"/>
    </row>
    <row r="137" spans="1:33" s="616" customFormat="1" ht="21.95" customHeight="1">
      <c r="A137" s="747"/>
      <c r="B137" s="747"/>
      <c r="C137" s="619" t="s">
        <v>213</v>
      </c>
      <c r="D137" s="747"/>
      <c r="E137" s="747"/>
      <c r="F137" s="747"/>
      <c r="G137" s="747" t="s">
        <v>214</v>
      </c>
      <c r="H137" s="627">
        <v>4</v>
      </c>
      <c r="I137" s="747" t="s">
        <v>80</v>
      </c>
      <c r="J137" s="747"/>
      <c r="K137" s="747"/>
      <c r="L137" s="747"/>
      <c r="M137" s="747"/>
      <c r="N137" s="747"/>
      <c r="O137" s="747"/>
      <c r="P137" s="747"/>
      <c r="Q137" s="747"/>
      <c r="R137" s="770"/>
      <c r="S137" s="612"/>
      <c r="T137" s="612"/>
      <c r="U137" s="612"/>
      <c r="V137" s="612"/>
      <c r="W137" s="612"/>
      <c r="X137" s="612"/>
      <c r="Y137" s="612"/>
      <c r="Z137" s="612"/>
    </row>
    <row r="138" spans="1:33" s="616" customFormat="1" ht="21.95" customHeight="1">
      <c r="A138" s="747"/>
      <c r="B138" s="747"/>
      <c r="C138" s="747"/>
      <c r="D138" s="1561" t="s">
        <v>81</v>
      </c>
      <c r="E138" s="743" t="s">
        <v>616</v>
      </c>
      <c r="F138" s="743" t="s">
        <v>617</v>
      </c>
      <c r="G138" s="1260" t="s">
        <v>582</v>
      </c>
      <c r="H138" s="628">
        <v>1</v>
      </c>
      <c r="I138" s="743" t="str">
        <f>"("&amp;H137&amp;"/2)"</f>
        <v>(4/2)</v>
      </c>
      <c r="J138" s="1260" t="s">
        <v>582</v>
      </c>
      <c r="K138" s="1564">
        <f>H138+(H137/2)/H139</f>
        <v>1.1953125</v>
      </c>
      <c r="L138" s="1564"/>
      <c r="M138" s="1260" t="s">
        <v>618</v>
      </c>
      <c r="N138" s="747"/>
      <c r="O138" s="747"/>
      <c r="P138" s="747"/>
      <c r="Q138" s="747"/>
      <c r="R138" s="629"/>
      <c r="S138" s="612"/>
      <c r="T138" s="612"/>
      <c r="U138" s="613"/>
      <c r="V138" s="613"/>
      <c r="W138" s="613"/>
      <c r="X138" s="614"/>
      <c r="Y138" s="614"/>
      <c r="Z138" s="614"/>
      <c r="AA138" s="615"/>
      <c r="AB138" s="615"/>
      <c r="AC138" s="615"/>
      <c r="AG138" s="617"/>
    </row>
    <row r="139" spans="1:33" s="616" customFormat="1" ht="21.95" customHeight="1">
      <c r="A139" s="747"/>
      <c r="B139" s="747"/>
      <c r="C139" s="630"/>
      <c r="D139" s="1561"/>
      <c r="E139" s="1282">
        <v>10.24</v>
      </c>
      <c r="F139" s="1282"/>
      <c r="G139" s="1260"/>
      <c r="H139" s="1282">
        <v>10.24</v>
      </c>
      <c r="I139" s="1282"/>
      <c r="J139" s="1260"/>
      <c r="K139" s="1564"/>
      <c r="L139" s="1564"/>
      <c r="M139" s="1260"/>
      <c r="N139" s="747"/>
      <c r="O139" s="747"/>
      <c r="P139" s="747"/>
      <c r="Q139" s="744"/>
      <c r="R139" s="629"/>
      <c r="S139" s="612"/>
      <c r="T139" s="612"/>
      <c r="U139" s="613"/>
      <c r="V139" s="613"/>
      <c r="W139" s="613"/>
      <c r="X139" s="614"/>
      <c r="Y139" s="614"/>
      <c r="Z139" s="614"/>
      <c r="AA139" s="615"/>
      <c r="AB139" s="615"/>
      <c r="AC139" s="615"/>
      <c r="AG139" s="617"/>
    </row>
    <row r="140" spans="1:33" s="616" customFormat="1" ht="21.95" customHeight="1">
      <c r="A140" s="747"/>
      <c r="B140" s="747"/>
      <c r="C140" s="619" t="s">
        <v>619</v>
      </c>
      <c r="D140" s="747"/>
      <c r="E140" s="747"/>
      <c r="F140" s="747"/>
      <c r="G140" s="747"/>
      <c r="H140" s="747"/>
      <c r="I140" s="747"/>
      <c r="J140" s="747"/>
      <c r="K140" s="747"/>
      <c r="L140" s="747"/>
      <c r="M140" s="631">
        <f>'설계기준(설계치12)'!C12</f>
        <v>12</v>
      </c>
      <c r="N140" s="747" t="s">
        <v>620</v>
      </c>
      <c r="O140" s="747"/>
      <c r="P140" s="747"/>
      <c r="Q140" s="747"/>
      <c r="R140" s="770"/>
      <c r="S140" s="612"/>
      <c r="T140" s="612"/>
      <c r="U140" s="613"/>
      <c r="V140" s="613"/>
      <c r="W140" s="613"/>
      <c r="X140" s="614"/>
      <c r="Y140" s="614"/>
      <c r="Z140" s="614"/>
      <c r="AA140" s="615"/>
      <c r="AB140" s="615"/>
      <c r="AC140" s="615"/>
      <c r="AG140" s="617"/>
    </row>
    <row r="141" spans="1:33" s="616" customFormat="1" ht="21.95" customHeight="1">
      <c r="A141" s="747"/>
      <c r="B141" s="747"/>
      <c r="C141" s="619" t="s">
        <v>741</v>
      </c>
      <c r="D141" s="747"/>
      <c r="E141" s="747"/>
      <c r="F141" s="747"/>
      <c r="G141" s="747"/>
      <c r="H141" s="747"/>
      <c r="I141" s="747"/>
      <c r="J141" s="747"/>
      <c r="K141" s="747"/>
      <c r="L141" s="632">
        <v>0.83</v>
      </c>
      <c r="M141" s="747" t="s">
        <v>621</v>
      </c>
      <c r="N141" s="745" t="s">
        <v>622</v>
      </c>
      <c r="O141" s="747"/>
      <c r="P141" s="632">
        <v>0.93</v>
      </c>
      <c r="Q141" s="747" t="s">
        <v>76</v>
      </c>
      <c r="R141" s="770"/>
      <c r="S141" s="612"/>
      <c r="T141" s="612"/>
      <c r="U141" s="613"/>
      <c r="V141" s="613"/>
      <c r="W141" s="613"/>
      <c r="X141" s="614"/>
      <c r="Y141" s="614"/>
      <c r="Z141" s="614"/>
      <c r="AA141" s="615"/>
      <c r="AB141" s="615"/>
      <c r="AC141" s="615"/>
      <c r="AG141" s="617"/>
    </row>
    <row r="142" spans="1:33" s="616" customFormat="1" ht="21.95" customHeight="1">
      <c r="A142" s="747"/>
      <c r="B142" s="747"/>
      <c r="C142" s="619" t="s">
        <v>623</v>
      </c>
      <c r="D142" s="747"/>
      <c r="E142" s="747"/>
      <c r="F142" s="747"/>
      <c r="G142" s="747"/>
      <c r="H142" s="747"/>
      <c r="I142" s="747"/>
      <c r="J142" s="747"/>
      <c r="K142" s="747"/>
      <c r="L142" s="632">
        <v>0.95</v>
      </c>
      <c r="M142" s="747" t="s">
        <v>621</v>
      </c>
      <c r="N142" s="747" t="s">
        <v>622</v>
      </c>
      <c r="O142" s="747"/>
      <c r="P142" s="632">
        <v>0.97</v>
      </c>
      <c r="Q142" s="747" t="s">
        <v>76</v>
      </c>
      <c r="R142" s="747"/>
      <c r="S142" s="612"/>
      <c r="T142" s="612"/>
      <c r="U142" s="613"/>
      <c r="V142" s="613"/>
      <c r="W142" s="613"/>
      <c r="X142" s="614"/>
      <c r="Y142" s="614"/>
      <c r="Z142" s="614"/>
      <c r="AA142" s="615"/>
      <c r="AB142" s="615"/>
      <c r="AC142" s="615"/>
      <c r="AG142" s="617"/>
    </row>
    <row r="143" spans="1:33" s="616" customFormat="1" ht="21.95" customHeight="1">
      <c r="A143" s="747"/>
      <c r="B143" s="747"/>
      <c r="C143" s="619" t="s">
        <v>742</v>
      </c>
      <c r="D143" s="747"/>
      <c r="E143" s="747"/>
      <c r="F143" s="747"/>
      <c r="G143" s="747"/>
      <c r="H143" s="747"/>
      <c r="I143" s="747"/>
      <c r="J143" s="747"/>
      <c r="K143" s="747"/>
      <c r="L143" s="1566">
        <v>9.08</v>
      </c>
      <c r="M143" s="1566"/>
      <c r="N143" s="625" t="s">
        <v>624</v>
      </c>
      <c r="O143" s="747"/>
      <c r="P143" s="626"/>
      <c r="Q143" s="747"/>
      <c r="R143" s="770"/>
      <c r="S143" s="612"/>
      <c r="T143" s="612"/>
      <c r="U143" s="613"/>
      <c r="V143" s="613"/>
      <c r="W143" s="613"/>
      <c r="X143" s="614"/>
      <c r="Y143" s="614"/>
      <c r="Z143" s="614"/>
      <c r="AA143" s="615"/>
      <c r="AB143" s="615"/>
      <c r="AC143" s="615"/>
      <c r="AG143" s="617"/>
    </row>
    <row r="144" spans="1:33" s="616" customFormat="1" ht="21.95" customHeight="1">
      <c r="A144" s="747"/>
      <c r="B144" s="747"/>
      <c r="C144" s="619" t="s">
        <v>743</v>
      </c>
      <c r="D144" s="747"/>
      <c r="E144" s="747"/>
      <c r="F144" s="747"/>
      <c r="G144" s="747"/>
      <c r="H144" s="747"/>
      <c r="I144" s="747"/>
      <c r="J144" s="747"/>
      <c r="K144" s="747"/>
      <c r="L144" s="1567">
        <v>2</v>
      </c>
      <c r="M144" s="1567"/>
      <c r="N144" s="625" t="s">
        <v>624</v>
      </c>
      <c r="O144" s="747"/>
      <c r="P144" s="626"/>
      <c r="Q144" s="747"/>
      <c r="R144" s="770"/>
      <c r="S144" s="612"/>
      <c r="T144" s="612"/>
      <c r="U144" s="613"/>
      <c r="V144" s="613"/>
      <c r="W144" s="613"/>
      <c r="X144" s="614"/>
      <c r="Y144" s="614"/>
      <c r="Z144" s="614"/>
      <c r="AA144" s="615"/>
      <c r="AB144" s="615"/>
      <c r="AC144" s="615"/>
      <c r="AG144" s="617"/>
    </row>
    <row r="145" spans="1:33" s="616" customFormat="1" ht="21.95" customHeight="1">
      <c r="A145" s="747"/>
      <c r="B145" s="747"/>
      <c r="C145" s="619" t="s">
        <v>625</v>
      </c>
      <c r="D145" s="747"/>
      <c r="E145" s="747"/>
      <c r="F145" s="747"/>
      <c r="G145" s="632">
        <v>760</v>
      </c>
      <c r="H145" s="517"/>
      <c r="I145" s="747" t="s">
        <v>626</v>
      </c>
      <c r="J145" s="747"/>
      <c r="K145" s="747"/>
      <c r="L145" s="747"/>
      <c r="M145" s="747"/>
      <c r="N145" s="747"/>
      <c r="O145" s="747"/>
      <c r="P145" s="747"/>
      <c r="Q145" s="747"/>
      <c r="R145" s="770"/>
      <c r="S145" s="612"/>
      <c r="T145" s="612"/>
      <c r="U145" s="613"/>
      <c r="V145" s="613"/>
      <c r="W145" s="613"/>
      <c r="X145" s="614"/>
      <c r="Y145" s="614"/>
      <c r="Z145" s="614"/>
      <c r="AA145" s="615"/>
      <c r="AB145" s="615"/>
      <c r="AC145" s="615"/>
      <c r="AG145" s="617"/>
    </row>
    <row r="146" spans="1:33" s="616" customFormat="1" ht="21.95" customHeight="1">
      <c r="A146" s="1390" t="s">
        <v>627</v>
      </c>
      <c r="B146" s="1260" t="s">
        <v>628</v>
      </c>
      <c r="C146" s="1260"/>
      <c r="D146" s="1260"/>
      <c r="E146" s="1260" t="s">
        <v>629</v>
      </c>
      <c r="F146" s="1260"/>
      <c r="G146" s="1260"/>
      <c r="H146" s="1260"/>
      <c r="I146" s="1260" t="s">
        <v>630</v>
      </c>
      <c r="J146" s="1260">
        <f>I158</f>
        <v>273</v>
      </c>
      <c r="K146" s="1260"/>
      <c r="L146" s="743" t="s">
        <v>631</v>
      </c>
      <c r="M146" s="743">
        <f>L158</f>
        <v>13</v>
      </c>
      <c r="N146" s="747"/>
      <c r="O146" s="747"/>
      <c r="P146" s="743"/>
      <c r="Q146" s="743"/>
      <c r="R146" s="743"/>
      <c r="S146" s="612"/>
      <c r="T146" s="612"/>
      <c r="U146" s="613"/>
      <c r="V146" s="613"/>
      <c r="W146" s="613"/>
      <c r="X146" s="614"/>
      <c r="Y146" s="614"/>
      <c r="Z146" s="614"/>
      <c r="AA146" s="615"/>
      <c r="AB146" s="615"/>
      <c r="AC146" s="615"/>
      <c r="AG146" s="617"/>
    </row>
    <row r="147" spans="1:33" s="616" customFormat="1" ht="21.95" customHeight="1">
      <c r="A147" s="1390"/>
      <c r="B147" s="1260"/>
      <c r="C147" s="1260"/>
      <c r="D147" s="1260"/>
      <c r="E147" s="1282" t="s">
        <v>744</v>
      </c>
      <c r="F147" s="1282"/>
      <c r="G147" s="1282"/>
      <c r="H147" s="1282"/>
      <c r="I147" s="1260"/>
      <c r="J147" s="1282">
        <f>I158</f>
        <v>273</v>
      </c>
      <c r="K147" s="1282"/>
      <c r="L147" s="1282"/>
      <c r="M147" s="1282"/>
      <c r="N147" s="747"/>
      <c r="O147" s="747"/>
      <c r="P147" s="743"/>
      <c r="Q147" s="743"/>
      <c r="R147" s="743"/>
      <c r="S147" s="612"/>
      <c r="T147" s="612"/>
      <c r="U147" s="613"/>
      <c r="V147" s="613"/>
      <c r="W147" s="613"/>
      <c r="X147" s="614"/>
      <c r="Y147" s="614"/>
      <c r="Z147" s="614"/>
      <c r="AA147" s="615"/>
      <c r="AB147" s="615"/>
      <c r="AC147" s="615"/>
      <c r="AG147" s="617"/>
    </row>
    <row r="148" spans="1:33" s="616" customFormat="1" ht="21.95" customHeight="1">
      <c r="A148" s="748"/>
      <c r="B148" s="743"/>
      <c r="C148" s="743"/>
      <c r="D148" s="743"/>
      <c r="E148" s="743"/>
      <c r="F148" s="743"/>
      <c r="G148" s="743"/>
      <c r="H148" s="743"/>
      <c r="I148" s="743"/>
      <c r="J148" s="743"/>
      <c r="K148" s="743"/>
      <c r="L148" s="743"/>
      <c r="M148" s="743"/>
      <c r="N148" s="747"/>
      <c r="O148" s="747"/>
      <c r="P148" s="743"/>
      <c r="Q148" s="743"/>
      <c r="R148" s="743"/>
      <c r="S148" s="612"/>
      <c r="T148" s="612"/>
      <c r="U148" s="613"/>
      <c r="V148" s="613"/>
      <c r="W148" s="613"/>
      <c r="X148" s="614"/>
      <c r="Y148" s="614"/>
      <c r="Z148" s="614"/>
      <c r="AA148" s="615"/>
      <c r="AB148" s="615"/>
      <c r="AC148" s="615"/>
      <c r="AG148" s="617"/>
    </row>
    <row r="149" spans="1:33" s="616" customFormat="1" ht="21.95" customHeight="1">
      <c r="A149" s="748"/>
      <c r="B149" s="766"/>
      <c r="C149" s="766"/>
      <c r="D149" s="766"/>
      <c r="E149" s="766"/>
      <c r="F149" s="766"/>
      <c r="G149" s="766"/>
      <c r="H149" s="766"/>
      <c r="I149" s="766"/>
      <c r="J149" s="766"/>
      <c r="K149" s="766"/>
      <c r="L149" s="766"/>
      <c r="M149" s="766"/>
      <c r="N149" s="621"/>
      <c r="O149" s="747"/>
      <c r="P149" s="743"/>
      <c r="Q149" s="743"/>
      <c r="R149" s="743"/>
      <c r="S149" s="612"/>
      <c r="T149" s="612"/>
      <c r="U149" s="613"/>
      <c r="V149" s="613"/>
      <c r="W149" s="613"/>
      <c r="X149" s="614"/>
      <c r="Y149" s="614"/>
      <c r="Z149" s="614"/>
      <c r="AA149" s="615"/>
      <c r="AB149" s="615"/>
      <c r="AC149" s="615"/>
      <c r="AG149" s="617"/>
    </row>
    <row r="150" spans="1:33" s="616" customFormat="1" ht="21.95" customHeight="1">
      <c r="A150" s="747"/>
      <c r="B150" s="1266" t="s">
        <v>632</v>
      </c>
      <c r="C150" s="1266"/>
      <c r="D150" s="1531" t="s">
        <v>737</v>
      </c>
      <c r="E150" s="1531"/>
      <c r="F150" s="1531"/>
      <c r="G150" s="1531" t="s">
        <v>745</v>
      </c>
      <c r="H150" s="1531"/>
      <c r="I150" s="1531" t="s">
        <v>633</v>
      </c>
      <c r="J150" s="1531"/>
      <c r="K150" s="1266" t="s">
        <v>746</v>
      </c>
      <c r="L150" s="1266"/>
      <c r="M150" s="1531" t="s">
        <v>634</v>
      </c>
      <c r="N150" s="1531"/>
      <c r="O150" s="1531"/>
      <c r="P150" s="743"/>
      <c r="Q150" s="743"/>
      <c r="R150" s="743"/>
      <c r="S150" s="612"/>
      <c r="T150" s="612"/>
      <c r="U150" s="613"/>
      <c r="V150" s="613"/>
      <c r="W150" s="613"/>
      <c r="X150" s="614"/>
      <c r="Y150" s="614"/>
      <c r="Z150" s="614"/>
      <c r="AA150" s="615"/>
      <c r="AB150" s="615"/>
      <c r="AC150" s="615"/>
      <c r="AG150" s="617"/>
    </row>
    <row r="151" spans="1:33" s="616" customFormat="1" ht="21.95" customHeight="1">
      <c r="A151" s="747"/>
      <c r="B151" s="1266"/>
      <c r="C151" s="1266"/>
      <c r="D151" s="1531"/>
      <c r="E151" s="1531"/>
      <c r="F151" s="1531"/>
      <c r="G151" s="1531"/>
      <c r="H151" s="1531"/>
      <c r="I151" s="1531"/>
      <c r="J151" s="1531"/>
      <c r="K151" s="1266"/>
      <c r="L151" s="1266"/>
      <c r="M151" s="1531"/>
      <c r="N151" s="1531"/>
      <c r="O151" s="1531"/>
      <c r="P151" s="743"/>
      <c r="Q151" s="743"/>
      <c r="R151" s="743"/>
      <c r="S151" s="612"/>
      <c r="T151" s="612"/>
      <c r="U151" s="613"/>
      <c r="V151" s="613"/>
      <c r="W151" s="613"/>
      <c r="X151" s="614"/>
      <c r="Y151" s="614"/>
      <c r="Z151" s="614"/>
      <c r="AA151" s="615"/>
      <c r="AB151" s="615"/>
      <c r="AC151" s="615"/>
      <c r="AG151" s="617"/>
    </row>
    <row r="152" spans="1:33" s="616" customFormat="1" ht="21.95" customHeight="1">
      <c r="A152" s="747"/>
      <c r="B152" s="1531"/>
      <c r="C152" s="1531"/>
      <c r="D152" s="1530">
        <f>P133</f>
        <v>1322.0854522112916</v>
      </c>
      <c r="E152" s="1530"/>
      <c r="F152" s="1530"/>
      <c r="G152" s="1568">
        <f>L155</f>
        <v>0.25</v>
      </c>
      <c r="H152" s="1568"/>
      <c r="I152" s="1266">
        <f>I156</f>
        <v>1.2923</v>
      </c>
      <c r="J152" s="1266"/>
      <c r="K152" s="1266">
        <f>I157</f>
        <v>0.23150000000000001</v>
      </c>
      <c r="L152" s="1266"/>
      <c r="M152" s="1530">
        <f>D152*(J146+M146)/(G152*I152*K152*J147)</f>
        <v>18518.617614537827</v>
      </c>
      <c r="N152" s="1530"/>
      <c r="O152" s="1530"/>
      <c r="P152" s="743"/>
      <c r="Q152" s="743"/>
      <c r="R152" s="743"/>
      <c r="S152" s="612"/>
      <c r="T152" s="612"/>
      <c r="U152" s="613"/>
      <c r="V152" s="613"/>
      <c r="W152" s="613"/>
      <c r="X152" s="614"/>
      <c r="Y152" s="614"/>
      <c r="Z152" s="614"/>
      <c r="AA152" s="615"/>
      <c r="AB152" s="615"/>
      <c r="AC152" s="615"/>
      <c r="AG152" s="617"/>
    </row>
    <row r="153" spans="1:33" s="616" customFormat="1" ht="21.95" customHeight="1">
      <c r="A153" s="747"/>
      <c r="B153" s="296"/>
      <c r="C153" s="619" t="s">
        <v>747</v>
      </c>
      <c r="D153" s="747"/>
      <c r="E153" s="747"/>
      <c r="F153" s="747"/>
      <c r="G153" s="747"/>
      <c r="H153" s="747"/>
      <c r="I153" s="747"/>
      <c r="J153" s="747"/>
      <c r="K153" s="747"/>
      <c r="L153" s="747"/>
      <c r="M153" s="747"/>
      <c r="N153" s="747"/>
      <c r="O153" s="747"/>
      <c r="P153" s="743"/>
      <c r="Q153" s="743"/>
      <c r="R153" s="743"/>
      <c r="S153" s="612"/>
      <c r="T153" s="612"/>
      <c r="U153" s="613"/>
      <c r="V153" s="613"/>
      <c r="W153" s="613"/>
      <c r="X153" s="614"/>
      <c r="Y153" s="614"/>
      <c r="Z153" s="614"/>
      <c r="AA153" s="615"/>
      <c r="AB153" s="615"/>
      <c r="AC153" s="615"/>
      <c r="AG153" s="617"/>
    </row>
    <row r="154" spans="1:33" s="616" customFormat="1" ht="21.95" customHeight="1">
      <c r="A154" s="747"/>
      <c r="B154" s="747"/>
      <c r="C154" s="619" t="s">
        <v>748</v>
      </c>
      <c r="D154" s="747"/>
      <c r="E154" s="747"/>
      <c r="F154" s="747"/>
      <c r="G154" s="747"/>
      <c r="H154" s="747"/>
      <c r="I154" s="747"/>
      <c r="J154" s="747"/>
      <c r="K154" s="747"/>
      <c r="L154" s="747"/>
      <c r="M154" s="747"/>
      <c r="N154" s="747"/>
      <c r="O154" s="747"/>
      <c r="P154" s="743"/>
      <c r="Q154" s="743"/>
      <c r="R154" s="743"/>
      <c r="S154" s="612"/>
      <c r="T154" s="612"/>
      <c r="U154" s="613"/>
      <c r="V154" s="613"/>
      <c r="W154" s="613"/>
      <c r="X154" s="614"/>
      <c r="Y154" s="614"/>
      <c r="Z154" s="614"/>
      <c r="AA154" s="615"/>
      <c r="AB154" s="615"/>
      <c r="AC154" s="615"/>
      <c r="AG154" s="617"/>
    </row>
    <row r="155" spans="1:33" s="616" customFormat="1" ht="21.95" customHeight="1">
      <c r="A155" s="747"/>
      <c r="B155" s="747"/>
      <c r="C155" s="619" t="s">
        <v>749</v>
      </c>
      <c r="D155" s="747"/>
      <c r="E155" s="747"/>
      <c r="F155" s="747"/>
      <c r="G155" s="747"/>
      <c r="H155" s="747"/>
      <c r="I155" s="747"/>
      <c r="J155" s="747"/>
      <c r="K155" s="747"/>
      <c r="L155" s="1572">
        <v>0.25</v>
      </c>
      <c r="M155" s="1572"/>
      <c r="N155" s="747"/>
      <c r="O155" s="747"/>
      <c r="P155" s="743"/>
      <c r="Q155" s="743"/>
      <c r="R155" s="743"/>
      <c r="S155" s="612"/>
      <c r="T155" s="612"/>
      <c r="U155" s="613"/>
      <c r="V155" s="613"/>
      <c r="W155" s="613"/>
      <c r="X155" s="614"/>
      <c r="Y155" s="614"/>
      <c r="Z155" s="614"/>
      <c r="AA155" s="615"/>
      <c r="AB155" s="615"/>
      <c r="AC155" s="615"/>
      <c r="AG155" s="617"/>
    </row>
    <row r="156" spans="1:33" s="616" customFormat="1" ht="21.95" customHeight="1">
      <c r="A156" s="747"/>
      <c r="B156" s="747"/>
      <c r="C156" s="619" t="s">
        <v>635</v>
      </c>
      <c r="D156" s="747"/>
      <c r="E156" s="747"/>
      <c r="F156" s="747" t="s">
        <v>636</v>
      </c>
      <c r="G156" s="747"/>
      <c r="H156" s="747"/>
      <c r="I156" s="1573">
        <v>1.2923</v>
      </c>
      <c r="J156" s="1573"/>
      <c r="K156" s="747" t="s">
        <v>750</v>
      </c>
      <c r="L156" s="747"/>
      <c r="M156" s="747"/>
      <c r="N156" s="747"/>
      <c r="O156" s="747"/>
      <c r="P156" s="743"/>
      <c r="Q156" s="743"/>
      <c r="R156" s="743"/>
      <c r="S156" s="612"/>
      <c r="T156" s="612"/>
      <c r="U156" s="613"/>
      <c r="V156" s="613"/>
      <c r="W156" s="613"/>
      <c r="X156" s="614"/>
      <c r="Y156" s="614"/>
      <c r="Z156" s="614"/>
      <c r="AA156" s="615"/>
      <c r="AB156" s="615"/>
      <c r="AC156" s="615"/>
      <c r="AG156" s="617"/>
    </row>
    <row r="157" spans="1:33" s="616" customFormat="1" ht="21.95" customHeight="1">
      <c r="A157" s="747"/>
      <c r="B157" s="747"/>
      <c r="C157" s="619" t="s">
        <v>751</v>
      </c>
      <c r="D157" s="747"/>
      <c r="E157" s="747"/>
      <c r="F157" s="747"/>
      <c r="G157" s="747"/>
      <c r="H157" s="747"/>
      <c r="I157" s="1573">
        <v>0.23150000000000001</v>
      </c>
      <c r="J157" s="1573"/>
      <c r="K157" s="747"/>
      <c r="L157" s="747"/>
      <c r="M157" s="517"/>
      <c r="N157" s="517"/>
      <c r="O157" s="747"/>
      <c r="P157" s="743"/>
      <c r="Q157" s="743"/>
      <c r="R157" s="743"/>
      <c r="S157" s="612"/>
      <c r="T157" s="612"/>
      <c r="U157" s="613"/>
      <c r="V157" s="613"/>
      <c r="W157" s="613"/>
      <c r="X157" s="614"/>
      <c r="Y157" s="614"/>
      <c r="Z157" s="614"/>
      <c r="AA157" s="615"/>
      <c r="AB157" s="615"/>
      <c r="AC157" s="615"/>
      <c r="AG157" s="617"/>
    </row>
    <row r="158" spans="1:33" s="616" customFormat="1" ht="21.95" customHeight="1">
      <c r="A158" s="747"/>
      <c r="B158" s="747"/>
      <c r="C158" s="619" t="s">
        <v>637</v>
      </c>
      <c r="D158" s="747"/>
      <c r="E158" s="747"/>
      <c r="F158" s="747"/>
      <c r="G158" s="747"/>
      <c r="H158" s="747"/>
      <c r="I158" s="1574">
        <v>273</v>
      </c>
      <c r="J158" s="1574"/>
      <c r="K158" s="751" t="s">
        <v>638</v>
      </c>
      <c r="L158" s="768">
        <v>13</v>
      </c>
      <c r="M158" s="747" t="s">
        <v>54</v>
      </c>
      <c r="N158" s="747"/>
      <c r="O158" s="747"/>
      <c r="P158" s="743"/>
      <c r="Q158" s="743"/>
      <c r="R158" s="743"/>
      <c r="S158" s="612"/>
      <c r="T158" s="612"/>
      <c r="U158" s="613"/>
      <c r="V158" s="613"/>
      <c r="W158" s="613"/>
      <c r="X158" s="614"/>
      <c r="Y158" s="614"/>
      <c r="Z158" s="614"/>
      <c r="AA158" s="615"/>
      <c r="AB158" s="615"/>
      <c r="AC158" s="615"/>
      <c r="AG158" s="617"/>
    </row>
    <row r="159" spans="1:33" s="616" customFormat="1" ht="21.95" customHeight="1">
      <c r="A159" s="748" t="s">
        <v>639</v>
      </c>
      <c r="B159" s="619" t="s">
        <v>752</v>
      </c>
      <c r="C159" s="747"/>
      <c r="D159" s="747"/>
      <c r="E159" s="747"/>
      <c r="F159" s="747"/>
      <c r="G159" s="747"/>
      <c r="H159" s="747"/>
      <c r="I159" s="747"/>
      <c r="J159" s="747"/>
      <c r="K159" s="747"/>
      <c r="L159" s="747"/>
      <c r="M159" s="747"/>
      <c r="N159" s="747"/>
      <c r="O159" s="747"/>
      <c r="P159" s="743"/>
      <c r="Q159" s="743"/>
      <c r="R159" s="743"/>
      <c r="S159" s="612"/>
      <c r="T159" s="612"/>
      <c r="U159" s="613"/>
      <c r="V159" s="613"/>
      <c r="W159" s="613"/>
      <c r="X159" s="614"/>
      <c r="Y159" s="614"/>
      <c r="Z159" s="614"/>
      <c r="AA159" s="615"/>
      <c r="AB159" s="615"/>
      <c r="AC159" s="615"/>
      <c r="AG159" s="617"/>
    </row>
    <row r="160" spans="1:33" s="616" customFormat="1" ht="21.95" customHeight="1">
      <c r="A160" s="747"/>
      <c r="B160" s="1266" t="s">
        <v>632</v>
      </c>
      <c r="C160" s="1266"/>
      <c r="D160" s="1531" t="s">
        <v>753</v>
      </c>
      <c r="E160" s="1531"/>
      <c r="F160" s="1531" t="s">
        <v>640</v>
      </c>
      <c r="G160" s="1531"/>
      <c r="H160" s="1266" t="s">
        <v>641</v>
      </c>
      <c r="I160" s="1266"/>
      <c r="J160" s="1266"/>
      <c r="K160" s="1266"/>
      <c r="L160" s="1266"/>
      <c r="M160" s="743"/>
      <c r="N160" s="743"/>
      <c r="O160" s="743"/>
      <c r="P160" s="743"/>
      <c r="Q160" s="743"/>
      <c r="R160" s="743"/>
      <c r="S160" s="612"/>
      <c r="T160" s="612"/>
      <c r="U160" s="613"/>
      <c r="V160" s="613"/>
      <c r="W160" s="613"/>
      <c r="X160" s="614"/>
      <c r="Y160" s="614"/>
      <c r="Z160" s="614"/>
      <c r="AA160" s="615"/>
      <c r="AB160" s="615"/>
      <c r="AC160" s="615"/>
      <c r="AG160" s="617"/>
    </row>
    <row r="161" spans="1:33" s="616" customFormat="1" ht="21.95" customHeight="1">
      <c r="A161" s="747"/>
      <c r="B161" s="1266"/>
      <c r="C161" s="1266"/>
      <c r="D161" s="1531"/>
      <c r="E161" s="1531"/>
      <c r="F161" s="1531"/>
      <c r="G161" s="1531"/>
      <c r="H161" s="1266" t="s">
        <v>754</v>
      </c>
      <c r="I161" s="1266"/>
      <c r="J161" s="1266"/>
      <c r="K161" s="1266" t="s">
        <v>755</v>
      </c>
      <c r="L161" s="1266"/>
      <c r="M161" s="743"/>
      <c r="N161" s="743"/>
      <c r="O161" s="743"/>
      <c r="P161" s="743"/>
      <c r="Q161" s="743"/>
      <c r="R161" s="743"/>
      <c r="S161" s="612"/>
      <c r="T161" s="612"/>
      <c r="U161" s="613"/>
      <c r="V161" s="613"/>
      <c r="W161" s="613"/>
      <c r="X161" s="614"/>
      <c r="Y161" s="614"/>
      <c r="Z161" s="614"/>
      <c r="AA161" s="615"/>
      <c r="AB161" s="615"/>
      <c r="AC161" s="615"/>
      <c r="AG161" s="617"/>
    </row>
    <row r="162" spans="1:33" s="616" customFormat="1" ht="21.95" customHeight="1">
      <c r="A162" s="747"/>
      <c r="B162" s="1531"/>
      <c r="C162" s="1531"/>
      <c r="D162" s="1545">
        <f>M152</f>
        <v>18518.617614537827</v>
      </c>
      <c r="E162" s="1545"/>
      <c r="F162" s="1569">
        <v>0.15</v>
      </c>
      <c r="G162" s="1569"/>
      <c r="H162" s="1545">
        <f>D162*(1+F162)</f>
        <v>21296.4102567185</v>
      </c>
      <c r="I162" s="1545"/>
      <c r="J162" s="1545"/>
      <c r="K162" s="1570">
        <f>H162/24/60</f>
        <v>14.789173789387847</v>
      </c>
      <c r="L162" s="1570"/>
      <c r="M162" s="743"/>
      <c r="N162" s="743"/>
      <c r="O162" s="743"/>
      <c r="P162" s="743"/>
      <c r="Q162" s="743"/>
      <c r="R162" s="743"/>
      <c r="S162" s="612"/>
      <c r="T162" s="612"/>
      <c r="U162" s="613"/>
      <c r="V162" s="613"/>
      <c r="W162" s="613"/>
      <c r="X162" s="614"/>
      <c r="Y162" s="614"/>
      <c r="Z162" s="614"/>
      <c r="AA162" s="615"/>
      <c r="AB162" s="615"/>
      <c r="AC162" s="615"/>
      <c r="AG162" s="617"/>
    </row>
    <row r="163" spans="1:33" s="616" customFormat="1" ht="21.95" customHeight="1">
      <c r="A163" s="747"/>
      <c r="B163" s="296"/>
      <c r="C163" s="619" t="s">
        <v>82</v>
      </c>
      <c r="D163" s="747"/>
      <c r="E163" s="747"/>
      <c r="F163" s="747"/>
      <c r="G163" s="747"/>
      <c r="H163" s="747"/>
      <c r="I163" s="747"/>
      <c r="J163" s="747"/>
      <c r="K163" s="747"/>
      <c r="L163" s="747"/>
      <c r="M163" s="747"/>
      <c r="N163" s="747"/>
      <c r="O163" s="747"/>
      <c r="P163" s="743"/>
      <c r="Q163" s="743"/>
      <c r="R163" s="743"/>
      <c r="S163" s="612"/>
      <c r="T163" s="612"/>
      <c r="U163" s="613"/>
      <c r="V163" s="613"/>
      <c r="W163" s="613"/>
      <c r="X163" s="614"/>
      <c r="Y163" s="614"/>
      <c r="Z163" s="614"/>
      <c r="AA163" s="615"/>
      <c r="AB163" s="615"/>
      <c r="AC163" s="615"/>
      <c r="AG163" s="617"/>
    </row>
    <row r="164" spans="1:33" s="616" customFormat="1" ht="21.95" customHeight="1">
      <c r="A164" s="747"/>
      <c r="B164" s="747"/>
      <c r="C164" s="619" t="s">
        <v>756</v>
      </c>
      <c r="D164" s="747"/>
      <c r="E164" s="747"/>
      <c r="F164" s="747"/>
      <c r="G164" s="747"/>
      <c r="H164" s="747"/>
      <c r="I164" s="747"/>
      <c r="J164" s="747"/>
      <c r="K164" s="747"/>
      <c r="L164" s="747"/>
      <c r="M164" s="747"/>
      <c r="N164" s="747"/>
      <c r="O164" s="747"/>
      <c r="P164" s="743"/>
      <c r="Q164" s="743"/>
      <c r="R164" s="743"/>
      <c r="S164" s="612"/>
      <c r="T164" s="612"/>
      <c r="U164" s="613"/>
      <c r="V164" s="613"/>
      <c r="W164" s="613"/>
      <c r="X164" s="614"/>
      <c r="Y164" s="614"/>
      <c r="Z164" s="614"/>
      <c r="AA164" s="615"/>
      <c r="AB164" s="615"/>
      <c r="AC164" s="615"/>
      <c r="AG164" s="617"/>
    </row>
    <row r="165" spans="1:33" s="616" customFormat="1" ht="21.95" customHeight="1">
      <c r="A165" s="747"/>
      <c r="B165" s="747"/>
      <c r="C165" s="619" t="s">
        <v>642</v>
      </c>
      <c r="D165" s="747"/>
      <c r="E165" s="747"/>
      <c r="F165" s="747"/>
      <c r="G165" s="747"/>
      <c r="H165" s="747"/>
      <c r="I165" s="633"/>
      <c r="J165" s="633"/>
      <c r="K165" s="747"/>
      <c r="L165" s="747"/>
      <c r="M165" s="747"/>
      <c r="N165" s="747"/>
      <c r="O165" s="747"/>
      <c r="P165" s="743"/>
      <c r="Q165" s="743"/>
      <c r="R165" s="743"/>
      <c r="S165" s="612"/>
      <c r="T165" s="612"/>
      <c r="U165" s="613"/>
      <c r="V165" s="613"/>
      <c r="W165" s="613"/>
      <c r="X165" s="614"/>
      <c r="Y165" s="614"/>
      <c r="Z165" s="614"/>
      <c r="AA165" s="615"/>
      <c r="AB165" s="615"/>
      <c r="AC165" s="615"/>
      <c r="AG165" s="617"/>
    </row>
    <row r="166" spans="1:33" s="616" customFormat="1" ht="21.95" customHeight="1">
      <c r="A166" s="745" t="s">
        <v>643</v>
      </c>
      <c r="B166" s="743"/>
      <c r="C166" s="743"/>
      <c r="D166" s="743"/>
      <c r="E166" s="743"/>
      <c r="F166" s="743"/>
      <c r="G166" s="743"/>
      <c r="H166" s="743"/>
      <c r="I166" s="743"/>
      <c r="J166" s="743"/>
      <c r="K166" s="743"/>
      <c r="L166" s="743"/>
      <c r="M166" s="743"/>
      <c r="N166" s="743"/>
      <c r="O166" s="743"/>
      <c r="P166" s="743"/>
      <c r="Q166" s="743"/>
      <c r="R166" s="743"/>
      <c r="S166" s="612"/>
      <c r="T166" s="612"/>
      <c r="U166" s="613"/>
      <c r="V166" s="613"/>
      <c r="W166" s="613"/>
      <c r="X166" s="614"/>
      <c r="Y166" s="614"/>
      <c r="Z166" s="614"/>
      <c r="AA166" s="615"/>
      <c r="AB166" s="615"/>
      <c r="AC166" s="615"/>
      <c r="AG166" s="617"/>
    </row>
    <row r="167" spans="1:33" s="616" customFormat="1" ht="21.95" customHeight="1">
      <c r="A167" s="526" t="s">
        <v>644</v>
      </c>
      <c r="B167" s="1571">
        <v>1</v>
      </c>
      <c r="C167" s="1259"/>
      <c r="D167" s="1259"/>
      <c r="E167" s="1259"/>
      <c r="F167" s="743"/>
      <c r="G167" s="743"/>
      <c r="H167" s="743"/>
      <c r="I167" s="743"/>
      <c r="J167" s="743"/>
      <c r="K167" s="743"/>
      <c r="L167" s="743"/>
      <c r="M167" s="743"/>
      <c r="N167" s="743"/>
      <c r="O167" s="743"/>
      <c r="P167" s="743"/>
      <c r="Q167" s="743"/>
      <c r="R167" s="743"/>
      <c r="S167" s="612"/>
      <c r="T167" s="612"/>
      <c r="U167" s="613"/>
      <c r="V167" s="613"/>
      <c r="W167" s="613"/>
      <c r="X167" s="614"/>
      <c r="Y167" s="614"/>
      <c r="Z167" s="614"/>
      <c r="AA167" s="615"/>
      <c r="AB167" s="615"/>
      <c r="AC167" s="615"/>
      <c r="AG167" s="617"/>
    </row>
    <row r="168" spans="1:33" s="616" customFormat="1" ht="21.95" customHeight="1">
      <c r="A168" s="526" t="s">
        <v>645</v>
      </c>
      <c r="B168" s="1446">
        <f>'구조물용량계산(설계치12)'!L53/2</f>
        <v>189</v>
      </c>
      <c r="C168" s="1260"/>
      <c r="D168" s="743" t="s">
        <v>646</v>
      </c>
      <c r="E168" s="1571">
        <f>B167</f>
        <v>1</v>
      </c>
      <c r="F168" s="1571"/>
      <c r="G168" s="1571"/>
      <c r="H168" s="743" t="s">
        <v>646</v>
      </c>
      <c r="I168" s="1260" t="s">
        <v>647</v>
      </c>
      <c r="J168" s="1260"/>
      <c r="K168" s="1581">
        <f>B168*E168/60</f>
        <v>3.15</v>
      </c>
      <c r="L168" s="1581"/>
      <c r="M168" s="1581"/>
      <c r="N168" s="1581"/>
      <c r="O168" s="747"/>
      <c r="P168" s="743"/>
      <c r="Q168" s="743"/>
      <c r="R168" s="743"/>
      <c r="S168" s="612"/>
      <c r="T168" s="612"/>
      <c r="U168" s="613"/>
      <c r="V168" s="613"/>
      <c r="W168" s="613"/>
      <c r="X168" s="614"/>
      <c r="Y168" s="614"/>
      <c r="Z168" s="614"/>
      <c r="AA168" s="615"/>
      <c r="AB168" s="615"/>
      <c r="AC168" s="615"/>
      <c r="AG168" s="617"/>
    </row>
    <row r="169" spans="1:33" s="616" customFormat="1" ht="21.95" customHeight="1">
      <c r="A169" s="748" t="s">
        <v>648</v>
      </c>
      <c r="B169" s="1582">
        <f>K162+K168</f>
        <v>17.939173789387848</v>
      </c>
      <c r="C169" s="1582"/>
      <c r="D169" s="619" t="s">
        <v>757</v>
      </c>
      <c r="E169" s="747"/>
      <c r="F169" s="747"/>
      <c r="G169" s="747"/>
      <c r="H169" s="747"/>
      <c r="I169" s="634"/>
      <c r="J169" s="634"/>
      <c r="K169" s="751"/>
      <c r="L169" s="517"/>
      <c r="M169" s="747"/>
      <c r="N169" s="747"/>
      <c r="O169" s="747"/>
      <c r="P169" s="743"/>
      <c r="Q169" s="743"/>
      <c r="R169" s="743"/>
      <c r="S169" s="612"/>
      <c r="T169" s="635"/>
      <c r="U169" s="613"/>
      <c r="V169" s="613"/>
      <c r="W169" s="613"/>
      <c r="X169" s="614"/>
      <c r="Y169" s="614"/>
      <c r="Z169" s="614"/>
      <c r="AA169" s="615"/>
      <c r="AB169" s="615"/>
      <c r="AC169" s="615"/>
      <c r="AG169" s="617"/>
    </row>
    <row r="170" spans="1:33" ht="21.95" customHeight="1">
      <c r="A170" s="758" t="s">
        <v>649</v>
      </c>
      <c r="B170" s="770"/>
      <c r="C170" s="770"/>
      <c r="D170" s="770"/>
      <c r="E170" s="770"/>
      <c r="F170" s="770"/>
      <c r="G170" s="770"/>
      <c r="H170" s="770"/>
      <c r="I170" s="770"/>
      <c r="J170" s="770"/>
      <c r="K170" s="770"/>
      <c r="L170" s="770"/>
      <c r="M170" s="770"/>
      <c r="N170" s="770"/>
      <c r="O170" s="770"/>
      <c r="P170" s="770"/>
      <c r="Q170" s="747"/>
      <c r="R170" s="770"/>
      <c r="S170" s="467"/>
      <c r="T170" s="636"/>
      <c r="U170" s="636"/>
      <c r="V170" s="636"/>
      <c r="W170" s="636"/>
      <c r="X170" s="467"/>
      <c r="Y170" s="467"/>
      <c r="Z170" s="467"/>
    </row>
    <row r="171" spans="1:33" ht="21.95" customHeight="1">
      <c r="A171" s="770"/>
      <c r="B171" s="1546" t="s">
        <v>650</v>
      </c>
      <c r="C171" s="1282"/>
      <c r="D171" s="1536"/>
      <c r="E171" s="1546" t="s">
        <v>651</v>
      </c>
      <c r="F171" s="1536"/>
      <c r="G171" s="1546" t="s">
        <v>652</v>
      </c>
      <c r="H171" s="1282"/>
      <c r="I171" s="1282"/>
      <c r="J171" s="1282"/>
      <c r="K171" s="1282"/>
      <c r="L171" s="1536"/>
      <c r="M171" s="1546" t="s">
        <v>653</v>
      </c>
      <c r="N171" s="1282"/>
      <c r="O171" s="1282"/>
      <c r="P171" s="1536"/>
      <c r="Q171" s="752"/>
      <c r="R171" s="770"/>
      <c r="S171" s="467"/>
      <c r="T171" s="636"/>
      <c r="U171" s="636"/>
      <c r="V171" s="636"/>
      <c r="W171" s="636"/>
      <c r="X171" s="467"/>
      <c r="Y171" s="467"/>
      <c r="Z171" s="467"/>
    </row>
    <row r="172" spans="1:33" ht="21.95" customHeight="1" thickBot="1">
      <c r="A172" s="770"/>
      <c r="B172" s="1583"/>
      <c r="C172" s="1584"/>
      <c r="D172" s="1585"/>
      <c r="E172" s="1583"/>
      <c r="F172" s="1585"/>
      <c r="G172" s="1583"/>
      <c r="H172" s="1584"/>
      <c r="I172" s="1584"/>
      <c r="J172" s="1584"/>
      <c r="K172" s="1584"/>
      <c r="L172" s="1585"/>
      <c r="M172" s="1583"/>
      <c r="N172" s="1584"/>
      <c r="O172" s="1584"/>
      <c r="P172" s="1585"/>
      <c r="Q172" s="752"/>
      <c r="R172" s="770"/>
      <c r="S172" s="467"/>
      <c r="T172" s="636"/>
      <c r="U172" s="636"/>
      <c r="V172" s="636"/>
      <c r="W172" s="636"/>
      <c r="X172" s="467"/>
      <c r="Y172" s="467"/>
      <c r="Z172" s="467"/>
    </row>
    <row r="173" spans="1:33" ht="21.95" customHeight="1" thickTop="1">
      <c r="A173" s="770"/>
      <c r="B173" s="1401" t="s">
        <v>654</v>
      </c>
      <c r="C173" s="1401"/>
      <c r="D173" s="1401"/>
      <c r="E173" s="1401" t="s">
        <v>655</v>
      </c>
      <c r="F173" s="1401"/>
      <c r="G173" s="1575">
        <f>B169</f>
        <v>17.939173789387848</v>
      </c>
      <c r="H173" s="1576"/>
      <c r="I173" s="1576"/>
      <c r="J173" s="1576"/>
      <c r="K173" s="1576"/>
      <c r="L173" s="1577"/>
      <c r="M173" s="1578"/>
      <c r="N173" s="1579"/>
      <c r="O173" s="1579"/>
      <c r="P173" s="1580"/>
      <c r="Q173" s="752"/>
      <c r="R173" s="770"/>
      <c r="S173" s="467"/>
      <c r="T173" s="636"/>
      <c r="U173" s="636"/>
      <c r="V173" s="636"/>
      <c r="W173" s="636"/>
      <c r="X173" s="467"/>
      <c r="Y173" s="467"/>
      <c r="Z173" s="467"/>
    </row>
    <row r="174" spans="1:33" ht="21.95" customHeight="1">
      <c r="A174" s="770"/>
      <c r="B174" s="1266" t="s">
        <v>656</v>
      </c>
      <c r="C174" s="1266"/>
      <c r="D174" s="1266"/>
      <c r="E174" s="1266" t="s">
        <v>657</v>
      </c>
      <c r="F174" s="1266"/>
      <c r="G174" s="1463"/>
      <c r="H174" s="1464"/>
      <c r="I174" s="1464"/>
      <c r="J174" s="1466"/>
      <c r="K174" s="1466"/>
      <c r="L174" s="1467"/>
      <c r="M174" s="1465"/>
      <c r="N174" s="1466"/>
      <c r="O174" s="1466"/>
      <c r="P174" s="1467"/>
      <c r="Q174" s="752"/>
      <c r="R174" s="770"/>
      <c r="S174" s="467"/>
      <c r="T174" s="636"/>
      <c r="U174" s="636"/>
      <c r="V174" s="636"/>
      <c r="W174" s="636"/>
      <c r="X174" s="467"/>
      <c r="Y174" s="467"/>
      <c r="Z174" s="467"/>
    </row>
    <row r="175" spans="1:33" ht="21.95" customHeight="1">
      <c r="A175" s="770"/>
      <c r="B175" s="1266" t="s">
        <v>658</v>
      </c>
      <c r="C175" s="1266"/>
      <c r="D175" s="1266"/>
      <c r="E175" s="1266" t="s">
        <v>659</v>
      </c>
      <c r="F175" s="1266"/>
      <c r="G175" s="1463"/>
      <c r="H175" s="1464"/>
      <c r="I175" s="1464"/>
      <c r="J175" s="1466"/>
      <c r="K175" s="1466"/>
      <c r="L175" s="1467"/>
      <c r="M175" s="1465"/>
      <c r="N175" s="1466"/>
      <c r="O175" s="1466"/>
      <c r="P175" s="1467"/>
      <c r="Q175" s="752"/>
      <c r="R175" s="770"/>
      <c r="S175" s="467"/>
      <c r="T175" s="636"/>
      <c r="U175" s="636"/>
      <c r="V175" s="636"/>
      <c r="W175" s="636"/>
      <c r="X175" s="467"/>
      <c r="Y175" s="467"/>
      <c r="Z175" s="467"/>
    </row>
    <row r="176" spans="1:33" ht="21.95" customHeight="1">
      <c r="A176" s="770"/>
      <c r="B176" s="1401" t="s">
        <v>660</v>
      </c>
      <c r="C176" s="1401"/>
      <c r="D176" s="1401"/>
      <c r="E176" s="1401" t="s">
        <v>53</v>
      </c>
      <c r="F176" s="1401"/>
      <c r="G176" s="1532" t="s">
        <v>818</v>
      </c>
      <c r="H176" s="1534"/>
      <c r="I176" s="1534"/>
      <c r="J176" s="1534"/>
      <c r="K176" s="1534"/>
      <c r="L176" s="1533"/>
      <c r="M176" s="1465"/>
      <c r="N176" s="1466"/>
      <c r="O176" s="1466"/>
      <c r="P176" s="1467"/>
      <c r="Q176" s="752"/>
      <c r="R176" s="770"/>
      <c r="S176" s="467"/>
      <c r="T176" s="636"/>
      <c r="U176" s="636"/>
      <c r="V176" s="636"/>
      <c r="W176" s="636"/>
      <c r="X176" s="467"/>
      <c r="Y176" s="467"/>
      <c r="Z176" s="467"/>
    </row>
    <row r="177" spans="1:26" ht="21.95" customHeight="1">
      <c r="A177" s="770"/>
      <c r="B177" s="1266" t="s">
        <v>661</v>
      </c>
      <c r="C177" s="1266"/>
      <c r="D177" s="1266"/>
      <c r="E177" s="1266" t="s">
        <v>662</v>
      </c>
      <c r="F177" s="1266"/>
      <c r="G177" s="1463">
        <v>2.73</v>
      </c>
      <c r="H177" s="1464"/>
      <c r="I177" s="1464"/>
      <c r="J177" s="1466"/>
      <c r="K177" s="1466"/>
      <c r="L177" s="1467"/>
      <c r="M177" s="1465"/>
      <c r="N177" s="1466"/>
      <c r="O177" s="1466"/>
      <c r="P177" s="1467"/>
      <c r="Q177" s="752"/>
      <c r="R177" s="770"/>
      <c r="S177" s="467"/>
      <c r="T177" s="636"/>
      <c r="U177" s="636"/>
      <c r="V177" s="636"/>
      <c r="W177" s="636"/>
      <c r="X177" s="467"/>
      <c r="Y177" s="467"/>
      <c r="Z177" s="467"/>
    </row>
    <row r="178" spans="1:26" ht="21.95" customHeight="1">
      <c r="A178" s="770"/>
      <c r="B178" s="1266" t="s">
        <v>663</v>
      </c>
      <c r="C178" s="1266"/>
      <c r="D178" s="1266"/>
      <c r="E178" s="1266" t="s">
        <v>664</v>
      </c>
      <c r="F178" s="1266"/>
      <c r="G178" s="1586">
        <v>1</v>
      </c>
      <c r="H178" s="1587"/>
      <c r="I178" s="1587"/>
      <c r="J178" s="1588"/>
      <c r="K178" s="1588"/>
      <c r="L178" s="1589"/>
      <c r="M178" s="1465"/>
      <c r="N178" s="1466"/>
      <c r="O178" s="1466"/>
      <c r="P178" s="1467"/>
      <c r="Q178" s="752"/>
      <c r="R178" s="770"/>
      <c r="S178" s="467"/>
      <c r="T178" s="636"/>
      <c r="U178" s="636"/>
      <c r="V178" s="636"/>
      <c r="W178" s="636"/>
      <c r="X178" s="467"/>
      <c r="Y178" s="467"/>
      <c r="Z178" s="467"/>
    </row>
    <row r="179" spans="1:26" ht="21.95" customHeight="1">
      <c r="A179" s="770"/>
      <c r="B179" s="743"/>
      <c r="C179" s="743"/>
      <c r="D179" s="743"/>
      <c r="E179" s="743"/>
      <c r="F179" s="743"/>
      <c r="G179" s="637"/>
      <c r="H179" s="637"/>
      <c r="I179" s="637"/>
      <c r="J179" s="638"/>
      <c r="K179" s="638"/>
      <c r="L179" s="638"/>
      <c r="M179" s="743"/>
      <c r="N179" s="743"/>
      <c r="O179" s="743"/>
      <c r="P179" s="743"/>
      <c r="Q179" s="743"/>
      <c r="R179" s="770"/>
      <c r="S179" s="467"/>
      <c r="T179" s="636"/>
      <c r="U179" s="636"/>
      <c r="V179" s="636"/>
      <c r="W179" s="636"/>
      <c r="X179" s="467"/>
      <c r="Y179" s="467"/>
      <c r="Z179" s="467"/>
    </row>
    <row r="180" spans="1:26" ht="21.95" customHeight="1">
      <c r="A180" s="776" t="s">
        <v>83</v>
      </c>
      <c r="B180" s="743"/>
      <c r="C180" s="743"/>
      <c r="D180" s="743"/>
      <c r="E180" s="743"/>
      <c r="F180" s="743"/>
      <c r="G180" s="637"/>
      <c r="H180" s="637"/>
      <c r="I180" s="637"/>
      <c r="J180" s="638"/>
      <c r="K180" s="638"/>
      <c r="L180" s="638"/>
      <c r="M180" s="743"/>
      <c r="N180" s="743"/>
      <c r="O180" s="743"/>
      <c r="P180" s="743"/>
      <c r="Q180" s="743"/>
      <c r="R180" s="770"/>
      <c r="S180" s="467"/>
      <c r="T180" s="636"/>
      <c r="U180" s="636"/>
      <c r="V180" s="636"/>
      <c r="W180" s="636"/>
      <c r="X180" s="467"/>
      <c r="Y180" s="467"/>
      <c r="Z180" s="467"/>
    </row>
    <row r="181" spans="1:26" ht="21.95" customHeight="1">
      <c r="A181" s="758" t="s">
        <v>644</v>
      </c>
      <c r="B181" s="1592">
        <v>1</v>
      </c>
      <c r="C181" s="1592"/>
      <c r="D181" s="1592"/>
      <c r="E181" s="1592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43"/>
      <c r="R181" s="747"/>
      <c r="S181" s="467"/>
      <c r="T181" s="636"/>
      <c r="U181" s="636"/>
      <c r="V181" s="636"/>
      <c r="W181" s="636"/>
      <c r="X181" s="467"/>
      <c r="Y181" s="467"/>
      <c r="Z181" s="467"/>
    </row>
    <row r="182" spans="1:26" ht="21.95" customHeight="1">
      <c r="A182" s="748" t="s">
        <v>50</v>
      </c>
      <c r="B182" s="1593">
        <v>80</v>
      </c>
      <c r="C182" s="1593"/>
      <c r="D182" s="1593"/>
      <c r="E182" s="743" t="s">
        <v>665</v>
      </c>
      <c r="F182" s="1593">
        <v>120</v>
      </c>
      <c r="G182" s="1593"/>
      <c r="H182" s="1593"/>
      <c r="I182" s="664">
        <f>H183/4</f>
        <v>36.972934473469614</v>
      </c>
      <c r="J182" s="664">
        <f>ROUNDUP(I182,0)</f>
        <v>37</v>
      </c>
      <c r="K182" s="743"/>
      <c r="L182" s="743"/>
      <c r="M182" s="743"/>
      <c r="N182" s="743"/>
      <c r="O182" s="743"/>
      <c r="P182" s="743"/>
      <c r="Q182" s="743"/>
      <c r="R182" s="747"/>
      <c r="S182" s="467"/>
      <c r="T182" s="636"/>
      <c r="U182" s="636"/>
      <c r="V182" s="636"/>
      <c r="W182" s="636"/>
      <c r="X182" s="467"/>
      <c r="Y182" s="467"/>
      <c r="Z182" s="467"/>
    </row>
    <row r="183" spans="1:26" ht="21.95" customHeight="1">
      <c r="A183" s="758" t="s">
        <v>666</v>
      </c>
      <c r="B183" s="1512">
        <f>K162</f>
        <v>14.789173789387847</v>
      </c>
      <c r="C183" s="1512"/>
      <c r="D183" s="1512"/>
      <c r="E183" s="1512"/>
      <c r="F183" s="1512"/>
      <c r="G183" s="1496" t="s">
        <v>582</v>
      </c>
      <c r="H183" s="1513">
        <f>B183/B184</f>
        <v>147.89173789387846</v>
      </c>
      <c r="I183" s="1496" t="s">
        <v>57</v>
      </c>
      <c r="J183" s="1590">
        <f>J182*4</f>
        <v>148</v>
      </c>
      <c r="K183" s="1573"/>
      <c r="L183" s="770"/>
      <c r="M183" s="639"/>
      <c r="N183" s="639"/>
      <c r="O183" s="639"/>
      <c r="P183" s="639"/>
      <c r="Q183" s="639"/>
      <c r="R183" s="747"/>
      <c r="S183" s="467"/>
      <c r="T183" s="636"/>
      <c r="U183" s="636"/>
      <c r="V183" s="636"/>
      <c r="W183" s="636"/>
      <c r="X183" s="467"/>
      <c r="Y183" s="467"/>
      <c r="Z183" s="467"/>
    </row>
    <row r="184" spans="1:26" ht="21.95" customHeight="1">
      <c r="A184" s="757"/>
      <c r="B184" s="1515">
        <f>(B182+F182)/2/1000</f>
        <v>0.1</v>
      </c>
      <c r="C184" s="1515"/>
      <c r="D184" s="1515"/>
      <c r="E184" s="1515"/>
      <c r="F184" s="1515"/>
      <c r="G184" s="1496"/>
      <c r="H184" s="1513"/>
      <c r="I184" s="1496"/>
      <c r="J184" s="1590"/>
      <c r="K184" s="1573"/>
      <c r="L184" s="770"/>
      <c r="M184" s="639"/>
      <c r="N184" s="639"/>
      <c r="O184" s="639"/>
      <c r="P184" s="639"/>
      <c r="Q184" s="639"/>
      <c r="R184" s="747"/>
      <c r="S184" s="467"/>
      <c r="T184" s="636"/>
      <c r="U184" s="636"/>
      <c r="V184" s="636"/>
      <c r="W184" s="636"/>
      <c r="X184" s="467"/>
      <c r="Y184" s="467"/>
      <c r="Z184" s="467"/>
    </row>
    <row r="185" spans="1:26" ht="21.95" customHeight="1">
      <c r="A185" s="757"/>
      <c r="B185" s="609"/>
      <c r="C185" s="609"/>
      <c r="D185" s="609"/>
      <c r="E185" s="609"/>
      <c r="F185" s="609"/>
      <c r="G185" s="757"/>
      <c r="H185" s="760"/>
      <c r="I185" s="757"/>
      <c r="J185" s="767"/>
      <c r="K185" s="768"/>
      <c r="L185" s="770"/>
      <c r="M185" s="639"/>
      <c r="N185" s="639"/>
      <c r="O185" s="639"/>
      <c r="P185" s="639"/>
      <c r="Q185" s="639"/>
      <c r="R185" s="747"/>
      <c r="S185" s="467"/>
      <c r="T185" s="636"/>
      <c r="U185" s="636"/>
      <c r="V185" s="636"/>
      <c r="W185" s="636"/>
      <c r="X185" s="467"/>
      <c r="Y185" s="467"/>
      <c r="Z185" s="467"/>
    </row>
    <row r="186" spans="1:26" ht="21.95" customHeight="1">
      <c r="A186" s="776" t="s">
        <v>789</v>
      </c>
      <c r="B186" s="770"/>
      <c r="C186" s="770"/>
      <c r="D186" s="770"/>
      <c r="E186" s="770"/>
      <c r="F186" s="770"/>
      <c r="G186" s="770"/>
      <c r="H186" s="770"/>
      <c r="I186" s="770"/>
      <c r="J186" s="770"/>
      <c r="K186" s="770"/>
      <c r="L186" s="770"/>
      <c r="M186" s="770"/>
      <c r="N186" s="770"/>
      <c r="O186" s="770"/>
      <c r="P186" s="770"/>
      <c r="Q186" s="770"/>
      <c r="R186" s="770"/>
      <c r="S186" s="467"/>
      <c r="T186" s="467"/>
      <c r="U186" s="467"/>
      <c r="V186" s="467"/>
      <c r="W186" s="467"/>
      <c r="X186" s="467"/>
      <c r="Y186" s="467"/>
      <c r="Z186" s="467"/>
    </row>
    <row r="187" spans="1:26" ht="21.95" customHeight="1">
      <c r="A187" s="758" t="s">
        <v>667</v>
      </c>
      <c r="B187" s="770"/>
      <c r="C187" s="770"/>
      <c r="D187" s="770"/>
      <c r="E187" s="770"/>
      <c r="F187" s="770"/>
      <c r="G187" s="770"/>
      <c r="H187" s="770"/>
      <c r="I187" s="770"/>
      <c r="J187" s="770"/>
      <c r="K187" s="770"/>
      <c r="L187" s="770"/>
      <c r="M187" s="770"/>
      <c r="N187" s="770"/>
      <c r="O187" s="770"/>
      <c r="P187" s="770"/>
      <c r="Q187" s="770"/>
      <c r="R187" s="770"/>
      <c r="S187" s="467"/>
      <c r="T187" s="467"/>
      <c r="U187" s="467"/>
      <c r="V187" s="467"/>
      <c r="W187" s="467"/>
      <c r="X187" s="467"/>
      <c r="Y187" s="467"/>
      <c r="Z187" s="467"/>
    </row>
    <row r="188" spans="1:26" ht="21.95" customHeight="1">
      <c r="A188" s="597" t="s">
        <v>53</v>
      </c>
      <c r="B188" s="1469" t="s">
        <v>668</v>
      </c>
      <c r="C188" s="1469"/>
      <c r="D188" s="1469"/>
      <c r="E188" s="753" t="s">
        <v>794</v>
      </c>
      <c r="F188" s="753"/>
      <c r="G188" s="753"/>
      <c r="H188" s="753"/>
      <c r="I188" s="753"/>
      <c r="J188" s="753"/>
      <c r="K188" s="753"/>
      <c r="L188" s="753"/>
      <c r="M188" s="753"/>
      <c r="N188" s="753"/>
      <c r="O188" s="770"/>
      <c r="P188" s="770"/>
      <c r="Q188" s="770"/>
      <c r="R188" s="770"/>
      <c r="S188" s="467"/>
      <c r="T188" s="467"/>
      <c r="U188" s="467"/>
      <c r="V188" s="467"/>
      <c r="W188" s="467"/>
      <c r="X188" s="467"/>
      <c r="Y188" s="467"/>
      <c r="Z188" s="467"/>
    </row>
    <row r="189" spans="1:26" ht="21.95" customHeight="1">
      <c r="A189" s="597" t="s">
        <v>53</v>
      </c>
      <c r="B189" s="1469" t="s">
        <v>669</v>
      </c>
      <c r="C189" s="1469"/>
      <c r="D189" s="1469"/>
      <c r="E189" s="1591">
        <f>물질수지!P9</f>
        <v>1.3982000000000001</v>
      </c>
      <c r="F189" s="1591"/>
      <c r="G189" s="783" t="s">
        <v>670</v>
      </c>
      <c r="H189" s="763" t="s">
        <v>671</v>
      </c>
      <c r="I189" s="763"/>
      <c r="J189" s="763"/>
      <c r="K189" s="763"/>
      <c r="L189" s="640">
        <v>1.5</v>
      </c>
      <c r="M189" s="641" t="s">
        <v>672</v>
      </c>
      <c r="N189" s="641"/>
      <c r="O189" s="770"/>
      <c r="P189" s="321"/>
      <c r="Q189" s="321"/>
      <c r="R189" s="770"/>
      <c r="S189" s="467"/>
      <c r="T189" s="467"/>
      <c r="U189" s="467"/>
      <c r="V189" s="467"/>
      <c r="W189" s="467"/>
      <c r="X189" s="467"/>
      <c r="Y189" s="467"/>
      <c r="Z189" s="467"/>
    </row>
    <row r="190" spans="1:26" ht="21.95" customHeight="1">
      <c r="A190" s="597" t="s">
        <v>53</v>
      </c>
      <c r="B190" s="1469" t="s">
        <v>69</v>
      </c>
      <c r="C190" s="1469"/>
      <c r="D190" s="1469"/>
      <c r="E190" s="1469"/>
      <c r="F190" s="1472">
        <v>24</v>
      </c>
      <c r="G190" s="1473"/>
      <c r="H190" s="753"/>
      <c r="I190" s="770"/>
      <c r="J190" s="770"/>
      <c r="K190" s="770"/>
      <c r="L190" s="770"/>
      <c r="M190" s="770"/>
      <c r="N190" s="770"/>
      <c r="O190" s="770"/>
      <c r="P190" s="770"/>
      <c r="Q190" s="770"/>
      <c r="R190" s="770"/>
      <c r="S190" s="467"/>
      <c r="T190" s="1594"/>
      <c r="U190" s="1594"/>
      <c r="V190" s="467"/>
      <c r="W190" s="1594"/>
      <c r="X190" s="1594"/>
      <c r="Y190" s="467"/>
      <c r="Z190" s="467"/>
    </row>
    <row r="191" spans="1:26" ht="21.95" customHeight="1">
      <c r="A191" s="597" t="s">
        <v>53</v>
      </c>
      <c r="B191" s="1469" t="s">
        <v>673</v>
      </c>
      <c r="C191" s="1469"/>
      <c r="D191" s="1469"/>
      <c r="E191" s="1469"/>
      <c r="F191" s="1595">
        <f>'설계기준(설계치12)'!C4/2*'기계용량계산 (2계열)'!L189</f>
        <v>3000</v>
      </c>
      <c r="G191" s="1595"/>
      <c r="H191" s="1473"/>
      <c r="I191" s="757" t="s">
        <v>52</v>
      </c>
      <c r="J191" s="757">
        <v>1</v>
      </c>
      <c r="K191" s="770" t="s">
        <v>674</v>
      </c>
      <c r="L191" s="757" t="s">
        <v>582</v>
      </c>
      <c r="M191" s="1596">
        <f>F191/J191</f>
        <v>3000</v>
      </c>
      <c r="N191" s="1597"/>
      <c r="O191" s="1597"/>
      <c r="P191" s="1597"/>
      <c r="Q191" s="753"/>
      <c r="R191" s="770"/>
      <c r="S191" s="467"/>
      <c r="T191" s="1598"/>
      <c r="U191" s="1598"/>
      <c r="V191" s="600"/>
      <c r="W191" s="1598"/>
      <c r="X191" s="1598"/>
      <c r="Y191" s="467"/>
      <c r="Z191" s="467"/>
    </row>
    <row r="192" spans="1:26" ht="21.95" customHeight="1">
      <c r="A192" s="597" t="s">
        <v>53</v>
      </c>
      <c r="B192" s="753" t="s">
        <v>675</v>
      </c>
      <c r="C192" s="753"/>
      <c r="D192" s="753"/>
      <c r="E192" s="753"/>
      <c r="F192" s="1599">
        <f>M191</f>
        <v>3000</v>
      </c>
      <c r="G192" s="1599"/>
      <c r="H192" s="1473"/>
      <c r="I192" s="757" t="s">
        <v>52</v>
      </c>
      <c r="J192" s="1472">
        <f>F190</f>
        <v>24</v>
      </c>
      <c r="K192" s="1473"/>
      <c r="L192" s="757" t="s">
        <v>582</v>
      </c>
      <c r="M192" s="1600">
        <f>F192/J192/60</f>
        <v>2.0833333333333335</v>
      </c>
      <c r="N192" s="1600"/>
      <c r="O192" s="1600"/>
      <c r="P192" s="604"/>
      <c r="Q192" s="770"/>
      <c r="R192" s="770"/>
      <c r="S192" s="467"/>
      <c r="T192" s="601"/>
      <c r="U192" s="467"/>
      <c r="V192" s="467"/>
      <c r="W192" s="467"/>
      <c r="X192" s="467"/>
      <c r="Y192" s="467"/>
      <c r="Z192" s="467"/>
    </row>
    <row r="193" spans="1:26" ht="21.95" customHeight="1">
      <c r="A193" s="597"/>
      <c r="B193" s="753"/>
      <c r="C193" s="753"/>
      <c r="D193" s="753"/>
      <c r="E193" s="753"/>
      <c r="F193" s="753"/>
      <c r="G193" s="753"/>
      <c r="H193" s="753"/>
      <c r="I193" s="753"/>
      <c r="J193" s="753"/>
      <c r="K193" s="753"/>
      <c r="L193" s="753"/>
      <c r="M193" s="753"/>
      <c r="N193" s="753"/>
      <c r="O193" s="753"/>
      <c r="P193" s="753"/>
      <c r="Q193" s="753"/>
      <c r="R193" s="770"/>
      <c r="S193" s="467"/>
      <c r="T193" s="467"/>
      <c r="U193" s="467"/>
      <c r="V193" s="467"/>
      <c r="W193" s="467"/>
      <c r="X193" s="467"/>
      <c r="Y193" s="467"/>
      <c r="Z193" s="467"/>
    </row>
    <row r="194" spans="1:26" ht="21.95" customHeight="1">
      <c r="A194" s="758" t="s">
        <v>676</v>
      </c>
      <c r="B194" s="770"/>
      <c r="C194" s="770"/>
      <c r="D194" s="770"/>
      <c r="E194" s="770"/>
      <c r="F194" s="770"/>
      <c r="G194" s="770"/>
      <c r="H194" s="770"/>
      <c r="I194" s="770"/>
      <c r="J194" s="770"/>
      <c r="K194" s="770"/>
      <c r="L194" s="770"/>
      <c r="M194" s="770"/>
      <c r="N194" s="770"/>
      <c r="O194" s="770"/>
      <c r="P194" s="770"/>
      <c r="Q194" s="770"/>
      <c r="R194" s="770"/>
      <c r="S194" s="467"/>
      <c r="T194" s="467"/>
      <c r="U194" s="467"/>
      <c r="V194" s="467"/>
      <c r="W194" s="467"/>
      <c r="X194" s="467"/>
      <c r="Y194" s="467"/>
      <c r="Z194" s="467"/>
    </row>
    <row r="195" spans="1:26" ht="21.95" customHeight="1" thickBot="1">
      <c r="A195" s="770"/>
      <c r="B195" s="1468" t="s">
        <v>650</v>
      </c>
      <c r="C195" s="1468"/>
      <c r="D195" s="1468"/>
      <c r="E195" s="1468" t="s">
        <v>651</v>
      </c>
      <c r="F195" s="1468"/>
      <c r="G195" s="1479" t="s">
        <v>652</v>
      </c>
      <c r="H195" s="1480"/>
      <c r="I195" s="1480"/>
      <c r="J195" s="1480"/>
      <c r="K195" s="1480"/>
      <c r="L195" s="1480"/>
      <c r="M195" s="1479" t="s">
        <v>653</v>
      </c>
      <c r="N195" s="1480"/>
      <c r="O195" s="1480"/>
      <c r="P195" s="1481"/>
      <c r="Q195" s="752"/>
      <c r="R195" s="770"/>
      <c r="S195" s="467"/>
      <c r="T195" s="467"/>
      <c r="U195" s="467"/>
      <c r="V195" s="467"/>
      <c r="W195" s="467"/>
      <c r="X195" s="467"/>
      <c r="Y195" s="467"/>
      <c r="Z195" s="467"/>
    </row>
    <row r="196" spans="1:26" ht="21.95" customHeight="1" thickTop="1">
      <c r="A196" s="770"/>
      <c r="B196" s="1482" t="s">
        <v>654</v>
      </c>
      <c r="C196" s="1482"/>
      <c r="D196" s="1482"/>
      <c r="E196" s="1266" t="s">
        <v>655</v>
      </c>
      <c r="F196" s="1266"/>
      <c r="G196" s="1483">
        <f>M192</f>
        <v>2.0833333333333335</v>
      </c>
      <c r="H196" s="1484"/>
      <c r="I196" s="1484"/>
      <c r="J196" s="1484"/>
      <c r="K196" s="1484"/>
      <c r="L196" s="1484"/>
      <c r="M196" s="1485"/>
      <c r="N196" s="1486"/>
      <c r="O196" s="1486"/>
      <c r="P196" s="1487"/>
      <c r="Q196" s="752"/>
      <c r="R196" s="770"/>
      <c r="S196" s="467"/>
      <c r="T196" s="467"/>
      <c r="U196" s="467"/>
      <c r="V196" s="467"/>
      <c r="W196" s="467"/>
      <c r="X196" s="467"/>
      <c r="Y196" s="467"/>
      <c r="Z196" s="467"/>
    </row>
    <row r="197" spans="1:26" ht="21.95" customHeight="1">
      <c r="A197" s="770"/>
      <c r="B197" s="1266" t="s">
        <v>656</v>
      </c>
      <c r="C197" s="1266"/>
      <c r="D197" s="1266"/>
      <c r="E197" s="1266" t="s">
        <v>657</v>
      </c>
      <c r="F197" s="1266"/>
      <c r="G197" s="1463">
        <v>100</v>
      </c>
      <c r="H197" s="1464"/>
      <c r="I197" s="1464"/>
      <c r="J197" s="1464"/>
      <c r="K197" s="1464"/>
      <c r="L197" s="1464"/>
      <c r="M197" s="1465"/>
      <c r="N197" s="1466"/>
      <c r="O197" s="1466"/>
      <c r="P197" s="1467"/>
      <c r="Q197" s="752"/>
      <c r="R197" s="770"/>
      <c r="S197" s="467"/>
      <c r="T197" s="467"/>
      <c r="U197" s="467"/>
      <c r="V197" s="467"/>
      <c r="W197" s="467"/>
      <c r="X197" s="467"/>
      <c r="Y197" s="467"/>
      <c r="Z197" s="467"/>
    </row>
    <row r="198" spans="1:26" ht="21.95" customHeight="1">
      <c r="A198" s="770"/>
      <c r="B198" s="1266" t="s">
        <v>677</v>
      </c>
      <c r="C198" s="1266"/>
      <c r="D198" s="1266"/>
      <c r="E198" s="1465" t="s">
        <v>61</v>
      </c>
      <c r="F198" s="1467"/>
      <c r="G198" s="1463">
        <v>11</v>
      </c>
      <c r="H198" s="1464"/>
      <c r="I198" s="1464"/>
      <c r="J198" s="1464"/>
      <c r="K198" s="1464"/>
      <c r="L198" s="1516"/>
      <c r="M198" s="1465"/>
      <c r="N198" s="1466"/>
      <c r="O198" s="1466"/>
      <c r="P198" s="1467"/>
      <c r="Q198" s="752"/>
      <c r="R198" s="770"/>
      <c r="S198" s="467"/>
      <c r="T198" s="467"/>
      <c r="U198" s="467"/>
      <c r="V198" s="467"/>
      <c r="W198" s="467"/>
      <c r="X198" s="467"/>
      <c r="Y198" s="467"/>
      <c r="Z198" s="467"/>
    </row>
    <row r="199" spans="1:26" ht="21.95" customHeight="1">
      <c r="A199" s="770"/>
      <c r="B199" s="1401" t="s">
        <v>660</v>
      </c>
      <c r="C199" s="1401"/>
      <c r="D199" s="1401"/>
      <c r="E199" s="1465" t="s">
        <v>53</v>
      </c>
      <c r="F199" s="1467"/>
      <c r="G199" s="1601" t="s">
        <v>816</v>
      </c>
      <c r="H199" s="1602"/>
      <c r="I199" s="1602"/>
      <c r="J199" s="1602"/>
      <c r="K199" s="1602"/>
      <c r="L199" s="1602"/>
      <c r="M199" s="1465"/>
      <c r="N199" s="1466"/>
      <c r="O199" s="1466"/>
      <c r="P199" s="1467"/>
      <c r="Q199" s="752"/>
      <c r="R199" s="770"/>
      <c r="S199" s="467"/>
      <c r="T199" s="467"/>
      <c r="U199" s="467"/>
      <c r="V199" s="467"/>
      <c r="W199" s="467"/>
      <c r="X199" s="467"/>
      <c r="Y199" s="467"/>
      <c r="Z199" s="467"/>
    </row>
    <row r="200" spans="1:26" ht="21.95" customHeight="1">
      <c r="A200" s="770"/>
      <c r="B200" s="1266" t="s">
        <v>661</v>
      </c>
      <c r="C200" s="1266"/>
      <c r="D200" s="1266"/>
      <c r="E200" s="1266" t="s">
        <v>662</v>
      </c>
      <c r="F200" s="1266"/>
      <c r="G200" s="1463">
        <v>5.5</v>
      </c>
      <c r="H200" s="1464"/>
      <c r="I200" s="1464"/>
      <c r="J200" s="1464"/>
      <c r="K200" s="1464"/>
      <c r="L200" s="1464"/>
      <c r="M200" s="1465"/>
      <c r="N200" s="1466"/>
      <c r="O200" s="1466"/>
      <c r="P200" s="1467"/>
      <c r="Q200" s="752"/>
      <c r="R200" s="770"/>
      <c r="S200" s="467"/>
      <c r="T200" s="467"/>
      <c r="U200" s="467"/>
      <c r="V200" s="467"/>
      <c r="W200" s="467"/>
      <c r="X200" s="467"/>
      <c r="Y200" s="467"/>
      <c r="Z200" s="467"/>
    </row>
    <row r="201" spans="1:26" ht="21.95" customHeight="1">
      <c r="A201" s="770"/>
      <c r="B201" s="1266" t="s">
        <v>663</v>
      </c>
      <c r="C201" s="1266"/>
      <c r="D201" s="1266"/>
      <c r="E201" s="1266" t="s">
        <v>664</v>
      </c>
      <c r="F201" s="1266"/>
      <c r="G201" s="1463">
        <v>1</v>
      </c>
      <c r="H201" s="1464"/>
      <c r="I201" s="1464"/>
      <c r="J201" s="1464"/>
      <c r="K201" s="1464"/>
      <c r="L201" s="1516"/>
      <c r="M201" s="1465"/>
      <c r="N201" s="1466"/>
      <c r="O201" s="1466"/>
      <c r="P201" s="1467"/>
      <c r="Q201" s="752"/>
      <c r="R201" s="602"/>
      <c r="S201" s="603"/>
      <c r="T201" s="603"/>
      <c r="U201" s="467"/>
      <c r="V201" s="467"/>
      <c r="W201" s="467"/>
      <c r="X201" s="467"/>
      <c r="Y201" s="467"/>
      <c r="Z201" s="467"/>
    </row>
    <row r="202" spans="1:26" ht="21.95" customHeight="1">
      <c r="A202" s="770"/>
      <c r="B202" s="743"/>
      <c r="C202" s="743"/>
      <c r="D202" s="743"/>
      <c r="E202" s="743"/>
      <c r="F202" s="743"/>
      <c r="G202" s="497"/>
      <c r="H202" s="497"/>
      <c r="I202" s="497"/>
      <c r="J202" s="497"/>
      <c r="K202" s="497"/>
      <c r="L202" s="497"/>
      <c r="M202" s="743"/>
      <c r="N202" s="743"/>
      <c r="O202" s="743"/>
      <c r="P202" s="743"/>
      <c r="Q202" s="743"/>
      <c r="R202" s="602"/>
      <c r="S202" s="603"/>
      <c r="T202" s="603"/>
      <c r="U202" s="467"/>
      <c r="V202" s="467"/>
      <c r="W202" s="467"/>
      <c r="X202" s="467"/>
      <c r="Y202" s="467"/>
      <c r="Z202" s="467"/>
    </row>
    <row r="203" spans="1:26" ht="21.95" customHeight="1">
      <c r="A203" s="611" t="s">
        <v>807</v>
      </c>
      <c r="B203" s="743"/>
      <c r="C203" s="743"/>
      <c r="D203" s="743"/>
      <c r="E203" s="743"/>
      <c r="F203" s="743"/>
      <c r="G203" s="497"/>
      <c r="H203" s="497"/>
      <c r="I203" s="497"/>
      <c r="J203" s="497"/>
      <c r="K203" s="497"/>
      <c r="L203" s="497"/>
      <c r="M203" s="743"/>
      <c r="N203" s="743"/>
      <c r="O203" s="743"/>
      <c r="P203" s="743"/>
      <c r="Q203" s="743"/>
      <c r="R203" s="602"/>
      <c r="S203" s="603"/>
      <c r="T203" s="603"/>
      <c r="U203" s="467"/>
      <c r="V203" s="467"/>
      <c r="W203" s="467"/>
      <c r="X203" s="467"/>
      <c r="Y203" s="467"/>
      <c r="Z203" s="467"/>
    </row>
    <row r="204" spans="1:26" ht="21.95" hidden="1" customHeight="1">
      <c r="A204" s="776" t="s">
        <v>678</v>
      </c>
      <c r="B204" s="743"/>
      <c r="C204" s="743"/>
      <c r="D204" s="743"/>
      <c r="E204" s="743"/>
      <c r="F204" s="743"/>
      <c r="G204" s="497"/>
      <c r="H204" s="497"/>
      <c r="I204" s="497"/>
      <c r="J204" s="497"/>
      <c r="K204" s="497"/>
      <c r="L204" s="497"/>
      <c r="M204" s="743"/>
      <c r="N204" s="743"/>
      <c r="O204" s="743"/>
      <c r="P204" s="743"/>
      <c r="Q204" s="743"/>
      <c r="R204" s="602"/>
      <c r="S204" s="603"/>
      <c r="T204" s="603"/>
      <c r="U204" s="467"/>
      <c r="V204" s="467"/>
      <c r="W204" s="467"/>
      <c r="X204" s="467"/>
      <c r="Y204" s="467"/>
      <c r="Z204" s="467"/>
    </row>
    <row r="205" spans="1:26" ht="21.95" hidden="1" customHeight="1">
      <c r="A205" s="758" t="s">
        <v>667</v>
      </c>
      <c r="B205" s="743"/>
      <c r="C205" s="743"/>
      <c r="D205" s="743"/>
      <c r="E205" s="743"/>
      <c r="F205" s="743"/>
      <c r="G205" s="497"/>
      <c r="H205" s="497"/>
      <c r="I205" s="497"/>
      <c r="J205" s="497"/>
      <c r="K205" s="497"/>
      <c r="L205" s="497"/>
      <c r="M205" s="743"/>
      <c r="N205" s="743"/>
      <c r="O205" s="743"/>
      <c r="P205" s="743"/>
      <c r="Q205" s="743"/>
      <c r="R205" s="602"/>
      <c r="S205" s="603"/>
      <c r="T205" s="603"/>
      <c r="U205" s="467"/>
      <c r="V205" s="467"/>
      <c r="W205" s="467"/>
      <c r="X205" s="467"/>
      <c r="Y205" s="467"/>
      <c r="Z205" s="467"/>
    </row>
    <row r="206" spans="1:26" ht="21.95" hidden="1" customHeight="1">
      <c r="A206" s="597" t="s">
        <v>53</v>
      </c>
      <c r="B206" s="743" t="s">
        <v>679</v>
      </c>
      <c r="C206" s="743"/>
      <c r="D206" s="1607" t="e">
        <f>#REF!/2</f>
        <v>#REF!</v>
      </c>
      <c r="E206" s="1607"/>
      <c r="F206" s="1607"/>
      <c r="G206" s="497"/>
      <c r="H206" s="497"/>
      <c r="I206" s="497"/>
      <c r="J206" s="497"/>
      <c r="K206" s="497"/>
      <c r="L206" s="497"/>
      <c r="M206" s="743"/>
      <c r="N206" s="743"/>
      <c r="O206" s="743"/>
      <c r="P206" s="743"/>
      <c r="Q206" s="743"/>
      <c r="R206" s="602"/>
      <c r="S206" s="603"/>
      <c r="T206" s="603"/>
      <c r="U206" s="467"/>
      <c r="V206" s="467"/>
      <c r="W206" s="467"/>
      <c r="X206" s="467"/>
      <c r="Y206" s="467"/>
      <c r="Z206" s="467"/>
    </row>
    <row r="207" spans="1:26" ht="21.95" hidden="1" customHeight="1">
      <c r="A207" s="597" t="s">
        <v>53</v>
      </c>
      <c r="B207" s="745" t="s">
        <v>680</v>
      </c>
      <c r="C207" s="743"/>
      <c r="D207" s="1608">
        <v>30</v>
      </c>
      <c r="E207" s="1608"/>
      <c r="F207" s="1608"/>
      <c r="G207" s="497"/>
      <c r="H207" s="497"/>
      <c r="I207" s="497"/>
      <c r="J207" s="497"/>
      <c r="K207" s="497"/>
      <c r="L207" s="497"/>
      <c r="M207" s="743"/>
      <c r="N207" s="743"/>
      <c r="O207" s="743"/>
      <c r="P207" s="743"/>
      <c r="Q207" s="743"/>
      <c r="R207" s="602"/>
      <c r="S207" s="603"/>
      <c r="T207" s="603"/>
      <c r="U207" s="467"/>
      <c r="V207" s="467"/>
      <c r="W207" s="467"/>
      <c r="X207" s="467"/>
      <c r="Y207" s="467"/>
      <c r="Z207" s="467"/>
    </row>
    <row r="208" spans="1:26" ht="21.95" hidden="1" customHeight="1">
      <c r="A208" s="597" t="s">
        <v>53</v>
      </c>
      <c r="B208" s="745" t="s">
        <v>681</v>
      </c>
      <c r="C208" s="743"/>
      <c r="D208" s="1609" t="e">
        <f>D206*D207</f>
        <v>#REF!</v>
      </c>
      <c r="E208" s="1609"/>
      <c r="F208" s="1609"/>
      <c r="G208" s="743" t="s">
        <v>770</v>
      </c>
      <c r="H208" s="1610" t="e">
        <f>D208*#REF!</f>
        <v>#REF!</v>
      </c>
      <c r="I208" s="1610"/>
      <c r="J208" s="1610"/>
      <c r="K208" s="717"/>
      <c r="L208" s="497"/>
      <c r="M208" s="743"/>
      <c r="N208" s="743"/>
      <c r="O208" s="743"/>
      <c r="P208" s="743"/>
      <c r="Q208" s="743"/>
      <c r="R208" s="602"/>
      <c r="S208" s="603"/>
      <c r="T208" s="603"/>
      <c r="U208" s="467"/>
      <c r="V208" s="467"/>
      <c r="W208" s="467"/>
      <c r="X208" s="467"/>
      <c r="Y208" s="467"/>
      <c r="Z208" s="467"/>
    </row>
    <row r="209" spans="1:26" ht="21.95" hidden="1" customHeight="1">
      <c r="A209" s="597" t="s">
        <v>53</v>
      </c>
      <c r="B209" s="745" t="s">
        <v>682</v>
      </c>
      <c r="C209" s="743"/>
      <c r="D209" s="1611">
        <v>1</v>
      </c>
      <c r="E209" s="1611"/>
      <c r="F209" s="1611"/>
      <c r="G209" s="497"/>
      <c r="H209" s="497"/>
      <c r="I209" s="497"/>
      <c r="J209" s="497"/>
      <c r="K209" s="497"/>
      <c r="L209" s="497"/>
      <c r="M209" s="743"/>
      <c r="N209" s="743"/>
      <c r="O209" s="743"/>
      <c r="P209" s="743"/>
      <c r="Q209" s="743"/>
      <c r="R209" s="602"/>
      <c r="S209" s="603"/>
      <c r="T209" s="603"/>
      <c r="U209" s="467"/>
      <c r="V209" s="467"/>
      <c r="W209" s="467"/>
      <c r="X209" s="467"/>
      <c r="Y209" s="467"/>
      <c r="Z209" s="467"/>
    </row>
    <row r="210" spans="1:26" ht="21.95" hidden="1" customHeight="1">
      <c r="A210" s="597" t="s">
        <v>53</v>
      </c>
      <c r="B210" s="745" t="s">
        <v>683</v>
      </c>
      <c r="C210" s="743"/>
      <c r="D210" s="1612">
        <v>1</v>
      </c>
      <c r="E210" s="1612"/>
      <c r="F210" s="1612"/>
      <c r="G210" s="743"/>
      <c r="H210" s="743"/>
      <c r="I210" s="743"/>
      <c r="J210" s="743"/>
      <c r="K210" s="743"/>
      <c r="L210" s="743"/>
      <c r="M210" s="743"/>
      <c r="N210" s="743"/>
      <c r="O210" s="743"/>
      <c r="P210" s="743"/>
      <c r="Q210" s="743"/>
      <c r="R210" s="602"/>
      <c r="S210" s="603"/>
      <c r="T210" s="603"/>
      <c r="U210" s="467"/>
      <c r="V210" s="467"/>
      <c r="W210" s="467"/>
      <c r="X210" s="467"/>
      <c r="Y210" s="467"/>
      <c r="Z210" s="467"/>
    </row>
    <row r="211" spans="1:26" ht="21.95" hidden="1" customHeight="1">
      <c r="A211" s="597"/>
      <c r="B211" s="745"/>
      <c r="C211" s="743"/>
      <c r="D211" s="764"/>
      <c r="E211" s="764"/>
      <c r="F211" s="764"/>
      <c r="G211" s="743"/>
      <c r="H211" s="743"/>
      <c r="I211" s="743"/>
      <c r="J211" s="743"/>
      <c r="K211" s="743"/>
      <c r="L211" s="743"/>
      <c r="M211" s="743"/>
      <c r="N211" s="743"/>
      <c r="O211" s="743"/>
      <c r="P211" s="743"/>
      <c r="Q211" s="743"/>
      <c r="R211" s="602"/>
      <c r="S211" s="603"/>
      <c r="T211" s="603"/>
      <c r="U211" s="467"/>
      <c r="V211" s="467"/>
      <c r="W211" s="467"/>
      <c r="X211" s="467"/>
      <c r="Y211" s="467"/>
      <c r="Z211" s="467"/>
    </row>
    <row r="212" spans="1:26" ht="21.95" customHeight="1">
      <c r="A212" s="776" t="s">
        <v>808</v>
      </c>
      <c r="B212" s="745"/>
      <c r="C212" s="743"/>
      <c r="D212" s="764"/>
      <c r="E212" s="764"/>
      <c r="F212" s="764"/>
      <c r="G212" s="743"/>
      <c r="H212" s="743"/>
      <c r="I212" s="743"/>
      <c r="J212" s="743"/>
      <c r="K212" s="743"/>
      <c r="L212" s="743"/>
      <c r="M212" s="743"/>
      <c r="N212" s="743"/>
      <c r="O212" s="743"/>
      <c r="P212" s="743"/>
      <c r="Q212" s="743"/>
      <c r="R212" s="602"/>
      <c r="S212" s="603"/>
      <c r="T212" s="603"/>
      <c r="U212" s="467"/>
      <c r="V212" s="467"/>
      <c r="W212" s="467"/>
      <c r="X212" s="467"/>
      <c r="Y212" s="467"/>
      <c r="Z212" s="467"/>
    </row>
    <row r="213" spans="1:26" ht="21.95" customHeight="1">
      <c r="A213" s="758" t="s">
        <v>667</v>
      </c>
      <c r="B213" s="745"/>
      <c r="C213" s="743"/>
      <c r="D213" s="764"/>
      <c r="E213" s="764"/>
      <c r="F213" s="764"/>
      <c r="G213" s="743"/>
      <c r="H213" s="743"/>
      <c r="I213" s="743"/>
      <c r="J213" s="743"/>
      <c r="K213" s="743"/>
      <c r="L213" s="743"/>
      <c r="M213" s="743"/>
      <c r="N213" s="743"/>
      <c r="O213" s="743"/>
      <c r="P213" s="743"/>
      <c r="Q213" s="743"/>
      <c r="R213" s="602"/>
      <c r="S213" s="603"/>
      <c r="T213" s="603"/>
      <c r="U213" s="467"/>
      <c r="V213" s="467"/>
      <c r="W213" s="467"/>
      <c r="X213" s="467"/>
      <c r="Y213" s="467"/>
      <c r="Z213" s="467"/>
    </row>
    <row r="214" spans="1:26" ht="21.95" customHeight="1">
      <c r="A214" s="642" t="s">
        <v>53</v>
      </c>
      <c r="B214" s="1603" t="s">
        <v>668</v>
      </c>
      <c r="C214" s="1603"/>
      <c r="D214" s="1603"/>
      <c r="E214" s="765" t="s">
        <v>796</v>
      </c>
      <c r="F214" s="765"/>
      <c r="G214" s="765"/>
      <c r="H214" s="765"/>
      <c r="I214" s="765"/>
      <c r="J214" s="765"/>
      <c r="K214" s="765"/>
      <c r="L214" s="765"/>
      <c r="M214" s="765"/>
      <c r="N214" s="765"/>
      <c r="O214" s="643"/>
      <c r="P214" s="743"/>
      <c r="Q214" s="743"/>
      <c r="R214" s="602"/>
      <c r="S214" s="603"/>
      <c r="T214" s="603"/>
      <c r="U214" s="467"/>
      <c r="V214" s="467"/>
      <c r="W214" s="467"/>
      <c r="X214" s="467"/>
      <c r="Y214" s="467"/>
      <c r="Z214" s="467"/>
    </row>
    <row r="215" spans="1:26" ht="21.95" customHeight="1">
      <c r="A215" s="642" t="s">
        <v>53</v>
      </c>
      <c r="B215" s="1603" t="s">
        <v>69</v>
      </c>
      <c r="C215" s="1603"/>
      <c r="D215" s="1603"/>
      <c r="E215" s="1603"/>
      <c r="F215" s="1604">
        <v>12</v>
      </c>
      <c r="G215" s="1604"/>
      <c r="H215" s="1604"/>
      <c r="I215" s="778"/>
      <c r="J215" s="778"/>
      <c r="K215" s="643"/>
      <c r="L215" s="643"/>
      <c r="M215" s="643"/>
      <c r="N215" s="643"/>
      <c r="O215" s="643"/>
      <c r="P215" s="743"/>
      <c r="Q215" s="743"/>
      <c r="R215" s="602"/>
      <c r="S215" s="603"/>
      <c r="T215" s="603"/>
      <c r="U215" s="467"/>
      <c r="V215" s="467"/>
      <c r="W215" s="467"/>
      <c r="X215" s="467"/>
      <c r="Y215" s="467"/>
      <c r="Z215" s="467"/>
    </row>
    <row r="216" spans="1:26" ht="21.95" customHeight="1">
      <c r="A216" s="642" t="s">
        <v>53</v>
      </c>
      <c r="B216" s="1603" t="s">
        <v>684</v>
      </c>
      <c r="C216" s="1603"/>
      <c r="D216" s="1603"/>
      <c r="E216" s="1603"/>
      <c r="F216" s="1605" t="e">
        <f>D206</f>
        <v>#REF!</v>
      </c>
      <c r="G216" s="1605"/>
      <c r="H216" s="1606"/>
      <c r="I216" s="772" t="s">
        <v>685</v>
      </c>
      <c r="J216" s="772"/>
      <c r="K216" s="643"/>
      <c r="L216" s="772"/>
      <c r="M216" s="644"/>
      <c r="N216" s="645"/>
      <c r="O216" s="645"/>
      <c r="P216" s="743"/>
      <c r="Q216" s="743"/>
      <c r="R216" s="602"/>
      <c r="S216" s="603"/>
      <c r="T216" s="603"/>
      <c r="U216" s="467"/>
      <c r="V216" s="467"/>
      <c r="W216" s="467"/>
      <c r="X216" s="467"/>
      <c r="Y216" s="467"/>
      <c r="Z216" s="467"/>
    </row>
    <row r="217" spans="1:26" ht="21.95" customHeight="1">
      <c r="A217" s="642" t="s">
        <v>53</v>
      </c>
      <c r="B217" s="1603" t="s">
        <v>85</v>
      </c>
      <c r="C217" s="1603"/>
      <c r="D217" s="1603"/>
      <c r="E217" s="1603"/>
      <c r="F217" s="1605" t="e">
        <f>F216</f>
        <v>#REF!</v>
      </c>
      <c r="G217" s="1605"/>
      <c r="H217" s="1606"/>
      <c r="I217" s="772" t="s">
        <v>52</v>
      </c>
      <c r="J217" s="1623">
        <f>F215</f>
        <v>12</v>
      </c>
      <c r="K217" s="1624"/>
      <c r="L217" s="772" t="s">
        <v>582</v>
      </c>
      <c r="M217" s="1625" t="e">
        <f>F217/J217/60</f>
        <v>#REF!</v>
      </c>
      <c r="N217" s="1625"/>
      <c r="O217" s="1625"/>
      <c r="P217" s="743"/>
      <c r="Q217" s="743"/>
      <c r="R217" s="602"/>
      <c r="S217" s="603"/>
      <c r="T217" s="603"/>
      <c r="U217" s="467"/>
      <c r="V217" s="467"/>
      <c r="W217" s="467"/>
      <c r="X217" s="467"/>
      <c r="Y217" s="467"/>
      <c r="Z217" s="467"/>
    </row>
    <row r="218" spans="1:26" ht="21.95" customHeight="1">
      <c r="A218" s="642" t="s">
        <v>53</v>
      </c>
      <c r="B218" s="1603" t="s">
        <v>170</v>
      </c>
      <c r="C218" s="1603"/>
      <c r="D218" s="1603"/>
      <c r="E218" s="1603"/>
      <c r="F218" s="1626" t="e">
        <f>M217</f>
        <v>#REF!</v>
      </c>
      <c r="G218" s="1626"/>
      <c r="H218" s="1627"/>
      <c r="I218" s="1628" t="s">
        <v>686</v>
      </c>
      <c r="J218" s="1628"/>
      <c r="K218" s="779"/>
      <c r="L218" s="772"/>
      <c r="M218" s="646"/>
      <c r="N218" s="646"/>
      <c r="O218" s="646"/>
      <c r="P218" s="743"/>
      <c r="Q218" s="743"/>
      <c r="R218" s="602"/>
      <c r="S218" s="603"/>
      <c r="T218" s="603"/>
      <c r="U218" s="467"/>
      <c r="V218" s="467"/>
      <c r="W218" s="467"/>
      <c r="X218" s="467"/>
      <c r="Y218" s="467"/>
      <c r="Z218" s="467"/>
    </row>
    <row r="219" spans="1:26" ht="21.95" customHeight="1">
      <c r="A219" s="758" t="s">
        <v>687</v>
      </c>
      <c r="B219" s="745"/>
      <c r="C219" s="743"/>
      <c r="D219" s="764"/>
      <c r="E219" s="764"/>
      <c r="F219" s="764"/>
      <c r="G219" s="743"/>
      <c r="H219" s="743"/>
      <c r="I219" s="743"/>
      <c r="J219" s="743"/>
      <c r="K219" s="743"/>
      <c r="L219" s="743"/>
      <c r="M219" s="743"/>
      <c r="N219" s="743"/>
      <c r="O219" s="743"/>
      <c r="P219" s="743"/>
      <c r="Q219" s="743"/>
      <c r="R219" s="602"/>
      <c r="S219" s="603"/>
      <c r="T219" s="603"/>
      <c r="U219" s="467"/>
      <c r="V219" s="467"/>
      <c r="W219" s="467"/>
      <c r="X219" s="467"/>
      <c r="Y219" s="467"/>
      <c r="Z219" s="467"/>
    </row>
    <row r="220" spans="1:26" ht="21.95" customHeight="1" thickBot="1">
      <c r="A220" s="758"/>
      <c r="B220" s="1629" t="s">
        <v>650</v>
      </c>
      <c r="C220" s="1629"/>
      <c r="D220" s="1629"/>
      <c r="E220" s="1629" t="s">
        <v>651</v>
      </c>
      <c r="F220" s="1629"/>
      <c r="G220" s="1630" t="s">
        <v>652</v>
      </c>
      <c r="H220" s="1631"/>
      <c r="I220" s="1631"/>
      <c r="J220" s="1631"/>
      <c r="K220" s="1631"/>
      <c r="L220" s="1631"/>
      <c r="M220" s="1630" t="s">
        <v>653</v>
      </c>
      <c r="N220" s="1631"/>
      <c r="O220" s="1631"/>
      <c r="P220" s="1632"/>
      <c r="Q220" s="743"/>
      <c r="R220" s="602"/>
      <c r="S220" s="603"/>
      <c r="T220" s="603"/>
      <c r="U220" s="467"/>
      <c r="V220" s="467"/>
      <c r="W220" s="467"/>
      <c r="X220" s="467"/>
      <c r="Y220" s="467"/>
      <c r="Z220" s="467"/>
    </row>
    <row r="221" spans="1:26" ht="21.95" customHeight="1" thickTop="1">
      <c r="A221" s="758"/>
      <c r="B221" s="1613" t="s">
        <v>654</v>
      </c>
      <c r="C221" s="1613"/>
      <c r="D221" s="1613"/>
      <c r="E221" s="1614" t="s">
        <v>686</v>
      </c>
      <c r="F221" s="1614"/>
      <c r="G221" s="1615" t="e">
        <f>F218</f>
        <v>#REF!</v>
      </c>
      <c r="H221" s="1616"/>
      <c r="I221" s="1616"/>
      <c r="J221" s="1616"/>
      <c r="K221" s="1616"/>
      <c r="L221" s="1616"/>
      <c r="M221" s="1617"/>
      <c r="N221" s="1618"/>
      <c r="O221" s="1618"/>
      <c r="P221" s="1619"/>
      <c r="Q221" s="743"/>
      <c r="R221" s="602"/>
      <c r="S221" s="603"/>
      <c r="T221" s="603"/>
      <c r="U221" s="467"/>
      <c r="V221" s="467"/>
      <c r="W221" s="467"/>
      <c r="X221" s="467"/>
      <c r="Y221" s="467"/>
      <c r="Z221" s="467"/>
    </row>
    <row r="222" spans="1:26" ht="21.95" customHeight="1">
      <c r="A222" s="758"/>
      <c r="B222" s="1614" t="s">
        <v>656</v>
      </c>
      <c r="C222" s="1614"/>
      <c r="D222" s="1614"/>
      <c r="E222" s="1614" t="s">
        <v>657</v>
      </c>
      <c r="F222" s="1614"/>
      <c r="G222" s="1633">
        <v>25</v>
      </c>
      <c r="H222" s="1634"/>
      <c r="I222" s="1634"/>
      <c r="J222" s="1634"/>
      <c r="K222" s="1634"/>
      <c r="L222" s="1634"/>
      <c r="M222" s="1620"/>
      <c r="N222" s="1621"/>
      <c r="O222" s="1621"/>
      <c r="P222" s="1622"/>
      <c r="Q222" s="743"/>
      <c r="R222" s="602"/>
      <c r="S222" s="603"/>
      <c r="T222" s="603"/>
      <c r="U222" s="467"/>
      <c r="V222" s="467"/>
      <c r="W222" s="467"/>
      <c r="X222" s="467"/>
      <c r="Y222" s="467"/>
      <c r="Z222" s="467"/>
    </row>
    <row r="223" spans="1:26" ht="21.95" customHeight="1">
      <c r="A223" s="758"/>
      <c r="B223" s="1614" t="s">
        <v>677</v>
      </c>
      <c r="C223" s="1614"/>
      <c r="D223" s="1614"/>
      <c r="E223" s="1614" t="s">
        <v>61</v>
      </c>
      <c r="F223" s="1614"/>
      <c r="G223" s="1633">
        <v>5</v>
      </c>
      <c r="H223" s="1634"/>
      <c r="I223" s="1634"/>
      <c r="J223" s="1634"/>
      <c r="K223" s="1634"/>
      <c r="L223" s="1634"/>
      <c r="M223" s="1620"/>
      <c r="N223" s="1621"/>
      <c r="O223" s="1621"/>
      <c r="P223" s="1622"/>
      <c r="Q223" s="743"/>
      <c r="R223" s="602"/>
      <c r="S223" s="603"/>
      <c r="T223" s="603"/>
      <c r="U223" s="467"/>
      <c r="V223" s="467"/>
      <c r="W223" s="467"/>
      <c r="X223" s="467"/>
      <c r="Y223" s="467"/>
      <c r="Z223" s="467"/>
    </row>
    <row r="224" spans="1:26" ht="21.95" customHeight="1">
      <c r="A224" s="758"/>
      <c r="B224" s="1635" t="s">
        <v>660</v>
      </c>
      <c r="C224" s="1635"/>
      <c r="D224" s="1635"/>
      <c r="E224" s="1635" t="s">
        <v>53</v>
      </c>
      <c r="F224" s="1635"/>
      <c r="G224" s="1636" t="s">
        <v>817</v>
      </c>
      <c r="H224" s="1637"/>
      <c r="I224" s="1637"/>
      <c r="J224" s="1637"/>
      <c r="K224" s="1637"/>
      <c r="L224" s="1637"/>
      <c r="M224" s="1620"/>
      <c r="N224" s="1621"/>
      <c r="O224" s="1621"/>
      <c r="P224" s="1622"/>
      <c r="Q224" s="743"/>
      <c r="R224" s="602"/>
      <c r="S224" s="603"/>
      <c r="T224" s="603"/>
      <c r="U224" s="467"/>
      <c r="V224" s="467"/>
      <c r="W224" s="467"/>
      <c r="X224" s="467"/>
      <c r="Y224" s="467"/>
      <c r="Z224" s="467"/>
    </row>
    <row r="225" spans="1:26" ht="21.95" customHeight="1">
      <c r="A225" s="758"/>
      <c r="B225" s="1614" t="s">
        <v>661</v>
      </c>
      <c r="C225" s="1614"/>
      <c r="D225" s="1614"/>
      <c r="E225" s="1614" t="s">
        <v>662</v>
      </c>
      <c r="F225" s="1614"/>
      <c r="G225" s="1633">
        <v>0.2</v>
      </c>
      <c r="H225" s="1634"/>
      <c r="I225" s="1634"/>
      <c r="J225" s="1634"/>
      <c r="K225" s="1634"/>
      <c r="L225" s="1634"/>
      <c r="M225" s="1620"/>
      <c r="N225" s="1621"/>
      <c r="O225" s="1621"/>
      <c r="P225" s="1622"/>
      <c r="Q225" s="743"/>
      <c r="R225" s="602"/>
      <c r="S225" s="603"/>
      <c r="T225" s="603"/>
      <c r="U225" s="467"/>
      <c r="V225" s="467"/>
      <c r="W225" s="467"/>
      <c r="X225" s="467"/>
      <c r="Y225" s="467"/>
      <c r="Z225" s="467"/>
    </row>
    <row r="226" spans="1:26" ht="21.95" customHeight="1">
      <c r="A226" s="758"/>
      <c r="B226" s="1614" t="s">
        <v>663</v>
      </c>
      <c r="C226" s="1614"/>
      <c r="D226" s="1614"/>
      <c r="E226" s="1614" t="s">
        <v>664</v>
      </c>
      <c r="F226" s="1614"/>
      <c r="G226" s="1633">
        <v>1</v>
      </c>
      <c r="H226" s="1634"/>
      <c r="I226" s="1634"/>
      <c r="J226" s="1634"/>
      <c r="K226" s="1634"/>
      <c r="L226" s="1634"/>
      <c r="M226" s="1620"/>
      <c r="N226" s="1621"/>
      <c r="O226" s="1621"/>
      <c r="P226" s="1622"/>
      <c r="Q226" s="743"/>
      <c r="R226" s="602"/>
      <c r="S226" s="603"/>
      <c r="T226" s="603"/>
      <c r="U226" s="467"/>
      <c r="V226" s="467"/>
      <c r="W226" s="467"/>
      <c r="X226" s="467"/>
      <c r="Y226" s="467"/>
      <c r="Z226" s="467"/>
    </row>
    <row r="227" spans="1:26" ht="21.95" hidden="1" customHeight="1">
      <c r="A227" s="776" t="s">
        <v>795</v>
      </c>
      <c r="B227" s="743"/>
      <c r="C227" s="743"/>
      <c r="D227" s="743"/>
      <c r="E227" s="743"/>
      <c r="F227" s="743"/>
      <c r="G227" s="497"/>
      <c r="H227" s="497"/>
      <c r="I227" s="497"/>
      <c r="J227" s="497"/>
      <c r="K227" s="497"/>
      <c r="L227" s="497"/>
      <c r="M227" s="743"/>
      <c r="N227" s="743"/>
      <c r="O227" s="743"/>
      <c r="P227" s="743"/>
      <c r="Q227" s="743"/>
      <c r="R227" s="602"/>
      <c r="S227" s="603"/>
      <c r="T227" s="603"/>
      <c r="U227" s="467"/>
      <c r="V227" s="467"/>
      <c r="W227" s="467"/>
      <c r="X227" s="467"/>
      <c r="Y227" s="467"/>
      <c r="Z227" s="467"/>
    </row>
    <row r="228" spans="1:26" ht="21.95" hidden="1" customHeight="1">
      <c r="A228" s="758" t="s">
        <v>667</v>
      </c>
      <c r="B228" s="743"/>
      <c r="C228" s="743"/>
      <c r="D228" s="743"/>
      <c r="E228" s="743"/>
      <c r="F228" s="743"/>
      <c r="G228" s="497"/>
      <c r="H228" s="497"/>
      <c r="I228" s="497"/>
      <c r="J228" s="497"/>
      <c r="K228" s="497"/>
      <c r="L228" s="497"/>
      <c r="M228" s="743"/>
      <c r="N228" s="743"/>
      <c r="O228" s="743"/>
      <c r="P228" s="743"/>
      <c r="Q228" s="743"/>
      <c r="R228" s="602"/>
      <c r="S228" s="603"/>
      <c r="T228" s="603"/>
      <c r="U228" s="467"/>
      <c r="V228" s="467"/>
      <c r="W228" s="467"/>
      <c r="X228" s="467"/>
      <c r="Y228" s="467"/>
      <c r="Z228" s="467"/>
    </row>
    <row r="229" spans="1:26" ht="21.95" hidden="1" customHeight="1">
      <c r="A229" s="597" t="s">
        <v>53</v>
      </c>
      <c r="B229" s="743" t="s">
        <v>679</v>
      </c>
      <c r="C229" s="743"/>
      <c r="D229" s="1607">
        <v>1.1000000000000001</v>
      </c>
      <c r="E229" s="1607"/>
      <c r="F229" s="1607"/>
      <c r="G229" s="497"/>
      <c r="H229" s="497"/>
      <c r="I229" s="497"/>
      <c r="J229" s="497"/>
      <c r="K229" s="497"/>
      <c r="L229" s="497"/>
      <c r="M229" s="743"/>
      <c r="N229" s="743"/>
      <c r="O229" s="743"/>
      <c r="P229" s="743"/>
      <c r="Q229" s="743"/>
      <c r="R229" s="602"/>
      <c r="S229" s="603"/>
      <c r="T229" s="603"/>
      <c r="U229" s="467"/>
      <c r="V229" s="467"/>
      <c r="W229" s="467"/>
      <c r="X229" s="467"/>
      <c r="Y229" s="467"/>
      <c r="Z229" s="467"/>
    </row>
    <row r="230" spans="1:26" ht="21.95" hidden="1" customHeight="1">
      <c r="A230" s="597" t="s">
        <v>53</v>
      </c>
      <c r="B230" s="745" t="s">
        <v>680</v>
      </c>
      <c r="C230" s="743"/>
      <c r="D230" s="1608">
        <v>30</v>
      </c>
      <c r="E230" s="1608"/>
      <c r="F230" s="1608"/>
      <c r="G230" s="497"/>
      <c r="H230" s="497"/>
      <c r="I230" s="497"/>
      <c r="J230" s="497"/>
      <c r="K230" s="497"/>
      <c r="L230" s="497"/>
      <c r="M230" s="743"/>
      <c r="N230" s="743"/>
      <c r="O230" s="743"/>
      <c r="P230" s="743"/>
      <c r="Q230" s="743"/>
      <c r="R230" s="602"/>
      <c r="S230" s="603"/>
      <c r="T230" s="603"/>
      <c r="U230" s="467"/>
      <c r="V230" s="467"/>
      <c r="W230" s="467"/>
      <c r="X230" s="467"/>
      <c r="Y230" s="467"/>
      <c r="Z230" s="467"/>
    </row>
    <row r="231" spans="1:26" ht="21.95" hidden="1" customHeight="1">
      <c r="A231" s="597" t="s">
        <v>53</v>
      </c>
      <c r="B231" s="745" t="s">
        <v>681</v>
      </c>
      <c r="C231" s="743"/>
      <c r="D231" s="1609">
        <f>D229*D230</f>
        <v>33</v>
      </c>
      <c r="E231" s="1609"/>
      <c r="F231" s="1609"/>
      <c r="G231" s="743"/>
      <c r="H231" s="1610"/>
      <c r="I231" s="1610"/>
      <c r="J231" s="1610"/>
      <c r="K231" s="717"/>
      <c r="L231" s="497"/>
      <c r="M231" s="743"/>
      <c r="N231" s="743"/>
      <c r="O231" s="743"/>
      <c r="P231" s="743"/>
      <c r="Q231" s="743"/>
      <c r="R231" s="602"/>
      <c r="S231" s="603"/>
      <c r="T231" s="603"/>
      <c r="U231" s="467"/>
      <c r="V231" s="467"/>
      <c r="W231" s="467"/>
      <c r="X231" s="467"/>
      <c r="Y231" s="467"/>
      <c r="Z231" s="467"/>
    </row>
    <row r="232" spans="1:26" ht="21.95" hidden="1" customHeight="1">
      <c r="A232" s="597" t="s">
        <v>53</v>
      </c>
      <c r="B232" s="745" t="s">
        <v>682</v>
      </c>
      <c r="C232" s="743"/>
      <c r="D232" s="1611">
        <v>1</v>
      </c>
      <c r="E232" s="1611"/>
      <c r="F232" s="1611"/>
      <c r="G232" s="497"/>
      <c r="H232" s="497"/>
      <c r="I232" s="497"/>
      <c r="J232" s="497"/>
      <c r="K232" s="497"/>
      <c r="L232" s="497"/>
      <c r="M232" s="743"/>
      <c r="N232" s="743"/>
      <c r="O232" s="743"/>
      <c r="P232" s="743"/>
      <c r="Q232" s="743"/>
      <c r="R232" s="602"/>
      <c r="S232" s="603"/>
      <c r="T232" s="603"/>
      <c r="U232" s="467"/>
      <c r="V232" s="467"/>
      <c r="W232" s="467"/>
      <c r="X232" s="467"/>
      <c r="Y232" s="467"/>
      <c r="Z232" s="467"/>
    </row>
    <row r="233" spans="1:26" ht="21.95" hidden="1" customHeight="1">
      <c r="A233" s="597" t="s">
        <v>53</v>
      </c>
      <c r="B233" s="745" t="s">
        <v>683</v>
      </c>
      <c r="C233" s="743"/>
      <c r="D233" s="1612">
        <v>1</v>
      </c>
      <c r="E233" s="1612"/>
      <c r="F233" s="1612"/>
      <c r="G233" s="743"/>
      <c r="H233" s="743"/>
      <c r="I233" s="743"/>
      <c r="J233" s="743"/>
      <c r="K233" s="743"/>
      <c r="L233" s="743"/>
      <c r="M233" s="743"/>
      <c r="N233" s="743"/>
      <c r="O233" s="743"/>
      <c r="P233" s="743"/>
      <c r="Q233" s="743"/>
      <c r="R233" s="602"/>
      <c r="S233" s="603"/>
      <c r="T233" s="603"/>
      <c r="U233" s="467"/>
      <c r="V233" s="467"/>
      <c r="W233" s="467"/>
      <c r="X233" s="467"/>
      <c r="Y233" s="467"/>
      <c r="Z233" s="467"/>
    </row>
    <row r="234" spans="1:26" ht="21.95" hidden="1" customHeight="1">
      <c r="A234" s="597"/>
      <c r="B234" s="745"/>
      <c r="C234" s="743"/>
      <c r="D234" s="764"/>
      <c r="E234" s="764"/>
      <c r="F234" s="764"/>
      <c r="G234" s="743"/>
      <c r="H234" s="743"/>
      <c r="I234" s="743"/>
      <c r="J234" s="743"/>
      <c r="K234" s="743"/>
      <c r="L234" s="743"/>
      <c r="M234" s="743"/>
      <c r="N234" s="743"/>
      <c r="O234" s="743"/>
      <c r="P234" s="743"/>
      <c r="Q234" s="743"/>
      <c r="R234" s="602"/>
      <c r="S234" s="603"/>
      <c r="T234" s="603"/>
      <c r="U234" s="467"/>
      <c r="V234" s="467"/>
      <c r="W234" s="467"/>
      <c r="X234" s="467"/>
      <c r="Y234" s="467"/>
      <c r="Z234" s="467"/>
    </row>
    <row r="235" spans="1:26" ht="21.95" customHeight="1">
      <c r="A235" s="776" t="s">
        <v>809</v>
      </c>
      <c r="B235" s="745"/>
      <c r="C235" s="743"/>
      <c r="D235" s="764"/>
      <c r="E235" s="764"/>
      <c r="F235" s="764"/>
      <c r="G235" s="743"/>
      <c r="H235" s="743"/>
      <c r="I235" s="743"/>
      <c r="J235" s="743"/>
      <c r="K235" s="743"/>
      <c r="L235" s="743"/>
      <c r="M235" s="743"/>
      <c r="N235" s="743"/>
      <c r="O235" s="743"/>
      <c r="P235" s="743"/>
      <c r="Q235" s="743"/>
      <c r="R235" s="602"/>
      <c r="S235" s="603"/>
      <c r="T235" s="603"/>
      <c r="U235" s="467"/>
      <c r="V235" s="467"/>
      <c r="W235" s="467"/>
      <c r="X235" s="467"/>
      <c r="Y235" s="467"/>
      <c r="Z235" s="467"/>
    </row>
    <row r="236" spans="1:26" ht="21.95" customHeight="1">
      <c r="A236" s="758" t="s">
        <v>667</v>
      </c>
      <c r="B236" s="745"/>
      <c r="C236" s="743"/>
      <c r="D236" s="764"/>
      <c r="E236" s="764"/>
      <c r="F236" s="764"/>
      <c r="G236" s="743"/>
      <c r="H236" s="743"/>
      <c r="I236" s="743"/>
      <c r="J236" s="743"/>
      <c r="K236" s="743"/>
      <c r="L236" s="743"/>
      <c r="M236" s="743"/>
      <c r="N236" s="743"/>
      <c r="O236" s="743"/>
      <c r="P236" s="743"/>
      <c r="Q236" s="743"/>
      <c r="R236" s="602"/>
      <c r="S236" s="603"/>
      <c r="T236" s="603"/>
      <c r="U236" s="467"/>
      <c r="V236" s="467"/>
      <c r="W236" s="467"/>
      <c r="X236" s="467"/>
      <c r="Y236" s="467"/>
      <c r="Z236" s="467"/>
    </row>
    <row r="237" spans="1:26" ht="21.95" customHeight="1">
      <c r="A237" s="642" t="s">
        <v>53</v>
      </c>
      <c r="B237" s="1603" t="s">
        <v>60</v>
      </c>
      <c r="C237" s="1603"/>
      <c r="D237" s="1603"/>
      <c r="E237" s="765" t="s">
        <v>797</v>
      </c>
      <c r="F237" s="765"/>
      <c r="G237" s="765"/>
      <c r="H237" s="765"/>
      <c r="I237" s="765"/>
      <c r="J237" s="765"/>
      <c r="K237" s="765"/>
      <c r="L237" s="765"/>
      <c r="M237" s="765"/>
      <c r="N237" s="765"/>
      <c r="O237" s="643"/>
      <c r="P237" s="743"/>
      <c r="Q237" s="743"/>
      <c r="R237" s="602"/>
      <c r="S237" s="603"/>
      <c r="T237" s="603"/>
      <c r="U237" s="467"/>
      <c r="V237" s="467"/>
      <c r="W237" s="467"/>
      <c r="X237" s="467"/>
      <c r="Y237" s="467"/>
      <c r="Z237" s="467"/>
    </row>
    <row r="238" spans="1:26" ht="21.95" customHeight="1">
      <c r="A238" s="642" t="s">
        <v>53</v>
      </c>
      <c r="B238" s="1603" t="s">
        <v>69</v>
      </c>
      <c r="C238" s="1603"/>
      <c r="D238" s="1603"/>
      <c r="E238" s="1603"/>
      <c r="F238" s="1604">
        <v>3</v>
      </c>
      <c r="G238" s="1604"/>
      <c r="H238" s="1604"/>
      <c r="I238" s="778"/>
      <c r="J238" s="778"/>
      <c r="K238" s="643"/>
      <c r="L238" s="643"/>
      <c r="M238" s="643"/>
      <c r="N238" s="643"/>
      <c r="O238" s="643"/>
      <c r="P238" s="743"/>
      <c r="Q238" s="743"/>
      <c r="R238" s="602"/>
      <c r="S238" s="603"/>
      <c r="T238" s="603"/>
      <c r="U238" s="467"/>
      <c r="V238" s="467"/>
      <c r="W238" s="467"/>
      <c r="X238" s="467"/>
      <c r="Y238" s="467"/>
      <c r="Z238" s="467"/>
    </row>
    <row r="239" spans="1:26" ht="21.95" customHeight="1">
      <c r="A239" s="642" t="s">
        <v>53</v>
      </c>
      <c r="B239" s="1603" t="s">
        <v>684</v>
      </c>
      <c r="C239" s="1603"/>
      <c r="D239" s="1603"/>
      <c r="E239" s="1603"/>
      <c r="F239" s="1605">
        <f>D229</f>
        <v>1.1000000000000001</v>
      </c>
      <c r="G239" s="1605"/>
      <c r="H239" s="1606"/>
      <c r="I239" s="772" t="s">
        <v>798</v>
      </c>
      <c r="J239" s="772"/>
      <c r="K239" s="643"/>
      <c r="L239" s="772"/>
      <c r="M239" s="644"/>
      <c r="N239" s="645"/>
      <c r="O239" s="645"/>
      <c r="P239" s="743"/>
      <c r="Q239" s="743"/>
      <c r="R239" s="602"/>
      <c r="S239" s="603"/>
      <c r="T239" s="603"/>
      <c r="U239" s="467"/>
      <c r="V239" s="467"/>
      <c r="W239" s="467"/>
      <c r="X239" s="467"/>
      <c r="Y239" s="467"/>
      <c r="Z239" s="467"/>
    </row>
    <row r="240" spans="1:26" ht="21.95" customHeight="1">
      <c r="A240" s="642" t="s">
        <v>53</v>
      </c>
      <c r="B240" s="1603" t="s">
        <v>85</v>
      </c>
      <c r="C240" s="1603"/>
      <c r="D240" s="1603"/>
      <c r="E240" s="1603"/>
      <c r="F240" s="1605">
        <f>F239</f>
        <v>1.1000000000000001</v>
      </c>
      <c r="G240" s="1605"/>
      <c r="H240" s="1606"/>
      <c r="I240" s="772" t="s">
        <v>52</v>
      </c>
      <c r="J240" s="1623">
        <f>F238</f>
        <v>3</v>
      </c>
      <c r="K240" s="1624"/>
      <c r="L240" s="772" t="s">
        <v>30</v>
      </c>
      <c r="M240" s="1625">
        <f>F240/J240/60</f>
        <v>6.1111111111111114E-3</v>
      </c>
      <c r="N240" s="1625"/>
      <c r="O240" s="1625"/>
      <c r="P240" s="743"/>
      <c r="Q240" s="743"/>
      <c r="R240" s="602"/>
      <c r="S240" s="603"/>
      <c r="T240" s="603"/>
      <c r="U240" s="467"/>
      <c r="V240" s="467"/>
      <c r="W240" s="467"/>
      <c r="X240" s="467"/>
      <c r="Y240" s="467"/>
      <c r="Z240" s="467"/>
    </row>
    <row r="241" spans="1:26" ht="21.95" customHeight="1">
      <c r="A241" s="642" t="s">
        <v>53</v>
      </c>
      <c r="B241" s="1603" t="s">
        <v>170</v>
      </c>
      <c r="C241" s="1603"/>
      <c r="D241" s="1603"/>
      <c r="E241" s="1603"/>
      <c r="F241" s="1626">
        <f>M240</f>
        <v>6.1111111111111114E-3</v>
      </c>
      <c r="G241" s="1626"/>
      <c r="H241" s="1627"/>
      <c r="I241" s="1628" t="s">
        <v>686</v>
      </c>
      <c r="J241" s="1628"/>
      <c r="K241" s="779"/>
      <c r="L241" s="772"/>
      <c r="M241" s="646"/>
      <c r="N241" s="646"/>
      <c r="O241" s="646"/>
      <c r="P241" s="743"/>
      <c r="Q241" s="743"/>
      <c r="R241" s="602"/>
      <c r="S241" s="603"/>
      <c r="T241" s="603"/>
      <c r="U241" s="467"/>
      <c r="V241" s="467"/>
      <c r="W241" s="467"/>
      <c r="X241" s="467"/>
      <c r="Y241" s="467"/>
      <c r="Z241" s="467"/>
    </row>
    <row r="242" spans="1:26" ht="21.95" customHeight="1">
      <c r="A242" s="758" t="s">
        <v>687</v>
      </c>
      <c r="B242" s="745"/>
      <c r="C242" s="743"/>
      <c r="D242" s="764"/>
      <c r="E242" s="764"/>
      <c r="F242" s="764"/>
      <c r="G242" s="743"/>
      <c r="H242" s="743"/>
      <c r="I242" s="743"/>
      <c r="J242" s="743"/>
      <c r="K242" s="743"/>
      <c r="L242" s="743"/>
      <c r="M242" s="743"/>
      <c r="N242" s="743"/>
      <c r="O242" s="743"/>
      <c r="P242" s="743"/>
      <c r="Q242" s="743"/>
      <c r="R242" s="602"/>
      <c r="S242" s="603"/>
      <c r="T242" s="603"/>
      <c r="U242" s="467"/>
      <c r="V242" s="467"/>
      <c r="W242" s="467"/>
      <c r="X242" s="467"/>
      <c r="Y242" s="467"/>
      <c r="Z242" s="467"/>
    </row>
    <row r="243" spans="1:26" ht="21.95" customHeight="1" thickBot="1">
      <c r="A243" s="758"/>
      <c r="B243" s="1629" t="s">
        <v>650</v>
      </c>
      <c r="C243" s="1629"/>
      <c r="D243" s="1629"/>
      <c r="E243" s="1629" t="s">
        <v>64</v>
      </c>
      <c r="F243" s="1629"/>
      <c r="G243" s="1630" t="s">
        <v>65</v>
      </c>
      <c r="H243" s="1631"/>
      <c r="I243" s="1631"/>
      <c r="J243" s="1631"/>
      <c r="K243" s="1631"/>
      <c r="L243" s="1631"/>
      <c r="M243" s="1630" t="s">
        <v>63</v>
      </c>
      <c r="N243" s="1631"/>
      <c r="O243" s="1631"/>
      <c r="P243" s="1632"/>
      <c r="Q243" s="743"/>
      <c r="R243" s="602"/>
      <c r="S243" s="603"/>
      <c r="T243" s="603"/>
      <c r="U243" s="467"/>
      <c r="V243" s="467"/>
      <c r="W243" s="467"/>
      <c r="X243" s="467"/>
      <c r="Y243" s="467"/>
      <c r="Z243" s="467"/>
    </row>
    <row r="244" spans="1:26" ht="21.95" customHeight="1" thickTop="1">
      <c r="A244" s="758"/>
      <c r="B244" s="1613" t="s">
        <v>654</v>
      </c>
      <c r="C244" s="1613"/>
      <c r="D244" s="1613"/>
      <c r="E244" s="1614" t="s">
        <v>686</v>
      </c>
      <c r="F244" s="1614"/>
      <c r="G244" s="1615">
        <f>F241</f>
        <v>6.1111111111111114E-3</v>
      </c>
      <c r="H244" s="1616"/>
      <c r="I244" s="1616"/>
      <c r="J244" s="1616"/>
      <c r="K244" s="1616"/>
      <c r="L244" s="1616"/>
      <c r="M244" s="1617"/>
      <c r="N244" s="1618"/>
      <c r="O244" s="1618"/>
      <c r="P244" s="1619"/>
      <c r="Q244" s="743"/>
      <c r="R244" s="602"/>
      <c r="S244" s="603"/>
      <c r="T244" s="603"/>
      <c r="U244" s="467"/>
      <c r="V244" s="467"/>
      <c r="W244" s="467"/>
      <c r="X244" s="467"/>
      <c r="Y244" s="467"/>
      <c r="Z244" s="467"/>
    </row>
    <row r="245" spans="1:26" ht="21.95" customHeight="1">
      <c r="A245" s="758"/>
      <c r="B245" s="1614" t="s">
        <v>68</v>
      </c>
      <c r="C245" s="1614"/>
      <c r="D245" s="1614"/>
      <c r="E245" s="1614" t="s">
        <v>58</v>
      </c>
      <c r="F245" s="1614"/>
      <c r="G245" s="1633">
        <v>25</v>
      </c>
      <c r="H245" s="1634"/>
      <c r="I245" s="1634"/>
      <c r="J245" s="1634"/>
      <c r="K245" s="1634"/>
      <c r="L245" s="1634"/>
      <c r="M245" s="1620"/>
      <c r="N245" s="1621"/>
      <c r="O245" s="1621"/>
      <c r="P245" s="1622"/>
      <c r="Q245" s="743"/>
      <c r="R245" s="602"/>
      <c r="S245" s="603"/>
      <c r="T245" s="603"/>
      <c r="U245" s="467"/>
      <c r="V245" s="467"/>
      <c r="W245" s="467"/>
      <c r="X245" s="467"/>
      <c r="Y245" s="467"/>
      <c r="Z245" s="467"/>
    </row>
    <row r="246" spans="1:26" ht="21.95" customHeight="1">
      <c r="A246" s="758"/>
      <c r="B246" s="1614" t="s">
        <v>70</v>
      </c>
      <c r="C246" s="1614"/>
      <c r="D246" s="1614"/>
      <c r="E246" s="1614" t="s">
        <v>61</v>
      </c>
      <c r="F246" s="1614"/>
      <c r="G246" s="1633">
        <v>5</v>
      </c>
      <c r="H246" s="1634"/>
      <c r="I246" s="1634"/>
      <c r="J246" s="1634"/>
      <c r="K246" s="1634"/>
      <c r="L246" s="1634"/>
      <c r="M246" s="1620"/>
      <c r="N246" s="1621"/>
      <c r="O246" s="1621"/>
      <c r="P246" s="1622"/>
      <c r="Q246" s="743"/>
      <c r="R246" s="602"/>
      <c r="S246" s="603"/>
      <c r="T246" s="603"/>
      <c r="U246" s="467"/>
      <c r="V246" s="467"/>
      <c r="W246" s="467"/>
      <c r="X246" s="467"/>
      <c r="Y246" s="467"/>
      <c r="Z246" s="467"/>
    </row>
    <row r="247" spans="1:26" ht="21.95" customHeight="1">
      <c r="A247" s="758"/>
      <c r="B247" s="1635" t="s">
        <v>66</v>
      </c>
      <c r="C247" s="1635"/>
      <c r="D247" s="1635"/>
      <c r="E247" s="1635" t="s">
        <v>53</v>
      </c>
      <c r="F247" s="1635"/>
      <c r="G247" s="1636" t="s">
        <v>817</v>
      </c>
      <c r="H247" s="1637"/>
      <c r="I247" s="1637"/>
      <c r="J247" s="1637"/>
      <c r="K247" s="1637"/>
      <c r="L247" s="1637"/>
      <c r="M247" s="1620"/>
      <c r="N247" s="1621"/>
      <c r="O247" s="1621"/>
      <c r="P247" s="1622"/>
      <c r="Q247" s="743"/>
      <c r="R247" s="602"/>
      <c r="S247" s="603"/>
      <c r="T247" s="603"/>
      <c r="U247" s="467"/>
      <c r="V247" s="467"/>
      <c r="W247" s="467"/>
      <c r="X247" s="467"/>
      <c r="Y247" s="467"/>
      <c r="Z247" s="467"/>
    </row>
    <row r="248" spans="1:26" ht="21.95" customHeight="1">
      <c r="A248" s="758"/>
      <c r="B248" s="1614" t="s">
        <v>32</v>
      </c>
      <c r="C248" s="1614"/>
      <c r="D248" s="1614"/>
      <c r="E248" s="1614" t="s">
        <v>662</v>
      </c>
      <c r="F248" s="1614"/>
      <c r="G248" s="1633">
        <v>0.2</v>
      </c>
      <c r="H248" s="1634"/>
      <c r="I248" s="1634"/>
      <c r="J248" s="1634"/>
      <c r="K248" s="1634"/>
      <c r="L248" s="1634"/>
      <c r="M248" s="1620"/>
      <c r="N248" s="1621"/>
      <c r="O248" s="1621"/>
      <c r="P248" s="1622"/>
      <c r="Q248" s="743"/>
      <c r="R248" s="602"/>
      <c r="S248" s="603"/>
      <c r="T248" s="603"/>
      <c r="U248" s="467"/>
      <c r="V248" s="467"/>
      <c r="W248" s="467"/>
      <c r="X248" s="467"/>
      <c r="Y248" s="467"/>
      <c r="Z248" s="467"/>
    </row>
    <row r="249" spans="1:26" ht="21.95" customHeight="1">
      <c r="A249" s="758"/>
      <c r="B249" s="1614" t="s">
        <v>663</v>
      </c>
      <c r="C249" s="1614"/>
      <c r="D249" s="1614"/>
      <c r="E249" s="1614" t="s">
        <v>664</v>
      </c>
      <c r="F249" s="1614"/>
      <c r="G249" s="1633">
        <v>1</v>
      </c>
      <c r="H249" s="1634"/>
      <c r="I249" s="1634"/>
      <c r="J249" s="1634"/>
      <c r="K249" s="1634"/>
      <c r="L249" s="1634"/>
      <c r="M249" s="1620"/>
      <c r="N249" s="1621"/>
      <c r="O249" s="1621"/>
      <c r="P249" s="1622"/>
      <c r="Q249" s="743"/>
      <c r="R249" s="602"/>
      <c r="S249" s="603"/>
      <c r="T249" s="603"/>
      <c r="U249" s="467"/>
      <c r="V249" s="467"/>
      <c r="W249" s="467"/>
      <c r="X249" s="467"/>
      <c r="Y249" s="467"/>
      <c r="Z249" s="467"/>
    </row>
    <row r="250" spans="1:26" ht="21.95" customHeight="1">
      <c r="A250" s="597"/>
      <c r="B250" s="745"/>
      <c r="C250" s="743"/>
      <c r="D250" s="764"/>
      <c r="E250" s="764"/>
      <c r="F250" s="764"/>
      <c r="G250" s="743"/>
      <c r="H250" s="743"/>
      <c r="I250" s="743"/>
      <c r="J250" s="743"/>
      <c r="K250" s="743"/>
      <c r="L250" s="743"/>
      <c r="M250" s="743"/>
      <c r="N250" s="743"/>
      <c r="O250" s="743"/>
      <c r="P250" s="743"/>
      <c r="Q250" s="743"/>
      <c r="R250" s="602"/>
      <c r="S250" s="603"/>
      <c r="T250" s="603"/>
      <c r="U250" s="467"/>
      <c r="V250" s="467"/>
      <c r="W250" s="467"/>
      <c r="X250" s="467"/>
      <c r="Y250" s="467"/>
      <c r="Z250" s="467"/>
    </row>
    <row r="251" spans="1:26" ht="21.95" customHeight="1">
      <c r="A251" s="611" t="s">
        <v>810</v>
      </c>
      <c r="B251" s="770"/>
      <c r="C251" s="770"/>
      <c r="D251" s="770"/>
      <c r="E251" s="770"/>
      <c r="F251" s="770"/>
      <c r="G251" s="770"/>
      <c r="H251" s="770"/>
      <c r="I251" s="770"/>
      <c r="J251" s="770"/>
      <c r="K251" s="770"/>
      <c r="L251" s="770"/>
      <c r="M251" s="770"/>
      <c r="N251" s="770"/>
      <c r="O251" s="770"/>
      <c r="P251" s="770"/>
      <c r="Q251" s="770"/>
      <c r="R251" s="770"/>
      <c r="S251" s="467"/>
      <c r="T251" s="467"/>
      <c r="U251" s="467"/>
      <c r="V251" s="467"/>
      <c r="W251" s="467"/>
      <c r="X251" s="467"/>
      <c r="Y251" s="467"/>
      <c r="Z251" s="467"/>
    </row>
    <row r="252" spans="1:26" s="650" customFormat="1" ht="21.95" customHeight="1">
      <c r="A252" s="776" t="s">
        <v>688</v>
      </c>
      <c r="B252" s="647"/>
      <c r="C252" s="757"/>
      <c r="D252" s="753"/>
      <c r="E252" s="753"/>
      <c r="F252" s="753"/>
      <c r="G252" s="753"/>
      <c r="H252" s="648"/>
      <c r="I252" s="757"/>
      <c r="J252" s="648"/>
      <c r="K252" s="770"/>
      <c r="L252" s="770"/>
      <c r="M252" s="647"/>
      <c r="N252" s="647"/>
      <c r="O252" s="647"/>
      <c r="P252" s="647"/>
      <c r="Q252" s="647"/>
      <c r="R252" s="647"/>
      <c r="S252" s="649"/>
      <c r="T252" s="649"/>
      <c r="U252" s="649"/>
      <c r="V252" s="649"/>
      <c r="W252" s="649"/>
      <c r="X252" s="649"/>
      <c r="Y252" s="649"/>
      <c r="Z252" s="649"/>
    </row>
    <row r="253" spans="1:26" ht="21.95" customHeight="1">
      <c r="A253" s="758" t="s">
        <v>667</v>
      </c>
      <c r="B253" s="758"/>
      <c r="C253" s="770"/>
      <c r="D253" s="770"/>
      <c r="E253" s="770"/>
      <c r="F253" s="770"/>
      <c r="G253" s="770"/>
      <c r="H253" s="770"/>
      <c r="I253" s="770"/>
      <c r="J253" s="770"/>
      <c r="K253" s="770"/>
      <c r="L253" s="770"/>
      <c r="M253" s="770"/>
      <c r="N253" s="770"/>
      <c r="O253" s="770"/>
      <c r="P253" s="770"/>
      <c r="Q253" s="770"/>
      <c r="R253" s="770"/>
      <c r="S253" s="467"/>
      <c r="T253" s="467"/>
      <c r="U253" s="467"/>
      <c r="V253" s="467"/>
      <c r="W253" s="467"/>
      <c r="X253" s="467"/>
      <c r="Y253" s="467"/>
      <c r="Z253" s="467"/>
    </row>
    <row r="254" spans="1:26" ht="21.95" customHeight="1">
      <c r="A254" s="597" t="s">
        <v>53</v>
      </c>
      <c r="B254" s="770" t="s">
        <v>689</v>
      </c>
      <c r="C254" s="770"/>
      <c r="D254" s="770"/>
      <c r="E254" s="1638">
        <f>물질수지!O31</f>
        <v>0.6</v>
      </c>
      <c r="F254" s="1638"/>
      <c r="G254" s="651" t="s">
        <v>670</v>
      </c>
      <c r="H254" s="652" t="s">
        <v>671</v>
      </c>
      <c r="I254" s="652"/>
      <c r="J254" s="652"/>
      <c r="K254" s="652"/>
      <c r="L254" s="653">
        <v>0.7</v>
      </c>
      <c r="M254" s="654" t="s">
        <v>672</v>
      </c>
      <c r="N254" s="654"/>
      <c r="O254" s="654"/>
      <c r="P254" s="770"/>
      <c r="Q254" s="770"/>
      <c r="R254" s="770"/>
      <c r="S254" s="467"/>
      <c r="T254" s="467"/>
      <c r="U254" s="467"/>
      <c r="V254" s="467"/>
      <c r="W254" s="467"/>
      <c r="X254" s="467"/>
      <c r="Y254" s="467"/>
      <c r="Z254" s="467"/>
    </row>
    <row r="255" spans="1:26" ht="21.95" customHeight="1">
      <c r="A255" s="597" t="s">
        <v>53</v>
      </c>
      <c r="B255" s="770" t="s">
        <v>69</v>
      </c>
      <c r="C255" s="770"/>
      <c r="D255" s="770"/>
      <c r="E255" s="757">
        <v>18</v>
      </c>
      <c r="F255" s="753" t="s">
        <v>690</v>
      </c>
      <c r="G255" s="753"/>
      <c r="H255" s="770"/>
      <c r="I255" s="770"/>
      <c r="J255" s="770"/>
      <c r="K255" s="770"/>
      <c r="L255" s="770"/>
      <c r="M255" s="770"/>
      <c r="N255" s="770"/>
      <c r="O255" s="770"/>
      <c r="P255" s="770"/>
      <c r="Q255" s="321"/>
      <c r="R255" s="770"/>
      <c r="S255" s="467"/>
      <c r="T255" s="467"/>
      <c r="U255" s="467"/>
      <c r="V255" s="467"/>
      <c r="W255" s="467"/>
      <c r="X255" s="467"/>
      <c r="Y255" s="467"/>
      <c r="Z255" s="467"/>
    </row>
    <row r="256" spans="1:26" ht="21.95" customHeight="1">
      <c r="A256" s="597" t="s">
        <v>53</v>
      </c>
      <c r="B256" s="770" t="s">
        <v>691</v>
      </c>
      <c r="C256" s="770"/>
      <c r="D256" s="770"/>
      <c r="E256" s="1639">
        <f>'설계기준(설계치12)'!C4/2*L254</f>
        <v>1400</v>
      </c>
      <c r="F256" s="1639"/>
      <c r="G256" s="753" t="s">
        <v>44</v>
      </c>
      <c r="H256" s="753"/>
      <c r="I256" s="770"/>
      <c r="J256" s="770"/>
      <c r="K256" s="770"/>
      <c r="L256" s="770"/>
      <c r="M256" s="770"/>
      <c r="N256" s="770"/>
      <c r="O256" s="770"/>
      <c r="P256" s="770"/>
      <c r="Q256" s="321"/>
      <c r="R256" s="770"/>
      <c r="S256" s="467"/>
      <c r="T256" s="467"/>
      <c r="U256" s="467"/>
      <c r="V256" s="467"/>
      <c r="W256" s="467"/>
      <c r="X256" s="467"/>
      <c r="Y256" s="467"/>
      <c r="Z256" s="467"/>
    </row>
    <row r="257" spans="1:26" ht="21.95" customHeight="1">
      <c r="A257" s="597" t="s">
        <v>53</v>
      </c>
      <c r="B257" s="770" t="s">
        <v>673</v>
      </c>
      <c r="C257" s="770"/>
      <c r="D257" s="770"/>
      <c r="E257" s="1595">
        <f>E256</f>
        <v>1400</v>
      </c>
      <c r="F257" s="1595"/>
      <c r="G257" s="1595"/>
      <c r="H257" s="757" t="s">
        <v>52</v>
      </c>
      <c r="I257" s="757">
        <v>1</v>
      </c>
      <c r="J257" s="770" t="s">
        <v>674</v>
      </c>
      <c r="K257" s="757" t="s">
        <v>582</v>
      </c>
      <c r="L257" s="1640">
        <f>E257/I257</f>
        <v>1400</v>
      </c>
      <c r="M257" s="1640"/>
      <c r="N257" s="1640"/>
      <c r="O257" s="1640"/>
      <c r="P257" s="753"/>
      <c r="Q257" s="321"/>
      <c r="R257" s="770"/>
      <c r="S257" s="467"/>
      <c r="T257" s="1598"/>
      <c r="U257" s="1598"/>
      <c r="V257" s="600"/>
      <c r="W257" s="1598"/>
      <c r="X257" s="1598"/>
      <c r="Y257" s="467"/>
      <c r="Z257" s="467"/>
    </row>
    <row r="258" spans="1:26" ht="21.95" customHeight="1">
      <c r="A258" s="597" t="s">
        <v>53</v>
      </c>
      <c r="B258" s="770" t="s">
        <v>85</v>
      </c>
      <c r="C258" s="770"/>
      <c r="D258" s="770"/>
      <c r="E258" s="1644">
        <f>L257</f>
        <v>1400</v>
      </c>
      <c r="F258" s="1644"/>
      <c r="G258" s="753" t="s">
        <v>44</v>
      </c>
      <c r="H258" s="753"/>
      <c r="I258" s="757" t="s">
        <v>52</v>
      </c>
      <c r="J258" s="754">
        <v>18</v>
      </c>
      <c r="K258" s="753" t="s">
        <v>690</v>
      </c>
      <c r="L258" s="753"/>
      <c r="M258" s="770" t="s">
        <v>582</v>
      </c>
      <c r="N258" s="1645">
        <f>E258/J258/60</f>
        <v>1.2962962962962963</v>
      </c>
      <c r="O258" s="1645"/>
      <c r="P258" s="770" t="s">
        <v>692</v>
      </c>
      <c r="Q258" s="321"/>
      <c r="R258" s="770"/>
      <c r="S258" s="467"/>
      <c r="T258" s="467"/>
      <c r="U258" s="467"/>
      <c r="V258" s="467"/>
      <c r="W258" s="467"/>
      <c r="X258" s="467"/>
      <c r="Y258" s="467"/>
      <c r="Z258" s="467"/>
    </row>
    <row r="259" spans="1:26" ht="21.95" customHeight="1">
      <c r="A259" s="597"/>
      <c r="B259" s="770"/>
      <c r="C259" s="770"/>
      <c r="D259" s="770"/>
      <c r="E259" s="773"/>
      <c r="F259" s="773"/>
      <c r="G259" s="753"/>
      <c r="H259" s="753"/>
      <c r="I259" s="757"/>
      <c r="J259" s="754"/>
      <c r="K259" s="753"/>
      <c r="L259" s="753"/>
      <c r="M259" s="770"/>
      <c r="N259" s="771"/>
      <c r="O259" s="771"/>
      <c r="P259" s="770"/>
      <c r="Q259" s="321"/>
      <c r="R259" s="770"/>
      <c r="S259" s="467"/>
      <c r="T259" s="467"/>
      <c r="U259" s="467"/>
      <c r="V259" s="467"/>
      <c r="W259" s="467"/>
      <c r="X259" s="467"/>
      <c r="Y259" s="467"/>
      <c r="Z259" s="467"/>
    </row>
    <row r="260" spans="1:26" ht="21.95" customHeight="1">
      <c r="A260" s="597"/>
      <c r="B260" s="770"/>
      <c r="C260" s="770"/>
      <c r="D260" s="770"/>
      <c r="E260" s="773"/>
      <c r="F260" s="773"/>
      <c r="G260" s="753"/>
      <c r="H260" s="753"/>
      <c r="I260" s="757"/>
      <c r="J260" s="754"/>
      <c r="K260" s="753"/>
      <c r="L260" s="753"/>
      <c r="M260" s="770"/>
      <c r="N260" s="771"/>
      <c r="O260" s="771"/>
      <c r="P260" s="770"/>
      <c r="Q260" s="321"/>
      <c r="R260" s="770"/>
      <c r="S260" s="467"/>
      <c r="T260" s="467"/>
      <c r="U260" s="467"/>
      <c r="V260" s="467"/>
      <c r="W260" s="467"/>
      <c r="X260" s="467"/>
      <c r="Y260" s="467"/>
      <c r="Z260" s="467"/>
    </row>
    <row r="261" spans="1:26" ht="21.95" customHeight="1">
      <c r="A261" s="758" t="s">
        <v>676</v>
      </c>
      <c r="B261" s="770"/>
      <c r="C261" s="770"/>
      <c r="D261" s="770"/>
      <c r="E261" s="770"/>
      <c r="F261" s="770"/>
      <c r="G261" s="770"/>
      <c r="H261" s="770"/>
      <c r="I261" s="770"/>
      <c r="J261" s="770"/>
      <c r="K261" s="770"/>
      <c r="L261" s="770"/>
      <c r="M261" s="770"/>
      <c r="N261" s="770"/>
      <c r="O261" s="770"/>
      <c r="P261" s="770"/>
      <c r="Q261" s="770"/>
      <c r="R261" s="770"/>
      <c r="S261" s="467"/>
      <c r="T261" s="467"/>
      <c r="U261" s="467"/>
      <c r="V261" s="467"/>
      <c r="W261" s="467"/>
      <c r="X261" s="467"/>
      <c r="Y261" s="467"/>
      <c r="Z261" s="467"/>
    </row>
    <row r="262" spans="1:26" ht="21.95" customHeight="1" thickBot="1">
      <c r="A262" s="770"/>
      <c r="B262" s="1468" t="s">
        <v>650</v>
      </c>
      <c r="C262" s="1468"/>
      <c r="D262" s="1468"/>
      <c r="E262" s="1468" t="s">
        <v>651</v>
      </c>
      <c r="F262" s="1468"/>
      <c r="G262" s="1479" t="s">
        <v>652</v>
      </c>
      <c r="H262" s="1480"/>
      <c r="I262" s="1480"/>
      <c r="J262" s="1480"/>
      <c r="K262" s="1480"/>
      <c r="L262" s="1481"/>
      <c r="M262" s="1480" t="s">
        <v>653</v>
      </c>
      <c r="N262" s="1480"/>
      <c r="O262" s="1480"/>
      <c r="P262" s="1481"/>
      <c r="Q262" s="752"/>
      <c r="R262" s="770"/>
      <c r="S262" s="467"/>
      <c r="T262" s="467"/>
      <c r="U262" s="467"/>
      <c r="V262" s="467"/>
      <c r="W262" s="467"/>
      <c r="X262" s="467"/>
      <c r="Y262" s="467"/>
      <c r="Z262" s="467"/>
    </row>
    <row r="263" spans="1:26" ht="21.95" customHeight="1" thickTop="1">
      <c r="A263" s="770"/>
      <c r="B263" s="1482" t="s">
        <v>654</v>
      </c>
      <c r="C263" s="1482"/>
      <c r="D263" s="1482"/>
      <c r="E263" s="1266" t="s">
        <v>655</v>
      </c>
      <c r="F263" s="1266"/>
      <c r="G263" s="1641">
        <f>N258</f>
        <v>1.2962962962962963</v>
      </c>
      <c r="H263" s="1642"/>
      <c r="I263" s="1642"/>
      <c r="J263" s="1642"/>
      <c r="K263" s="1642"/>
      <c r="L263" s="1643"/>
      <c r="M263" s="1486"/>
      <c r="N263" s="1486"/>
      <c r="O263" s="1486"/>
      <c r="P263" s="1487"/>
      <c r="Q263" s="752"/>
      <c r="R263" s="770"/>
      <c r="S263" s="467"/>
      <c r="T263" s="467">
        <f>G263*5</f>
        <v>6.481481481481481</v>
      </c>
      <c r="U263" s="467"/>
      <c r="V263" s="467"/>
      <c r="W263" s="467"/>
      <c r="X263" s="467"/>
      <c r="Y263" s="467"/>
      <c r="Z263" s="467"/>
    </row>
    <row r="264" spans="1:26" ht="21.95" customHeight="1">
      <c r="A264" s="747"/>
      <c r="B264" s="1266" t="s">
        <v>656</v>
      </c>
      <c r="C264" s="1266"/>
      <c r="D264" s="1266"/>
      <c r="E264" s="1266" t="s">
        <v>657</v>
      </c>
      <c r="F264" s="1266"/>
      <c r="G264" s="1646">
        <v>80</v>
      </c>
      <c r="H264" s="1647"/>
      <c r="I264" s="1647"/>
      <c r="J264" s="1647"/>
      <c r="K264" s="1647"/>
      <c r="L264" s="1647"/>
      <c r="M264" s="1463"/>
      <c r="N264" s="1464"/>
      <c r="O264" s="1464"/>
      <c r="P264" s="1516"/>
      <c r="Q264" s="752"/>
      <c r="R264" s="747"/>
      <c r="S264" s="467"/>
      <c r="T264" s="467"/>
      <c r="U264" s="467"/>
      <c r="V264" s="467"/>
      <c r="W264" s="467"/>
      <c r="X264" s="467"/>
      <c r="Y264" s="467"/>
      <c r="Z264" s="467"/>
    </row>
    <row r="265" spans="1:26" ht="21.95" customHeight="1">
      <c r="A265" s="770"/>
      <c r="B265" s="1401" t="s">
        <v>677</v>
      </c>
      <c r="C265" s="1401"/>
      <c r="D265" s="1401"/>
      <c r="E265" s="1401" t="s">
        <v>61</v>
      </c>
      <c r="F265" s="1401"/>
      <c r="G265" s="1578">
        <v>15</v>
      </c>
      <c r="H265" s="1579"/>
      <c r="I265" s="1579"/>
      <c r="J265" s="1579"/>
      <c r="K265" s="1579"/>
      <c r="L265" s="1580"/>
      <c r="M265" s="1321"/>
      <c r="N265" s="1321"/>
      <c r="O265" s="1321"/>
      <c r="P265" s="1538"/>
      <c r="Q265" s="752"/>
      <c r="R265" s="770"/>
      <c r="S265" s="467"/>
      <c r="T265" s="467"/>
      <c r="U265" s="467"/>
      <c r="V265" s="467"/>
      <c r="W265" s="467"/>
      <c r="X265" s="467"/>
      <c r="Y265" s="467"/>
      <c r="Z265" s="467"/>
    </row>
    <row r="266" spans="1:26" ht="21.95" customHeight="1">
      <c r="A266" s="770"/>
      <c r="B266" s="1401" t="s">
        <v>660</v>
      </c>
      <c r="C266" s="1401"/>
      <c r="D266" s="1401"/>
      <c r="E266" s="1401" t="s">
        <v>53</v>
      </c>
      <c r="F266" s="1401"/>
      <c r="G266" s="1601" t="s">
        <v>816</v>
      </c>
      <c r="H266" s="1602"/>
      <c r="I266" s="1602"/>
      <c r="J266" s="1602"/>
      <c r="K266" s="1602"/>
      <c r="L266" s="1648"/>
      <c r="M266" s="1465"/>
      <c r="N266" s="1466"/>
      <c r="O266" s="1466"/>
      <c r="P266" s="1467"/>
      <c r="Q266" s="752"/>
      <c r="R266" s="770"/>
      <c r="S266" s="467"/>
      <c r="T266" s="467"/>
      <c r="U266" s="467"/>
      <c r="V266" s="467"/>
      <c r="W266" s="467"/>
      <c r="X266" s="467"/>
      <c r="Y266" s="467"/>
      <c r="Z266" s="467"/>
    </row>
    <row r="267" spans="1:26" ht="21.95" customHeight="1">
      <c r="A267" s="770"/>
      <c r="B267" s="1266" t="s">
        <v>661</v>
      </c>
      <c r="C267" s="1266"/>
      <c r="D267" s="1266"/>
      <c r="E267" s="1266" t="s">
        <v>662</v>
      </c>
      <c r="F267" s="1266"/>
      <c r="G267" s="1463">
        <v>1.5</v>
      </c>
      <c r="H267" s="1464"/>
      <c r="I267" s="1464"/>
      <c r="J267" s="1464"/>
      <c r="K267" s="1464"/>
      <c r="L267" s="1516"/>
      <c r="M267" s="1466"/>
      <c r="N267" s="1466"/>
      <c r="O267" s="1466"/>
      <c r="P267" s="1467"/>
      <c r="Q267" s="752"/>
      <c r="R267" s="770"/>
      <c r="S267" s="467"/>
      <c r="T267" s="467"/>
      <c r="U267" s="467"/>
      <c r="V267" s="467"/>
      <c r="W267" s="467"/>
      <c r="X267" s="467"/>
      <c r="Y267" s="467"/>
      <c r="Z267" s="467"/>
    </row>
    <row r="268" spans="1:26" ht="21.95" customHeight="1">
      <c r="A268" s="770"/>
      <c r="B268" s="1266" t="s">
        <v>663</v>
      </c>
      <c r="C268" s="1266"/>
      <c r="D268" s="1266"/>
      <c r="E268" s="1266" t="s">
        <v>664</v>
      </c>
      <c r="F268" s="1266"/>
      <c r="G268" s="1463">
        <v>1</v>
      </c>
      <c r="H268" s="1464"/>
      <c r="I268" s="1464"/>
      <c r="J268" s="1464"/>
      <c r="K268" s="1464"/>
      <c r="L268" s="1516"/>
      <c r="M268" s="1466"/>
      <c r="N268" s="1466"/>
      <c r="O268" s="1466"/>
      <c r="P268" s="1467"/>
      <c r="Q268" s="752"/>
      <c r="R268" s="770"/>
      <c r="S268" s="467"/>
      <c r="T268" s="467"/>
      <c r="U268" s="467"/>
      <c r="V268" s="467"/>
      <c r="W268" s="467"/>
      <c r="X268" s="467"/>
      <c r="Y268" s="467"/>
      <c r="Z268" s="467"/>
    </row>
    <row r="269" spans="1:26" ht="21.95" customHeight="1">
      <c r="A269" s="770"/>
      <c r="B269" s="743"/>
      <c r="C269" s="743"/>
      <c r="D269" s="743"/>
      <c r="E269" s="743"/>
      <c r="F269" s="743"/>
      <c r="G269" s="497"/>
      <c r="H269" s="497"/>
      <c r="I269" s="497"/>
      <c r="J269" s="497"/>
      <c r="K269" s="497"/>
      <c r="L269" s="497"/>
      <c r="M269" s="497"/>
      <c r="N269" s="497"/>
      <c r="O269" s="497"/>
      <c r="P269" s="497"/>
      <c r="Q269" s="743"/>
      <c r="R269" s="770"/>
      <c r="S269" s="467"/>
      <c r="T269" s="467"/>
      <c r="U269" s="467"/>
      <c r="V269" s="467"/>
      <c r="W269" s="467"/>
      <c r="X269" s="467"/>
      <c r="Y269" s="467"/>
      <c r="Z269" s="467"/>
    </row>
    <row r="270" spans="1:26" ht="21.95" customHeight="1">
      <c r="A270" s="776" t="s">
        <v>693</v>
      </c>
      <c r="B270" s="647"/>
      <c r="C270" s="647"/>
      <c r="D270" s="647"/>
      <c r="E270" s="647"/>
      <c r="F270" s="647"/>
      <c r="G270" s="647"/>
      <c r="H270" s="647"/>
      <c r="I270" s="647"/>
      <c r="J270" s="647"/>
      <c r="K270" s="647"/>
      <c r="L270" s="647"/>
      <c r="M270" s="647"/>
      <c r="N270" s="647"/>
      <c r="O270" s="647"/>
      <c r="P270" s="647"/>
      <c r="Q270" s="647"/>
      <c r="R270" s="770"/>
      <c r="S270" s="467"/>
      <c r="T270" s="467"/>
      <c r="U270" s="467"/>
      <c r="V270" s="467"/>
      <c r="W270" s="467"/>
      <c r="X270" s="467"/>
      <c r="Y270" s="467"/>
      <c r="Z270" s="467"/>
    </row>
    <row r="271" spans="1:26" ht="21.95" customHeight="1">
      <c r="A271" s="758" t="s">
        <v>667</v>
      </c>
      <c r="B271" s="770"/>
      <c r="C271" s="770"/>
      <c r="D271" s="770"/>
      <c r="E271" s="770"/>
      <c r="F271" s="770"/>
      <c r="G271" s="770"/>
      <c r="H271" s="770"/>
      <c r="I271" s="770"/>
      <c r="J271" s="770"/>
      <c r="K271" s="770"/>
      <c r="L271" s="770"/>
      <c r="M271" s="770"/>
      <c r="N271" s="770"/>
      <c r="O271" s="770"/>
      <c r="P271" s="770"/>
      <c r="Q271" s="770"/>
      <c r="R271" s="770"/>
      <c r="S271" s="467"/>
      <c r="T271" s="467"/>
      <c r="U271" s="467"/>
      <c r="V271" s="467"/>
      <c r="W271" s="467"/>
      <c r="X271" s="467"/>
      <c r="Y271" s="467"/>
      <c r="Z271" s="467"/>
    </row>
    <row r="272" spans="1:26" ht="21.95" customHeight="1">
      <c r="A272" s="597" t="s">
        <v>53</v>
      </c>
      <c r="B272" s="1469" t="s">
        <v>69</v>
      </c>
      <c r="C272" s="1469"/>
      <c r="D272" s="1469"/>
      <c r="E272" s="1469"/>
      <c r="F272" s="754">
        <v>3</v>
      </c>
      <c r="G272" s="1469" t="s">
        <v>690</v>
      </c>
      <c r="H272" s="1469"/>
      <c r="I272" s="770"/>
      <c r="J272" s="770"/>
      <c r="K272" s="770"/>
      <c r="L272" s="770"/>
      <c r="M272" s="770"/>
      <c r="N272" s="770"/>
      <c r="O272" s="770"/>
      <c r="P272" s="770"/>
      <c r="Q272" s="770"/>
      <c r="R272" s="770"/>
      <c r="S272" s="467"/>
      <c r="T272" s="467"/>
      <c r="U272" s="467"/>
      <c r="V272" s="467"/>
      <c r="W272" s="467"/>
      <c r="X272" s="467"/>
      <c r="Y272" s="467"/>
      <c r="Z272" s="467"/>
    </row>
    <row r="273" spans="1:26" ht="21.95" customHeight="1">
      <c r="A273" s="758" t="s">
        <v>694</v>
      </c>
      <c r="B273" s="1649">
        <f>'구조물용량계산(설계치12)'!D252/2</f>
        <v>43.885514563450769</v>
      </c>
      <c r="C273" s="1649"/>
      <c r="D273" s="753" t="s">
        <v>44</v>
      </c>
      <c r="E273" s="753"/>
      <c r="F273" s="757" t="s">
        <v>52</v>
      </c>
      <c r="G273" s="757">
        <f>F272</f>
        <v>3</v>
      </c>
      <c r="H273" s="757" t="s">
        <v>695</v>
      </c>
      <c r="I273" s="757" t="s">
        <v>582</v>
      </c>
      <c r="J273" s="1650">
        <f>B273/G273/60*1.2</f>
        <v>0.2925700970896718</v>
      </c>
      <c r="K273" s="1650"/>
      <c r="L273" s="753" t="s">
        <v>655</v>
      </c>
      <c r="M273" s="757"/>
      <c r="N273" s="753" t="s">
        <v>696</v>
      </c>
      <c r="O273" s="757"/>
      <c r="P273" s="757"/>
      <c r="Q273" s="757"/>
      <c r="R273" s="770"/>
      <c r="S273" s="467"/>
      <c r="T273" s="467"/>
      <c r="U273" s="467"/>
      <c r="V273" s="467"/>
      <c r="W273" s="467"/>
      <c r="X273" s="467"/>
      <c r="Y273" s="467"/>
      <c r="Z273" s="467"/>
    </row>
    <row r="274" spans="1:26" ht="21.95" customHeight="1">
      <c r="A274" s="758" t="s">
        <v>676</v>
      </c>
      <c r="B274" s="770"/>
      <c r="C274" s="770"/>
      <c r="D274" s="770"/>
      <c r="E274" s="770"/>
      <c r="F274" s="770"/>
      <c r="G274" s="770"/>
      <c r="H274" s="770"/>
      <c r="I274" s="770"/>
      <c r="J274" s="770"/>
      <c r="K274" s="770"/>
      <c r="L274" s="770"/>
      <c r="M274" s="770"/>
      <c r="N274" s="770"/>
      <c r="O274" s="770"/>
      <c r="P274" s="770"/>
      <c r="Q274" s="770"/>
      <c r="R274" s="770"/>
      <c r="S274" s="467"/>
      <c r="T274" s="467"/>
      <c r="U274" s="467"/>
      <c r="V274" s="467"/>
      <c r="W274" s="467"/>
      <c r="X274" s="467"/>
      <c r="Y274" s="467"/>
      <c r="Z274" s="467"/>
    </row>
    <row r="275" spans="1:26" ht="21.95" customHeight="1">
      <c r="A275" s="770"/>
      <c r="B275" s="1266" t="s">
        <v>650</v>
      </c>
      <c r="C275" s="1266"/>
      <c r="D275" s="1266"/>
      <c r="E275" s="1266" t="s">
        <v>651</v>
      </c>
      <c r="F275" s="1266"/>
      <c r="G275" s="1465" t="s">
        <v>652</v>
      </c>
      <c r="H275" s="1466"/>
      <c r="I275" s="1466"/>
      <c r="J275" s="1466"/>
      <c r="K275" s="1466"/>
      <c r="L275" s="1467"/>
      <c r="M275" s="1465" t="s">
        <v>653</v>
      </c>
      <c r="N275" s="1466"/>
      <c r="O275" s="1466"/>
      <c r="P275" s="1467"/>
      <c r="Q275" s="752"/>
      <c r="R275" s="770"/>
      <c r="S275" s="467"/>
      <c r="T275" s="467"/>
      <c r="U275" s="467"/>
      <c r="V275" s="467"/>
      <c r="W275" s="467"/>
      <c r="X275" s="467"/>
      <c r="Y275" s="467"/>
      <c r="Z275" s="467"/>
    </row>
    <row r="276" spans="1:26" ht="21.95" customHeight="1">
      <c r="A276" s="770"/>
      <c r="B276" s="1401" t="s">
        <v>654</v>
      </c>
      <c r="C276" s="1401"/>
      <c r="D276" s="1401"/>
      <c r="E276" s="1401" t="s">
        <v>655</v>
      </c>
      <c r="F276" s="1401"/>
      <c r="G276" s="1651">
        <f>J273/2</f>
        <v>0.1462850485448359</v>
      </c>
      <c r="H276" s="1652"/>
      <c r="I276" s="1652"/>
      <c r="J276" s="1652"/>
      <c r="K276" s="1652"/>
      <c r="L276" s="1652"/>
      <c r="M276" s="1578"/>
      <c r="N276" s="1579"/>
      <c r="O276" s="1579"/>
      <c r="P276" s="1580"/>
      <c r="Q276" s="752"/>
      <c r="R276" s="770"/>
      <c r="S276" s="467"/>
      <c r="T276" s="467"/>
      <c r="U276" s="467"/>
      <c r="V276" s="467"/>
      <c r="W276" s="467"/>
      <c r="X276" s="467"/>
      <c r="Y276" s="467"/>
      <c r="Z276" s="467"/>
    </row>
    <row r="277" spans="1:26" ht="21.95" customHeight="1">
      <c r="A277" s="770"/>
      <c r="B277" s="1465" t="s">
        <v>656</v>
      </c>
      <c r="C277" s="1466"/>
      <c r="D277" s="1467"/>
      <c r="E277" s="1266" t="s">
        <v>657</v>
      </c>
      <c r="F277" s="1266"/>
      <c r="G277" s="1463">
        <v>50</v>
      </c>
      <c r="H277" s="1464"/>
      <c r="I277" s="1464"/>
      <c r="J277" s="1464"/>
      <c r="K277" s="1464"/>
      <c r="L277" s="1464"/>
      <c r="M277" s="1465"/>
      <c r="N277" s="1466"/>
      <c r="O277" s="1466"/>
      <c r="P277" s="1467"/>
      <c r="Q277" s="752"/>
      <c r="R277" s="770"/>
      <c r="S277" s="467"/>
      <c r="T277" s="467"/>
      <c r="U277" s="467"/>
      <c r="V277" s="467"/>
      <c r="W277" s="467"/>
      <c r="X277" s="467"/>
      <c r="Y277" s="467"/>
      <c r="Z277" s="467"/>
    </row>
    <row r="278" spans="1:26" ht="21.95" customHeight="1">
      <c r="A278" s="770"/>
      <c r="B278" s="1266" t="s">
        <v>677</v>
      </c>
      <c r="C278" s="1266"/>
      <c r="D278" s="1266"/>
      <c r="E278" s="1266" t="s">
        <v>61</v>
      </c>
      <c r="F278" s="1266"/>
      <c r="G278" s="1463">
        <v>15</v>
      </c>
      <c r="H278" s="1464"/>
      <c r="I278" s="1464"/>
      <c r="J278" s="1464"/>
      <c r="K278" s="1464"/>
      <c r="L278" s="1464"/>
      <c r="M278" s="1465"/>
      <c r="N278" s="1466"/>
      <c r="O278" s="1466"/>
      <c r="P278" s="1467"/>
      <c r="Q278" s="752"/>
      <c r="R278" s="770"/>
      <c r="S278" s="467"/>
      <c r="T278" s="467"/>
      <c r="U278" s="467"/>
      <c r="V278" s="467"/>
      <c r="W278" s="467"/>
      <c r="X278" s="467"/>
      <c r="Y278" s="467"/>
      <c r="Z278" s="467"/>
    </row>
    <row r="279" spans="1:26" ht="21.95" customHeight="1">
      <c r="A279" s="770"/>
      <c r="B279" s="1401" t="s">
        <v>660</v>
      </c>
      <c r="C279" s="1401"/>
      <c r="D279" s="1401"/>
      <c r="E279" s="1401" t="s">
        <v>53</v>
      </c>
      <c r="F279" s="1401"/>
      <c r="G279" s="1488" t="s">
        <v>816</v>
      </c>
      <c r="H279" s="1489"/>
      <c r="I279" s="1489"/>
      <c r="J279" s="1489"/>
      <c r="K279" s="1489"/>
      <c r="L279" s="1653"/>
      <c r="M279" s="1465"/>
      <c r="N279" s="1466"/>
      <c r="O279" s="1466"/>
      <c r="P279" s="1467"/>
      <c r="Q279" s="752"/>
      <c r="R279" s="770"/>
      <c r="S279" s="467"/>
      <c r="T279" s="467"/>
      <c r="U279" s="467"/>
      <c r="V279" s="467"/>
      <c r="W279" s="467"/>
      <c r="X279" s="467"/>
      <c r="Y279" s="467"/>
      <c r="Z279" s="467"/>
    </row>
    <row r="280" spans="1:26" ht="21.95" customHeight="1">
      <c r="A280" s="770"/>
      <c r="B280" s="1266" t="s">
        <v>661</v>
      </c>
      <c r="C280" s="1266"/>
      <c r="D280" s="1266"/>
      <c r="E280" s="1266" t="s">
        <v>662</v>
      </c>
      <c r="F280" s="1266"/>
      <c r="G280" s="1463">
        <v>0.75</v>
      </c>
      <c r="H280" s="1464"/>
      <c r="I280" s="1464"/>
      <c r="J280" s="1464"/>
      <c r="K280" s="1464"/>
      <c r="L280" s="1464"/>
      <c r="M280" s="1465"/>
      <c r="N280" s="1466"/>
      <c r="O280" s="1466"/>
      <c r="P280" s="1467"/>
      <c r="Q280" s="752"/>
      <c r="R280" s="770"/>
      <c r="S280" s="467"/>
      <c r="T280" s="467"/>
      <c r="U280" s="467"/>
      <c r="V280" s="467"/>
      <c r="W280" s="467"/>
      <c r="X280" s="467"/>
      <c r="Y280" s="467"/>
      <c r="Z280" s="467"/>
    </row>
    <row r="281" spans="1:26" ht="21.95" customHeight="1">
      <c r="A281" s="770"/>
      <c r="B281" s="1266" t="s">
        <v>663</v>
      </c>
      <c r="C281" s="1266"/>
      <c r="D281" s="1266"/>
      <c r="E281" s="1266" t="s">
        <v>664</v>
      </c>
      <c r="F281" s="1266"/>
      <c r="G281" s="1463">
        <v>1</v>
      </c>
      <c r="H281" s="1464"/>
      <c r="I281" s="1464"/>
      <c r="J281" s="1464"/>
      <c r="K281" s="1464"/>
      <c r="L281" s="1464"/>
      <c r="M281" s="1465"/>
      <c r="N281" s="1466"/>
      <c r="O281" s="1466"/>
      <c r="P281" s="1467"/>
      <c r="Q281" s="752"/>
      <c r="R281" s="770"/>
      <c r="S281" s="467"/>
      <c r="T281" s="467"/>
      <c r="U281" s="467"/>
      <c r="V281" s="467"/>
      <c r="W281" s="467"/>
      <c r="X281" s="467"/>
      <c r="Y281" s="467"/>
      <c r="Z281" s="467"/>
    </row>
    <row r="282" spans="1:26" ht="21.95" customHeight="1">
      <c r="A282" s="770"/>
      <c r="B282" s="743"/>
      <c r="C282" s="743"/>
      <c r="D282" s="743"/>
      <c r="E282" s="743"/>
      <c r="F282" s="743"/>
      <c r="G282" s="497"/>
      <c r="H282" s="497"/>
      <c r="I282" s="497"/>
      <c r="J282" s="497"/>
      <c r="K282" s="497"/>
      <c r="L282" s="497"/>
      <c r="M282" s="497"/>
      <c r="N282" s="497"/>
      <c r="O282" s="497"/>
      <c r="P282" s="497"/>
      <c r="Q282" s="743"/>
      <c r="R282" s="770"/>
      <c r="S282" s="467"/>
      <c r="T282" s="467"/>
      <c r="U282" s="467"/>
      <c r="V282" s="467"/>
      <c r="W282" s="467"/>
      <c r="X282" s="467"/>
      <c r="Y282" s="467"/>
      <c r="Z282" s="467"/>
    </row>
    <row r="283" spans="1:26" ht="21.95" customHeight="1">
      <c r="A283" s="776" t="s">
        <v>758</v>
      </c>
      <c r="B283" s="758"/>
      <c r="C283" s="647"/>
      <c r="D283" s="647"/>
      <c r="E283" s="647"/>
      <c r="F283" s="647"/>
      <c r="G283" s="647"/>
      <c r="H283" s="647"/>
      <c r="I283" s="647"/>
      <c r="J283" s="647"/>
      <c r="K283" s="647"/>
      <c r="L283" s="647"/>
      <c r="M283" s="647"/>
      <c r="N283" s="647"/>
      <c r="O283" s="647"/>
      <c r="P283" s="647"/>
      <c r="Q283" s="647"/>
      <c r="R283" s="770"/>
      <c r="S283" s="467"/>
      <c r="T283" s="467"/>
      <c r="U283" s="467"/>
      <c r="V283" s="467"/>
      <c r="W283" s="467"/>
      <c r="X283" s="467"/>
      <c r="Y283" s="467"/>
      <c r="Z283" s="467"/>
    </row>
    <row r="284" spans="1:26" ht="21.95" customHeight="1">
      <c r="A284" s="758" t="s">
        <v>0</v>
      </c>
      <c r="B284" s="757"/>
      <c r="C284" s="757"/>
      <c r="D284" s="757"/>
      <c r="E284" s="757"/>
      <c r="F284" s="757"/>
      <c r="G284" s="757"/>
      <c r="H284" s="757"/>
      <c r="I284" s="757"/>
      <c r="J284" s="757"/>
      <c r="K284" s="757"/>
      <c r="L284" s="757"/>
      <c r="M284" s="757"/>
      <c r="N284" s="757"/>
      <c r="O284" s="757"/>
      <c r="P284" s="647"/>
      <c r="Q284" s="647"/>
      <c r="R284" s="770"/>
      <c r="S284" s="467"/>
      <c r="T284" s="467"/>
      <c r="U284" s="467"/>
      <c r="V284" s="467"/>
      <c r="W284" s="467"/>
      <c r="X284" s="467"/>
      <c r="Y284" s="467"/>
      <c r="Z284" s="467"/>
    </row>
    <row r="285" spans="1:26" ht="21.95" customHeight="1">
      <c r="A285" s="597" t="s">
        <v>53</v>
      </c>
      <c r="B285" s="1469" t="s">
        <v>105</v>
      </c>
      <c r="C285" s="1469"/>
      <c r="D285" s="743" t="s">
        <v>469</v>
      </c>
      <c r="E285" s="598">
        <f>'구조물용량계산(설계치12)'!F220</f>
        <v>12</v>
      </c>
      <c r="F285" s="757" t="s">
        <v>107</v>
      </c>
      <c r="G285" s="757" t="s">
        <v>109</v>
      </c>
      <c r="H285" s="757">
        <f>'구조물용량계산(설계치12)'!L220</f>
        <v>4.0999999999999996</v>
      </c>
      <c r="I285" s="599" t="s">
        <v>110</v>
      </c>
      <c r="J285" s="1521">
        <f>((E285/2)^2)*PI()*H285</f>
        <v>463.69907566985341</v>
      </c>
      <c r="K285" s="1521"/>
      <c r="L285" s="1521"/>
      <c r="M285" s="1521"/>
      <c r="N285" s="1521"/>
      <c r="O285" s="1521"/>
      <c r="P285" s="647"/>
      <c r="Q285" s="647"/>
      <c r="R285" s="770"/>
      <c r="S285" s="467"/>
      <c r="T285" s="467"/>
      <c r="U285" s="467"/>
      <c r="V285" s="467"/>
      <c r="W285" s="467"/>
      <c r="X285" s="467"/>
      <c r="Y285" s="467"/>
      <c r="Z285" s="467"/>
    </row>
    <row r="286" spans="1:26" ht="21.95" customHeight="1">
      <c r="A286" s="597" t="s">
        <v>53</v>
      </c>
      <c r="B286" s="1469" t="s">
        <v>112</v>
      </c>
      <c r="C286" s="1469"/>
      <c r="D286" s="754">
        <v>1</v>
      </c>
      <c r="E286" s="599" t="s">
        <v>35</v>
      </c>
      <c r="F286" s="1522"/>
      <c r="G286" s="1522"/>
      <c r="H286" s="757"/>
      <c r="I286" s="757"/>
      <c r="J286" s="757"/>
      <c r="K286" s="757"/>
      <c r="L286" s="757"/>
      <c r="M286" s="757"/>
      <c r="N286" s="757"/>
      <c r="O286" s="757"/>
      <c r="P286" s="647"/>
      <c r="Q286" s="647"/>
      <c r="R286" s="770"/>
      <c r="S286" s="467"/>
      <c r="T286" s="467"/>
      <c r="U286" s="467"/>
      <c r="V286" s="467"/>
      <c r="W286" s="467"/>
      <c r="X286" s="467"/>
      <c r="Y286" s="467"/>
      <c r="Z286" s="467"/>
    </row>
    <row r="287" spans="1:26" ht="21.95" customHeight="1">
      <c r="A287" s="597" t="s">
        <v>53</v>
      </c>
      <c r="B287" s="1469" t="s">
        <v>790</v>
      </c>
      <c r="C287" s="1469"/>
      <c r="D287" s="743">
        <v>0.75</v>
      </c>
      <c r="E287" s="743" t="s">
        <v>791</v>
      </c>
      <c r="F287" s="743"/>
      <c r="G287" s="743"/>
      <c r="H287" s="743"/>
      <c r="I287" s="743"/>
      <c r="J287" s="743"/>
      <c r="K287" s="743"/>
      <c r="L287" s="743"/>
      <c r="M287" s="743"/>
      <c r="N287" s="743"/>
      <c r="O287" s="743"/>
      <c r="P287" s="743"/>
      <c r="Q287" s="743"/>
      <c r="R287" s="770"/>
      <c r="S287" s="467"/>
      <c r="T287" s="467"/>
      <c r="U287" s="467"/>
      <c r="V287" s="467"/>
      <c r="W287" s="467"/>
      <c r="X287" s="467"/>
      <c r="Y287" s="467"/>
      <c r="Z287" s="467"/>
    </row>
    <row r="288" spans="1:26" ht="21.95" customHeight="1">
      <c r="A288" s="770"/>
      <c r="B288" s="743"/>
      <c r="C288" s="743"/>
      <c r="D288" s="743"/>
      <c r="E288" s="743"/>
      <c r="F288" s="743"/>
      <c r="G288" s="743"/>
      <c r="H288" s="743"/>
      <c r="I288" s="743"/>
      <c r="J288" s="743"/>
      <c r="K288" s="743"/>
      <c r="L288" s="743"/>
      <c r="M288" s="743"/>
      <c r="N288" s="743"/>
      <c r="O288" s="743"/>
      <c r="P288" s="743"/>
      <c r="Q288" s="743"/>
      <c r="R288" s="770"/>
      <c r="S288" s="467"/>
      <c r="T288" s="467"/>
      <c r="U288" s="467"/>
      <c r="V288" s="467"/>
      <c r="W288" s="467"/>
      <c r="X288" s="467"/>
      <c r="Y288" s="467"/>
      <c r="Z288" s="467"/>
    </row>
    <row r="289" spans="1:26" ht="21.95" customHeight="1">
      <c r="A289" s="776" t="s">
        <v>759</v>
      </c>
      <c r="B289" s="770"/>
      <c r="C289" s="770"/>
      <c r="D289" s="770"/>
      <c r="E289" s="770"/>
      <c r="F289" s="770"/>
      <c r="G289" s="770"/>
      <c r="H289" s="770"/>
      <c r="I289" s="770"/>
      <c r="J289" s="770"/>
      <c r="K289" s="770"/>
      <c r="L289" s="770"/>
      <c r="M289" s="770"/>
      <c r="N289" s="770"/>
      <c r="O289" s="770"/>
      <c r="P289" s="770"/>
      <c r="Q289" s="770"/>
      <c r="R289" s="770"/>
      <c r="S289" s="467"/>
      <c r="T289" s="467"/>
      <c r="U289" s="467"/>
      <c r="V289" s="467"/>
      <c r="W289" s="467"/>
      <c r="X289" s="467"/>
      <c r="Y289" s="467"/>
      <c r="Z289" s="467"/>
    </row>
    <row r="290" spans="1:26" ht="21.95" customHeight="1">
      <c r="A290" s="758" t="s">
        <v>667</v>
      </c>
      <c r="B290" s="758"/>
      <c r="C290" s="770"/>
      <c r="D290" s="770"/>
      <c r="E290" s="770"/>
      <c r="F290" s="770"/>
      <c r="G290" s="770"/>
      <c r="H290" s="770"/>
      <c r="I290" s="770"/>
      <c r="J290" s="770"/>
      <c r="K290" s="770"/>
      <c r="L290" s="770"/>
      <c r="M290" s="770"/>
      <c r="N290" s="770"/>
      <c r="O290" s="770"/>
      <c r="P290" s="770"/>
      <c r="Q290" s="770"/>
      <c r="R290" s="770"/>
      <c r="S290" s="467"/>
      <c r="T290" s="467"/>
      <c r="U290" s="467"/>
      <c r="V290" s="467"/>
      <c r="W290" s="467"/>
      <c r="X290" s="467"/>
      <c r="Y290" s="467"/>
      <c r="Z290" s="467"/>
    </row>
    <row r="291" spans="1:26" ht="21.95" customHeight="1">
      <c r="A291" s="597" t="s">
        <v>53</v>
      </c>
      <c r="B291" s="1469" t="s">
        <v>69</v>
      </c>
      <c r="C291" s="1469"/>
      <c r="D291" s="1469"/>
      <c r="E291" s="1469"/>
      <c r="F291" s="754">
        <v>8</v>
      </c>
      <c r="G291" s="1469" t="s">
        <v>690</v>
      </c>
      <c r="H291" s="1469"/>
      <c r="I291" s="770"/>
      <c r="J291" s="770"/>
      <c r="K291" s="770"/>
      <c r="L291" s="770"/>
      <c r="M291" s="770"/>
      <c r="N291" s="770"/>
      <c r="O291" s="770"/>
      <c r="P291" s="770"/>
      <c r="Q291" s="770"/>
      <c r="R291" s="770"/>
      <c r="S291" s="467"/>
      <c r="T291" s="467"/>
      <c r="U291" s="467"/>
      <c r="V291" s="467"/>
      <c r="W291" s="467"/>
      <c r="X291" s="467"/>
      <c r="Y291" s="467"/>
      <c r="Z291" s="467"/>
    </row>
    <row r="292" spans="1:26" ht="21.95" customHeight="1">
      <c r="A292" s="597" t="s">
        <v>53</v>
      </c>
      <c r="B292" s="1469" t="s">
        <v>697</v>
      </c>
      <c r="C292" s="1469"/>
      <c r="D292" s="1469"/>
      <c r="E292" s="1469"/>
      <c r="F292" s="1654">
        <f>'구조물용량계산(설계치12)'!D252/2</f>
        <v>43.885514563450769</v>
      </c>
      <c r="G292" s="1654"/>
      <c r="H292" s="753" t="s">
        <v>44</v>
      </c>
      <c r="I292" s="753"/>
      <c r="J292" s="770"/>
      <c r="K292" s="770"/>
      <c r="L292" s="770"/>
      <c r="M292" s="770"/>
      <c r="N292" s="770"/>
      <c r="O292" s="770"/>
      <c r="P292" s="770"/>
      <c r="Q292" s="770"/>
      <c r="R292" s="770"/>
      <c r="S292" s="467"/>
      <c r="T292" s="467"/>
      <c r="U292" s="467"/>
      <c r="V292" s="467"/>
      <c r="W292" s="467"/>
      <c r="X292" s="467"/>
      <c r="Y292" s="467"/>
      <c r="Z292" s="467"/>
    </row>
    <row r="293" spans="1:26" ht="21.95" customHeight="1">
      <c r="A293" s="597" t="s">
        <v>53</v>
      </c>
      <c r="B293" s="1469" t="s">
        <v>85</v>
      </c>
      <c r="C293" s="1469"/>
      <c r="D293" s="1469"/>
      <c r="E293" s="1469"/>
      <c r="F293" s="1654">
        <f>F292</f>
        <v>43.885514563450769</v>
      </c>
      <c r="G293" s="1654"/>
      <c r="H293" s="753" t="s">
        <v>44</v>
      </c>
      <c r="I293" s="753"/>
      <c r="J293" s="757" t="s">
        <v>52</v>
      </c>
      <c r="K293" s="655">
        <f>F291</f>
        <v>8</v>
      </c>
      <c r="L293" s="1469" t="s">
        <v>690</v>
      </c>
      <c r="M293" s="1469"/>
      <c r="N293" s="770" t="s">
        <v>582</v>
      </c>
      <c r="O293" s="1650">
        <f>F293/K293/60</f>
        <v>9.1428155340522441E-2</v>
      </c>
      <c r="P293" s="1650"/>
      <c r="Q293" s="770" t="s">
        <v>692</v>
      </c>
      <c r="R293" s="770"/>
      <c r="S293" s="467"/>
      <c r="T293" s="467"/>
      <c r="U293" s="467"/>
      <c r="V293" s="467"/>
      <c r="W293" s="467"/>
      <c r="X293" s="467"/>
      <c r="Y293" s="467"/>
      <c r="Z293" s="467"/>
    </row>
    <row r="294" spans="1:26" ht="21.95" customHeight="1">
      <c r="A294" s="597"/>
      <c r="B294" s="753"/>
      <c r="C294" s="753"/>
      <c r="D294" s="753"/>
      <c r="E294" s="753"/>
      <c r="F294" s="774"/>
      <c r="G294" s="774"/>
      <c r="H294" s="753"/>
      <c r="I294" s="753"/>
      <c r="J294" s="757"/>
      <c r="K294" s="655"/>
      <c r="L294" s="753"/>
      <c r="M294" s="753"/>
      <c r="N294" s="770"/>
      <c r="O294" s="775"/>
      <c r="P294" s="775"/>
      <c r="Q294" s="770"/>
      <c r="R294" s="770"/>
      <c r="S294" s="467"/>
      <c r="T294" s="467"/>
      <c r="U294" s="467"/>
      <c r="V294" s="467"/>
      <c r="W294" s="467"/>
      <c r="X294" s="467"/>
      <c r="Y294" s="467"/>
      <c r="Z294" s="467"/>
    </row>
    <row r="295" spans="1:26" ht="21.95" customHeight="1">
      <c r="A295" s="758" t="s">
        <v>676</v>
      </c>
      <c r="B295" s="770"/>
      <c r="C295" s="770"/>
      <c r="D295" s="770"/>
      <c r="E295" s="770"/>
      <c r="F295" s="770"/>
      <c r="G295" s="770"/>
      <c r="H295" s="770"/>
      <c r="I295" s="770"/>
      <c r="J295" s="770"/>
      <c r="K295" s="770"/>
      <c r="L295" s="770"/>
      <c r="M295" s="770"/>
      <c r="N295" s="770"/>
      <c r="O295" s="770"/>
      <c r="P295" s="770"/>
      <c r="Q295" s="770"/>
      <c r="R295" s="770"/>
      <c r="S295" s="467"/>
      <c r="T295" s="467"/>
      <c r="U295" s="467"/>
      <c r="V295" s="467"/>
      <c r="W295" s="467"/>
      <c r="X295" s="467"/>
      <c r="Y295" s="467"/>
      <c r="Z295" s="467"/>
    </row>
    <row r="296" spans="1:26" ht="21.95" customHeight="1" thickBot="1">
      <c r="A296" s="770"/>
      <c r="B296" s="1468" t="s">
        <v>650</v>
      </c>
      <c r="C296" s="1468"/>
      <c r="D296" s="1468"/>
      <c r="E296" s="1468" t="s">
        <v>651</v>
      </c>
      <c r="F296" s="1468"/>
      <c r="G296" s="1479" t="s">
        <v>652</v>
      </c>
      <c r="H296" s="1480"/>
      <c r="I296" s="1480"/>
      <c r="J296" s="1480"/>
      <c r="K296" s="1480"/>
      <c r="L296" s="1481"/>
      <c r="M296" s="1480" t="s">
        <v>653</v>
      </c>
      <c r="N296" s="1480"/>
      <c r="O296" s="1480"/>
      <c r="P296" s="1481"/>
      <c r="Q296" s="752"/>
      <c r="R296" s="770"/>
      <c r="S296" s="467"/>
      <c r="T296" s="467"/>
      <c r="U296" s="467"/>
      <c r="V296" s="467"/>
      <c r="W296" s="467"/>
      <c r="X296" s="467"/>
      <c r="Y296" s="467"/>
      <c r="Z296" s="467"/>
    </row>
    <row r="297" spans="1:26" ht="21.95" customHeight="1" thickTop="1">
      <c r="A297" s="770"/>
      <c r="B297" s="1482" t="s">
        <v>654</v>
      </c>
      <c r="C297" s="1482"/>
      <c r="D297" s="1482"/>
      <c r="E297" s="1266" t="s">
        <v>655</v>
      </c>
      <c r="F297" s="1266"/>
      <c r="G297" s="1655">
        <f>O293*1.5</f>
        <v>0.13714223301078365</v>
      </c>
      <c r="H297" s="1656"/>
      <c r="I297" s="1656"/>
      <c r="J297" s="1656"/>
      <c r="K297" s="1656"/>
      <c r="L297" s="1657"/>
      <c r="M297" s="1486" t="s">
        <v>698</v>
      </c>
      <c r="N297" s="1486"/>
      <c r="O297" s="1486"/>
      <c r="P297" s="1487"/>
      <c r="Q297" s="752"/>
      <c r="R297" s="770"/>
      <c r="S297" s="467"/>
      <c r="T297" s="467"/>
      <c r="U297" s="467"/>
      <c r="V297" s="467"/>
      <c r="W297" s="467"/>
      <c r="X297" s="467"/>
      <c r="Y297" s="467"/>
      <c r="Z297" s="467"/>
    </row>
    <row r="298" spans="1:26" ht="21.95" customHeight="1">
      <c r="A298" s="770"/>
      <c r="B298" s="1266" t="s">
        <v>656</v>
      </c>
      <c r="C298" s="1266"/>
      <c r="D298" s="1266"/>
      <c r="E298" s="1266" t="s">
        <v>657</v>
      </c>
      <c r="F298" s="1266"/>
      <c r="G298" s="1646">
        <v>50</v>
      </c>
      <c r="H298" s="1647"/>
      <c r="I298" s="1647"/>
      <c r="J298" s="1647"/>
      <c r="K298" s="1647"/>
      <c r="L298" s="1647"/>
      <c r="M298" s="1463"/>
      <c r="N298" s="1464"/>
      <c r="O298" s="1464"/>
      <c r="P298" s="1516"/>
      <c r="Q298" s="752"/>
      <c r="R298" s="770"/>
      <c r="S298" s="467"/>
      <c r="T298" s="467"/>
      <c r="U298" s="467"/>
      <c r="V298" s="467"/>
      <c r="W298" s="467"/>
      <c r="X298" s="467"/>
      <c r="Y298" s="467"/>
      <c r="Z298" s="467"/>
    </row>
    <row r="299" spans="1:26" ht="21.95" customHeight="1">
      <c r="A299" s="770"/>
      <c r="B299" s="1266" t="s">
        <v>677</v>
      </c>
      <c r="C299" s="1266"/>
      <c r="D299" s="1266"/>
      <c r="E299" s="1266" t="s">
        <v>61</v>
      </c>
      <c r="F299" s="1266"/>
      <c r="G299" s="1463">
        <v>15</v>
      </c>
      <c r="H299" s="1464"/>
      <c r="I299" s="1464"/>
      <c r="J299" s="1464"/>
      <c r="K299" s="1464"/>
      <c r="L299" s="1516"/>
      <c r="M299" s="1466"/>
      <c r="N299" s="1466"/>
      <c r="O299" s="1466"/>
      <c r="P299" s="1467"/>
      <c r="Q299" s="752"/>
      <c r="R299" s="770"/>
      <c r="S299" s="467"/>
      <c r="T299" s="467"/>
      <c r="U299" s="467"/>
      <c r="V299" s="467"/>
      <c r="W299" s="467"/>
      <c r="X299" s="467"/>
      <c r="Y299" s="467"/>
      <c r="Z299" s="467"/>
    </row>
    <row r="300" spans="1:26" ht="21.95" customHeight="1">
      <c r="A300" s="770"/>
      <c r="B300" s="1401" t="s">
        <v>660</v>
      </c>
      <c r="C300" s="1401"/>
      <c r="D300" s="1401"/>
      <c r="E300" s="1401" t="s">
        <v>53</v>
      </c>
      <c r="F300" s="1401"/>
      <c r="G300" s="1601" t="s">
        <v>816</v>
      </c>
      <c r="H300" s="1602"/>
      <c r="I300" s="1602"/>
      <c r="J300" s="1602"/>
      <c r="K300" s="1602"/>
      <c r="L300" s="1648"/>
      <c r="M300" s="1465"/>
      <c r="N300" s="1466"/>
      <c r="O300" s="1466"/>
      <c r="P300" s="1467"/>
      <c r="Q300" s="752"/>
      <c r="R300" s="770"/>
      <c r="S300" s="467"/>
      <c r="T300" s="467"/>
      <c r="U300" s="467"/>
      <c r="V300" s="467"/>
      <c r="W300" s="467"/>
      <c r="X300" s="467"/>
      <c r="Y300" s="467"/>
      <c r="Z300" s="467"/>
    </row>
    <row r="301" spans="1:26" ht="21.95" customHeight="1">
      <c r="A301" s="770"/>
      <c r="B301" s="1266" t="s">
        <v>661</v>
      </c>
      <c r="C301" s="1266"/>
      <c r="D301" s="1266"/>
      <c r="E301" s="1266" t="s">
        <v>662</v>
      </c>
      <c r="F301" s="1266"/>
      <c r="G301" s="1463">
        <v>0.75</v>
      </c>
      <c r="H301" s="1464"/>
      <c r="I301" s="1464"/>
      <c r="J301" s="1464"/>
      <c r="K301" s="1464"/>
      <c r="L301" s="1516"/>
      <c r="M301" s="1466"/>
      <c r="N301" s="1466"/>
      <c r="O301" s="1466"/>
      <c r="P301" s="1467"/>
      <c r="Q301" s="752"/>
      <c r="R301" s="770"/>
      <c r="S301" s="467"/>
      <c r="T301" s="467"/>
      <c r="U301" s="467"/>
      <c r="V301" s="467"/>
      <c r="W301" s="467"/>
      <c r="X301" s="467"/>
      <c r="Y301" s="467"/>
      <c r="Z301" s="467"/>
    </row>
    <row r="302" spans="1:26" ht="21.95" customHeight="1">
      <c r="A302" s="770"/>
      <c r="B302" s="1266" t="s">
        <v>663</v>
      </c>
      <c r="C302" s="1266"/>
      <c r="D302" s="1266"/>
      <c r="E302" s="1266" t="s">
        <v>664</v>
      </c>
      <c r="F302" s="1266"/>
      <c r="G302" s="1463">
        <v>1</v>
      </c>
      <c r="H302" s="1464"/>
      <c r="I302" s="1464"/>
      <c r="J302" s="1464"/>
      <c r="K302" s="1464"/>
      <c r="L302" s="1516"/>
      <c r="M302" s="1464"/>
      <c r="N302" s="1464"/>
      <c r="O302" s="1464"/>
      <c r="P302" s="1516"/>
      <c r="Q302" s="752"/>
      <c r="R302" s="770"/>
      <c r="S302" s="467"/>
      <c r="T302" s="467"/>
      <c r="U302" s="467"/>
      <c r="V302" s="467"/>
      <c r="W302" s="467"/>
      <c r="X302" s="467"/>
      <c r="Y302" s="467"/>
      <c r="Z302" s="467"/>
    </row>
    <row r="303" spans="1:26" ht="21.95" customHeight="1">
      <c r="A303" s="770"/>
      <c r="B303" s="770"/>
      <c r="C303" s="770"/>
      <c r="D303" s="770"/>
      <c r="E303" s="770"/>
      <c r="F303" s="770"/>
      <c r="G303" s="770"/>
      <c r="H303" s="770"/>
      <c r="I303" s="770"/>
      <c r="J303" s="770"/>
      <c r="K303" s="770"/>
      <c r="L303" s="770"/>
      <c r="M303" s="770"/>
      <c r="N303" s="770"/>
      <c r="O303" s="770"/>
      <c r="P303" s="770"/>
      <c r="Q303" s="770"/>
      <c r="R303" s="770"/>
      <c r="S303" s="467"/>
      <c r="T303" s="467"/>
      <c r="U303" s="467"/>
      <c r="V303" s="467"/>
      <c r="W303" s="467"/>
      <c r="X303" s="467"/>
      <c r="Y303" s="467"/>
      <c r="Z303" s="467"/>
    </row>
    <row r="304" spans="1:26" ht="21.95" customHeight="1">
      <c r="A304" s="611" t="s">
        <v>812</v>
      </c>
      <c r="B304" s="770"/>
      <c r="C304" s="770"/>
      <c r="D304" s="770"/>
      <c r="E304" s="770"/>
      <c r="F304" s="770"/>
      <c r="G304" s="770"/>
      <c r="H304" s="770"/>
      <c r="I304" s="770"/>
      <c r="J304" s="770"/>
      <c r="K304" s="770"/>
      <c r="L304" s="770"/>
      <c r="M304" s="770"/>
      <c r="N304" s="770"/>
      <c r="O304" s="770"/>
      <c r="P304" s="770"/>
      <c r="Q304" s="770"/>
      <c r="R304" s="770"/>
      <c r="S304" s="467"/>
      <c r="T304" s="467"/>
      <c r="U304" s="467"/>
      <c r="V304" s="467"/>
      <c r="W304" s="467"/>
      <c r="X304" s="467"/>
      <c r="Y304" s="467"/>
      <c r="Z304" s="467"/>
    </row>
    <row r="305" spans="1:26" ht="21.95" customHeight="1">
      <c r="A305" s="776" t="s">
        <v>811</v>
      </c>
      <c r="B305" s="757"/>
      <c r="C305" s="757"/>
      <c r="D305" s="757"/>
      <c r="E305" s="757"/>
      <c r="F305" s="757"/>
      <c r="G305" s="757"/>
      <c r="H305" s="757"/>
      <c r="I305" s="757"/>
      <c r="J305" s="757"/>
      <c r="K305" s="757"/>
      <c r="L305" s="757"/>
      <c r="M305" s="757"/>
      <c r="N305" s="757"/>
      <c r="O305" s="757"/>
      <c r="P305" s="743"/>
      <c r="Q305" s="770"/>
      <c r="R305" s="770"/>
      <c r="S305" s="467"/>
      <c r="T305" s="467"/>
      <c r="U305" s="467"/>
      <c r="V305" s="467"/>
      <c r="W305" s="467"/>
      <c r="X305" s="467"/>
      <c r="Y305" s="467"/>
      <c r="Z305" s="467"/>
    </row>
    <row r="306" spans="1:26" ht="21.95" customHeight="1">
      <c r="A306" s="758" t="s">
        <v>667</v>
      </c>
      <c r="B306" s="770"/>
      <c r="C306" s="770"/>
      <c r="D306" s="770"/>
      <c r="E306" s="770"/>
      <c r="F306" s="770"/>
      <c r="G306" s="770"/>
      <c r="H306" s="770"/>
      <c r="I306" s="770"/>
      <c r="J306" s="770"/>
      <c r="K306" s="770"/>
      <c r="L306" s="770"/>
      <c r="M306" s="770"/>
      <c r="N306" s="770"/>
      <c r="O306" s="770"/>
      <c r="P306" s="747"/>
      <c r="Q306" s="770"/>
      <c r="R306" s="770"/>
      <c r="S306" s="467"/>
      <c r="T306" s="467"/>
      <c r="U306" s="467"/>
      <c r="V306" s="467"/>
      <c r="W306" s="467"/>
      <c r="X306" s="467"/>
      <c r="Y306" s="467"/>
      <c r="Z306" s="467"/>
    </row>
    <row r="307" spans="1:26" ht="21.95" customHeight="1">
      <c r="A307" s="597" t="s">
        <v>53</v>
      </c>
      <c r="B307" s="1469" t="s">
        <v>69</v>
      </c>
      <c r="C307" s="1469"/>
      <c r="D307" s="1469"/>
      <c r="E307" s="1469"/>
      <c r="F307" s="1472">
        <v>18</v>
      </c>
      <c r="G307" s="1472"/>
      <c r="H307" s="753"/>
      <c r="I307" s="770"/>
      <c r="J307" s="770"/>
      <c r="K307" s="770"/>
      <c r="L307" s="770"/>
      <c r="M307" s="770"/>
      <c r="N307" s="770"/>
      <c r="O307" s="770"/>
      <c r="P307" s="747"/>
      <c r="Q307" s="770"/>
      <c r="R307" s="770"/>
      <c r="S307" s="467"/>
      <c r="T307" s="467"/>
      <c r="U307" s="467"/>
      <c r="V307" s="467"/>
      <c r="W307" s="467"/>
      <c r="X307" s="467"/>
      <c r="Y307" s="467"/>
      <c r="Z307" s="467"/>
    </row>
    <row r="308" spans="1:26" ht="21.95" customHeight="1">
      <c r="A308" s="597" t="s">
        <v>53</v>
      </c>
      <c r="B308" s="1469" t="s">
        <v>699</v>
      </c>
      <c r="C308" s="1469"/>
      <c r="D308" s="1469"/>
      <c r="E308" s="1469"/>
      <c r="F308" s="1659">
        <f>물질수지!T7/2</f>
        <v>6092.5628883493619</v>
      </c>
      <c r="G308" s="1659"/>
      <c r="H308" s="1659"/>
      <c r="I308" s="757"/>
      <c r="J308" s="757"/>
      <c r="K308" s="770"/>
      <c r="L308" s="757"/>
      <c r="M308" s="656"/>
      <c r="N308" s="656"/>
      <c r="O308" s="656"/>
      <c r="P308" s="656"/>
      <c r="Q308" s="770"/>
      <c r="R308" s="770"/>
      <c r="S308" s="467"/>
      <c r="T308" s="467"/>
      <c r="U308" s="467"/>
      <c r="V308" s="467"/>
      <c r="W308" s="467"/>
      <c r="X308" s="467"/>
      <c r="Y308" s="467"/>
      <c r="Z308" s="467"/>
    </row>
    <row r="309" spans="1:26" ht="21.95" customHeight="1">
      <c r="A309" s="597" t="s">
        <v>53</v>
      </c>
      <c r="B309" s="1469" t="s">
        <v>85</v>
      </c>
      <c r="C309" s="1469"/>
      <c r="D309" s="1469"/>
      <c r="E309" s="1469"/>
      <c r="F309" s="1660">
        <f>F308</f>
        <v>6092.5628883493619</v>
      </c>
      <c r="G309" s="1660"/>
      <c r="H309" s="1660"/>
      <c r="I309" s="757" t="s">
        <v>52</v>
      </c>
      <c r="J309" s="1472">
        <f>F307</f>
        <v>18</v>
      </c>
      <c r="K309" s="1472"/>
      <c r="L309" s="757" t="s">
        <v>582</v>
      </c>
      <c r="M309" s="1474">
        <f>F309/J309/60</f>
        <v>5.6412619336568168</v>
      </c>
      <c r="N309" s="1474"/>
      <c r="O309" s="1474"/>
      <c r="P309" s="604"/>
      <c r="Q309" s="770"/>
      <c r="R309" s="770"/>
      <c r="S309" s="467"/>
      <c r="T309" s="467"/>
      <c r="U309" s="467"/>
      <c r="V309" s="467"/>
      <c r="W309" s="467"/>
      <c r="X309" s="467"/>
      <c r="Y309" s="467"/>
      <c r="Z309" s="467"/>
    </row>
    <row r="310" spans="1:26" ht="21.95" customHeight="1">
      <c r="A310" s="597" t="s">
        <v>53</v>
      </c>
      <c r="B310" s="1469" t="s">
        <v>170</v>
      </c>
      <c r="C310" s="1469"/>
      <c r="D310" s="1469"/>
      <c r="E310" s="1469"/>
      <c r="F310" s="1658">
        <f>M309</f>
        <v>5.6412619336568168</v>
      </c>
      <c r="G310" s="1658"/>
      <c r="H310" s="1658"/>
      <c r="I310" s="757"/>
      <c r="J310" s="756"/>
      <c r="K310" s="770"/>
      <c r="L310" s="757"/>
      <c r="M310" s="605"/>
      <c r="N310" s="605"/>
      <c r="O310" s="605"/>
      <c r="P310" s="604"/>
      <c r="Q310" s="770"/>
      <c r="R310" s="770"/>
      <c r="S310" s="467"/>
      <c r="T310" s="467"/>
      <c r="U310" s="467"/>
      <c r="V310" s="467"/>
      <c r="W310" s="467"/>
      <c r="X310" s="467"/>
      <c r="Y310" s="467"/>
      <c r="Z310" s="467"/>
    </row>
    <row r="311" spans="1:26" ht="21.95" customHeight="1">
      <c r="A311" s="758" t="s">
        <v>676</v>
      </c>
      <c r="B311" s="770"/>
      <c r="C311" s="770"/>
      <c r="D311" s="770"/>
      <c r="E311" s="770"/>
      <c r="F311" s="770"/>
      <c r="G311" s="770"/>
      <c r="H311" s="770"/>
      <c r="I311" s="770"/>
      <c r="J311" s="770"/>
      <c r="K311" s="770"/>
      <c r="L311" s="770"/>
      <c r="M311" s="770"/>
      <c r="N311" s="770"/>
      <c r="O311" s="770"/>
      <c r="P311" s="770"/>
      <c r="Q311" s="770"/>
      <c r="R311" s="770"/>
      <c r="S311" s="467"/>
      <c r="T311" s="467"/>
      <c r="U311" s="467"/>
      <c r="V311" s="467"/>
      <c r="W311" s="467"/>
      <c r="X311" s="467"/>
      <c r="Y311" s="467"/>
      <c r="Z311" s="467"/>
    </row>
    <row r="312" spans="1:26" ht="21.95" customHeight="1" thickBot="1">
      <c r="A312" s="770"/>
      <c r="B312" s="1479" t="s">
        <v>650</v>
      </c>
      <c r="C312" s="1480"/>
      <c r="D312" s="1481"/>
      <c r="E312" s="1479" t="s">
        <v>651</v>
      </c>
      <c r="F312" s="1481"/>
      <c r="G312" s="1479" t="s">
        <v>652</v>
      </c>
      <c r="H312" s="1480"/>
      <c r="I312" s="1480"/>
      <c r="J312" s="1480"/>
      <c r="K312" s="1480"/>
      <c r="L312" s="1481"/>
      <c r="M312" s="1479" t="s">
        <v>653</v>
      </c>
      <c r="N312" s="1480"/>
      <c r="O312" s="1480"/>
      <c r="P312" s="1481"/>
      <c r="Q312" s="770"/>
      <c r="R312" s="770"/>
      <c r="S312" s="467"/>
      <c r="T312" s="467"/>
      <c r="U312" s="467"/>
      <c r="V312" s="467"/>
      <c r="W312" s="467"/>
      <c r="X312" s="467"/>
      <c r="Y312" s="467"/>
      <c r="Z312" s="467"/>
    </row>
    <row r="313" spans="1:26" ht="21.95" customHeight="1" thickTop="1">
      <c r="A313" s="770"/>
      <c r="B313" s="1661" t="s">
        <v>654</v>
      </c>
      <c r="C313" s="1518"/>
      <c r="D313" s="1519"/>
      <c r="E313" s="1661" t="s">
        <v>655</v>
      </c>
      <c r="F313" s="1519"/>
      <c r="G313" s="1483">
        <f>F310</f>
        <v>5.6412619336568168</v>
      </c>
      <c r="H313" s="1484"/>
      <c r="I313" s="1484"/>
      <c r="J313" s="1484"/>
      <c r="K313" s="1484"/>
      <c r="L313" s="1662"/>
      <c r="M313" s="1485"/>
      <c r="N313" s="1486"/>
      <c r="O313" s="1486"/>
      <c r="P313" s="1487"/>
      <c r="Q313" s="770"/>
      <c r="R313" s="770"/>
      <c r="S313" s="467"/>
      <c r="T313" s="467"/>
      <c r="U313" s="467"/>
      <c r="V313" s="467"/>
      <c r="W313" s="467"/>
      <c r="X313" s="467"/>
      <c r="Y313" s="467"/>
      <c r="Z313" s="467"/>
    </row>
    <row r="314" spans="1:26" ht="21.95" customHeight="1">
      <c r="A314" s="770"/>
      <c r="B314" s="1465" t="s">
        <v>656</v>
      </c>
      <c r="C314" s="1466"/>
      <c r="D314" s="1467"/>
      <c r="E314" s="1465" t="s">
        <v>657</v>
      </c>
      <c r="F314" s="1467"/>
      <c r="G314" s="1463">
        <v>80</v>
      </c>
      <c r="H314" s="1464"/>
      <c r="I314" s="1464"/>
      <c r="J314" s="1464"/>
      <c r="K314" s="1464"/>
      <c r="L314" s="1516"/>
      <c r="M314" s="1465"/>
      <c r="N314" s="1466"/>
      <c r="O314" s="1466"/>
      <c r="P314" s="1467"/>
      <c r="Q314" s="770"/>
      <c r="R314" s="770"/>
      <c r="S314" s="467"/>
      <c r="T314" s="467"/>
      <c r="U314" s="467"/>
      <c r="V314" s="467"/>
      <c r="W314" s="467"/>
      <c r="X314" s="467"/>
      <c r="Y314" s="467"/>
      <c r="Z314" s="467"/>
    </row>
    <row r="315" spans="1:26" ht="21.95" customHeight="1">
      <c r="A315" s="770"/>
      <c r="B315" s="1465" t="s">
        <v>677</v>
      </c>
      <c r="C315" s="1466"/>
      <c r="D315" s="1467"/>
      <c r="E315" s="1465" t="s">
        <v>61</v>
      </c>
      <c r="F315" s="1467"/>
      <c r="G315" s="1463">
        <v>10</v>
      </c>
      <c r="H315" s="1464"/>
      <c r="I315" s="1464"/>
      <c r="J315" s="1464"/>
      <c r="K315" s="1464"/>
      <c r="L315" s="1516"/>
      <c r="M315" s="1465"/>
      <c r="N315" s="1466"/>
      <c r="O315" s="1466"/>
      <c r="P315" s="1467"/>
      <c r="Q315" s="770"/>
      <c r="R315" s="770"/>
      <c r="S315" s="467"/>
      <c r="T315" s="467"/>
      <c r="U315" s="467"/>
      <c r="V315" s="467"/>
      <c r="W315" s="467"/>
      <c r="X315" s="467"/>
      <c r="Y315" s="467"/>
      <c r="Z315" s="467"/>
    </row>
    <row r="316" spans="1:26" ht="21.95" customHeight="1">
      <c r="A316" s="770"/>
      <c r="B316" s="1465" t="s">
        <v>660</v>
      </c>
      <c r="C316" s="1466"/>
      <c r="D316" s="1467"/>
      <c r="E316" s="1465" t="s">
        <v>53</v>
      </c>
      <c r="F316" s="1467"/>
      <c r="G316" s="1488" t="s">
        <v>814</v>
      </c>
      <c r="H316" s="1489"/>
      <c r="I316" s="1489"/>
      <c r="J316" s="1489"/>
      <c r="K316" s="1489"/>
      <c r="L316" s="1653"/>
      <c r="M316" s="1465"/>
      <c r="N316" s="1466"/>
      <c r="O316" s="1466"/>
      <c r="P316" s="1467"/>
      <c r="Q316" s="770"/>
      <c r="R316" s="770"/>
      <c r="S316" s="467"/>
      <c r="T316" s="467"/>
      <c r="U316" s="467"/>
      <c r="V316" s="467"/>
      <c r="W316" s="467"/>
      <c r="X316" s="467"/>
      <c r="Y316" s="467"/>
      <c r="Z316" s="467"/>
    </row>
    <row r="317" spans="1:26" ht="21.95" customHeight="1">
      <c r="A317" s="770"/>
      <c r="B317" s="1465" t="s">
        <v>661</v>
      </c>
      <c r="C317" s="1466"/>
      <c r="D317" s="1467"/>
      <c r="E317" s="1465" t="s">
        <v>662</v>
      </c>
      <c r="F317" s="1467"/>
      <c r="G317" s="1463">
        <v>3.7</v>
      </c>
      <c r="H317" s="1464"/>
      <c r="I317" s="1464"/>
      <c r="J317" s="1464"/>
      <c r="K317" s="1464"/>
      <c r="L317" s="1516"/>
      <c r="M317" s="1465"/>
      <c r="N317" s="1466"/>
      <c r="O317" s="1466"/>
      <c r="P317" s="1467"/>
      <c r="Q317" s="770"/>
      <c r="R317" s="770"/>
      <c r="S317" s="467"/>
      <c r="T317" s="467"/>
      <c r="U317" s="467"/>
      <c r="V317" s="467"/>
      <c r="W317" s="467"/>
      <c r="X317" s="467"/>
      <c r="Y317" s="467"/>
      <c r="Z317" s="467"/>
    </row>
    <row r="318" spans="1:26" ht="21.95" customHeight="1">
      <c r="A318" s="770"/>
      <c r="B318" s="1465" t="s">
        <v>663</v>
      </c>
      <c r="C318" s="1466"/>
      <c r="D318" s="1467"/>
      <c r="E318" s="1465" t="s">
        <v>664</v>
      </c>
      <c r="F318" s="1467"/>
      <c r="G318" s="1463">
        <v>1</v>
      </c>
      <c r="H318" s="1464"/>
      <c r="I318" s="1464"/>
      <c r="J318" s="1464"/>
      <c r="K318" s="1464"/>
      <c r="L318" s="1516"/>
      <c r="M318" s="1465"/>
      <c r="N318" s="1466"/>
      <c r="O318" s="1466"/>
      <c r="P318" s="1467"/>
      <c r="Q318" s="770"/>
      <c r="R318" s="770"/>
      <c r="S318" s="467"/>
      <c r="T318" s="467"/>
      <c r="U318" s="467"/>
      <c r="V318" s="467"/>
      <c r="W318" s="467"/>
      <c r="X318" s="467"/>
      <c r="Y318" s="467"/>
      <c r="Z318" s="467"/>
    </row>
    <row r="319" spans="1:26" ht="21.95" customHeight="1">
      <c r="A319" s="770"/>
      <c r="B319" s="743"/>
      <c r="C319" s="743"/>
      <c r="D319" s="743"/>
      <c r="E319" s="743"/>
      <c r="F319" s="743"/>
      <c r="G319" s="497"/>
      <c r="H319" s="497"/>
      <c r="I319" s="497"/>
      <c r="J319" s="497"/>
      <c r="K319" s="497"/>
      <c r="L319" s="497"/>
      <c r="M319" s="743"/>
      <c r="N319" s="743"/>
      <c r="O319" s="743"/>
      <c r="P319" s="743"/>
      <c r="Q319" s="770"/>
      <c r="R319" s="770"/>
      <c r="S319" s="467"/>
      <c r="T319" s="467"/>
      <c r="U319" s="467"/>
      <c r="V319" s="467"/>
      <c r="W319" s="467"/>
      <c r="X319" s="467"/>
      <c r="Y319" s="467"/>
      <c r="Z319" s="467"/>
    </row>
    <row r="320" spans="1:26" ht="21.95" customHeight="1">
      <c r="A320" s="320" t="s">
        <v>825</v>
      </c>
      <c r="B320" s="743"/>
      <c r="C320" s="743"/>
      <c r="D320" s="743"/>
      <c r="E320" s="743"/>
      <c r="F320" s="743"/>
      <c r="G320" s="497"/>
      <c r="H320" s="497"/>
      <c r="I320" s="497"/>
      <c r="J320" s="497"/>
      <c r="K320" s="497"/>
      <c r="L320" s="497"/>
      <c r="M320" s="497"/>
      <c r="N320" s="497"/>
      <c r="O320" s="497"/>
      <c r="P320" s="497"/>
      <c r="Q320" s="747"/>
      <c r="R320" s="770"/>
      <c r="S320" s="467"/>
      <c r="T320" s="467"/>
      <c r="U320" s="467"/>
      <c r="V320" s="467"/>
      <c r="W320" s="467"/>
      <c r="X320" s="467"/>
      <c r="Y320" s="467"/>
      <c r="Z320" s="467"/>
    </row>
    <row r="321" spans="1:26" ht="21.95" customHeight="1">
      <c r="A321" s="776" t="s">
        <v>700</v>
      </c>
      <c r="B321" s="743"/>
      <c r="C321" s="743"/>
      <c r="D321" s="743"/>
      <c r="E321" s="743"/>
      <c r="F321" s="743"/>
      <c r="G321" s="497"/>
      <c r="H321" s="497"/>
      <c r="I321" s="497"/>
      <c r="J321" s="497"/>
      <c r="K321" s="497"/>
      <c r="L321" s="497"/>
      <c r="M321" s="497"/>
      <c r="N321" s="497"/>
      <c r="O321" s="497"/>
      <c r="P321" s="497"/>
      <c r="Q321" s="747"/>
      <c r="R321" s="770"/>
      <c r="S321" s="467"/>
      <c r="T321" s="467"/>
      <c r="U321" s="467"/>
      <c r="V321" s="467"/>
      <c r="W321" s="467"/>
      <c r="X321" s="467"/>
      <c r="Y321" s="467"/>
      <c r="Z321" s="467"/>
    </row>
    <row r="322" spans="1:26" ht="21.95" customHeight="1">
      <c r="A322" s="657" t="s">
        <v>667</v>
      </c>
      <c r="B322" s="641"/>
      <c r="C322" s="641"/>
      <c r="D322" s="641"/>
      <c r="E322" s="641"/>
      <c r="F322" s="641"/>
      <c r="G322" s="641"/>
      <c r="H322" s="641"/>
      <c r="I322" s="641"/>
      <c r="J322" s="641"/>
      <c r="K322" s="641"/>
      <c r="L322" s="641"/>
      <c r="M322" s="641"/>
      <c r="N322" s="641"/>
      <c r="O322" s="641"/>
      <c r="P322" s="641"/>
      <c r="Q322" s="747"/>
      <c r="R322" s="770"/>
      <c r="S322" s="467"/>
      <c r="T322" s="467"/>
      <c r="U322" s="467"/>
      <c r="V322" s="467"/>
      <c r="W322" s="467"/>
      <c r="X322" s="467"/>
      <c r="Y322" s="467"/>
      <c r="Z322" s="467"/>
    </row>
    <row r="323" spans="1:26" ht="21.95" customHeight="1">
      <c r="A323" s="658" t="s">
        <v>53</v>
      </c>
      <c r="B323" s="1663" t="s">
        <v>668</v>
      </c>
      <c r="C323" s="1663"/>
      <c r="D323" s="1663"/>
      <c r="E323" s="763" t="s">
        <v>802</v>
      </c>
      <c r="F323" s="763"/>
      <c r="G323" s="763"/>
      <c r="H323" s="763"/>
      <c r="I323" s="763"/>
      <c r="J323" s="763"/>
      <c r="K323" s="763"/>
      <c r="L323" s="763"/>
      <c r="M323" s="763"/>
      <c r="N323" s="763"/>
      <c r="O323" s="641"/>
      <c r="P323" s="641"/>
      <c r="Q323" s="747"/>
      <c r="R323" s="770"/>
      <c r="S323" s="467"/>
      <c r="T323" s="467"/>
      <c r="U323" s="467"/>
      <c r="V323" s="467"/>
      <c r="W323" s="467"/>
      <c r="X323" s="467"/>
      <c r="Y323" s="467"/>
      <c r="Z323" s="467"/>
    </row>
    <row r="324" spans="1:26" ht="21.95" customHeight="1">
      <c r="A324" s="658" t="s">
        <v>53</v>
      </c>
      <c r="B324" s="1663" t="s">
        <v>69</v>
      </c>
      <c r="C324" s="1663"/>
      <c r="D324" s="1663"/>
      <c r="E324" s="1663"/>
      <c r="F324" s="1666">
        <v>18</v>
      </c>
      <c r="G324" s="1665"/>
      <c r="H324" s="763"/>
      <c r="I324" s="641"/>
      <c r="J324" s="641"/>
      <c r="K324" s="641"/>
      <c r="L324" s="641"/>
      <c r="M324" s="641"/>
      <c r="N324" s="641"/>
      <c r="O324" s="641"/>
      <c r="P324" s="641"/>
      <c r="Q324" s="747"/>
      <c r="R324" s="770"/>
      <c r="S324" s="467"/>
      <c r="T324" s="467"/>
      <c r="U324" s="467"/>
      <c r="V324" s="467"/>
      <c r="W324" s="467"/>
      <c r="X324" s="467"/>
      <c r="Y324" s="467"/>
      <c r="Z324" s="467"/>
    </row>
    <row r="325" spans="1:26" ht="21.95" customHeight="1">
      <c r="A325" s="658" t="s">
        <v>53</v>
      </c>
      <c r="B325" s="1663" t="s">
        <v>675</v>
      </c>
      <c r="C325" s="1663"/>
      <c r="D325" s="1663"/>
      <c r="E325" s="1663"/>
      <c r="F325" s="1664">
        <f>물질수지!Z7/2</f>
        <v>5896.2133475000001</v>
      </c>
      <c r="G325" s="1664"/>
      <c r="H325" s="1665"/>
      <c r="I325" s="783" t="s">
        <v>52</v>
      </c>
      <c r="J325" s="1666">
        <f>F324</f>
        <v>18</v>
      </c>
      <c r="K325" s="1665"/>
      <c r="L325" s="783" t="s">
        <v>582</v>
      </c>
      <c r="M325" s="1667">
        <f>F325/J325/60</f>
        <v>5.4594568032407409</v>
      </c>
      <c r="N325" s="1667"/>
      <c r="O325" s="1667"/>
      <c r="P325" s="659"/>
      <c r="Q325" s="747"/>
      <c r="R325" s="770"/>
      <c r="S325" s="467"/>
      <c r="T325" s="467"/>
      <c r="U325" s="467"/>
      <c r="V325" s="467"/>
      <c r="W325" s="467"/>
      <c r="X325" s="467"/>
      <c r="Y325" s="467"/>
      <c r="Z325" s="467"/>
    </row>
    <row r="326" spans="1:26" ht="21.95" customHeight="1">
      <c r="A326" s="658" t="s">
        <v>53</v>
      </c>
      <c r="B326" s="1663" t="s">
        <v>170</v>
      </c>
      <c r="C326" s="1663"/>
      <c r="D326" s="1663"/>
      <c r="E326" s="1663"/>
      <c r="F326" s="1668">
        <f>ROUND(M325,1)</f>
        <v>5.5</v>
      </c>
      <c r="G326" s="1668"/>
      <c r="H326" s="1669"/>
      <c r="I326" s="783"/>
      <c r="J326" s="762"/>
      <c r="K326" s="761"/>
      <c r="L326" s="783"/>
      <c r="M326" s="781"/>
      <c r="N326" s="781"/>
      <c r="O326" s="781"/>
      <c r="P326" s="659"/>
      <c r="Q326" s="747"/>
      <c r="R326" s="770"/>
      <c r="S326" s="467"/>
      <c r="T326" s="467"/>
      <c r="U326" s="467"/>
      <c r="V326" s="467"/>
      <c r="W326" s="467"/>
      <c r="X326" s="467"/>
      <c r="Y326" s="467"/>
      <c r="Z326" s="467"/>
    </row>
    <row r="327" spans="1:26" ht="21.95" customHeight="1">
      <c r="A327" s="658"/>
      <c r="B327" s="763" t="str">
        <f>"∴ 펌프의 용량은 내부순환율의 변동을 고려하여 "&amp;F326&amp;" ㎥/min 이상으로 결정한다."</f>
        <v>∴ 펌프의 용량은 내부순환율의 변동을 고려하여 5.5 ㎥/min 이상으로 결정한다.</v>
      </c>
      <c r="C327" s="763"/>
      <c r="D327" s="763"/>
      <c r="E327" s="763"/>
      <c r="F327" s="763"/>
      <c r="G327" s="763"/>
      <c r="H327" s="763"/>
      <c r="I327" s="763"/>
      <c r="J327" s="763"/>
      <c r="K327" s="763"/>
      <c r="L327" s="763"/>
      <c r="M327" s="763"/>
      <c r="N327" s="763"/>
      <c r="O327" s="763"/>
      <c r="P327" s="763"/>
      <c r="Q327" s="747"/>
      <c r="R327" s="770"/>
      <c r="S327" s="467"/>
      <c r="T327" s="467"/>
      <c r="U327" s="467"/>
      <c r="V327" s="467"/>
      <c r="W327" s="467"/>
      <c r="X327" s="467"/>
      <c r="Y327" s="467"/>
      <c r="Z327" s="467"/>
    </row>
    <row r="328" spans="1:26" ht="21.95" customHeight="1">
      <c r="A328" s="657" t="s">
        <v>676</v>
      </c>
      <c r="B328" s="641"/>
      <c r="C328" s="641"/>
      <c r="D328" s="641"/>
      <c r="E328" s="641"/>
      <c r="F328" s="641"/>
      <c r="G328" s="641"/>
      <c r="H328" s="641"/>
      <c r="I328" s="641"/>
      <c r="J328" s="641"/>
      <c r="K328" s="641"/>
      <c r="L328" s="641"/>
      <c r="M328" s="641"/>
      <c r="N328" s="641"/>
      <c r="O328" s="641"/>
      <c r="P328" s="641"/>
      <c r="Q328" s="747"/>
      <c r="R328" s="770"/>
      <c r="S328" s="467"/>
      <c r="T328" s="467"/>
      <c r="U328" s="467"/>
      <c r="V328" s="467"/>
      <c r="W328" s="467"/>
      <c r="X328" s="467"/>
      <c r="Y328" s="467"/>
      <c r="Z328" s="467"/>
    </row>
    <row r="329" spans="1:26" ht="21.95" customHeight="1" thickBot="1">
      <c r="A329" s="641"/>
      <c r="B329" s="1674" t="s">
        <v>650</v>
      </c>
      <c r="C329" s="1674"/>
      <c r="D329" s="1674"/>
      <c r="E329" s="1674" t="s">
        <v>651</v>
      </c>
      <c r="F329" s="1674"/>
      <c r="G329" s="1675" t="s">
        <v>652</v>
      </c>
      <c r="H329" s="1676"/>
      <c r="I329" s="1676"/>
      <c r="J329" s="1676"/>
      <c r="K329" s="1676"/>
      <c r="L329" s="1676"/>
      <c r="M329" s="1675" t="s">
        <v>653</v>
      </c>
      <c r="N329" s="1676"/>
      <c r="O329" s="1676"/>
      <c r="P329" s="1677"/>
      <c r="Q329" s="747"/>
      <c r="R329" s="770"/>
      <c r="S329" s="467"/>
      <c r="T329" s="467"/>
      <c r="U329" s="467"/>
      <c r="V329" s="467"/>
      <c r="W329" s="467"/>
      <c r="X329" s="467"/>
      <c r="Y329" s="467"/>
      <c r="Z329" s="467"/>
    </row>
    <row r="330" spans="1:26" ht="21.95" customHeight="1" thickTop="1">
      <c r="A330" s="641"/>
      <c r="B330" s="1678" t="s">
        <v>654</v>
      </c>
      <c r="C330" s="1678"/>
      <c r="D330" s="1678"/>
      <c r="E330" s="1670" t="s">
        <v>655</v>
      </c>
      <c r="F330" s="1670"/>
      <c r="G330" s="1679">
        <f>F326</f>
        <v>5.5</v>
      </c>
      <c r="H330" s="1680"/>
      <c r="I330" s="1680"/>
      <c r="J330" s="1680"/>
      <c r="K330" s="1680"/>
      <c r="L330" s="1680"/>
      <c r="M330" s="1681"/>
      <c r="N330" s="1682"/>
      <c r="O330" s="1682"/>
      <c r="P330" s="1683"/>
      <c r="Q330" s="747"/>
      <c r="R330" s="770"/>
      <c r="S330" s="467"/>
      <c r="T330" s="467"/>
      <c r="U330" s="467"/>
      <c r="V330" s="467"/>
      <c r="W330" s="467"/>
      <c r="X330" s="467"/>
      <c r="Y330" s="467"/>
      <c r="Z330" s="467"/>
    </row>
    <row r="331" spans="1:26" ht="21.95" customHeight="1">
      <c r="A331" s="641"/>
      <c r="B331" s="1670" t="s">
        <v>656</v>
      </c>
      <c r="C331" s="1670"/>
      <c r="D331" s="1670"/>
      <c r="E331" s="1670" t="s">
        <v>657</v>
      </c>
      <c r="F331" s="1670"/>
      <c r="G331" s="1684">
        <v>80</v>
      </c>
      <c r="H331" s="1685"/>
      <c r="I331" s="1685"/>
      <c r="J331" s="1685"/>
      <c r="K331" s="1685"/>
      <c r="L331" s="1685"/>
      <c r="M331" s="1671"/>
      <c r="N331" s="1672"/>
      <c r="O331" s="1672"/>
      <c r="P331" s="1673"/>
      <c r="Q331" s="747"/>
      <c r="R331" s="770"/>
      <c r="S331" s="467"/>
      <c r="T331" s="467"/>
      <c r="U331" s="467"/>
      <c r="V331" s="467"/>
      <c r="W331" s="467"/>
      <c r="X331" s="467"/>
      <c r="Y331" s="467"/>
      <c r="Z331" s="467"/>
    </row>
    <row r="332" spans="1:26" ht="21.95" customHeight="1">
      <c r="A332" s="641"/>
      <c r="B332" s="1670" t="s">
        <v>677</v>
      </c>
      <c r="C332" s="1670"/>
      <c r="D332" s="1670"/>
      <c r="E332" s="1670" t="s">
        <v>61</v>
      </c>
      <c r="F332" s="1670"/>
      <c r="G332" s="1684">
        <v>10</v>
      </c>
      <c r="H332" s="1685"/>
      <c r="I332" s="1685"/>
      <c r="J332" s="1685"/>
      <c r="K332" s="1685"/>
      <c r="L332" s="1685"/>
      <c r="M332" s="1671"/>
      <c r="N332" s="1672"/>
      <c r="O332" s="1672"/>
      <c r="P332" s="1673"/>
      <c r="Q332" s="747"/>
      <c r="R332" s="770"/>
      <c r="S332" s="467"/>
      <c r="T332" s="467"/>
      <c r="U332" s="467"/>
      <c r="V332" s="467"/>
      <c r="W332" s="467"/>
      <c r="X332" s="467"/>
      <c r="Y332" s="467"/>
      <c r="Z332" s="467"/>
    </row>
    <row r="333" spans="1:26" ht="21.95" customHeight="1">
      <c r="A333" s="641"/>
      <c r="B333" s="1686" t="s">
        <v>660</v>
      </c>
      <c r="C333" s="1686"/>
      <c r="D333" s="1686"/>
      <c r="E333" s="1686" t="s">
        <v>53</v>
      </c>
      <c r="F333" s="1686"/>
      <c r="G333" s="1488" t="s">
        <v>814</v>
      </c>
      <c r="H333" s="1489"/>
      <c r="I333" s="1489"/>
      <c r="J333" s="1489"/>
      <c r="K333" s="1489"/>
      <c r="L333" s="1653"/>
      <c r="M333" s="1671"/>
      <c r="N333" s="1672"/>
      <c r="O333" s="1672"/>
      <c r="P333" s="1673"/>
      <c r="Q333" s="747"/>
      <c r="R333" s="770"/>
      <c r="S333" s="467"/>
      <c r="T333" s="467"/>
      <c r="U333" s="467"/>
      <c r="V333" s="467"/>
      <c r="W333" s="467"/>
      <c r="X333" s="467"/>
      <c r="Y333" s="467"/>
      <c r="Z333" s="467"/>
    </row>
    <row r="334" spans="1:26" ht="21.95" customHeight="1">
      <c r="A334" s="641"/>
      <c r="B334" s="1670" t="s">
        <v>661</v>
      </c>
      <c r="C334" s="1670"/>
      <c r="D334" s="1670"/>
      <c r="E334" s="1670" t="s">
        <v>662</v>
      </c>
      <c r="F334" s="1670"/>
      <c r="G334" s="1684">
        <v>3.7</v>
      </c>
      <c r="H334" s="1685"/>
      <c r="I334" s="1685"/>
      <c r="J334" s="1685"/>
      <c r="K334" s="1685"/>
      <c r="L334" s="1685"/>
      <c r="M334" s="1671"/>
      <c r="N334" s="1672"/>
      <c r="O334" s="1672"/>
      <c r="P334" s="1673"/>
      <c r="Q334" s="747"/>
      <c r="R334" s="770"/>
      <c r="S334" s="467"/>
      <c r="T334" s="467"/>
      <c r="U334" s="467"/>
      <c r="V334" s="467"/>
      <c r="W334" s="467"/>
      <c r="X334" s="467"/>
      <c r="Y334" s="467"/>
      <c r="Z334" s="467"/>
    </row>
    <row r="335" spans="1:26" ht="21.95" customHeight="1">
      <c r="A335" s="641"/>
      <c r="B335" s="1670" t="s">
        <v>663</v>
      </c>
      <c r="C335" s="1670"/>
      <c r="D335" s="1670"/>
      <c r="E335" s="1670" t="s">
        <v>664</v>
      </c>
      <c r="F335" s="1670"/>
      <c r="G335" s="1684">
        <v>1</v>
      </c>
      <c r="H335" s="1685"/>
      <c r="I335" s="1685"/>
      <c r="J335" s="1685"/>
      <c r="K335" s="1685"/>
      <c r="L335" s="1685"/>
      <c r="M335" s="1671"/>
      <c r="N335" s="1672"/>
      <c r="O335" s="1672"/>
      <c r="P335" s="1673"/>
      <c r="Q335" s="747"/>
      <c r="R335" s="770"/>
      <c r="S335" s="467"/>
      <c r="T335" s="467"/>
      <c r="U335" s="467"/>
      <c r="V335" s="467"/>
      <c r="W335" s="467"/>
      <c r="X335" s="467"/>
      <c r="Y335" s="467"/>
      <c r="Z335" s="467"/>
    </row>
    <row r="336" spans="1:26" ht="21.95" customHeight="1">
      <c r="A336" s="641"/>
      <c r="B336" s="782"/>
      <c r="C336" s="782"/>
      <c r="D336" s="782"/>
      <c r="E336" s="782"/>
      <c r="F336" s="782"/>
      <c r="G336" s="660"/>
      <c r="H336" s="660"/>
      <c r="I336" s="660"/>
      <c r="J336" s="660"/>
      <c r="K336" s="660"/>
      <c r="L336" s="660"/>
      <c r="M336" s="782"/>
      <c r="N336" s="782"/>
      <c r="O336" s="782"/>
      <c r="P336" s="782"/>
      <c r="Q336" s="747"/>
      <c r="R336" s="770"/>
      <c r="S336" s="467"/>
      <c r="T336" s="467"/>
      <c r="U336" s="467"/>
      <c r="V336" s="467"/>
      <c r="W336" s="467"/>
      <c r="X336" s="467"/>
      <c r="Y336" s="467"/>
      <c r="Z336" s="467"/>
    </row>
    <row r="337" spans="1:26" ht="21.95" customHeight="1">
      <c r="A337" s="611" t="s">
        <v>826</v>
      </c>
      <c r="B337" s="609"/>
      <c r="C337" s="609"/>
      <c r="D337" s="609"/>
      <c r="E337" s="609"/>
      <c r="F337" s="609"/>
      <c r="G337" s="757"/>
      <c r="H337" s="760"/>
      <c r="I337" s="757"/>
      <c r="J337" s="759"/>
      <c r="K337" s="759"/>
      <c r="L337" s="770"/>
      <c r="M337" s="770"/>
      <c r="N337" s="770"/>
      <c r="O337" s="770"/>
      <c r="P337" s="770"/>
      <c r="Q337" s="770"/>
      <c r="R337" s="770"/>
      <c r="S337" s="467"/>
      <c r="T337" s="467"/>
      <c r="U337" s="467"/>
      <c r="V337" s="467"/>
      <c r="W337" s="467"/>
      <c r="X337" s="467"/>
      <c r="Y337" s="467"/>
      <c r="Z337" s="467"/>
    </row>
    <row r="338" spans="1:26" ht="20.100000000000001" customHeight="1">
      <c r="A338" s="776" t="s">
        <v>813</v>
      </c>
      <c r="B338" s="770"/>
      <c r="C338" s="770"/>
      <c r="D338" s="770"/>
      <c r="E338" s="770"/>
      <c r="F338" s="770"/>
      <c r="G338" s="770"/>
      <c r="H338" s="770"/>
      <c r="I338" s="770"/>
      <c r="J338" s="770"/>
      <c r="K338" s="770"/>
      <c r="L338" s="770"/>
      <c r="M338" s="770"/>
      <c r="N338" s="770"/>
      <c r="O338" s="770"/>
      <c r="P338" s="770"/>
      <c r="Q338" s="770"/>
      <c r="R338" s="770"/>
      <c r="S338" s="321"/>
      <c r="T338" s="321"/>
      <c r="U338" s="321"/>
    </row>
    <row r="339" spans="1:26" ht="20.100000000000001" customHeight="1">
      <c r="A339" s="657" t="s">
        <v>2</v>
      </c>
      <c r="B339" s="641"/>
      <c r="C339" s="641"/>
      <c r="D339" s="641"/>
      <c r="E339" s="641"/>
      <c r="F339" s="641"/>
      <c r="G339" s="641"/>
      <c r="H339" s="641"/>
      <c r="I339" s="641"/>
      <c r="J339" s="641"/>
      <c r="K339" s="641"/>
      <c r="L339" s="641"/>
      <c r="M339" s="641"/>
      <c r="N339" s="641"/>
      <c r="O339" s="641"/>
      <c r="P339" s="641"/>
      <c r="Q339" s="747"/>
      <c r="R339" s="770"/>
      <c r="S339" s="321"/>
      <c r="T339" s="321"/>
      <c r="U339" s="321"/>
    </row>
    <row r="340" spans="1:26" ht="20.100000000000001" customHeight="1" thickBot="1">
      <c r="A340" s="641"/>
      <c r="B340" s="1674" t="s">
        <v>24</v>
      </c>
      <c r="C340" s="1674"/>
      <c r="D340" s="1674"/>
      <c r="E340" s="1674" t="s">
        <v>64</v>
      </c>
      <c r="F340" s="1674"/>
      <c r="G340" s="1675" t="s">
        <v>65</v>
      </c>
      <c r="H340" s="1676"/>
      <c r="I340" s="1676"/>
      <c r="J340" s="1676"/>
      <c r="K340" s="1676"/>
      <c r="L340" s="1676"/>
      <c r="M340" s="1675" t="s">
        <v>63</v>
      </c>
      <c r="N340" s="1676"/>
      <c r="O340" s="1676"/>
      <c r="P340" s="1677"/>
      <c r="Q340" s="747"/>
      <c r="R340" s="770"/>
      <c r="S340" s="321"/>
      <c r="T340" s="321"/>
      <c r="U340" s="321"/>
    </row>
    <row r="341" spans="1:26" ht="20.100000000000001" customHeight="1" thickTop="1">
      <c r="A341" s="641"/>
      <c r="B341" s="1678" t="s">
        <v>67</v>
      </c>
      <c r="C341" s="1678"/>
      <c r="D341" s="1678"/>
      <c r="E341" s="1670" t="s">
        <v>31</v>
      </c>
      <c r="F341" s="1670"/>
      <c r="G341" s="1679">
        <f>물질수지!I48/2</f>
        <v>99.648750000000007</v>
      </c>
      <c r="H341" s="1680"/>
      <c r="I341" s="1680"/>
      <c r="J341" s="1680"/>
      <c r="K341" s="1680"/>
      <c r="L341" s="1680"/>
      <c r="M341" s="1681"/>
      <c r="N341" s="1682"/>
      <c r="O341" s="1682"/>
      <c r="P341" s="1683"/>
      <c r="Q341" s="747"/>
      <c r="R341" s="770"/>
      <c r="S341" s="321"/>
      <c r="T341" s="321"/>
      <c r="U341" s="321"/>
    </row>
    <row r="342" spans="1:26" ht="20.100000000000001" customHeight="1">
      <c r="A342" s="641"/>
      <c r="B342" s="1686" t="s">
        <v>66</v>
      </c>
      <c r="C342" s="1686"/>
      <c r="D342" s="1686"/>
      <c r="E342" s="1686" t="s">
        <v>53</v>
      </c>
      <c r="F342" s="1686"/>
      <c r="G342" s="1488" t="s">
        <v>819</v>
      </c>
      <c r="H342" s="1489"/>
      <c r="I342" s="1489"/>
      <c r="J342" s="1489"/>
      <c r="K342" s="1489"/>
      <c r="L342" s="1653"/>
      <c r="M342" s="1671"/>
      <c r="N342" s="1672"/>
      <c r="O342" s="1672"/>
      <c r="P342" s="1673"/>
      <c r="Q342" s="747"/>
      <c r="R342" s="770"/>
      <c r="S342" s="321"/>
      <c r="T342" s="321"/>
      <c r="U342" s="321"/>
    </row>
    <row r="343" spans="1:26" ht="20.100000000000001" customHeight="1">
      <c r="A343" s="641"/>
      <c r="B343" s="1670" t="s">
        <v>32</v>
      </c>
      <c r="C343" s="1670"/>
      <c r="D343" s="1670"/>
      <c r="E343" s="1670" t="s">
        <v>33</v>
      </c>
      <c r="F343" s="1670"/>
      <c r="G343" s="1684">
        <v>10</v>
      </c>
      <c r="H343" s="1685"/>
      <c r="I343" s="1685"/>
      <c r="J343" s="1685"/>
      <c r="K343" s="1685"/>
      <c r="L343" s="1685"/>
      <c r="M343" s="1671"/>
      <c r="N343" s="1672"/>
      <c r="O343" s="1672"/>
      <c r="P343" s="1673"/>
      <c r="Q343" s="747"/>
      <c r="R343" s="770"/>
      <c r="S343" s="321"/>
      <c r="T343" s="321"/>
      <c r="U343" s="321"/>
    </row>
    <row r="344" spans="1:26" ht="20.100000000000001" customHeight="1">
      <c r="A344" s="641"/>
      <c r="B344" s="1670" t="s">
        <v>34</v>
      </c>
      <c r="C344" s="1670"/>
      <c r="D344" s="1670"/>
      <c r="E344" s="1670" t="s">
        <v>35</v>
      </c>
      <c r="F344" s="1670"/>
      <c r="G344" s="1684">
        <v>1</v>
      </c>
      <c r="H344" s="1685"/>
      <c r="I344" s="1685"/>
      <c r="J344" s="1685"/>
      <c r="K344" s="1685"/>
      <c r="L344" s="1685"/>
      <c r="M344" s="1671"/>
      <c r="N344" s="1672"/>
      <c r="O344" s="1672"/>
      <c r="P344" s="1673"/>
      <c r="Q344" s="747"/>
      <c r="R344" s="770"/>
      <c r="S344" s="321"/>
      <c r="T344" s="321"/>
      <c r="U344" s="321"/>
    </row>
    <row r="345" spans="1:26" ht="20.100000000000001" customHeight="1">
      <c r="A345" s="321"/>
      <c r="B345" s="321"/>
      <c r="C345" s="321"/>
      <c r="D345" s="321"/>
      <c r="E345" s="321"/>
      <c r="F345" s="321"/>
      <c r="G345" s="321"/>
      <c r="H345" s="321"/>
      <c r="I345" s="321"/>
      <c r="J345" s="321"/>
      <c r="K345" s="321"/>
      <c r="L345" s="321"/>
      <c r="M345" s="321"/>
      <c r="N345" s="321"/>
      <c r="O345" s="321"/>
      <c r="P345" s="321"/>
      <c r="Q345" s="321"/>
      <c r="R345" s="321"/>
      <c r="S345" s="321"/>
      <c r="T345" s="321"/>
      <c r="U345" s="321"/>
    </row>
    <row r="346" spans="1:26" ht="20.100000000000001" customHeight="1">
      <c r="A346" s="321"/>
      <c r="B346" s="321"/>
      <c r="C346" s="321"/>
      <c r="D346" s="321"/>
      <c r="E346" s="321"/>
      <c r="F346" s="321"/>
      <c r="G346" s="321"/>
      <c r="H346" s="321"/>
      <c r="I346" s="321"/>
      <c r="J346" s="321"/>
      <c r="K346" s="321"/>
      <c r="L346" s="321"/>
      <c r="M346" s="321"/>
      <c r="N346" s="321"/>
      <c r="O346" s="321"/>
      <c r="P346" s="321"/>
      <c r="Q346" s="321"/>
      <c r="R346" s="321"/>
      <c r="S346" s="321"/>
      <c r="T346" s="321"/>
      <c r="U346" s="321"/>
    </row>
    <row r="347" spans="1:26" ht="20.100000000000001" customHeight="1">
      <c r="A347" s="321"/>
      <c r="B347" s="321"/>
      <c r="C347" s="321"/>
      <c r="D347" s="321"/>
      <c r="E347" s="321"/>
      <c r="F347" s="321"/>
      <c r="G347" s="321"/>
      <c r="H347" s="321"/>
      <c r="I347" s="321"/>
      <c r="J347" s="321"/>
      <c r="K347" s="321"/>
      <c r="L347" s="321"/>
      <c r="M347" s="321"/>
      <c r="N347" s="321"/>
      <c r="O347" s="321"/>
      <c r="P347" s="321"/>
    </row>
    <row r="348" spans="1:26" ht="20.100000000000001" customHeight="1">
      <c r="A348" s="321"/>
      <c r="B348" s="321"/>
      <c r="C348" s="321"/>
      <c r="D348" s="321"/>
      <c r="E348" s="321"/>
      <c r="F348" s="321"/>
      <c r="G348" s="321"/>
      <c r="H348" s="321"/>
      <c r="I348" s="321"/>
      <c r="J348" s="321"/>
      <c r="K348" s="321"/>
      <c r="L348" s="321"/>
      <c r="M348" s="321"/>
      <c r="N348" s="321"/>
      <c r="O348" s="321"/>
      <c r="P348" s="321"/>
    </row>
    <row r="349" spans="1:26" ht="20.100000000000001" customHeight="1">
      <c r="A349" s="321"/>
      <c r="B349" s="321"/>
      <c r="C349" s="321"/>
      <c r="D349" s="321"/>
      <c r="E349" s="321"/>
      <c r="F349" s="321"/>
      <c r="G349" s="321"/>
      <c r="H349" s="321"/>
      <c r="I349" s="321"/>
      <c r="J349" s="321"/>
      <c r="K349" s="321"/>
      <c r="L349" s="321"/>
      <c r="M349" s="321"/>
      <c r="N349" s="321"/>
      <c r="O349" s="321"/>
      <c r="P349" s="321"/>
    </row>
    <row r="350" spans="1:26" ht="20.100000000000001" customHeight="1">
      <c r="A350" s="321"/>
      <c r="B350" s="321"/>
      <c r="C350" s="321"/>
      <c r="D350" s="321"/>
      <c r="E350" s="321"/>
      <c r="F350" s="321"/>
      <c r="G350" s="321"/>
      <c r="H350" s="321"/>
      <c r="I350" s="321"/>
      <c r="J350" s="321"/>
      <c r="K350" s="321"/>
      <c r="L350" s="321"/>
      <c r="M350" s="321"/>
      <c r="N350" s="321"/>
      <c r="O350" s="321"/>
      <c r="P350" s="321"/>
    </row>
    <row r="351" spans="1:26" ht="20.100000000000001" customHeight="1">
      <c r="A351" s="321"/>
      <c r="B351" s="321"/>
      <c r="C351" s="321"/>
      <c r="D351" s="321"/>
      <c r="E351" s="321"/>
      <c r="F351" s="321"/>
      <c r="G351" s="321"/>
      <c r="H351" s="321"/>
      <c r="I351" s="321"/>
      <c r="J351" s="321"/>
      <c r="K351" s="321"/>
      <c r="L351" s="321"/>
      <c r="M351" s="321"/>
      <c r="N351" s="321"/>
      <c r="O351" s="321"/>
      <c r="P351" s="321"/>
    </row>
    <row r="352" spans="1:26" ht="20.100000000000001" customHeight="1">
      <c r="A352" s="321"/>
      <c r="B352" s="321"/>
      <c r="C352" s="321"/>
      <c r="D352" s="321"/>
      <c r="E352" s="321"/>
      <c r="F352" s="321"/>
      <c r="G352" s="321"/>
      <c r="H352" s="321"/>
      <c r="I352" s="321"/>
      <c r="J352" s="321"/>
      <c r="K352" s="321"/>
      <c r="L352" s="321"/>
      <c r="M352" s="321"/>
      <c r="N352" s="321"/>
      <c r="O352" s="321"/>
      <c r="P352" s="321"/>
    </row>
    <row r="353" spans="1:16" ht="20.100000000000001" customHeight="1">
      <c r="A353" s="321"/>
      <c r="B353" s="321"/>
      <c r="C353" s="321"/>
      <c r="D353" s="321"/>
      <c r="E353" s="321"/>
      <c r="F353" s="321"/>
      <c r="G353" s="321"/>
      <c r="H353" s="321"/>
      <c r="I353" s="321"/>
      <c r="J353" s="321"/>
      <c r="K353" s="321"/>
      <c r="L353" s="321"/>
      <c r="M353" s="321"/>
      <c r="N353" s="321"/>
      <c r="O353" s="321"/>
      <c r="P353" s="321"/>
    </row>
    <row r="354" spans="1:16" ht="20.100000000000001" customHeight="1">
      <c r="A354" s="321"/>
      <c r="B354" s="321"/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1"/>
    </row>
    <row r="355" spans="1:16" ht="20.100000000000001" customHeight="1">
      <c r="A355" s="321"/>
      <c r="B355" s="321"/>
      <c r="C355" s="321"/>
      <c r="D355" s="321"/>
      <c r="E355" s="321"/>
      <c r="F355" s="321"/>
      <c r="G355" s="321"/>
      <c r="H355" s="321"/>
      <c r="I355" s="321"/>
      <c r="J355" s="321"/>
      <c r="K355" s="321"/>
      <c r="L355" s="321"/>
      <c r="M355" s="321"/>
      <c r="N355" s="321"/>
      <c r="O355" s="321"/>
      <c r="P355" s="321"/>
    </row>
    <row r="356" spans="1:16" ht="20.100000000000001" customHeight="1">
      <c r="A356" s="321"/>
      <c r="B356" s="321"/>
      <c r="C356" s="321"/>
      <c r="D356" s="321"/>
      <c r="E356" s="321"/>
      <c r="F356" s="321"/>
      <c r="G356" s="321"/>
      <c r="H356" s="321"/>
      <c r="I356" s="321"/>
      <c r="J356" s="321"/>
      <c r="K356" s="321"/>
      <c r="L356" s="321"/>
      <c r="M356" s="321"/>
      <c r="N356" s="321"/>
      <c r="O356" s="321"/>
      <c r="P356" s="321"/>
    </row>
    <row r="357" spans="1:16" ht="20.100000000000001" customHeight="1">
      <c r="A357" s="321"/>
      <c r="B357" s="321"/>
      <c r="C357" s="321"/>
      <c r="D357" s="321"/>
      <c r="E357" s="321"/>
      <c r="F357" s="321"/>
      <c r="G357" s="321"/>
      <c r="H357" s="321"/>
      <c r="I357" s="321"/>
      <c r="J357" s="321"/>
      <c r="K357" s="321"/>
      <c r="L357" s="321"/>
      <c r="M357" s="321"/>
      <c r="N357" s="321"/>
      <c r="O357" s="321"/>
      <c r="P357" s="321"/>
    </row>
    <row r="358" spans="1:16" ht="20.100000000000001" customHeight="1">
      <c r="A358" s="321"/>
      <c r="B358" s="321"/>
      <c r="C358" s="321"/>
      <c r="D358" s="321"/>
      <c r="E358" s="321"/>
      <c r="F358" s="321"/>
      <c r="G358" s="321"/>
      <c r="H358" s="321"/>
      <c r="I358" s="321"/>
      <c r="J358" s="321"/>
      <c r="K358" s="321"/>
      <c r="L358" s="321"/>
      <c r="M358" s="321"/>
      <c r="N358" s="321"/>
      <c r="O358" s="321"/>
      <c r="P358" s="321"/>
    </row>
    <row r="359" spans="1:16" ht="20.100000000000001" customHeight="1">
      <c r="A359" s="321"/>
      <c r="B359" s="321"/>
      <c r="C359" s="321"/>
      <c r="D359" s="321"/>
      <c r="E359" s="321"/>
      <c r="F359" s="321"/>
      <c r="G359" s="321"/>
      <c r="H359" s="321"/>
      <c r="I359" s="321"/>
      <c r="J359" s="321"/>
      <c r="K359" s="321"/>
      <c r="L359" s="321"/>
      <c r="M359" s="321"/>
      <c r="N359" s="321"/>
      <c r="O359" s="321"/>
      <c r="P359" s="321"/>
    </row>
    <row r="360" spans="1:16" ht="20.100000000000001" customHeight="1">
      <c r="A360" s="321"/>
      <c r="B360" s="321"/>
      <c r="C360" s="321"/>
      <c r="D360" s="321"/>
      <c r="E360" s="321"/>
      <c r="F360" s="321"/>
      <c r="G360" s="321"/>
      <c r="H360" s="321"/>
      <c r="I360" s="321"/>
      <c r="J360" s="321"/>
      <c r="K360" s="321"/>
      <c r="L360" s="321"/>
      <c r="M360" s="321"/>
      <c r="N360" s="321"/>
      <c r="O360" s="321"/>
      <c r="P360" s="321"/>
    </row>
    <row r="361" spans="1:16" ht="20.100000000000001" customHeight="1">
      <c r="A361" s="321"/>
      <c r="B361" s="321"/>
      <c r="C361" s="321"/>
      <c r="D361" s="321"/>
      <c r="E361" s="321"/>
      <c r="F361" s="321"/>
      <c r="G361" s="321"/>
      <c r="H361" s="321"/>
      <c r="I361" s="321"/>
      <c r="J361" s="321"/>
      <c r="K361" s="321"/>
      <c r="L361" s="321"/>
      <c r="M361" s="321"/>
      <c r="N361" s="321"/>
      <c r="O361" s="321"/>
      <c r="P361" s="321"/>
    </row>
    <row r="362" spans="1:16" ht="20.100000000000001" customHeight="1">
      <c r="A362" s="321"/>
      <c r="B362" s="321"/>
      <c r="C362" s="321"/>
      <c r="D362" s="321"/>
      <c r="E362" s="321"/>
      <c r="F362" s="321"/>
      <c r="G362" s="321"/>
      <c r="H362" s="321"/>
      <c r="I362" s="321"/>
      <c r="J362" s="321"/>
      <c r="K362" s="321"/>
      <c r="L362" s="321"/>
      <c r="M362" s="321"/>
      <c r="N362" s="321"/>
      <c r="O362" s="321"/>
      <c r="P362" s="321"/>
    </row>
    <row r="363" spans="1:16" ht="20.100000000000001" customHeight="1">
      <c r="A363" s="321"/>
      <c r="B363" s="321"/>
      <c r="C363" s="321"/>
      <c r="D363" s="321"/>
      <c r="E363" s="321"/>
      <c r="F363" s="321"/>
      <c r="G363" s="321"/>
      <c r="H363" s="321"/>
      <c r="I363" s="321"/>
      <c r="J363" s="321"/>
      <c r="K363" s="321"/>
      <c r="L363" s="321"/>
      <c r="M363" s="321"/>
      <c r="N363" s="321"/>
      <c r="O363" s="321"/>
      <c r="P363" s="321"/>
    </row>
    <row r="364" spans="1:16" ht="20.100000000000001" customHeight="1">
      <c r="A364" s="321"/>
      <c r="B364" s="321"/>
      <c r="C364" s="321"/>
      <c r="D364" s="321"/>
      <c r="E364" s="321"/>
      <c r="F364" s="321"/>
      <c r="G364" s="321"/>
      <c r="H364" s="321"/>
      <c r="I364" s="321"/>
      <c r="J364" s="321"/>
      <c r="K364" s="321"/>
      <c r="L364" s="321"/>
      <c r="M364" s="321"/>
      <c r="N364" s="321"/>
      <c r="O364" s="321"/>
      <c r="P364" s="321"/>
    </row>
    <row r="365" spans="1:16" ht="20.100000000000001" customHeight="1">
      <c r="A365" s="321"/>
      <c r="B365" s="321"/>
      <c r="C365" s="321"/>
      <c r="D365" s="321"/>
      <c r="E365" s="321"/>
      <c r="F365" s="321"/>
      <c r="G365" s="321"/>
      <c r="H365" s="321"/>
      <c r="I365" s="321"/>
      <c r="J365" s="321"/>
      <c r="K365" s="321"/>
      <c r="L365" s="321"/>
      <c r="M365" s="321"/>
      <c r="N365" s="321"/>
      <c r="O365" s="321"/>
      <c r="P365" s="321"/>
    </row>
    <row r="366" spans="1:16" ht="20.100000000000001" customHeight="1">
      <c r="A366" s="321"/>
      <c r="B366" s="321"/>
      <c r="C366" s="321"/>
      <c r="D366" s="321"/>
      <c r="E366" s="321"/>
      <c r="F366" s="321"/>
      <c r="G366" s="321"/>
      <c r="H366" s="321"/>
      <c r="I366" s="321"/>
      <c r="J366" s="321"/>
      <c r="K366" s="321"/>
      <c r="L366" s="321"/>
      <c r="M366" s="321"/>
      <c r="N366" s="321"/>
      <c r="O366" s="321"/>
      <c r="P366" s="321"/>
    </row>
    <row r="367" spans="1:16" ht="20.100000000000001" customHeight="1">
      <c r="A367" s="321"/>
      <c r="B367" s="321"/>
      <c r="C367" s="321"/>
      <c r="D367" s="321"/>
      <c r="E367" s="321"/>
      <c r="F367" s="321"/>
      <c r="G367" s="321"/>
      <c r="H367" s="321"/>
      <c r="I367" s="321"/>
      <c r="J367" s="321"/>
      <c r="K367" s="321"/>
      <c r="L367" s="321"/>
      <c r="M367" s="321"/>
      <c r="N367" s="321"/>
      <c r="O367" s="321"/>
      <c r="P367" s="321"/>
    </row>
    <row r="368" spans="1:16" ht="20.100000000000001" customHeight="1">
      <c r="A368" s="321"/>
      <c r="B368" s="321"/>
      <c r="C368" s="321"/>
      <c r="D368" s="321"/>
      <c r="E368" s="321"/>
      <c r="F368" s="321"/>
      <c r="G368" s="321"/>
      <c r="H368" s="321"/>
      <c r="I368" s="321"/>
      <c r="J368" s="321"/>
      <c r="K368" s="321"/>
      <c r="L368" s="321"/>
      <c r="M368" s="321"/>
      <c r="N368" s="321"/>
      <c r="O368" s="321"/>
      <c r="P368" s="321"/>
    </row>
    <row r="369" spans="1:16" ht="20.100000000000001" customHeight="1">
      <c r="A369" s="321"/>
      <c r="B369" s="321"/>
      <c r="C369" s="321"/>
      <c r="D369" s="321"/>
      <c r="E369" s="321"/>
      <c r="F369" s="321"/>
      <c r="G369" s="321"/>
      <c r="H369" s="321"/>
      <c r="I369" s="321"/>
      <c r="J369" s="321"/>
      <c r="K369" s="321"/>
      <c r="L369" s="321"/>
      <c r="M369" s="321"/>
      <c r="N369" s="321"/>
      <c r="O369" s="321"/>
      <c r="P369" s="321"/>
    </row>
    <row r="370" spans="1:16" ht="20.100000000000001" customHeight="1">
      <c r="A370" s="321"/>
      <c r="B370" s="321"/>
      <c r="C370" s="321"/>
      <c r="D370" s="321"/>
      <c r="E370" s="321"/>
      <c r="F370" s="321"/>
      <c r="G370" s="321"/>
      <c r="H370" s="321"/>
      <c r="I370" s="321"/>
      <c r="J370" s="321"/>
      <c r="K370" s="321"/>
      <c r="L370" s="321"/>
      <c r="M370" s="321"/>
      <c r="N370" s="321"/>
      <c r="O370" s="321"/>
      <c r="P370" s="321"/>
    </row>
    <row r="371" spans="1:16" ht="20.100000000000001" customHeight="1">
      <c r="A371" s="321"/>
      <c r="B371" s="321"/>
      <c r="C371" s="321"/>
      <c r="D371" s="321"/>
      <c r="E371" s="321"/>
      <c r="F371" s="321"/>
      <c r="G371" s="321"/>
      <c r="H371" s="321"/>
      <c r="I371" s="321"/>
      <c r="J371" s="321"/>
      <c r="K371" s="321"/>
      <c r="L371" s="321"/>
      <c r="M371" s="321"/>
      <c r="N371" s="321"/>
      <c r="O371" s="321"/>
      <c r="P371" s="321"/>
    </row>
    <row r="372" spans="1:16" ht="20.100000000000001" customHeight="1">
      <c r="A372" s="321"/>
      <c r="B372" s="321"/>
      <c r="C372" s="321"/>
      <c r="D372" s="321"/>
      <c r="E372" s="321"/>
      <c r="F372" s="321"/>
      <c r="G372" s="321"/>
      <c r="H372" s="321"/>
      <c r="I372" s="321"/>
      <c r="J372" s="321"/>
      <c r="K372" s="321"/>
      <c r="L372" s="321"/>
      <c r="M372" s="321"/>
      <c r="N372" s="321"/>
      <c r="O372" s="321"/>
      <c r="P372" s="321"/>
    </row>
    <row r="373" spans="1:16" ht="20.100000000000001" customHeight="1">
      <c r="A373" s="321"/>
      <c r="B373" s="321"/>
      <c r="C373" s="321"/>
      <c r="D373" s="321"/>
      <c r="E373" s="321"/>
      <c r="F373" s="321"/>
      <c r="G373" s="321"/>
      <c r="H373" s="321"/>
      <c r="I373" s="321"/>
      <c r="J373" s="321"/>
      <c r="K373" s="321"/>
      <c r="L373" s="321"/>
      <c r="M373" s="321"/>
      <c r="N373" s="321"/>
      <c r="O373" s="321"/>
      <c r="P373" s="321"/>
    </row>
    <row r="374" spans="1:16" ht="20.100000000000001" customHeight="1">
      <c r="A374" s="321"/>
      <c r="B374" s="321"/>
      <c r="C374" s="321"/>
      <c r="D374" s="321"/>
      <c r="E374" s="321"/>
      <c r="F374" s="321"/>
      <c r="G374" s="321"/>
      <c r="H374" s="321"/>
      <c r="I374" s="321"/>
      <c r="J374" s="321"/>
      <c r="K374" s="321"/>
      <c r="L374" s="321"/>
      <c r="M374" s="321"/>
      <c r="N374" s="321"/>
      <c r="O374" s="321"/>
      <c r="P374" s="321"/>
    </row>
    <row r="375" spans="1:16" ht="20.100000000000001" customHeight="1">
      <c r="A375" s="321"/>
      <c r="B375" s="321"/>
      <c r="C375" s="321"/>
      <c r="D375" s="321"/>
      <c r="E375" s="321"/>
      <c r="F375" s="321"/>
      <c r="G375" s="321"/>
      <c r="H375" s="321"/>
      <c r="I375" s="321"/>
      <c r="J375" s="321"/>
      <c r="K375" s="321"/>
      <c r="L375" s="321"/>
      <c r="M375" s="321"/>
      <c r="N375" s="321"/>
      <c r="O375" s="321"/>
      <c r="P375" s="321"/>
    </row>
    <row r="376" spans="1:16" ht="20.100000000000001" customHeight="1">
      <c r="A376" s="321"/>
      <c r="B376" s="321"/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321"/>
    </row>
    <row r="377" spans="1:16" ht="20.100000000000001" customHeight="1">
      <c r="A377" s="321"/>
      <c r="B377" s="321"/>
      <c r="C377" s="321"/>
      <c r="D377" s="321"/>
      <c r="E377" s="321"/>
      <c r="F377" s="321"/>
      <c r="G377" s="321"/>
      <c r="H377" s="321"/>
      <c r="I377" s="321"/>
      <c r="J377" s="321"/>
      <c r="K377" s="321"/>
      <c r="L377" s="321"/>
      <c r="M377" s="321"/>
      <c r="N377" s="321"/>
      <c r="O377" s="321"/>
      <c r="P377" s="321"/>
    </row>
    <row r="378" spans="1:16" ht="20.100000000000001" customHeight="1">
      <c r="A378" s="321"/>
      <c r="B378" s="321"/>
      <c r="C378" s="321"/>
      <c r="D378" s="321"/>
      <c r="E378" s="321"/>
      <c r="F378" s="321"/>
      <c r="G378" s="321"/>
      <c r="H378" s="321"/>
      <c r="I378" s="321"/>
      <c r="J378" s="321"/>
      <c r="K378" s="321"/>
      <c r="L378" s="321"/>
      <c r="M378" s="321"/>
      <c r="N378" s="321"/>
      <c r="O378" s="321"/>
      <c r="P378" s="321"/>
    </row>
    <row r="379" spans="1:16" ht="20.100000000000001" customHeight="1">
      <c r="A379" s="321"/>
      <c r="B379" s="321"/>
      <c r="C379" s="321"/>
      <c r="D379" s="321"/>
      <c r="E379" s="321"/>
      <c r="F379" s="321"/>
      <c r="G379" s="321"/>
      <c r="H379" s="321"/>
      <c r="I379" s="321"/>
      <c r="J379" s="321"/>
      <c r="K379" s="321"/>
      <c r="L379" s="321"/>
      <c r="M379" s="321"/>
      <c r="N379" s="321"/>
      <c r="O379" s="321"/>
      <c r="P379" s="321"/>
    </row>
    <row r="380" spans="1:16" ht="20.100000000000001" customHeight="1">
      <c r="A380" s="321"/>
      <c r="B380" s="321"/>
      <c r="C380" s="321"/>
      <c r="D380" s="321"/>
      <c r="E380" s="321"/>
      <c r="F380" s="321"/>
      <c r="G380" s="321"/>
      <c r="H380" s="321"/>
      <c r="I380" s="321"/>
      <c r="J380" s="321"/>
      <c r="K380" s="321"/>
      <c r="L380" s="321"/>
      <c r="M380" s="321"/>
      <c r="N380" s="321"/>
      <c r="O380" s="321"/>
      <c r="P380" s="321"/>
    </row>
    <row r="381" spans="1:16" ht="20.100000000000001" customHeight="1">
      <c r="A381" s="321"/>
      <c r="B381" s="321"/>
      <c r="C381" s="321"/>
      <c r="D381" s="321"/>
      <c r="E381" s="321"/>
      <c r="F381" s="321"/>
      <c r="G381" s="321"/>
      <c r="H381" s="321"/>
      <c r="I381" s="321"/>
      <c r="J381" s="321"/>
      <c r="K381" s="321"/>
      <c r="L381" s="321"/>
      <c r="M381" s="321"/>
      <c r="N381" s="321"/>
      <c r="O381" s="321"/>
      <c r="P381" s="321"/>
    </row>
  </sheetData>
  <mergeCells count="677">
    <mergeCell ref="B344:D344"/>
    <mergeCell ref="E344:F344"/>
    <mergeCell ref="G344:L344"/>
    <mergeCell ref="M344:P344"/>
    <mergeCell ref="B342:D342"/>
    <mergeCell ref="E342:F342"/>
    <mergeCell ref="M342:P342"/>
    <mergeCell ref="B343:D343"/>
    <mergeCell ref="E343:F343"/>
    <mergeCell ref="M343:P343"/>
    <mergeCell ref="G343:L343"/>
    <mergeCell ref="B340:D340"/>
    <mergeCell ref="E340:F340"/>
    <mergeCell ref="G340:L340"/>
    <mergeCell ref="M340:P340"/>
    <mergeCell ref="B341:D341"/>
    <mergeCell ref="E341:F341"/>
    <mergeCell ref="G341:L341"/>
    <mergeCell ref="M341:P341"/>
    <mergeCell ref="G342:L342"/>
    <mergeCell ref="B335:D335"/>
    <mergeCell ref="E335:F335"/>
    <mergeCell ref="G335:L335"/>
    <mergeCell ref="M335:P335"/>
    <mergeCell ref="B333:D333"/>
    <mergeCell ref="E333:F333"/>
    <mergeCell ref="M333:P333"/>
    <mergeCell ref="B334:D334"/>
    <mergeCell ref="E334:F334"/>
    <mergeCell ref="M334:P334"/>
    <mergeCell ref="G333:L333"/>
    <mergeCell ref="G334:L334"/>
    <mergeCell ref="B326:E326"/>
    <mergeCell ref="F326:H326"/>
    <mergeCell ref="B323:D323"/>
    <mergeCell ref="B324:E324"/>
    <mergeCell ref="F324:G324"/>
    <mergeCell ref="B331:D331"/>
    <mergeCell ref="E331:F331"/>
    <mergeCell ref="M331:P331"/>
    <mergeCell ref="B332:D332"/>
    <mergeCell ref="E332:F332"/>
    <mergeCell ref="M332:P332"/>
    <mergeCell ref="B329:D329"/>
    <mergeCell ref="E329:F329"/>
    <mergeCell ref="G329:L329"/>
    <mergeCell ref="M329:P329"/>
    <mergeCell ref="B330:D330"/>
    <mergeCell ref="E330:F330"/>
    <mergeCell ref="G330:L330"/>
    <mergeCell ref="M330:P330"/>
    <mergeCell ref="G331:L331"/>
    <mergeCell ref="G332:L332"/>
    <mergeCell ref="B317:D317"/>
    <mergeCell ref="E317:F317"/>
    <mergeCell ref="M317:P317"/>
    <mergeCell ref="B318:D318"/>
    <mergeCell ref="E318:F318"/>
    <mergeCell ref="G318:L318"/>
    <mergeCell ref="M318:P318"/>
    <mergeCell ref="G317:L317"/>
    <mergeCell ref="B325:E325"/>
    <mergeCell ref="F325:H325"/>
    <mergeCell ref="J325:K325"/>
    <mergeCell ref="M325:O325"/>
    <mergeCell ref="B315:D315"/>
    <mergeCell ref="E315:F315"/>
    <mergeCell ref="M315:P315"/>
    <mergeCell ref="B316:D316"/>
    <mergeCell ref="E316:F316"/>
    <mergeCell ref="M316:P316"/>
    <mergeCell ref="B313:D313"/>
    <mergeCell ref="E313:F313"/>
    <mergeCell ref="G313:L313"/>
    <mergeCell ref="M313:P313"/>
    <mergeCell ref="B314:D314"/>
    <mergeCell ref="E314:F314"/>
    <mergeCell ref="M314:P314"/>
    <mergeCell ref="G314:L314"/>
    <mergeCell ref="G315:L315"/>
    <mergeCell ref="G316:L316"/>
    <mergeCell ref="J309:K309"/>
    <mergeCell ref="M309:O309"/>
    <mergeCell ref="B310:E310"/>
    <mergeCell ref="F310:H310"/>
    <mergeCell ref="B312:D312"/>
    <mergeCell ref="E312:F312"/>
    <mergeCell ref="G312:L312"/>
    <mergeCell ref="M312:P312"/>
    <mergeCell ref="B307:E307"/>
    <mergeCell ref="F307:G307"/>
    <mergeCell ref="B308:E308"/>
    <mergeCell ref="F308:H308"/>
    <mergeCell ref="B309:E309"/>
    <mergeCell ref="F309:H309"/>
    <mergeCell ref="B301:D301"/>
    <mergeCell ref="E301:F301"/>
    <mergeCell ref="M301:P301"/>
    <mergeCell ref="B302:D302"/>
    <mergeCell ref="E302:F302"/>
    <mergeCell ref="G302:L302"/>
    <mergeCell ref="M302:P302"/>
    <mergeCell ref="B299:D299"/>
    <mergeCell ref="E299:F299"/>
    <mergeCell ref="M299:P299"/>
    <mergeCell ref="B300:D300"/>
    <mergeCell ref="E300:F300"/>
    <mergeCell ref="M300:P300"/>
    <mergeCell ref="G301:L301"/>
    <mergeCell ref="G299:L299"/>
    <mergeCell ref="G300:L300"/>
    <mergeCell ref="B297:D297"/>
    <mergeCell ref="E297:F297"/>
    <mergeCell ref="G297:L297"/>
    <mergeCell ref="M297:P297"/>
    <mergeCell ref="B298:D298"/>
    <mergeCell ref="E298:F298"/>
    <mergeCell ref="M298:P298"/>
    <mergeCell ref="L293:M293"/>
    <mergeCell ref="O293:P293"/>
    <mergeCell ref="B296:D296"/>
    <mergeCell ref="E296:F296"/>
    <mergeCell ref="G296:L296"/>
    <mergeCell ref="M296:P296"/>
    <mergeCell ref="G298:L298"/>
    <mergeCell ref="B291:E291"/>
    <mergeCell ref="G291:H291"/>
    <mergeCell ref="B292:E292"/>
    <mergeCell ref="F292:G292"/>
    <mergeCell ref="B293:E293"/>
    <mergeCell ref="F293:G293"/>
    <mergeCell ref="B285:C285"/>
    <mergeCell ref="J285:L285"/>
    <mergeCell ref="M285:O285"/>
    <mergeCell ref="B286:C286"/>
    <mergeCell ref="F286:G286"/>
    <mergeCell ref="B287:C287"/>
    <mergeCell ref="B280:D280"/>
    <mergeCell ref="E280:F280"/>
    <mergeCell ref="M280:P280"/>
    <mergeCell ref="B281:D281"/>
    <mergeCell ref="E281:F281"/>
    <mergeCell ref="G281:L281"/>
    <mergeCell ref="M281:P281"/>
    <mergeCell ref="B278:D278"/>
    <mergeCell ref="E278:F278"/>
    <mergeCell ref="M278:P278"/>
    <mergeCell ref="B279:D279"/>
    <mergeCell ref="E279:F279"/>
    <mergeCell ref="M279:P279"/>
    <mergeCell ref="G280:L280"/>
    <mergeCell ref="G278:L278"/>
    <mergeCell ref="G279:L279"/>
    <mergeCell ref="M275:P275"/>
    <mergeCell ref="B276:D276"/>
    <mergeCell ref="E276:F276"/>
    <mergeCell ref="G276:L276"/>
    <mergeCell ref="M276:P276"/>
    <mergeCell ref="B277:D277"/>
    <mergeCell ref="E277:F277"/>
    <mergeCell ref="M277:P277"/>
    <mergeCell ref="G277:L277"/>
    <mergeCell ref="B272:E272"/>
    <mergeCell ref="G272:H272"/>
    <mergeCell ref="B273:C273"/>
    <mergeCell ref="J273:K273"/>
    <mergeCell ref="B275:D275"/>
    <mergeCell ref="E275:F275"/>
    <mergeCell ref="G275:L275"/>
    <mergeCell ref="B267:D267"/>
    <mergeCell ref="E267:F267"/>
    <mergeCell ref="M267:P267"/>
    <mergeCell ref="B268:D268"/>
    <mergeCell ref="E268:F268"/>
    <mergeCell ref="G268:L268"/>
    <mergeCell ref="M268:P268"/>
    <mergeCell ref="B265:D265"/>
    <mergeCell ref="E265:F265"/>
    <mergeCell ref="M265:P265"/>
    <mergeCell ref="B266:D266"/>
    <mergeCell ref="E266:F266"/>
    <mergeCell ref="M266:P266"/>
    <mergeCell ref="G267:L267"/>
    <mergeCell ref="G265:L265"/>
    <mergeCell ref="G266:L266"/>
    <mergeCell ref="B263:D263"/>
    <mergeCell ref="E263:F263"/>
    <mergeCell ref="G263:L263"/>
    <mergeCell ref="M263:P263"/>
    <mergeCell ref="B264:D264"/>
    <mergeCell ref="E264:F264"/>
    <mergeCell ref="M264:P264"/>
    <mergeCell ref="E258:F258"/>
    <mergeCell ref="N258:O258"/>
    <mergeCell ref="B262:D262"/>
    <mergeCell ref="E262:F262"/>
    <mergeCell ref="G262:L262"/>
    <mergeCell ref="M262:P262"/>
    <mergeCell ref="G264:L264"/>
    <mergeCell ref="E254:F254"/>
    <mergeCell ref="E256:F256"/>
    <mergeCell ref="E257:G257"/>
    <mergeCell ref="L257:O257"/>
    <mergeCell ref="T257:U257"/>
    <mergeCell ref="W257:X257"/>
    <mergeCell ref="B248:D248"/>
    <mergeCell ref="E248:F248"/>
    <mergeCell ref="M248:P248"/>
    <mergeCell ref="B249:D249"/>
    <mergeCell ref="E249:F249"/>
    <mergeCell ref="G249:L249"/>
    <mergeCell ref="M249:P249"/>
    <mergeCell ref="G248:L248"/>
    <mergeCell ref="B247:D247"/>
    <mergeCell ref="E247:F247"/>
    <mergeCell ref="M247:P247"/>
    <mergeCell ref="B244:D244"/>
    <mergeCell ref="E244:F244"/>
    <mergeCell ref="G244:L244"/>
    <mergeCell ref="M244:P244"/>
    <mergeCell ref="B245:D245"/>
    <mergeCell ref="E245:F245"/>
    <mergeCell ref="M245:P245"/>
    <mergeCell ref="G246:L246"/>
    <mergeCell ref="G247:L247"/>
    <mergeCell ref="G245:L245"/>
    <mergeCell ref="M240:O240"/>
    <mergeCell ref="B241:E241"/>
    <mergeCell ref="F241:H241"/>
    <mergeCell ref="I241:J241"/>
    <mergeCell ref="B243:D243"/>
    <mergeCell ref="E243:F243"/>
    <mergeCell ref="G243:L243"/>
    <mergeCell ref="M243:P243"/>
    <mergeCell ref="B246:D246"/>
    <mergeCell ref="E246:F246"/>
    <mergeCell ref="M246:P246"/>
    <mergeCell ref="B237:D237"/>
    <mergeCell ref="B238:E238"/>
    <mergeCell ref="F238:H238"/>
    <mergeCell ref="B239:E239"/>
    <mergeCell ref="F239:H239"/>
    <mergeCell ref="B240:E240"/>
    <mergeCell ref="F240:H240"/>
    <mergeCell ref="D229:F229"/>
    <mergeCell ref="D230:F230"/>
    <mergeCell ref="D231:F231"/>
    <mergeCell ref="H231:J231"/>
    <mergeCell ref="D232:F232"/>
    <mergeCell ref="D233:F233"/>
    <mergeCell ref="J240:K240"/>
    <mergeCell ref="B225:D225"/>
    <mergeCell ref="E225:F225"/>
    <mergeCell ref="M225:P225"/>
    <mergeCell ref="B226:D226"/>
    <mergeCell ref="E226:F226"/>
    <mergeCell ref="G226:L226"/>
    <mergeCell ref="M226:P226"/>
    <mergeCell ref="B223:D223"/>
    <mergeCell ref="E223:F223"/>
    <mergeCell ref="M223:P223"/>
    <mergeCell ref="B224:D224"/>
    <mergeCell ref="E224:F224"/>
    <mergeCell ref="M224:P224"/>
    <mergeCell ref="G224:L224"/>
    <mergeCell ref="G225:L225"/>
    <mergeCell ref="G223:L223"/>
    <mergeCell ref="B221:D221"/>
    <mergeCell ref="E221:F221"/>
    <mergeCell ref="G221:L221"/>
    <mergeCell ref="M221:P221"/>
    <mergeCell ref="B222:D222"/>
    <mergeCell ref="E222:F222"/>
    <mergeCell ref="M222:P222"/>
    <mergeCell ref="J217:K217"/>
    <mergeCell ref="M217:O217"/>
    <mergeCell ref="B218:E218"/>
    <mergeCell ref="F218:H218"/>
    <mergeCell ref="I218:J218"/>
    <mergeCell ref="B220:D220"/>
    <mergeCell ref="E220:F220"/>
    <mergeCell ref="G220:L220"/>
    <mergeCell ref="M220:P220"/>
    <mergeCell ref="G222:L222"/>
    <mergeCell ref="B214:D214"/>
    <mergeCell ref="B215:E215"/>
    <mergeCell ref="F215:H215"/>
    <mergeCell ref="B216:E216"/>
    <mergeCell ref="F216:H216"/>
    <mergeCell ref="B217:E217"/>
    <mergeCell ref="F217:H217"/>
    <mergeCell ref="D206:F206"/>
    <mergeCell ref="D207:F207"/>
    <mergeCell ref="D208:F208"/>
    <mergeCell ref="H208:J208"/>
    <mergeCell ref="D209:F209"/>
    <mergeCell ref="D210:F210"/>
    <mergeCell ref="B200:D200"/>
    <mergeCell ref="E200:F200"/>
    <mergeCell ref="M200:P200"/>
    <mergeCell ref="B201:D201"/>
    <mergeCell ref="E201:F201"/>
    <mergeCell ref="G201:L201"/>
    <mergeCell ref="M201:P201"/>
    <mergeCell ref="B198:D198"/>
    <mergeCell ref="E198:F198"/>
    <mergeCell ref="M198:P198"/>
    <mergeCell ref="B199:D199"/>
    <mergeCell ref="E199:F199"/>
    <mergeCell ref="M199:P199"/>
    <mergeCell ref="G200:L200"/>
    <mergeCell ref="G198:L198"/>
    <mergeCell ref="G199:L199"/>
    <mergeCell ref="B196:D196"/>
    <mergeCell ref="E196:F196"/>
    <mergeCell ref="G196:L196"/>
    <mergeCell ref="M196:P196"/>
    <mergeCell ref="B197:D197"/>
    <mergeCell ref="E197:F197"/>
    <mergeCell ref="M197:P197"/>
    <mergeCell ref="F192:H192"/>
    <mergeCell ref="J192:K192"/>
    <mergeCell ref="M192:O192"/>
    <mergeCell ref="B195:D195"/>
    <mergeCell ref="E195:F195"/>
    <mergeCell ref="G195:L195"/>
    <mergeCell ref="M195:P195"/>
    <mergeCell ref="G197:L197"/>
    <mergeCell ref="B190:E190"/>
    <mergeCell ref="F190:G190"/>
    <mergeCell ref="T190:U190"/>
    <mergeCell ref="W190:X190"/>
    <mergeCell ref="B191:E191"/>
    <mergeCell ref="F191:H191"/>
    <mergeCell ref="M191:P191"/>
    <mergeCell ref="T191:U191"/>
    <mergeCell ref="W191:X191"/>
    <mergeCell ref="I183:I184"/>
    <mergeCell ref="J183:K184"/>
    <mergeCell ref="B184:F184"/>
    <mergeCell ref="B188:D188"/>
    <mergeCell ref="B189:D189"/>
    <mergeCell ref="E189:F189"/>
    <mergeCell ref="B181:E181"/>
    <mergeCell ref="B182:D182"/>
    <mergeCell ref="F182:H182"/>
    <mergeCell ref="B183:F183"/>
    <mergeCell ref="G183:G184"/>
    <mergeCell ref="H183:H184"/>
    <mergeCell ref="B177:D177"/>
    <mergeCell ref="E177:F177"/>
    <mergeCell ref="M177:P177"/>
    <mergeCell ref="B178:D178"/>
    <mergeCell ref="E178:F178"/>
    <mergeCell ref="G178:L178"/>
    <mergeCell ref="M178:P178"/>
    <mergeCell ref="B175:D175"/>
    <mergeCell ref="E175:F175"/>
    <mergeCell ref="M175:P175"/>
    <mergeCell ref="B176:D176"/>
    <mergeCell ref="E176:F176"/>
    <mergeCell ref="M176:P176"/>
    <mergeCell ref="G177:L177"/>
    <mergeCell ref="G175:L175"/>
    <mergeCell ref="G176:L176"/>
    <mergeCell ref="B173:D173"/>
    <mergeCell ref="E173:F173"/>
    <mergeCell ref="G173:L173"/>
    <mergeCell ref="M173:P173"/>
    <mergeCell ref="B174:D174"/>
    <mergeCell ref="E174:F174"/>
    <mergeCell ref="M174:P174"/>
    <mergeCell ref="B168:C168"/>
    <mergeCell ref="E168:G168"/>
    <mergeCell ref="I168:J168"/>
    <mergeCell ref="K168:N168"/>
    <mergeCell ref="B169:C169"/>
    <mergeCell ref="B171:D172"/>
    <mergeCell ref="E171:F172"/>
    <mergeCell ref="G171:L172"/>
    <mergeCell ref="M171:P172"/>
    <mergeCell ref="G174:L174"/>
    <mergeCell ref="B162:C162"/>
    <mergeCell ref="D162:E162"/>
    <mergeCell ref="F162:G162"/>
    <mergeCell ref="H162:J162"/>
    <mergeCell ref="K162:L162"/>
    <mergeCell ref="B167:E167"/>
    <mergeCell ref="L155:M155"/>
    <mergeCell ref="I156:J156"/>
    <mergeCell ref="I157:J157"/>
    <mergeCell ref="I158:J158"/>
    <mergeCell ref="B160:C161"/>
    <mergeCell ref="D160:E161"/>
    <mergeCell ref="F160:G161"/>
    <mergeCell ref="H160:L160"/>
    <mergeCell ref="H161:J161"/>
    <mergeCell ref="K161:L161"/>
    <mergeCell ref="B152:C152"/>
    <mergeCell ref="D152:F152"/>
    <mergeCell ref="G152:H152"/>
    <mergeCell ref="I152:J152"/>
    <mergeCell ref="K152:L152"/>
    <mergeCell ref="M152:O152"/>
    <mergeCell ref="B150:C151"/>
    <mergeCell ref="D150:F151"/>
    <mergeCell ref="G150:H151"/>
    <mergeCell ref="I150:J151"/>
    <mergeCell ref="K150:L151"/>
    <mergeCell ref="M150:O151"/>
    <mergeCell ref="L143:M143"/>
    <mergeCell ref="L144:M144"/>
    <mergeCell ref="A146:A147"/>
    <mergeCell ref="B146:D147"/>
    <mergeCell ref="E146:H146"/>
    <mergeCell ref="I146:I147"/>
    <mergeCell ref="J146:K146"/>
    <mergeCell ref="E147:H147"/>
    <mergeCell ref="J147:M147"/>
    <mergeCell ref="D138:D139"/>
    <mergeCell ref="G138:G139"/>
    <mergeCell ref="J138:J139"/>
    <mergeCell ref="K138:L139"/>
    <mergeCell ref="M138:M139"/>
    <mergeCell ref="E139:F139"/>
    <mergeCell ref="H139:I139"/>
    <mergeCell ref="K131:L132"/>
    <mergeCell ref="M131:M132"/>
    <mergeCell ref="N131:N132"/>
    <mergeCell ref="O131:O132"/>
    <mergeCell ref="P131:Q132"/>
    <mergeCell ref="C133:D133"/>
    <mergeCell ref="E133:F133"/>
    <mergeCell ref="G133:H133"/>
    <mergeCell ref="K133:L133"/>
    <mergeCell ref="P133:Q133"/>
    <mergeCell ref="B131:B132"/>
    <mergeCell ref="C131:D132"/>
    <mergeCell ref="E131:F132"/>
    <mergeCell ref="G131:H132"/>
    <mergeCell ref="I131:I132"/>
    <mergeCell ref="J131:J132"/>
    <mergeCell ref="B129:C130"/>
    <mergeCell ref="D129:J129"/>
    <mergeCell ref="K129:K130"/>
    <mergeCell ref="L129:M129"/>
    <mergeCell ref="D130:J130"/>
    <mergeCell ref="L130:M130"/>
    <mergeCell ref="M120:O121"/>
    <mergeCell ref="B122:C122"/>
    <mergeCell ref="D122:F122"/>
    <mergeCell ref="G122:I122"/>
    <mergeCell ref="J122:L122"/>
    <mergeCell ref="M122:O122"/>
    <mergeCell ref="B112:C112"/>
    <mergeCell ref="D112:F112"/>
    <mergeCell ref="G112:H112"/>
    <mergeCell ref="I112:J112"/>
    <mergeCell ref="K112:L112"/>
    <mergeCell ref="B120:C121"/>
    <mergeCell ref="D120:F121"/>
    <mergeCell ref="G120:I121"/>
    <mergeCell ref="J120:L121"/>
    <mergeCell ref="D107:F107"/>
    <mergeCell ref="G107:H107"/>
    <mergeCell ref="I107:J107"/>
    <mergeCell ref="L107:M107"/>
    <mergeCell ref="B110:C111"/>
    <mergeCell ref="D110:F111"/>
    <mergeCell ref="G110:H111"/>
    <mergeCell ref="I110:J111"/>
    <mergeCell ref="K110:L111"/>
    <mergeCell ref="B99:C100"/>
    <mergeCell ref="D99:F100"/>
    <mergeCell ref="G99:L100"/>
    <mergeCell ref="M99:N100"/>
    <mergeCell ref="O99:P100"/>
    <mergeCell ref="B101:C101"/>
    <mergeCell ref="D101:F101"/>
    <mergeCell ref="G101:L101"/>
    <mergeCell ref="M101:N101"/>
    <mergeCell ref="O101:P101"/>
    <mergeCell ref="B91:D92"/>
    <mergeCell ref="E91:G92"/>
    <mergeCell ref="H91:J92"/>
    <mergeCell ref="K91:M92"/>
    <mergeCell ref="B93:D93"/>
    <mergeCell ref="E93:G93"/>
    <mergeCell ref="H93:J93"/>
    <mergeCell ref="K93:M93"/>
    <mergeCell ref="B87:C87"/>
    <mergeCell ref="D87:F87"/>
    <mergeCell ref="G87:H87"/>
    <mergeCell ref="I87:J87"/>
    <mergeCell ref="K87:M87"/>
    <mergeCell ref="N87:P87"/>
    <mergeCell ref="B86:C86"/>
    <mergeCell ref="D86:F86"/>
    <mergeCell ref="G86:H86"/>
    <mergeCell ref="I86:J86"/>
    <mergeCell ref="K86:M86"/>
    <mergeCell ref="N86:P86"/>
    <mergeCell ref="B78:D78"/>
    <mergeCell ref="E78:F78"/>
    <mergeCell ref="G78:L78"/>
    <mergeCell ref="M78:P78"/>
    <mergeCell ref="B79:D79"/>
    <mergeCell ref="E79:F79"/>
    <mergeCell ref="G79:L79"/>
    <mergeCell ref="M79:P79"/>
    <mergeCell ref="B76:D76"/>
    <mergeCell ref="E76:F76"/>
    <mergeCell ref="G76:L76"/>
    <mergeCell ref="M76:P76"/>
    <mergeCell ref="B77:D77"/>
    <mergeCell ref="E77:F77"/>
    <mergeCell ref="G77:L77"/>
    <mergeCell ref="M77:P77"/>
    <mergeCell ref="B71:C71"/>
    <mergeCell ref="M71:O71"/>
    <mergeCell ref="B73:C73"/>
    <mergeCell ref="F73:G73"/>
    <mergeCell ref="B75:D75"/>
    <mergeCell ref="E75:F75"/>
    <mergeCell ref="G75:L75"/>
    <mergeCell ref="M75:P75"/>
    <mergeCell ref="B65:D65"/>
    <mergeCell ref="E65:F65"/>
    <mergeCell ref="G65:L65"/>
    <mergeCell ref="M65:P65"/>
    <mergeCell ref="A67:B67"/>
    <mergeCell ref="B69:N69"/>
    <mergeCell ref="B63:D63"/>
    <mergeCell ref="E63:F63"/>
    <mergeCell ref="G63:L63"/>
    <mergeCell ref="M63:P63"/>
    <mergeCell ref="B64:D64"/>
    <mergeCell ref="E64:F64"/>
    <mergeCell ref="G64:L64"/>
    <mergeCell ref="M64:P64"/>
    <mergeCell ref="B61:D61"/>
    <mergeCell ref="E61:F61"/>
    <mergeCell ref="G61:L61"/>
    <mergeCell ref="M61:P61"/>
    <mergeCell ref="B62:D62"/>
    <mergeCell ref="E62:F62"/>
    <mergeCell ref="G62:L62"/>
    <mergeCell ref="M62:P62"/>
    <mergeCell ref="A53:B53"/>
    <mergeCell ref="B55:N55"/>
    <mergeCell ref="B57:C57"/>
    <mergeCell ref="M57:O57"/>
    <mergeCell ref="B58:C58"/>
    <mergeCell ref="B59:C59"/>
    <mergeCell ref="F59:G59"/>
    <mergeCell ref="A50:A51"/>
    <mergeCell ref="B50:F50"/>
    <mergeCell ref="G50:G51"/>
    <mergeCell ref="H50:H51"/>
    <mergeCell ref="I50:I51"/>
    <mergeCell ref="J50:J51"/>
    <mergeCell ref="B51:F51"/>
    <mergeCell ref="B46:D46"/>
    <mergeCell ref="E46:F46"/>
    <mergeCell ref="G46:L46"/>
    <mergeCell ref="B49:D49"/>
    <mergeCell ref="B48:D48"/>
    <mergeCell ref="M46:P46"/>
    <mergeCell ref="B44:D44"/>
    <mergeCell ref="E44:F44"/>
    <mergeCell ref="G44:I44"/>
    <mergeCell ref="J44:L44"/>
    <mergeCell ref="M44:P44"/>
    <mergeCell ref="B45:D45"/>
    <mergeCell ref="E45:F45"/>
    <mergeCell ref="G45:L45"/>
    <mergeCell ref="M45:P45"/>
    <mergeCell ref="B42:D42"/>
    <mergeCell ref="E42:F42"/>
    <mergeCell ref="G42:L42"/>
    <mergeCell ref="M42:P42"/>
    <mergeCell ref="B43:D43"/>
    <mergeCell ref="E43:F43"/>
    <mergeCell ref="G43:L43"/>
    <mergeCell ref="M43:P43"/>
    <mergeCell ref="E39:G39"/>
    <mergeCell ref="I39:J39"/>
    <mergeCell ref="N39:O39"/>
    <mergeCell ref="T39:U39"/>
    <mergeCell ref="F40:G40"/>
    <mergeCell ref="J40:K40"/>
    <mergeCell ref="M40:N40"/>
    <mergeCell ref="X36:Z36"/>
    <mergeCell ref="H37:I37"/>
    <mergeCell ref="X37:Z37"/>
    <mergeCell ref="B38:D38"/>
    <mergeCell ref="E38:H38"/>
    <mergeCell ref="K38:L38"/>
    <mergeCell ref="B32:D32"/>
    <mergeCell ref="E32:F32"/>
    <mergeCell ref="M32:P32"/>
    <mergeCell ref="B33:D33"/>
    <mergeCell ref="E33:F33"/>
    <mergeCell ref="G33:L33"/>
    <mergeCell ref="M33:P33"/>
    <mergeCell ref="B30:D30"/>
    <mergeCell ref="E30:F30"/>
    <mergeCell ref="M30:P30"/>
    <mergeCell ref="B31:D31"/>
    <mergeCell ref="E31:F31"/>
    <mergeCell ref="M31:P31"/>
    <mergeCell ref="G32:L32"/>
    <mergeCell ref="G30:L30"/>
    <mergeCell ref="G31:L31"/>
    <mergeCell ref="B28:D28"/>
    <mergeCell ref="E28:F28"/>
    <mergeCell ref="G28:L28"/>
    <mergeCell ref="M28:P28"/>
    <mergeCell ref="B29:D29"/>
    <mergeCell ref="E29:F29"/>
    <mergeCell ref="M29:P29"/>
    <mergeCell ref="B25:E25"/>
    <mergeCell ref="F25:H25"/>
    <mergeCell ref="B27:D27"/>
    <mergeCell ref="E27:F27"/>
    <mergeCell ref="G27:L27"/>
    <mergeCell ref="M27:P27"/>
    <mergeCell ref="G29:L29"/>
    <mergeCell ref="B23:E23"/>
    <mergeCell ref="F23:H23"/>
    <mergeCell ref="M23:P23"/>
    <mergeCell ref="B24:E24"/>
    <mergeCell ref="F24:H24"/>
    <mergeCell ref="J24:K24"/>
    <mergeCell ref="M24:O24"/>
    <mergeCell ref="B21:D21"/>
    <mergeCell ref="B22:E22"/>
    <mergeCell ref="F22:G22"/>
    <mergeCell ref="B16:D16"/>
    <mergeCell ref="E16:F16"/>
    <mergeCell ref="G16:L16"/>
    <mergeCell ref="M16:P16"/>
    <mergeCell ref="B14:D14"/>
    <mergeCell ref="E14:F14"/>
    <mergeCell ref="G14:L14"/>
    <mergeCell ref="M14:P14"/>
    <mergeCell ref="B15:D15"/>
    <mergeCell ref="E15:F15"/>
    <mergeCell ref="G15:L15"/>
    <mergeCell ref="M15:P15"/>
    <mergeCell ref="B5:E5"/>
    <mergeCell ref="F5:G5"/>
    <mergeCell ref="B6:E6"/>
    <mergeCell ref="F6:H6"/>
    <mergeCell ref="M6:P6"/>
    <mergeCell ref="G10:L10"/>
    <mergeCell ref="M10:P10"/>
    <mergeCell ref="B11:D11"/>
    <mergeCell ref="E11:F11"/>
    <mergeCell ref="G11:L11"/>
    <mergeCell ref="M11:P11"/>
    <mergeCell ref="G13:L13"/>
    <mergeCell ref="M13:P13"/>
    <mergeCell ref="B10:D10"/>
    <mergeCell ref="E10:F10"/>
    <mergeCell ref="B7:E7"/>
    <mergeCell ref="F7:H7"/>
    <mergeCell ref="J7:K7"/>
    <mergeCell ref="M7:O7"/>
    <mergeCell ref="B8:E8"/>
    <mergeCell ref="F8:H8"/>
    <mergeCell ref="B12:D12"/>
    <mergeCell ref="E12:F12"/>
    <mergeCell ref="G12:L12"/>
    <mergeCell ref="M12:P12"/>
    <mergeCell ref="B13:D13"/>
    <mergeCell ref="E13:F13"/>
  </mergeCells>
  <phoneticPr fontId="2" type="noConversion"/>
  <printOptions horizontalCentered="1"/>
  <pageMargins left="0.39370078740157483" right="0.39370078740157483" top="0.78740157480314965" bottom="0.39370078740157483" header="0.39370078740157483" footer="0.39370078740157483"/>
  <pageSetup paperSize="9" orientation="portrait" r:id="rId1"/>
  <headerFooter alignWithMargins="0"/>
  <rowBreaks count="4" manualBreakCount="4">
    <brk id="20" max="17" man="1"/>
    <brk id="59" max="17" man="1"/>
    <brk id="158" max="17" man="1"/>
    <brk id="282" max="17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22"/>
  <sheetViews>
    <sheetView view="pageBreakPreview" zoomScaleNormal="85" zoomScaleSheetLayoutView="85" workbookViewId="0">
      <selection activeCell="C23" sqref="C23"/>
    </sheetView>
  </sheetViews>
  <sheetFormatPr defaultRowHeight="13.5"/>
  <cols>
    <col min="1" max="1" width="30.77734375" customWidth="1"/>
    <col min="2" max="2" width="44.44140625" customWidth="1"/>
    <col min="3" max="5" width="11.44140625" customWidth="1"/>
    <col min="7" max="7" width="9" customWidth="1"/>
  </cols>
  <sheetData>
    <row r="1" spans="1:29" ht="36.75" customHeight="1" thickBot="1">
      <c r="A1" s="1691" t="s">
        <v>166</v>
      </c>
      <c r="B1" s="1691"/>
      <c r="C1" s="1691"/>
      <c r="D1" s="1691"/>
      <c r="E1" s="1691"/>
      <c r="F1" s="1691"/>
      <c r="G1" s="1691"/>
      <c r="H1" s="31"/>
    </row>
    <row r="2" spans="1:29" ht="27" customHeight="1">
      <c r="A2" s="55" t="s">
        <v>3</v>
      </c>
      <c r="B2" s="56" t="s">
        <v>4</v>
      </c>
      <c r="C2" s="57" t="s">
        <v>5</v>
      </c>
      <c r="D2" s="56" t="s">
        <v>6</v>
      </c>
      <c r="E2" s="58" t="s">
        <v>7</v>
      </c>
      <c r="F2" s="32"/>
      <c r="G2" s="32"/>
      <c r="H2" s="31"/>
    </row>
    <row r="3" spans="1:29" ht="22.5" customHeight="1">
      <c r="A3" s="59" t="s">
        <v>8</v>
      </c>
      <c r="B3" s="29"/>
      <c r="C3" s="60">
        <f>'설계기준(설계치12)'!C4</f>
        <v>4000</v>
      </c>
      <c r="D3" s="29"/>
      <c r="E3" s="61" t="s">
        <v>23</v>
      </c>
    </row>
    <row r="4" spans="1:29" ht="22.5" customHeight="1">
      <c r="A4" s="1692" t="s">
        <v>9</v>
      </c>
      <c r="B4" s="1689"/>
      <c r="C4" s="70">
        <f>'설계기준(설계치12)'!F7</f>
        <v>218.7</v>
      </c>
      <c r="D4" s="17"/>
      <c r="E4" s="52" t="s">
        <v>10</v>
      </c>
      <c r="F4" s="30"/>
      <c r="G4" s="30"/>
    </row>
    <row r="5" spans="1:29" ht="22.5" customHeight="1">
      <c r="A5" s="1693"/>
      <c r="B5" s="1690"/>
      <c r="C5" s="81"/>
      <c r="D5" s="62">
        <f>C3*C4/1000</f>
        <v>874.8</v>
      </c>
      <c r="E5" s="52" t="s">
        <v>11</v>
      </c>
      <c r="F5" s="30"/>
      <c r="G5" s="30"/>
    </row>
    <row r="6" spans="1:29" ht="22.5" customHeight="1">
      <c r="A6" s="49" t="s">
        <v>12</v>
      </c>
      <c r="B6" s="47">
        <v>1.64</v>
      </c>
      <c r="C6" s="53"/>
      <c r="D6" s="62">
        <f>D5*B6</f>
        <v>1434.6719999999998</v>
      </c>
      <c r="E6" s="52" t="s">
        <v>11</v>
      </c>
      <c r="F6" s="30"/>
      <c r="G6" s="30"/>
    </row>
    <row r="7" spans="1:29" ht="22.5" customHeight="1">
      <c r="A7" s="63" t="s">
        <v>26</v>
      </c>
      <c r="B7" s="50">
        <v>0.31</v>
      </c>
      <c r="C7" s="53"/>
      <c r="D7" s="51">
        <f>D6*B7</f>
        <v>444.74831999999992</v>
      </c>
      <c r="E7" s="48" t="s">
        <v>11</v>
      </c>
      <c r="F7" s="30"/>
      <c r="G7" s="30"/>
      <c r="AC7" t="s">
        <v>139</v>
      </c>
    </row>
    <row r="8" spans="1:29" ht="22.5" customHeight="1">
      <c r="A8" s="1692" t="s">
        <v>13</v>
      </c>
      <c r="B8" s="1689"/>
      <c r="C8" s="64">
        <f>'설계기준(설계치12)'!F11</f>
        <v>6.89</v>
      </c>
      <c r="D8" s="17"/>
      <c r="E8" s="52" t="s">
        <v>10</v>
      </c>
      <c r="F8" s="30"/>
      <c r="G8" s="30"/>
      <c r="AC8" s="41">
        <v>28</v>
      </c>
    </row>
    <row r="9" spans="1:29" ht="22.5" customHeight="1">
      <c r="A9" s="1693"/>
      <c r="B9" s="1690"/>
      <c r="C9" s="64"/>
      <c r="D9" s="37">
        <f>C3*C8/1000</f>
        <v>27.56</v>
      </c>
      <c r="E9" s="52" t="s">
        <v>11</v>
      </c>
      <c r="F9" s="30"/>
      <c r="G9" s="30"/>
      <c r="AC9" s="41">
        <v>7</v>
      </c>
    </row>
    <row r="10" spans="1:29" ht="22.5" customHeight="1">
      <c r="A10" s="49" t="s">
        <v>14</v>
      </c>
      <c r="B10" s="65" t="s">
        <v>15</v>
      </c>
      <c r="C10" s="66"/>
      <c r="D10" s="54">
        <f>D7/D13</f>
        <v>16.872091047040968</v>
      </c>
      <c r="E10" s="48" t="s">
        <v>27</v>
      </c>
      <c r="F10" s="30"/>
      <c r="G10" s="30"/>
      <c r="AC10" s="41">
        <v>14</v>
      </c>
    </row>
    <row r="11" spans="1:29" ht="22.5" customHeight="1">
      <c r="A11" s="67" t="s">
        <v>16</v>
      </c>
      <c r="B11" s="17"/>
      <c r="C11" s="64">
        <f>'설계기준(설계치12)'!J11</f>
        <v>0.3</v>
      </c>
      <c r="D11" s="17"/>
      <c r="E11" s="52" t="s">
        <v>10</v>
      </c>
      <c r="F11" s="30"/>
      <c r="G11" s="30"/>
    </row>
    <row r="12" spans="1:29" ht="22.5" customHeight="1">
      <c r="A12" s="1692" t="s">
        <v>17</v>
      </c>
      <c r="B12" s="1689"/>
      <c r="C12" s="1687"/>
      <c r="D12" s="68">
        <f>C8-C11</f>
        <v>6.59</v>
      </c>
      <c r="E12" s="52" t="s">
        <v>10</v>
      </c>
      <c r="F12" s="30"/>
      <c r="G12" s="30"/>
    </row>
    <row r="13" spans="1:29" ht="22.5" customHeight="1">
      <c r="A13" s="1693"/>
      <c r="B13" s="1690"/>
      <c r="C13" s="1688"/>
      <c r="D13" s="82">
        <f>C3*D12/1000</f>
        <v>26.36</v>
      </c>
      <c r="E13" s="52" t="s">
        <v>11</v>
      </c>
      <c r="F13" s="30"/>
      <c r="G13" s="30"/>
    </row>
    <row r="14" spans="1:29" ht="22.5" customHeight="1">
      <c r="A14" s="67" t="s">
        <v>18</v>
      </c>
      <c r="B14" s="69" t="s">
        <v>19</v>
      </c>
      <c r="C14" s="70"/>
      <c r="D14" s="71">
        <f>D13*10</f>
        <v>263.60000000000002</v>
      </c>
      <c r="E14" s="52" t="s">
        <v>11</v>
      </c>
      <c r="F14" s="30"/>
      <c r="G14" s="30"/>
    </row>
    <row r="15" spans="1:29" ht="22.5" customHeight="1">
      <c r="A15" s="67" t="s">
        <v>20</v>
      </c>
      <c r="B15" s="17" t="s">
        <v>21</v>
      </c>
      <c r="C15" s="70"/>
      <c r="D15" s="37">
        <f>D7-D14</f>
        <v>181.1483199999999</v>
      </c>
      <c r="E15" s="52" t="s">
        <v>11</v>
      </c>
      <c r="F15" s="30"/>
      <c r="G15" s="30"/>
    </row>
    <row r="16" spans="1:29" ht="22.5" customHeight="1">
      <c r="A16" s="72" t="s">
        <v>22</v>
      </c>
      <c r="B16" s="73"/>
      <c r="C16" s="74"/>
      <c r="D16" s="38" t="str">
        <f>IF(D7&gt;=D14,"투입불필요","투입필요")</f>
        <v>투입불필요</v>
      </c>
      <c r="E16" s="75"/>
      <c r="F16" s="30"/>
      <c r="G16" s="30"/>
    </row>
    <row r="17" spans="1:7" ht="22.5" customHeight="1" thickBot="1">
      <c r="A17" s="76"/>
      <c r="B17" s="77"/>
      <c r="C17" s="78"/>
      <c r="D17" s="79"/>
      <c r="E17" s="80"/>
      <c r="F17" s="30"/>
      <c r="G17" s="30"/>
    </row>
    <row r="18" spans="1:7" ht="19.5" customHeight="1">
      <c r="A18" s="33"/>
      <c r="B18" s="16"/>
      <c r="C18" s="34"/>
      <c r="D18" s="35"/>
      <c r="E18" s="16"/>
      <c r="F18" s="30"/>
      <c r="G18" s="30"/>
    </row>
    <row r="19" spans="1:7" ht="18.75" customHeight="1">
      <c r="A19" s="15"/>
      <c r="B19" s="30"/>
      <c r="C19" s="30"/>
      <c r="D19" s="30"/>
      <c r="E19" s="30"/>
      <c r="F19" s="30"/>
      <c r="G19" s="30"/>
    </row>
    <row r="20" spans="1:7">
      <c r="A20" s="30"/>
      <c r="B20" s="30"/>
      <c r="C20" s="30"/>
      <c r="D20" s="30"/>
      <c r="E20" s="30"/>
      <c r="F20" s="30"/>
      <c r="G20" s="30"/>
    </row>
    <row r="22" spans="1:7">
      <c r="C22" s="36"/>
    </row>
  </sheetData>
  <mergeCells count="8">
    <mergeCell ref="C12:C13"/>
    <mergeCell ref="B4:B5"/>
    <mergeCell ref="B8:B9"/>
    <mergeCell ref="A1:G1"/>
    <mergeCell ref="A8:A9"/>
    <mergeCell ref="A4:A5"/>
    <mergeCell ref="A12:A13"/>
    <mergeCell ref="B12:B1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16</vt:i4>
      </vt:variant>
    </vt:vector>
  </HeadingPairs>
  <TitlesOfParts>
    <vt:vector size="32" baseType="lpstr">
      <vt:lpstr>물질수지</vt:lpstr>
      <vt:lpstr>간지</vt:lpstr>
      <vt:lpstr>생물반응조 용량 검토(총괄표)</vt:lpstr>
      <vt:lpstr>설계기준(설계치12)</vt:lpstr>
      <vt:lpstr>구조물용량계산(설계치12)</vt:lpstr>
      <vt:lpstr>설계기준(설계치20)</vt:lpstr>
      <vt:lpstr>구조물용량계산(설계치20)</vt:lpstr>
      <vt:lpstr>설계기준(유입수질농도증가12)</vt:lpstr>
      <vt:lpstr>구조물용량계산(유입수질농도증가12)</vt:lpstr>
      <vt:lpstr>설계기준(유입수질농도증가20)</vt:lpstr>
      <vt:lpstr>구조물용량계산(유입수질농도증가20)</vt:lpstr>
      <vt:lpstr>생물반응조 용량 검토</vt:lpstr>
      <vt:lpstr>생물반응조 용량 검토 (2)</vt:lpstr>
      <vt:lpstr>Sheet2</vt:lpstr>
      <vt:lpstr>기계용량계산 (2계열)</vt:lpstr>
      <vt:lpstr>Alum</vt:lpstr>
      <vt:lpstr>Alum!Print_Area</vt:lpstr>
      <vt:lpstr>간지!Print_Area</vt:lpstr>
      <vt:lpstr>'구조물용량계산(설계치12)'!Print_Area</vt:lpstr>
      <vt:lpstr>'구조물용량계산(설계치20)'!Print_Area</vt:lpstr>
      <vt:lpstr>'구조물용량계산(유입수질농도증가12)'!Print_Area</vt:lpstr>
      <vt:lpstr>'구조물용량계산(유입수질농도증가20)'!Print_Area</vt:lpstr>
      <vt:lpstr>'기계용량계산 (2계열)'!Print_Area</vt:lpstr>
      <vt:lpstr>물질수지!Print_Area</vt:lpstr>
      <vt:lpstr>'설계기준(설계치12)'!Print_Area</vt:lpstr>
      <vt:lpstr>'설계기준(설계치20)'!Print_Area</vt:lpstr>
      <vt:lpstr>'설계기준(유입수질농도증가12)'!Print_Area</vt:lpstr>
      <vt:lpstr>'설계기준(유입수질농도증가20)'!Print_Area</vt:lpstr>
      <vt:lpstr>'구조물용량계산(설계치12)'!Print_Titles</vt:lpstr>
      <vt:lpstr>'구조물용량계산(설계치20)'!Print_Titles</vt:lpstr>
      <vt:lpstr>'구조물용량계산(유입수질농도증가12)'!Print_Titles</vt:lpstr>
      <vt:lpstr>'구조물용량계산(유입수질농도증가20)'!Print_Titles</vt:lpstr>
    </vt:vector>
  </TitlesOfParts>
  <Company>21222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Windows User</cp:lastModifiedBy>
  <cp:lastPrinted>2018-07-02T23:50:52Z</cp:lastPrinted>
  <dcterms:created xsi:type="dcterms:W3CDTF">2003-08-27T08:34:04Z</dcterms:created>
  <dcterms:modified xsi:type="dcterms:W3CDTF">2018-07-30T06:32:12Z</dcterms:modified>
</cp:coreProperties>
</file>