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Default Extension="vml" ContentType="application/vnd.openxmlformats-officedocument.vmlDrawing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drawings/drawing5.xml" ContentType="application/vnd.openxmlformats-officedocument.drawing+xml"/>
  <Override PartName="/xl/charts/chart88.xml" ContentType="application/vnd.openxmlformats-officedocument.drawingml.char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" windowWidth="19260" windowHeight="5760" tabRatio="839" firstSheet="9" activeTab="15"/>
  </bookViews>
  <sheets>
    <sheet name="배수구역" sheetId="28" r:id="rId1"/>
    <sheet name="처리구역 면적" sheetId="23" r:id="rId2"/>
    <sheet name="1.과거인구" sheetId="5" r:id="rId3"/>
    <sheet name="1.2인구분석" sheetId="6" r:id="rId4"/>
    <sheet name="2.인구추정" sheetId="7" r:id="rId5"/>
    <sheet name="수학적방법" sheetId="19" r:id="rId6"/>
    <sheet name="2.2생잔모형" sheetId="8" r:id="rId7"/>
    <sheet name="사회유입인구" sheetId="1" r:id="rId8"/>
    <sheet name="3.계획인구" sheetId="4" r:id="rId9"/>
    <sheet name="인구배분" sheetId="26" r:id="rId10"/>
    <sheet name="행정구역별 인구" sheetId="27" r:id="rId11"/>
    <sheet name="처리구역별 계획인구" sheetId="21" r:id="rId12"/>
    <sheet name="4.하수처리인구" sheetId="30" r:id="rId13"/>
    <sheet name="처리구역별 인구 근거" sheetId="13" r:id="rId14"/>
    <sheet name="소규모하수도인구" sheetId="16" r:id="rId15"/>
    <sheet name="총괄" sheetId="31" r:id="rId16"/>
    <sheet name="하수도보급율" sheetId="18" r:id="rId17"/>
    <sheet name="증설계획" sheetId="20" r:id="rId18"/>
    <sheet name="소규모하수도현황" sheetId="9" r:id="rId19"/>
    <sheet name="하수처리인구 근거" sheetId="2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1a1_">'[1]1호맨홀토공'!$R$12</definedName>
    <definedName name="_aab42" localSheetId="0">#REF!</definedName>
    <definedName name="_aab42" localSheetId="10">#REF!</definedName>
    <definedName name="_dia300" localSheetId="0">[2]대로근거!#REF!</definedName>
    <definedName name="_dia300" localSheetId="10">[2]대로근거!#REF!</definedName>
    <definedName name="_dia350" localSheetId="0">[2]대로근거!#REF!</definedName>
    <definedName name="_dia350" localSheetId="10">[2]대로근거!#REF!</definedName>
    <definedName name="_xlnm._FilterDatabase" localSheetId="9" hidden="1">인구배분!$L$1:$L$231</definedName>
    <definedName name="_xlnm._FilterDatabase" localSheetId="13" hidden="1">'처리구역별 인구 근거'!$C$1:$C$102</definedName>
    <definedName name="가건물" localSheetId="0">#REF!</definedName>
    <definedName name="가건물" localSheetId="10">#REF!</definedName>
    <definedName name="거리" localSheetId="0">'[3]H-PILE수량집계'!#REF!</definedName>
    <definedName name="거리" localSheetId="10">'[3]H-PILE수량집계'!#REF!</definedName>
    <definedName name="건축목공" localSheetId="0">#REF!</definedName>
    <definedName name="건축목공" localSheetId="5">#REF!</definedName>
    <definedName name="건축목공" localSheetId="17">#REF!</definedName>
    <definedName name="건축목공" localSheetId="10">#REF!</definedName>
    <definedName name="고급기술자" localSheetId="0">#REF!</definedName>
    <definedName name="고급기술자" localSheetId="5">#REF!</definedName>
    <definedName name="고급기술자" localSheetId="17">#REF!</definedName>
    <definedName name="고급기술자" localSheetId="10">#REF!</definedName>
    <definedName name="공기압축기경비" localSheetId="0">#REF!</definedName>
    <definedName name="공기압축기경비" localSheetId="5">#REF!</definedName>
    <definedName name="공기압축기경비" localSheetId="17">#REF!</definedName>
    <definedName name="공기압축기경비" localSheetId="10">#REF!</definedName>
    <definedName name="공기압축기노무비" localSheetId="0">#REF!</definedName>
    <definedName name="공기압축기노무비" localSheetId="5">#REF!</definedName>
    <definedName name="공기압축기노무비" localSheetId="17">#REF!</definedName>
    <definedName name="공기압축기노무비" localSheetId="10">#REF!</definedName>
    <definedName name="공기압축기재료비" localSheetId="0">#REF!</definedName>
    <definedName name="공기압축기재료비" localSheetId="5">#REF!</definedName>
    <definedName name="공기압축기재료비" localSheetId="17">#REF!</definedName>
    <definedName name="공기압축기재료비" localSheetId="10">#REF!</definedName>
    <definedName name="관경" localSheetId="0">#REF!</definedName>
    <definedName name="관경" localSheetId="10">#REF!</definedName>
    <definedName name="관경1" localSheetId="0">'[4]토사(PE)'!#REF!</definedName>
    <definedName name="관경1" localSheetId="10">'[4]토사(PE)'!#REF!</definedName>
    <definedName name="관두께" localSheetId="0">'[5]토사(PE)'!#REF!</definedName>
    <definedName name="관두께" localSheetId="10">'[5]토사(PE)'!#REF!</definedName>
    <definedName name="관로공내부" localSheetId="0">#REF!</definedName>
    <definedName name="관로공내부" localSheetId="10">#REF!</definedName>
    <definedName name="관토피" localSheetId="0">'[5]토사(PE)'!#REF!</definedName>
    <definedName name="관토피" localSheetId="10">'[5]토사(PE)'!#REF!</definedName>
    <definedName name="근입장" localSheetId="0">#REF!</definedName>
    <definedName name="근입장" localSheetId="10">#REF!</definedName>
    <definedName name="기계높이" localSheetId="0">'[5]토사(PE)'!#REF!</definedName>
    <definedName name="기계높이" localSheetId="10">'[5]토사(PE)'!#REF!</definedName>
    <definedName name="기존" localSheetId="3">BlankMacro1</definedName>
    <definedName name="기존" localSheetId="6">BlankMacro1</definedName>
    <definedName name="기존" localSheetId="0">BlankMacro1</definedName>
    <definedName name="기존" localSheetId="1">BlankMacro1</definedName>
    <definedName name="기존" localSheetId="11">BlankMacro1</definedName>
    <definedName name="기존" localSheetId="13">BlankMacro1</definedName>
    <definedName name="기존" localSheetId="16">BlankMacro1</definedName>
    <definedName name="기존" localSheetId="10">BlankMacro1</definedName>
    <definedName name="기초폭300" localSheetId="0">[2]대로근거!#REF!</definedName>
    <definedName name="기초폭300" localSheetId="10">[2]대로근거!#REF!</definedName>
    <definedName name="기초폭350" localSheetId="0">[2]대로근거!#REF!</definedName>
    <definedName name="기초폭350" localSheetId="10">[2]대로근거!#REF!</definedName>
    <definedName name="김종현" localSheetId="0">#REF!</definedName>
    <definedName name="김종현" localSheetId="10">#REF!</definedName>
    <definedName name="깊이" localSheetId="0">#REF!</definedName>
    <definedName name="깊이" localSheetId="10">#REF!</definedName>
    <definedName name="ㄴㄴㅇ" localSheetId="0">#REF!</definedName>
    <definedName name="ㄴㄴㅇ" localSheetId="10">#REF!</definedName>
    <definedName name="내면보수차경비" localSheetId="0">#REF!</definedName>
    <definedName name="내면보수차경비" localSheetId="5">#REF!</definedName>
    <definedName name="내면보수차경비" localSheetId="17">#REF!</definedName>
    <definedName name="내면보수차경비" localSheetId="10">#REF!</definedName>
    <definedName name="내면보수차노무비" localSheetId="0">#REF!</definedName>
    <definedName name="내면보수차노무비" localSheetId="5">#REF!</definedName>
    <definedName name="내면보수차노무비" localSheetId="17">#REF!</definedName>
    <definedName name="내면보수차노무비" localSheetId="10">#REF!</definedName>
    <definedName name="내면보수차재료비" localSheetId="0">#REF!</definedName>
    <definedName name="내면보수차재료비" localSheetId="5">#REF!</definedName>
    <definedName name="내면보수차재료비" localSheetId="17">#REF!</definedName>
    <definedName name="내면보수차재료비" localSheetId="10">#REF!</definedName>
    <definedName name="년도" localSheetId="4">[6]리별과거인구!$C$3:$L$10</definedName>
    <definedName name="높이300" localSheetId="0">[2]대로근거!#REF!</definedName>
    <definedName name="높이300" localSheetId="10">[2]대로근거!#REF!</definedName>
    <definedName name="높이350" localSheetId="0">[2]대로근거!#REF!</definedName>
    <definedName name="높이350" localSheetId="10">[2]대로근거!#REF!</definedName>
    <definedName name="단위" localSheetId="3">BlankMacro1</definedName>
    <definedName name="단위" localSheetId="6">BlankMacro1</definedName>
    <definedName name="단위" localSheetId="0">BlankMacro1</definedName>
    <definedName name="단위" localSheetId="1">BlankMacro1</definedName>
    <definedName name="단위" localSheetId="11">BlankMacro1</definedName>
    <definedName name="단위" localSheetId="13">BlankMacro1</definedName>
    <definedName name="단위" localSheetId="16">BlankMacro1</definedName>
    <definedName name="단위" localSheetId="10">BlankMacro1</definedName>
    <definedName name="단위량" localSheetId="3">BlankMacro1</definedName>
    <definedName name="단위량" localSheetId="6">BlankMacro1</definedName>
    <definedName name="단위량" localSheetId="0">BlankMacro1</definedName>
    <definedName name="단위량" localSheetId="1">BlankMacro1</definedName>
    <definedName name="단위량" localSheetId="11">BlankMacro1</definedName>
    <definedName name="단위량" localSheetId="13">BlankMacro1</definedName>
    <definedName name="단위량" localSheetId="16">BlankMacro1</definedName>
    <definedName name="단위량" localSheetId="10">BlankMacro1</definedName>
    <definedName name="단위수량" localSheetId="0">#REF!</definedName>
    <definedName name="단위수량" localSheetId="10">#REF!</definedName>
    <definedName name="당초" localSheetId="3">BlankMacro1</definedName>
    <definedName name="당초" localSheetId="6">BlankMacro1</definedName>
    <definedName name="당초" localSheetId="0">BlankMacro1</definedName>
    <definedName name="당초" localSheetId="1">BlankMacro1</definedName>
    <definedName name="당초" localSheetId="11">BlankMacro1</definedName>
    <definedName name="당초" localSheetId="13">BlankMacro1</definedName>
    <definedName name="당초" localSheetId="16">BlankMacro1</definedName>
    <definedName name="당초" localSheetId="10">BlankMacro1</definedName>
    <definedName name="두께" localSheetId="0">'[5]토사(PE)'!#REF!</definedName>
    <definedName name="두께" localSheetId="10">'[5]토사(PE)'!#REF!</definedName>
    <definedName name="두부" localSheetId="0">#REF!</definedName>
    <definedName name="두부" localSheetId="10">#REF!</definedName>
    <definedName name="디이젤엔진20경비" localSheetId="0">#REF!</definedName>
    <definedName name="디이젤엔진20경비" localSheetId="5">#REF!</definedName>
    <definedName name="디이젤엔진20경비" localSheetId="17">#REF!</definedName>
    <definedName name="디이젤엔진20경비" localSheetId="10">#REF!</definedName>
    <definedName name="디이젤엔진20노무비" localSheetId="0">#REF!</definedName>
    <definedName name="디이젤엔진20노무비" localSheetId="5">#REF!</definedName>
    <definedName name="디이젤엔진20노무비" localSheetId="17">#REF!</definedName>
    <definedName name="디이젤엔진20노무비" localSheetId="10">#REF!</definedName>
    <definedName name="디이젤엔진20재료비" localSheetId="0">#REF!</definedName>
    <definedName name="디이젤엔진20재료비" localSheetId="5">#REF!</definedName>
    <definedName name="디이젤엔진20재료비" localSheetId="17">#REF!</definedName>
    <definedName name="디이젤엔진20재료비" localSheetId="10">#REF!</definedName>
    <definedName name="디이젤엔진7경비" localSheetId="0">#REF!</definedName>
    <definedName name="디이젤엔진7경비" localSheetId="5">#REF!</definedName>
    <definedName name="디이젤엔진7경비" localSheetId="17">#REF!</definedName>
    <definedName name="디이젤엔진7경비" localSheetId="10">#REF!</definedName>
    <definedName name="디이젤엔진7노무비" localSheetId="0">#REF!</definedName>
    <definedName name="디이젤엔진7노무비" localSheetId="5">#REF!</definedName>
    <definedName name="디이젤엔진7노무비" localSheetId="17">#REF!</definedName>
    <definedName name="디이젤엔진7노무비" localSheetId="10">#REF!</definedName>
    <definedName name="디이젤엔진7재료비" localSheetId="0">#REF!</definedName>
    <definedName name="디이젤엔진7재료비" localSheetId="5">#REF!</definedName>
    <definedName name="디이젤엔진7재료비" localSheetId="17">#REF!</definedName>
    <definedName name="디이젤엔진7재료비" localSheetId="10">#REF!</definedName>
    <definedName name="띠장규격" localSheetId="0">#REF!</definedName>
    <definedName name="띠장규격" localSheetId="10">#REF!</definedName>
    <definedName name="ㅀㅎㅊㅌ" localSheetId="0">#REF!</definedName>
    <definedName name="ㅀㅎㅊㅌ" localSheetId="10">#REF!</definedName>
    <definedName name="ㅁ1" localSheetId="0">'[7]A LINE'!#REF!</definedName>
    <definedName name="ㅁ1" localSheetId="10">'[7]A LINE'!#REF!</definedName>
    <definedName name="ㅁㅁ" localSheetId="0">#REF!</definedName>
    <definedName name="ㅁㅁ" localSheetId="10">#REF!</definedName>
    <definedName name="ㅁㅁㅁ" localSheetId="0">#REF!</definedName>
    <definedName name="ㅁㅁㅁ" localSheetId="10">#REF!</definedName>
    <definedName name="매크로11" localSheetId="0">[8]!매크로11</definedName>
    <definedName name="매크로11" localSheetId="10">[8]!매크로11</definedName>
    <definedName name="매크로4" localSheetId="0">[8]!매크로4</definedName>
    <definedName name="매크로4" localSheetId="10">[8]!매크로4</definedName>
    <definedName name="모래" localSheetId="0">'[5]토사(PE)'!#REF!</definedName>
    <definedName name="모래" localSheetId="10">'[5]토사(PE)'!#REF!</definedName>
    <definedName name="모래300" localSheetId="0">[2]대로근거!#REF!</definedName>
    <definedName name="모래300" localSheetId="10">[2]대로근거!#REF!</definedName>
    <definedName name="모래350" localSheetId="0">[2]대로근거!#REF!</definedName>
    <definedName name="모래350" localSheetId="10">[2]대로근거!#REF!</definedName>
    <definedName name="물가조사" localSheetId="0">#REF!</definedName>
    <definedName name="물가조사" localSheetId="5">#REF!</definedName>
    <definedName name="물가조사" localSheetId="17">#REF!</definedName>
    <definedName name="물가조사" localSheetId="10">#REF!</definedName>
    <definedName name="물막이공경비" localSheetId="0">#REF!</definedName>
    <definedName name="물막이공경비" localSheetId="5">#REF!</definedName>
    <definedName name="물막이공경비" localSheetId="17">#REF!</definedName>
    <definedName name="물막이공경비" localSheetId="10">#REF!</definedName>
    <definedName name="물막이공노무비" localSheetId="0">#REF!</definedName>
    <definedName name="물막이공노무비" localSheetId="5">#REF!</definedName>
    <definedName name="물막이공노무비" localSheetId="17">#REF!</definedName>
    <definedName name="물막이공노무비" localSheetId="10">#REF!</definedName>
    <definedName name="물막이공재료비" localSheetId="0">#REF!</definedName>
    <definedName name="물막이공재료비" localSheetId="5">#REF!</definedName>
    <definedName name="물막이공재료비" localSheetId="17">#REF!</definedName>
    <definedName name="물막이공재료비" localSheetId="10">#REF!</definedName>
    <definedName name="미장공" localSheetId="0">#REF!</definedName>
    <definedName name="미장공" localSheetId="5">#REF!</definedName>
    <definedName name="미장공" localSheetId="17">#REF!</definedName>
    <definedName name="미장공" localSheetId="10">#REF!</definedName>
    <definedName name="바닥" localSheetId="0">'[5]토사(PE)'!#REF!</definedName>
    <definedName name="바닥" localSheetId="10">'[5]토사(PE)'!#REF!</definedName>
    <definedName name="발전기25kw경비" localSheetId="0">#REF!</definedName>
    <definedName name="발전기25kw경비" localSheetId="5">#REF!</definedName>
    <definedName name="발전기25kw경비" localSheetId="17">#REF!</definedName>
    <definedName name="발전기25kw경비" localSheetId="10">#REF!</definedName>
    <definedName name="발전기25kw노무비" localSheetId="0">#REF!</definedName>
    <definedName name="발전기25kw노무비" localSheetId="5">#REF!</definedName>
    <definedName name="발전기25kw노무비" localSheetId="17">#REF!</definedName>
    <definedName name="발전기25kw노무비" localSheetId="10">#REF!</definedName>
    <definedName name="발전기25kw재료비" localSheetId="0">#REF!</definedName>
    <definedName name="발전기25kw재료비" localSheetId="5">#REF!</definedName>
    <definedName name="발전기25kw재료비" localSheetId="17">#REF!</definedName>
    <definedName name="발전기25kw재료비" localSheetId="10">#REF!</definedName>
    <definedName name="발전기60kw경비" localSheetId="0">#REF!</definedName>
    <definedName name="발전기60kw경비" localSheetId="5">#REF!</definedName>
    <definedName name="발전기60kw경비" localSheetId="17">#REF!</definedName>
    <definedName name="발전기60kw경비" localSheetId="10">#REF!</definedName>
    <definedName name="발전기60kw노무비" localSheetId="0">#REF!</definedName>
    <definedName name="발전기60kw노무비" localSheetId="5">#REF!</definedName>
    <definedName name="발전기60kw노무비" localSheetId="17">#REF!</definedName>
    <definedName name="발전기60kw노무비" localSheetId="10">#REF!</definedName>
    <definedName name="발전기60kw재료비" localSheetId="0">#REF!</definedName>
    <definedName name="발전기60kw재료비" localSheetId="5">#REF!</definedName>
    <definedName name="발전기60kw재료비" localSheetId="17">#REF!</definedName>
    <definedName name="발전기60kw재료비" localSheetId="10">#REF!</definedName>
    <definedName name="발전기탑재차경비" localSheetId="0">#REF!</definedName>
    <definedName name="발전기탑재차경비" localSheetId="5">#REF!</definedName>
    <definedName name="발전기탑재차경비" localSheetId="17">#REF!</definedName>
    <definedName name="발전기탑재차경비" localSheetId="10">#REF!</definedName>
    <definedName name="발전기탑재차노무비" localSheetId="0">#REF!</definedName>
    <definedName name="발전기탑재차노무비" localSheetId="5">#REF!</definedName>
    <definedName name="발전기탑재차노무비" localSheetId="17">#REF!</definedName>
    <definedName name="발전기탑재차노무비" localSheetId="10">#REF!</definedName>
    <definedName name="발전기탑재차재료비" localSheetId="0">#REF!</definedName>
    <definedName name="발전기탑재차재료비" localSheetId="5">#REF!</definedName>
    <definedName name="발전기탑재차재료비" localSheetId="17">#REF!</definedName>
    <definedName name="발전기탑재차재료비" localSheetId="10">#REF!</definedName>
    <definedName name="방수공" localSheetId="0">#REF!</definedName>
    <definedName name="방수공" localSheetId="5">#REF!</definedName>
    <definedName name="방수공" localSheetId="17">#REF!</definedName>
    <definedName name="방수공" localSheetId="10">#REF!</definedName>
    <definedName name="버팀간격" localSheetId="0">#REF!</definedName>
    <definedName name="버팀간격" localSheetId="10">#REF!</definedName>
    <definedName name="버팀규격" localSheetId="0">#REF!</definedName>
    <definedName name="버팀규격" localSheetId="10">#REF!</definedName>
    <definedName name="버팀수량" localSheetId="0">#REF!</definedName>
    <definedName name="버팀수량" localSheetId="10">#REF!</definedName>
    <definedName name="보수기1000" localSheetId="0">#REF!</definedName>
    <definedName name="보수기1000" localSheetId="5">#REF!</definedName>
    <definedName name="보수기1000" localSheetId="17">#REF!</definedName>
    <definedName name="보수기1000" localSheetId="10">#REF!</definedName>
    <definedName name="보수기1100" localSheetId="0">#REF!</definedName>
    <definedName name="보수기1100" localSheetId="5">#REF!</definedName>
    <definedName name="보수기1100" localSheetId="17">#REF!</definedName>
    <definedName name="보수기1100" localSheetId="10">#REF!</definedName>
    <definedName name="보수기1200" localSheetId="0">#REF!</definedName>
    <definedName name="보수기1200" localSheetId="5">#REF!</definedName>
    <definedName name="보수기1200" localSheetId="17">#REF!</definedName>
    <definedName name="보수기1200" localSheetId="10">#REF!</definedName>
    <definedName name="보수기250" localSheetId="0">#REF!</definedName>
    <definedName name="보수기250" localSheetId="5">#REF!</definedName>
    <definedName name="보수기250" localSheetId="17">#REF!</definedName>
    <definedName name="보수기250" localSheetId="10">#REF!</definedName>
    <definedName name="보수기300" localSheetId="0">#REF!</definedName>
    <definedName name="보수기300" localSheetId="5">#REF!</definedName>
    <definedName name="보수기300" localSheetId="17">#REF!</definedName>
    <definedName name="보수기300" localSheetId="10">#REF!</definedName>
    <definedName name="보수기350" localSheetId="0">#REF!</definedName>
    <definedName name="보수기350" localSheetId="5">#REF!</definedName>
    <definedName name="보수기350" localSheetId="17">#REF!</definedName>
    <definedName name="보수기350" localSheetId="10">#REF!</definedName>
    <definedName name="보수기400450" localSheetId="0">#REF!</definedName>
    <definedName name="보수기400450" localSheetId="5">#REF!</definedName>
    <definedName name="보수기400450" localSheetId="17">#REF!</definedName>
    <definedName name="보수기400450" localSheetId="10">#REF!</definedName>
    <definedName name="보수기500" localSheetId="0">#REF!</definedName>
    <definedName name="보수기500" localSheetId="5">#REF!</definedName>
    <definedName name="보수기500" localSheetId="17">#REF!</definedName>
    <definedName name="보수기500" localSheetId="10">#REF!</definedName>
    <definedName name="보수기600700" localSheetId="0">#REF!</definedName>
    <definedName name="보수기600700" localSheetId="5">#REF!</definedName>
    <definedName name="보수기600700" localSheetId="17">#REF!</definedName>
    <definedName name="보수기600700" localSheetId="10">#REF!</definedName>
    <definedName name="보수기800" localSheetId="0">#REF!</definedName>
    <definedName name="보수기800" localSheetId="5">#REF!</definedName>
    <definedName name="보수기800" localSheetId="17">#REF!</definedName>
    <definedName name="보수기800" localSheetId="10">#REF!</definedName>
    <definedName name="보수기900" localSheetId="0">#REF!</definedName>
    <definedName name="보수기900" localSheetId="5">#REF!</definedName>
    <definedName name="보수기900" localSheetId="17">#REF!</definedName>
    <definedName name="보수기900" localSheetId="10">#REF!</definedName>
    <definedName name="보통인부" localSheetId="5">#REF!</definedName>
    <definedName name="보통인부" localSheetId="17">#REF!</definedName>
    <definedName name="비계공" localSheetId="0">#REF!</definedName>
    <definedName name="비계공" localSheetId="5">#REF!</definedName>
    <definedName name="비계공" localSheetId="17">#REF!</definedName>
    <definedName name="비계공" localSheetId="10">#REF!</definedName>
    <definedName name="상부" localSheetId="0">'[5]토사(PE)'!#REF!</definedName>
    <definedName name="상부" localSheetId="10">'[5]토사(PE)'!#REF!</definedName>
    <definedName name="수량" localSheetId="0">#REF!</definedName>
    <definedName name="수량" localSheetId="10">#REF!</definedName>
    <definedName name="수량1" localSheetId="0">[9]맨홀수량!#REF!</definedName>
    <definedName name="수량1" localSheetId="10">[9]맨홀수량!#REF!</definedName>
    <definedName name="ㅇㅇㅇ" localSheetId="0">#REF!</definedName>
    <definedName name="ㅇㅇㅇ" localSheetId="10">#REF!</definedName>
    <definedName name="ㅔ" localSheetId="0">[2]대로근거!#REF!</definedName>
    <definedName name="ㅔ" localSheetId="10">[2]대로근거!#REF!</definedName>
    <definedName name="양수기100경비" localSheetId="0">#REF!</definedName>
    <definedName name="양수기100경비" localSheetId="5">#REF!</definedName>
    <definedName name="양수기100경비" localSheetId="17">#REF!</definedName>
    <definedName name="양수기100경비" localSheetId="10">#REF!</definedName>
    <definedName name="양수기150경비" localSheetId="0">#REF!</definedName>
    <definedName name="양수기150경비" localSheetId="5">#REF!</definedName>
    <definedName name="양수기150경비" localSheetId="17">#REF!</definedName>
    <definedName name="양수기150경비" localSheetId="10">#REF!</definedName>
    <definedName name="옹벽" localSheetId="0">#REF!</definedName>
    <definedName name="옹벽" localSheetId="10">#REF!</definedName>
    <definedName name="인기300" localSheetId="0">[2]대로근거!#REF!</definedName>
    <definedName name="인기300" localSheetId="10">[2]대로근거!#REF!</definedName>
    <definedName name="인기350" localSheetId="0">[2]대로근거!#REF!</definedName>
    <definedName name="인기350" localSheetId="10">[2]대로근거!#REF!</definedName>
    <definedName name="인암300" localSheetId="0">[2]대로근거!#REF!</definedName>
    <definedName name="인암300" localSheetId="10">[2]대로근거!#REF!</definedName>
    <definedName name="인암350" localSheetId="0">[2]대로근거!#REF!</definedName>
    <definedName name="인암350" localSheetId="10">[2]대로근거!#REF!</definedName>
    <definedName name="인토300" localSheetId="0">[2]대로근거!#REF!</definedName>
    <definedName name="인토300" localSheetId="10">[2]대로근거!#REF!</definedName>
    <definedName name="인토350" localSheetId="0">[2]대로근거!#REF!</definedName>
    <definedName name="인토350" localSheetId="10">[2]대로근거!#REF!</definedName>
    <definedName name="ㅈㅈ" localSheetId="0">#REF!</definedName>
    <definedName name="ㅈㅈ" localSheetId="10">#REF!</definedName>
    <definedName name="작업반장" localSheetId="0">#REF!</definedName>
    <definedName name="작업반장" localSheetId="5">#REF!</definedName>
    <definedName name="작업반장" localSheetId="17">#REF!</definedName>
    <definedName name="작업반장" localSheetId="10">#REF!</definedName>
    <definedName name="중간" localSheetId="0">'[5]토사(PE)'!#REF!</definedName>
    <definedName name="중간" localSheetId="10">'[5]토사(PE)'!#REF!</definedName>
    <definedName name="중급기술자" localSheetId="0">#REF!</definedName>
    <definedName name="중급기술자" localSheetId="5">#REF!</definedName>
    <definedName name="중급기술자" localSheetId="17">#REF!</definedName>
    <definedName name="중급기술자" localSheetId="10">#REF!</definedName>
    <definedName name="천공간격" localSheetId="0">#REF!</definedName>
    <definedName name="천공간격" localSheetId="10">#REF!</definedName>
    <definedName name="천공기차경비" localSheetId="0">#REF!</definedName>
    <definedName name="천공기차경비" localSheetId="5">#REF!</definedName>
    <definedName name="천공기차경비" localSheetId="17">#REF!</definedName>
    <definedName name="천공기차경비" localSheetId="10">#REF!</definedName>
    <definedName name="천공기차노무비" localSheetId="0">#REF!</definedName>
    <definedName name="천공기차노무비" localSheetId="5">#REF!</definedName>
    <definedName name="천공기차노무비" localSheetId="17">#REF!</definedName>
    <definedName name="천공기차노무비" localSheetId="10">#REF!</definedName>
    <definedName name="천공기차재료비" localSheetId="0">#REF!</definedName>
    <definedName name="천공기차재료비" localSheetId="5">#REF!</definedName>
    <definedName name="천공기차재료비" localSheetId="17">#REF!</definedName>
    <definedName name="천공기차재료비" localSheetId="10">#REF!</definedName>
    <definedName name="철근깨기수량" localSheetId="0">#REF!</definedName>
    <definedName name="철근깨기수량" localSheetId="10">#REF!</definedName>
    <definedName name="초급기술자" localSheetId="0">#REF!</definedName>
    <definedName name="초급기술자" localSheetId="5">#REF!</definedName>
    <definedName name="초급기술자" localSheetId="17">#REF!</definedName>
    <definedName name="초급기술자" localSheetId="10">#REF!</definedName>
    <definedName name="총높이" localSheetId="0">'[5]토사(PE)'!#REF!</definedName>
    <definedName name="총높이" localSheetId="10">'[5]토사(PE)'!#REF!</definedName>
    <definedName name="콘크리트공" localSheetId="0">#REF!</definedName>
    <definedName name="콘크리트공" localSheetId="5">#REF!</definedName>
    <definedName name="콘크리트공" localSheetId="17">#REF!</definedName>
    <definedName name="콘크리트공" localSheetId="10">#REF!</definedName>
    <definedName name="크레인차25경비" localSheetId="0">#REF!</definedName>
    <definedName name="크레인차25경비" localSheetId="5">#REF!</definedName>
    <definedName name="크레인차25경비" localSheetId="17">#REF!</definedName>
    <definedName name="크레인차25경비" localSheetId="10">#REF!</definedName>
    <definedName name="크레인차25노무비" localSheetId="0">#REF!</definedName>
    <definedName name="크레인차25노무비" localSheetId="5">#REF!</definedName>
    <definedName name="크레인차25노무비" localSheetId="17">#REF!</definedName>
    <definedName name="크레인차25노무비" localSheetId="10">#REF!</definedName>
    <definedName name="크레인차25재료비" localSheetId="0">#REF!</definedName>
    <definedName name="크레인차25재료비" localSheetId="5">#REF!</definedName>
    <definedName name="크레인차25재료비" localSheetId="17">#REF!</definedName>
    <definedName name="크레인차25재료비" localSheetId="10">#REF!</definedName>
    <definedName name="템플리트모듈1" localSheetId="3">BlankMacro1</definedName>
    <definedName name="템플리트모듈1" localSheetId="6">BlankMacro1</definedName>
    <definedName name="템플리트모듈1" localSheetId="0">BlankMacro1</definedName>
    <definedName name="템플리트모듈1" localSheetId="1">BlankMacro1</definedName>
    <definedName name="템플리트모듈1" localSheetId="11">BlankMacro1</definedName>
    <definedName name="템플리트모듈1" localSheetId="13">BlankMacro1</definedName>
    <definedName name="템플리트모듈1" localSheetId="16">BlankMacro1</definedName>
    <definedName name="템플리트모듈1" localSheetId="10">BlankMacro1</definedName>
    <definedName name="템플리트모듈2" localSheetId="3">BlankMacro1</definedName>
    <definedName name="템플리트모듈2" localSheetId="6">BlankMacro1</definedName>
    <definedName name="템플리트모듈2" localSheetId="0">BlankMacro1</definedName>
    <definedName name="템플리트모듈2" localSheetId="1">BlankMacro1</definedName>
    <definedName name="템플리트모듈2" localSheetId="11">BlankMacro1</definedName>
    <definedName name="템플리트모듈2" localSheetId="13">BlankMacro1</definedName>
    <definedName name="템플리트모듈2" localSheetId="16">BlankMacro1</definedName>
    <definedName name="템플리트모듈2" localSheetId="10">BlankMacro1</definedName>
    <definedName name="템플리트모듈3" localSheetId="3">BlankMacro1</definedName>
    <definedName name="템플리트모듈3" localSheetId="6">BlankMacro1</definedName>
    <definedName name="템플리트모듈3" localSheetId="0">BlankMacro1</definedName>
    <definedName name="템플리트모듈3" localSheetId="1">BlankMacro1</definedName>
    <definedName name="템플리트모듈3" localSheetId="11">BlankMacro1</definedName>
    <definedName name="템플리트모듈3" localSheetId="13">BlankMacro1</definedName>
    <definedName name="템플리트모듈3" localSheetId="16">BlankMacro1</definedName>
    <definedName name="템플리트모듈3" localSheetId="10">BlankMacro1</definedName>
    <definedName name="템플리트모듈4" localSheetId="3">BlankMacro1</definedName>
    <definedName name="템플리트모듈4" localSheetId="6">BlankMacro1</definedName>
    <definedName name="템플리트모듈4" localSheetId="0">BlankMacro1</definedName>
    <definedName name="템플리트모듈4" localSheetId="1">BlankMacro1</definedName>
    <definedName name="템플리트모듈4" localSheetId="11">BlankMacro1</definedName>
    <definedName name="템플리트모듈4" localSheetId="13">BlankMacro1</definedName>
    <definedName name="템플리트모듈4" localSheetId="16">BlankMacro1</definedName>
    <definedName name="템플리트모듈4" localSheetId="10">BlankMacro1</definedName>
    <definedName name="템플리트모듈5" localSheetId="3">BlankMacro1</definedName>
    <definedName name="템플리트모듈5" localSheetId="6">BlankMacro1</definedName>
    <definedName name="템플리트모듈5" localSheetId="0">BlankMacro1</definedName>
    <definedName name="템플리트모듈5" localSheetId="1">BlankMacro1</definedName>
    <definedName name="템플리트모듈5" localSheetId="11">BlankMacro1</definedName>
    <definedName name="템플리트모듈5" localSheetId="13">BlankMacro1</definedName>
    <definedName name="템플리트모듈5" localSheetId="16">BlankMacro1</definedName>
    <definedName name="템플리트모듈5" localSheetId="10">BlankMacro1</definedName>
    <definedName name="템플리트모듈6" localSheetId="3">BlankMacro1</definedName>
    <definedName name="템플리트모듈6" localSheetId="6">BlankMacro1</definedName>
    <definedName name="템플리트모듈6" localSheetId="0">BlankMacro1</definedName>
    <definedName name="템플리트모듈6" localSheetId="1">BlankMacro1</definedName>
    <definedName name="템플리트모듈6" localSheetId="11">BlankMacro1</definedName>
    <definedName name="템플리트모듈6" localSheetId="13">BlankMacro1</definedName>
    <definedName name="템플리트모듈6" localSheetId="16">BlankMacro1</definedName>
    <definedName name="템플리트모듈6" localSheetId="10">BlankMacro1</definedName>
    <definedName name="특별인부" localSheetId="0">#REF!</definedName>
    <definedName name="특별인부" localSheetId="5">#REF!</definedName>
    <definedName name="특별인부" localSheetId="17">#REF!</definedName>
    <definedName name="특별인부" localSheetId="10">#REF!</definedName>
    <definedName name="평균H" localSheetId="0">#REF!</definedName>
    <definedName name="평균H" localSheetId="10">#REF!</definedName>
    <definedName name="포설공" localSheetId="0">#REF!</definedName>
    <definedName name="포설공" localSheetId="5">#REF!</definedName>
    <definedName name="포설공" localSheetId="17">#REF!</definedName>
    <definedName name="포설공" localSheetId="10">#REF!</definedName>
    <definedName name="포장" localSheetId="0">#REF!</definedName>
    <definedName name="포장" localSheetId="10">#REF!</definedName>
    <definedName name="포장공" localSheetId="0">#REF!</definedName>
    <definedName name="포장공" localSheetId="5">#REF!</definedName>
    <definedName name="포장공" localSheetId="17">#REF!</definedName>
    <definedName name="포장공" localSheetId="10">#REF!</definedName>
    <definedName name="포장T" localSheetId="0">#REF!</definedName>
    <definedName name="포장T" localSheetId="10">#REF!</definedName>
    <definedName name="폭300" localSheetId="0">[2]대로근거!#REF!</definedName>
    <definedName name="폭300" localSheetId="10">[2]대로근거!#REF!</definedName>
    <definedName name="폭350" localSheetId="0">[2]대로근거!#REF!</definedName>
    <definedName name="폭350" localSheetId="10">[2]대로근거!#REF!</definedName>
    <definedName name="하수관거" localSheetId="0">BlankMacro1</definedName>
    <definedName name="하수관거" localSheetId="1">BlankMacro1</definedName>
    <definedName name="하수관거" localSheetId="11">BlankMacro1</definedName>
    <definedName name="하수관거" localSheetId="13">BlankMacro1</definedName>
    <definedName name="하수관거" localSheetId="16">BlankMacro1</definedName>
    <definedName name="하수관거" localSheetId="10">BlankMacro1</definedName>
    <definedName name="형틀목공" localSheetId="0">#REF!</definedName>
    <definedName name="형틀목공" localSheetId="5">#REF!</definedName>
    <definedName name="형틀목공" localSheetId="17">#REF!</definedName>
    <definedName name="형틀목공" localSheetId="10">#REF!</definedName>
    <definedName name="홍길동" localSheetId="0">#REF!</definedName>
    <definedName name="홍길동" localSheetId="10">#REF!</definedName>
    <definedName name="확인" localSheetId="3">BlankMacro1</definedName>
    <definedName name="확인" localSheetId="6">BlankMacro1</definedName>
    <definedName name="확인" localSheetId="0">BlankMacro1</definedName>
    <definedName name="확인" localSheetId="1">BlankMacro1</definedName>
    <definedName name="확인" localSheetId="11">BlankMacro1</definedName>
    <definedName name="확인" localSheetId="13">BlankMacro1</definedName>
    <definedName name="확인" localSheetId="16">BlankMacro1</definedName>
    <definedName name="확인" localSheetId="10">BlankMacro1</definedName>
    <definedName name="활석공" localSheetId="0">#REF!</definedName>
    <definedName name="활석공" localSheetId="5">#REF!</definedName>
    <definedName name="활석공" localSheetId="17">#REF!</definedName>
    <definedName name="활석공" localSheetId="10">#REF!</definedName>
    <definedName name="A" localSheetId="0">#REF!</definedName>
    <definedName name="A" localSheetId="10">#REF!</definedName>
    <definedName name="AA" localSheetId="0">#REF!</definedName>
    <definedName name="AA" localSheetId="10">#REF!</definedName>
    <definedName name="aaaa" localSheetId="0">#REF!</definedName>
    <definedName name="aaaa" localSheetId="10">#REF!</definedName>
    <definedName name="abc" localSheetId="0">#REF!</definedName>
    <definedName name="abc" localSheetId="10">#REF!</definedName>
    <definedName name="B" localSheetId="0">#REF!</definedName>
    <definedName name="B" localSheetId="10">#REF!</definedName>
    <definedName name="BBBB" localSheetId="0">#REF!</definedName>
    <definedName name="BBBB" localSheetId="10">#REF!</definedName>
    <definedName name="CCCC" localSheetId="0">#REF!</definedName>
    <definedName name="CCCC" localSheetId="10">#REF!</definedName>
    <definedName name="CCTV적재차량경비" localSheetId="0">#REF!</definedName>
    <definedName name="CCTV적재차량경비" localSheetId="5">#REF!</definedName>
    <definedName name="CCTV적재차량경비" localSheetId="17">#REF!</definedName>
    <definedName name="CCTV적재차량경비" localSheetId="10">#REF!</definedName>
    <definedName name="CCTV적재차량노무비" localSheetId="0">#REF!</definedName>
    <definedName name="CCTV적재차량노무비" localSheetId="5">#REF!</definedName>
    <definedName name="CCTV적재차량노무비" localSheetId="17">#REF!</definedName>
    <definedName name="CCTV적재차량노무비" localSheetId="10">#REF!</definedName>
    <definedName name="CCTV적재차량재료비" localSheetId="0">#REF!</definedName>
    <definedName name="CCTV적재차량재료비" localSheetId="5">#REF!</definedName>
    <definedName name="CCTV적재차량재료비" localSheetId="17">#REF!</definedName>
    <definedName name="CCTV적재차량재료비" localSheetId="10">#REF!</definedName>
    <definedName name="CCTV카메라경비" localSheetId="0">#REF!</definedName>
    <definedName name="CCTV카메라경비" localSheetId="5">#REF!</definedName>
    <definedName name="CCTV카메라경비" localSheetId="17">#REF!</definedName>
    <definedName name="CCTV카메라경비" localSheetId="10">#REF!</definedName>
    <definedName name="CCTV카메라노무비" localSheetId="0">#REF!</definedName>
    <definedName name="CCTV카메라노무비" localSheetId="5">#REF!</definedName>
    <definedName name="CCTV카메라노무비" localSheetId="17">#REF!</definedName>
    <definedName name="CCTV카메라노무비" localSheetId="10">#REF!</definedName>
    <definedName name="CCTV카메라재료비" localSheetId="0">#REF!</definedName>
    <definedName name="CCTV카메라재료비" localSheetId="5">#REF!</definedName>
    <definedName name="CCTV카메라재료비" localSheetId="17">#REF!</definedName>
    <definedName name="CCTV카메라재료비" localSheetId="10">#REF!</definedName>
    <definedName name="CCV" localSheetId="0">[10]원형1호맨홀토공수량!#REF!</definedName>
    <definedName name="CCV" localSheetId="10">[10]원형1호맨홀토공수량!#REF!</definedName>
    <definedName name="CL" localSheetId="0">#REF!</definedName>
    <definedName name="CL" localSheetId="10">#REF!</definedName>
    <definedName name="_xlnm.Criteria" localSheetId="0">#REF!</definedName>
    <definedName name="_xlnm.Criteria" localSheetId="10">#REF!</definedName>
    <definedName name="_xlnm.Criteria">#REF!</definedName>
    <definedName name="CT" localSheetId="0">#REF!</definedName>
    <definedName name="CT" localSheetId="10">#REF!</definedName>
    <definedName name="CV" localSheetId="0">[11]원형1호맨홀토공수량!#REF!</definedName>
    <definedName name="CV" localSheetId="10">[11]원형1호맨홀토공수량!#REF!</definedName>
    <definedName name="CVV" localSheetId="0">[10]원형1호맨홀토공수량!#REF!</definedName>
    <definedName name="CVV" localSheetId="10">[10]원형1호맨홀토공수량!#REF!</definedName>
    <definedName name="D" localSheetId="0">#REF!</definedName>
    <definedName name="D" localSheetId="10">#REF!</definedName>
    <definedName name="ddd" localSheetId="3">BlankMacro1</definedName>
    <definedName name="ddd" localSheetId="6">BlankMacro1</definedName>
    <definedName name="ddd" localSheetId="0">BlankMacro1</definedName>
    <definedName name="ddd" localSheetId="1">BlankMacro1</definedName>
    <definedName name="ddd" localSheetId="11">BlankMacro1</definedName>
    <definedName name="ddd" localSheetId="13">BlankMacro1</definedName>
    <definedName name="ddd" localSheetId="16">BlankMacro1</definedName>
    <definedName name="ddd" localSheetId="10">BlankMacro1</definedName>
    <definedName name="ddddd" localSheetId="3">BlankMacro1</definedName>
    <definedName name="ddddd" localSheetId="6">BlankMacro1</definedName>
    <definedName name="ddddd" localSheetId="0">BlankMacro1</definedName>
    <definedName name="ddddd" localSheetId="1">BlankMacro1</definedName>
    <definedName name="ddddd" localSheetId="11">BlankMacro1</definedName>
    <definedName name="ddddd" localSheetId="13">BlankMacro1</definedName>
    <definedName name="ddddd" localSheetId="16">BlankMacro1</definedName>
    <definedName name="ddddd" localSheetId="10">BlankMacro1</definedName>
    <definedName name="dk" localSheetId="0">[2]중로근거!#REF!</definedName>
    <definedName name="dk" localSheetId="10">[2]중로근거!#REF!</definedName>
    <definedName name="E" localSheetId="0">[11]원형1호맨홀토공수량!#REF!</definedName>
    <definedName name="E" localSheetId="10">[11]원형1호맨홀토공수량!#REF!</definedName>
    <definedName name="EE" localSheetId="0">[10]원형1호맨홀토공수량!#REF!</definedName>
    <definedName name="EE" localSheetId="10">[10]원형1호맨홀토공수량!#REF!</definedName>
    <definedName name="EEE" localSheetId="0">[10]원형1호맨홀토공수량!#REF!</definedName>
    <definedName name="EEE" localSheetId="10">[10]원형1호맨홀토공수량!#REF!</definedName>
    <definedName name="_xlnm.Extract" localSheetId="0">#REF!</definedName>
    <definedName name="_xlnm.Extract" localSheetId="10">#REF!</definedName>
    <definedName name="_xlnm.Extract">#REF!</definedName>
    <definedName name="F" localSheetId="0">#REF!</definedName>
    <definedName name="F" localSheetId="10">#REF!</definedName>
    <definedName name="ffff" localSheetId="3">BlankMacro1</definedName>
    <definedName name="ffff" localSheetId="6">BlankMacro1</definedName>
    <definedName name="ffff" localSheetId="0">BlankMacro1</definedName>
    <definedName name="ffff" localSheetId="1">BlankMacro1</definedName>
    <definedName name="ffff" localSheetId="11">BlankMacro1</definedName>
    <definedName name="ffff" localSheetId="13">BlankMacro1</definedName>
    <definedName name="ffff" localSheetId="16">BlankMacro1</definedName>
    <definedName name="ffff" localSheetId="10">BlankMacro1</definedName>
    <definedName name="G" localSheetId="0">#REF!</definedName>
    <definedName name="G" localSheetId="10">#REF!</definedName>
    <definedName name="ggg" localSheetId="3">BlankMacro1</definedName>
    <definedName name="ggg" localSheetId="6">BlankMacro1</definedName>
    <definedName name="ggg" localSheetId="0">BlankMacro1</definedName>
    <definedName name="ggg" localSheetId="1">BlankMacro1</definedName>
    <definedName name="ggg" localSheetId="11">BlankMacro1</definedName>
    <definedName name="ggg" localSheetId="13">BlankMacro1</definedName>
    <definedName name="ggg" localSheetId="16">BlankMacro1</definedName>
    <definedName name="ggg" localSheetId="10">BlankMacro1</definedName>
    <definedName name="gggg" localSheetId="3">BlankMacro1</definedName>
    <definedName name="gggg" localSheetId="6">BlankMacro1</definedName>
    <definedName name="gggg" localSheetId="0">BlankMacro1</definedName>
    <definedName name="gggg" localSheetId="1">BlankMacro1</definedName>
    <definedName name="gggg" localSheetId="11">BlankMacro1</definedName>
    <definedName name="gggg" localSheetId="13">BlankMacro1</definedName>
    <definedName name="gggg" localSheetId="16">BlankMacro1</definedName>
    <definedName name="gggg" localSheetId="10">BlankMacro1</definedName>
    <definedName name="GGGHGH" localSheetId="3">BlankMacro1</definedName>
    <definedName name="GGGHGH" localSheetId="6">BlankMacro1</definedName>
    <definedName name="GGGHGH" localSheetId="0">BlankMacro1</definedName>
    <definedName name="GGGHGH" localSheetId="1">BlankMacro1</definedName>
    <definedName name="GGGHGH" localSheetId="11">BlankMacro1</definedName>
    <definedName name="GGGHGH" localSheetId="13">BlankMacro1</definedName>
    <definedName name="GGGHGH" localSheetId="16">BlankMacro1</definedName>
    <definedName name="GGGHGH" localSheetId="10">BlankMacro1</definedName>
    <definedName name="GGV" localSheetId="0">[10]원형1호맨홀토공수량!#REF!</definedName>
    <definedName name="GGV" localSheetId="10">[10]원형1호맨홀토공수량!#REF!</definedName>
    <definedName name="GHFJ" localSheetId="3">BlankMacro1</definedName>
    <definedName name="GHFJ" localSheetId="6">BlankMacro1</definedName>
    <definedName name="GHFJ" localSheetId="0">BlankMacro1</definedName>
    <definedName name="GHFJ" localSheetId="1">BlankMacro1</definedName>
    <definedName name="GHFJ" localSheetId="11">BlankMacro1</definedName>
    <definedName name="GHFJ" localSheetId="13">BlankMacro1</definedName>
    <definedName name="GHFJ" localSheetId="16">BlankMacro1</definedName>
    <definedName name="GHFJ" localSheetId="10">BlankMacro1</definedName>
    <definedName name="GV" localSheetId="0">[11]원형1호맨홀토공수량!#REF!</definedName>
    <definedName name="GV" localSheetId="10">[11]원형1호맨홀토공수량!#REF!</definedName>
    <definedName name="GVV" localSheetId="0">[10]원형1호맨홀토공수량!#REF!</definedName>
    <definedName name="GVV" localSheetId="10">[10]원형1호맨홀토공수량!#REF!</definedName>
    <definedName name="H" localSheetId="0">#REF!</definedName>
    <definedName name="H" localSheetId="10">#REF!</definedName>
    <definedName name="h_water" localSheetId="0">'[12]3BL공동구 수량'!#REF!</definedName>
    <definedName name="h_water" localSheetId="10">'[12]3BL공동구 수량'!#REF!</definedName>
    <definedName name="hhh" localSheetId="3">BlankMacro1</definedName>
    <definedName name="hhh" localSheetId="6">BlankMacro1</definedName>
    <definedName name="hhh" localSheetId="0">BlankMacro1</definedName>
    <definedName name="hhh" localSheetId="1">BlankMacro1</definedName>
    <definedName name="hhh" localSheetId="11">BlankMacro1</definedName>
    <definedName name="hhh" localSheetId="13">BlankMacro1</definedName>
    <definedName name="hhh" localSheetId="16">BlankMacro1</definedName>
    <definedName name="hhh" localSheetId="10">BlankMacro1</definedName>
    <definedName name="HTML_Control" localSheetId="4" hidden="1">{"'유입수질'!$Q$19"}</definedName>
    <definedName name="HTML_Control" localSheetId="0" hidden="1">{"'유입수질'!$Q$19"}</definedName>
    <definedName name="HTML_Control" localSheetId="1" hidden="1">{"'유입수질'!$Q$19"}</definedName>
    <definedName name="HTML_Control" localSheetId="11" hidden="1">{"'유입수질'!$Q$19"}</definedName>
    <definedName name="HTML_Control" localSheetId="13" hidden="1">{"'유입수질'!$Q$19"}</definedName>
    <definedName name="HTML_Control" localSheetId="16" hidden="1">{"'유입수질'!$Q$19"}</definedName>
    <definedName name="HTML_LineAfter" hidden="1">FALSE</definedName>
    <definedName name="HTML_LineBefore" hidden="1">FALSE</definedName>
    <definedName name="HTML_Name" hidden="1">"이용권"</definedName>
    <definedName name="HTML_OBDlg2" hidden="1">TRUE</definedName>
    <definedName name="HTML_OBDlg4" hidden="1">TRUE</definedName>
    <definedName name="HTML_OS" hidden="1">0</definedName>
    <definedName name="HTML_PathFile" hidden="1">"C:\user\lee\지평\xls\MyHTML.htm"</definedName>
    <definedName name="HTML_Title" hidden="1">"보고서0407"</definedName>
    <definedName name="I" localSheetId="0">[11]원형1호맨홀토공수량!#REF!</definedName>
    <definedName name="I" localSheetId="10">[11]원형1호맨홀토공수량!#REF!</definedName>
    <definedName name="II" localSheetId="0">[10]원형1호맨홀토공수량!#REF!</definedName>
    <definedName name="II" localSheetId="10">[10]원형1호맨홀토공수량!#REF!</definedName>
    <definedName name="III" localSheetId="0">[10]원형1호맨홀토공수량!#REF!</definedName>
    <definedName name="III" localSheetId="10">[10]원형1호맨홀토공수량!#REF!</definedName>
    <definedName name="IIT" localSheetId="0">[10]원형1호맨홀토공수량!#REF!</definedName>
    <definedName name="IIT" localSheetId="10">[10]원형1호맨홀토공수량!#REF!</definedName>
    <definedName name="IT" localSheetId="0">[11]원형1호맨홀토공수량!#REF!</definedName>
    <definedName name="IT" localSheetId="10">[11]원형1호맨홀토공수량!#REF!</definedName>
    <definedName name="ITT" localSheetId="0">[10]원형1호맨홀토공수량!#REF!</definedName>
    <definedName name="ITT" localSheetId="10">[10]원형1호맨홀토공수량!#REF!</definedName>
    <definedName name="J" localSheetId="0">#REF!</definedName>
    <definedName name="J" localSheetId="10">#REF!</definedName>
    <definedName name="jjjjj" localSheetId="3">BlankMacro1</definedName>
    <definedName name="jjjjj" localSheetId="6">BlankMacro1</definedName>
    <definedName name="jjjjj" localSheetId="0">BlankMacro1</definedName>
    <definedName name="jjjjj" localSheetId="1">BlankMacro1</definedName>
    <definedName name="jjjjj" localSheetId="11">BlankMacro1</definedName>
    <definedName name="jjjjj" localSheetId="13">BlankMacro1</definedName>
    <definedName name="jjjjj" localSheetId="16">BlankMacro1</definedName>
    <definedName name="jjjjj" localSheetId="10">BlankMacro1</definedName>
    <definedName name="K" localSheetId="0">[11]원형1호맨홀토공수량!#REF!</definedName>
    <definedName name="K" localSheetId="10">[11]원형1호맨홀토공수량!#REF!</definedName>
    <definedName name="KATE탑재차경비" localSheetId="0">#REF!</definedName>
    <definedName name="KATE탑재차경비" localSheetId="5">#REF!</definedName>
    <definedName name="KATE탑재차경비" localSheetId="17">#REF!</definedName>
    <definedName name="KATE탑재차경비" localSheetId="10">#REF!</definedName>
    <definedName name="KATE탑재차노무비" localSheetId="0">#REF!</definedName>
    <definedName name="KATE탑재차노무비" localSheetId="5">#REF!</definedName>
    <definedName name="KATE탑재차노무비" localSheetId="17">#REF!</definedName>
    <definedName name="KATE탑재차노무비" localSheetId="10">#REF!</definedName>
    <definedName name="KATE탑재차재료비" localSheetId="0">#REF!</definedName>
    <definedName name="KATE탑재차재료비" localSheetId="5">#REF!</definedName>
    <definedName name="KATE탑재차재료비" localSheetId="17">#REF!</definedName>
    <definedName name="KATE탑재차재료비" localSheetId="10">#REF!</definedName>
    <definedName name="KATESYSTEM경비" localSheetId="0">#REF!</definedName>
    <definedName name="KATESYSTEM경비" localSheetId="5">#REF!</definedName>
    <definedName name="KATESYSTEM경비" localSheetId="17">#REF!</definedName>
    <definedName name="KATESYSTEM경비" localSheetId="10">#REF!</definedName>
    <definedName name="KD" localSheetId="0">#REF!</definedName>
    <definedName name="KD" localSheetId="10">#REF!</definedName>
    <definedName name="kdjf" localSheetId="0">#REF!</definedName>
    <definedName name="kdjf" localSheetId="10">#REF!</definedName>
    <definedName name="KK" localSheetId="0">[10]원형1호맨홀토공수량!#REF!</definedName>
    <definedName name="KK" localSheetId="10">[10]원형1호맨홀토공수량!#REF!</definedName>
    <definedName name="KKK" localSheetId="0">[10]원형1호맨홀토공수량!#REF!</definedName>
    <definedName name="KKK" localSheetId="10">[10]원형1호맨홀토공수량!#REF!</definedName>
    <definedName name="L" localSheetId="0">[11]원형1호맨홀토공수량!#REF!</definedName>
    <definedName name="L" localSheetId="10">[11]원형1호맨홀토공수량!#REF!</definedName>
    <definedName name="LKKLKL" localSheetId="3">BlankMacro1</definedName>
    <definedName name="LKKLKL" localSheetId="6">BlankMacro1</definedName>
    <definedName name="LKKLKL" localSheetId="0">BlankMacro1</definedName>
    <definedName name="LKKLKL" localSheetId="1">BlankMacro1</definedName>
    <definedName name="LKKLKL" localSheetId="11">BlankMacro1</definedName>
    <definedName name="LKKLKL" localSheetId="13">BlankMacro1</definedName>
    <definedName name="LKKLKL" localSheetId="16">BlankMacro1</definedName>
    <definedName name="LKKLKL" localSheetId="10">BlankMacro1</definedName>
    <definedName name="LKTY" localSheetId="3">BlankMacro1</definedName>
    <definedName name="LKTY" localSheetId="6">BlankMacro1</definedName>
    <definedName name="LKTY" localSheetId="0">BlankMacro1</definedName>
    <definedName name="LKTY" localSheetId="1">BlankMacro1</definedName>
    <definedName name="LKTY" localSheetId="11">BlankMacro1</definedName>
    <definedName name="LKTY" localSheetId="13">BlankMacro1</definedName>
    <definedName name="LKTY" localSheetId="16">BlankMacro1</definedName>
    <definedName name="LKTY" localSheetId="10">BlankMacro1</definedName>
    <definedName name="LL" localSheetId="0">[10]원형1호맨홀토공수량!#REF!</definedName>
    <definedName name="LL" localSheetId="10">[10]원형1호맨홀토공수량!#REF!</definedName>
    <definedName name="LLL" localSheetId="0">[10]원형1호맨홀토공수량!#REF!</definedName>
    <definedName name="LLL" localSheetId="10">[10]원형1호맨홀토공수량!#REF!</definedName>
    <definedName name="M" localSheetId="0">[11]원형1호맨홀토공수량!#REF!</definedName>
    <definedName name="M" localSheetId="10">[11]원형1호맨홀토공수량!#REF!</definedName>
    <definedName name="MM" localSheetId="0">[10]원형1호맨홀토공수량!#REF!</definedName>
    <definedName name="MM" localSheetId="10">[10]원형1호맨홀토공수량!#REF!</definedName>
    <definedName name="MMM" localSheetId="0">[10]원형1호맨홀토공수량!#REF!</definedName>
    <definedName name="MMM" localSheetId="10">[10]원형1호맨홀토공수량!#REF!</definedName>
    <definedName name="N" localSheetId="0">[11]원형1호맨홀토공수량!#REF!</definedName>
    <definedName name="N" localSheetId="10">[11]원형1호맨홀토공수량!#REF!</definedName>
    <definedName name="NN" localSheetId="0">[10]원형1호맨홀토공수량!#REF!</definedName>
    <definedName name="NN" localSheetId="10">[10]원형1호맨홀토공수량!#REF!</definedName>
    <definedName name="NNN" localSheetId="0">[10]원형1호맨홀토공수량!#REF!</definedName>
    <definedName name="NNN" localSheetId="10">[10]원형1호맨홀토공수량!#REF!</definedName>
    <definedName name="O" localSheetId="0">[11]원형1호맨홀토공수량!#REF!</definedName>
    <definedName name="O" localSheetId="10">[11]원형1호맨홀토공수량!#REF!</definedName>
    <definedName name="OO" localSheetId="0">[10]원형1호맨홀토공수량!#REF!</definedName>
    <definedName name="OO" localSheetId="10">[10]원형1호맨홀토공수량!#REF!</definedName>
    <definedName name="OOO" localSheetId="0">[10]원형1호맨홀토공수량!#REF!</definedName>
    <definedName name="OOO" localSheetId="10">[10]원형1호맨홀토공수량!#REF!</definedName>
    <definedName name="OPIU" localSheetId="3">BlankMacro1</definedName>
    <definedName name="OPIU" localSheetId="6">BlankMacro1</definedName>
    <definedName name="OPIU" localSheetId="0">BlankMacro1</definedName>
    <definedName name="OPIU" localSheetId="1">BlankMacro1</definedName>
    <definedName name="OPIU" localSheetId="11">BlankMacro1</definedName>
    <definedName name="OPIU" localSheetId="13">BlankMacro1</definedName>
    <definedName name="OPIU" localSheetId="16">BlankMacro1</definedName>
    <definedName name="OPIU" localSheetId="10">BlankMacro1</definedName>
    <definedName name="P" localSheetId="0">[11]원형1호맨홀토공수량!#REF!</definedName>
    <definedName name="P" localSheetId="10">[11]원형1호맨홀토공수량!#REF!</definedName>
    <definedName name="PILE규격" localSheetId="0">#REF!</definedName>
    <definedName name="PILE규격" localSheetId="10">#REF!</definedName>
    <definedName name="PP" localSheetId="0">[10]원형1호맨홀토공수량!#REF!</definedName>
    <definedName name="PP" localSheetId="10">[10]원형1호맨홀토공수량!#REF!</definedName>
    <definedName name="PPP" localSheetId="0">[10]원형1호맨홀토공수량!#REF!</definedName>
    <definedName name="PPP" localSheetId="10">[10]원형1호맨홀토공수량!#REF!</definedName>
    <definedName name="_xlnm.Print_Area" localSheetId="3">'1.2인구분석'!$A$1:$L$442</definedName>
    <definedName name="_xlnm.Print_Area" localSheetId="2">'1.과거인구'!$A$1:$N$42</definedName>
    <definedName name="_xlnm.Print_Area" localSheetId="6">'2.2생잔모형'!$A$1:$H$36</definedName>
    <definedName name="_xlnm.Print_Area" localSheetId="4">'2.인구추정'!$A$1:$L$259</definedName>
    <definedName name="_xlnm.Print_Area" localSheetId="8">'3.계획인구'!$A$1:$I$25</definedName>
    <definedName name="_xlnm.Print_Area" localSheetId="12">'4.하수처리인구'!$A$1:$H$151</definedName>
    <definedName name="_xlnm.Print_Area" localSheetId="0">배수구역!$A$1:$J$25</definedName>
    <definedName name="_xlnm.Print_Area" localSheetId="7">사회유입인구!$A$1:$S$180</definedName>
    <definedName name="_xlnm.Print_Area" localSheetId="14">소규모하수도인구!$A$1:$J$50</definedName>
    <definedName name="_xlnm.Print_Area" localSheetId="18">소규모하수도현황!$A$1:$J$19</definedName>
    <definedName name="_xlnm.Print_Area" localSheetId="5">수학적방법!$A$1:$H$38</definedName>
    <definedName name="_xlnm.Print_Area" localSheetId="9">인구배분!$A$1:$S$228</definedName>
    <definedName name="_xlnm.Print_Area" localSheetId="17">증설계획!$A$1:$U$24</definedName>
    <definedName name="_xlnm.Print_Area" localSheetId="1">'처리구역 면적'!$A$1:$Q$75</definedName>
    <definedName name="_xlnm.Print_Area" localSheetId="11">'처리구역별 계획인구'!$A$1:$Q$28</definedName>
    <definedName name="_xlnm.Print_Area" localSheetId="13">'처리구역별 인구 근거'!$A$1:$U$73</definedName>
    <definedName name="_xlnm.Print_Area" localSheetId="10">'행정구역별 인구'!$A$1:$P$73</definedName>
    <definedName name="_xlnm.Print_Area">#REF!</definedName>
    <definedName name="PRINT_AREA_MI" localSheetId="0">#REF!</definedName>
    <definedName name="PRINT_AREA_MI" localSheetId="10">#REF!</definedName>
    <definedName name="_xlnm.Print_Titles" localSheetId="13">'처리구역별 인구 근거'!$3:$5</definedName>
    <definedName name="_xlnm.Print_Titles" localSheetId="19">'하수처리인구 근거'!$4:$4</definedName>
    <definedName name="PYUUYF" localSheetId="3">BlankMacro1</definedName>
    <definedName name="PYUUYF" localSheetId="6">BlankMacro1</definedName>
    <definedName name="PYUUYF" localSheetId="0">BlankMacro1</definedName>
    <definedName name="PYUUYF" localSheetId="1">BlankMacro1</definedName>
    <definedName name="PYUUYF" localSheetId="11">BlankMacro1</definedName>
    <definedName name="PYUUYF" localSheetId="13">BlankMacro1</definedName>
    <definedName name="PYUUYF" localSheetId="16">BlankMacro1</definedName>
    <definedName name="PYUUYF" localSheetId="10">BlankMacro1</definedName>
    <definedName name="qe" localSheetId="0">#REF!</definedName>
    <definedName name="qe" localSheetId="10">#REF!</definedName>
    <definedName name="_xlnm.Recorder" localSheetId="0">#REF!</definedName>
    <definedName name="_xlnm.Recorder" localSheetId="10">#REF!</definedName>
    <definedName name="_xlnm.Recorder">#REF!</definedName>
    <definedName name="S" localSheetId="0">[11]원형1호맨홀토공수량!#REF!</definedName>
    <definedName name="S" localSheetId="10">[11]원형1호맨홀토공수량!#REF!</definedName>
    <definedName name="SS" localSheetId="0">[10]원형1호맨홀토공수량!#REF!</definedName>
    <definedName name="SS" localSheetId="10">[10]원형1호맨홀토공수량!#REF!</definedName>
    <definedName name="SSS" localSheetId="0">[10]원형1호맨홀토공수량!#REF!</definedName>
    <definedName name="SSS" localSheetId="10">[10]원형1호맨홀토공수량!#REF!</definedName>
    <definedName name="SSSS" localSheetId="0">[10]원형1호맨홀토공수량!#REF!</definedName>
    <definedName name="SSSS" localSheetId="10">[10]원형1호맨홀토공수량!#REF!</definedName>
    <definedName name="SW기사" localSheetId="0">#REF!</definedName>
    <definedName name="SW기사" localSheetId="5">#REF!</definedName>
    <definedName name="SW기사" localSheetId="17">#REF!</definedName>
    <definedName name="SW기사" localSheetId="10">#REF!</definedName>
    <definedName name="T" localSheetId="0">[11]원형1호맨홀토공수량!#REF!</definedName>
    <definedName name="T" localSheetId="10">[11]원형1호맨홀토공수량!#REF!</definedName>
    <definedName name="TT" localSheetId="0">[10]원형1호맨홀토공수량!#REF!</definedName>
    <definedName name="TT" localSheetId="10">[10]원형1호맨홀토공수량!#REF!</definedName>
    <definedName name="TTT" localSheetId="0">[10]원형1호맨홀토공수량!#REF!</definedName>
    <definedName name="TTT" localSheetId="10">[10]원형1호맨홀토공수량!#REF!</definedName>
    <definedName name="TV" localSheetId="0">#REF!</definedName>
    <definedName name="TV" localSheetId="10">#REF!</definedName>
    <definedName name="U" localSheetId="0">#REF!</definedName>
    <definedName name="U" localSheetId="10">#REF!</definedName>
    <definedName name="UT" localSheetId="0">#REF!</definedName>
    <definedName name="UT" localSheetId="10">#REF!</definedName>
    <definedName name="w" localSheetId="3">BlankMacro1</definedName>
    <definedName name="w" localSheetId="6">BlankMacro1</definedName>
    <definedName name="w" localSheetId="0">BlankMacro1</definedName>
    <definedName name="w" localSheetId="1">BlankMacro1</definedName>
    <definedName name="w" localSheetId="11">BlankMacro1</definedName>
    <definedName name="w" localSheetId="13">BlankMacro1</definedName>
    <definedName name="w" localSheetId="16">BlankMacro1</definedName>
    <definedName name="w" localSheetId="10">BlankMacro1</definedName>
    <definedName name="WT" localSheetId="0">[11]원형1호맨홀토공수량!#REF!</definedName>
    <definedName name="WT" localSheetId="10">[11]원형1호맨홀토공수량!#REF!</definedName>
    <definedName name="WTT" localSheetId="0">[10]원형1호맨홀토공수량!#REF!</definedName>
    <definedName name="WTT" localSheetId="10">[10]원형1호맨홀토공수량!#REF!</definedName>
    <definedName name="Z" localSheetId="0">[13]원형1호맨홀토공수량!#REF!</definedName>
    <definedName name="Z" localSheetId="10">[13]원형1호맨홀토공수량!#REF!</definedName>
    <definedName name="Z_767F5896_82D4_4784_B1B5_8D1F0A7C8DB2_.wvu.PrintArea" localSheetId="6" hidden="1">'2.2생잔모형'!#REF!</definedName>
  </definedNames>
  <calcPr calcId="124519"/>
</workbook>
</file>

<file path=xl/calcChain.xml><?xml version="1.0" encoding="utf-8"?>
<calcChain xmlns="http://schemas.openxmlformats.org/spreadsheetml/2006/main">
  <c r="J24" i="31"/>
  <c r="I24"/>
  <c r="H24"/>
  <c r="G24"/>
  <c r="J23"/>
  <c r="I23"/>
  <c r="H23"/>
  <c r="G23"/>
  <c r="J20"/>
  <c r="I20"/>
  <c r="H20"/>
  <c r="G20"/>
  <c r="J16"/>
  <c r="I16"/>
  <c r="H16"/>
  <c r="G16"/>
  <c r="J12"/>
  <c r="I12"/>
  <c r="H12"/>
  <c r="G12"/>
  <c r="J19"/>
  <c r="I19"/>
  <c r="H19"/>
  <c r="G19"/>
  <c r="J15"/>
  <c r="I15"/>
  <c r="H15"/>
  <c r="G15"/>
  <c r="J11"/>
  <c r="I11"/>
  <c r="H11"/>
  <c r="G11"/>
  <c r="J22"/>
  <c r="I22"/>
  <c r="H22"/>
  <c r="G22"/>
  <c r="J18"/>
  <c r="I18"/>
  <c r="H18"/>
  <c r="G18"/>
  <c r="J14"/>
  <c r="I14"/>
  <c r="H14"/>
  <c r="G14"/>
  <c r="J10"/>
  <c r="I10"/>
  <c r="H10"/>
  <c r="G10"/>
  <c r="J21"/>
  <c r="I21"/>
  <c r="H21"/>
  <c r="G21"/>
  <c r="J17"/>
  <c r="I17"/>
  <c r="H17"/>
  <c r="G17"/>
  <c r="J13"/>
  <c r="I13"/>
  <c r="H13"/>
  <c r="G13"/>
  <c r="J9"/>
  <c r="I9"/>
  <c r="H9"/>
  <c r="G9"/>
  <c r="J4"/>
  <c r="I4"/>
  <c r="H4"/>
  <c r="G4"/>
  <c r="J8"/>
  <c r="I8"/>
  <c r="H8"/>
  <c r="G8"/>
  <c r="J7"/>
  <c r="I7"/>
  <c r="H7"/>
  <c r="G7"/>
  <c r="J6"/>
  <c r="I6"/>
  <c r="H6"/>
  <c r="G6"/>
  <c r="J5"/>
  <c r="I5"/>
  <c r="H5"/>
  <c r="G5"/>
  <c r="F8"/>
  <c r="E8"/>
  <c r="D8"/>
  <c r="C8"/>
  <c r="F7"/>
  <c r="E7"/>
  <c r="D7"/>
  <c r="C7"/>
  <c r="F6"/>
  <c r="E6"/>
  <c r="D6"/>
  <c r="C6"/>
  <c r="F5"/>
  <c r="E5"/>
  <c r="D5"/>
  <c r="C5"/>
  <c r="D26" i="23"/>
  <c r="P7"/>
  <c r="N26"/>
  <c r="K26"/>
  <c r="H26"/>
  <c r="E26"/>
  <c r="N37" i="13"/>
  <c r="N35"/>
  <c r="N34"/>
  <c r="M8" i="29"/>
  <c r="N8"/>
  <c r="O8"/>
  <c r="P8"/>
  <c r="Q8"/>
  <c r="V8"/>
  <c r="W8"/>
  <c r="X8"/>
  <c r="Y8"/>
  <c r="M9"/>
  <c r="D9" s="1"/>
  <c r="N9"/>
  <c r="O9"/>
  <c r="P9"/>
  <c r="Q9"/>
  <c r="V9"/>
  <c r="W9"/>
  <c r="X9"/>
  <c r="Y9"/>
  <c r="M10"/>
  <c r="D10" s="1"/>
  <c r="N10"/>
  <c r="O10"/>
  <c r="P10"/>
  <c r="Q10"/>
  <c r="V10"/>
  <c r="W10"/>
  <c r="X10"/>
  <c r="Y10"/>
  <c r="M11"/>
  <c r="D11" s="1"/>
  <c r="N11"/>
  <c r="O11"/>
  <c r="P11"/>
  <c r="Q11"/>
  <c r="V11"/>
  <c r="W11"/>
  <c r="X11"/>
  <c r="Y11"/>
  <c r="M12"/>
  <c r="D12" s="1"/>
  <c r="N12"/>
  <c r="O12"/>
  <c r="P12"/>
  <c r="Q12"/>
  <c r="V12"/>
  <c r="W12"/>
  <c r="X12"/>
  <c r="Y12"/>
  <c r="M13"/>
  <c r="D13" s="1"/>
  <c r="N13"/>
  <c r="O13"/>
  <c r="P13"/>
  <c r="Q13"/>
  <c r="V13"/>
  <c r="W13"/>
  <c r="X13"/>
  <c r="Y13"/>
  <c r="M15"/>
  <c r="N15"/>
  <c r="O15"/>
  <c r="P15"/>
  <c r="Q15"/>
  <c r="V15"/>
  <c r="W15"/>
  <c r="X15"/>
  <c r="Y15"/>
  <c r="M16"/>
  <c r="D16" s="1"/>
  <c r="N16"/>
  <c r="O16"/>
  <c r="P16"/>
  <c r="Q16"/>
  <c r="V16"/>
  <c r="E16" s="1"/>
  <c r="W16"/>
  <c r="X16"/>
  <c r="Y16"/>
  <c r="M17"/>
  <c r="D17" s="1"/>
  <c r="N17"/>
  <c r="O17"/>
  <c r="P17"/>
  <c r="Q17"/>
  <c r="V17"/>
  <c r="E17" s="1"/>
  <c r="W17"/>
  <c r="X17"/>
  <c r="G17" s="1"/>
  <c r="Y17"/>
  <c r="M18"/>
  <c r="D18" s="1"/>
  <c r="N18"/>
  <c r="E18" s="1"/>
  <c r="O18"/>
  <c r="P18"/>
  <c r="G18" s="1"/>
  <c r="Q18"/>
  <c r="V18"/>
  <c r="W18"/>
  <c r="X18"/>
  <c r="Y18"/>
  <c r="M19"/>
  <c r="D19" s="1"/>
  <c r="N19"/>
  <c r="E19" s="1"/>
  <c r="O19"/>
  <c r="P19"/>
  <c r="G19" s="1"/>
  <c r="Q19"/>
  <c r="V19"/>
  <c r="W19"/>
  <c r="X19"/>
  <c r="Y19"/>
  <c r="M20"/>
  <c r="D20" s="1"/>
  <c r="N20"/>
  <c r="E20" s="1"/>
  <c r="O20"/>
  <c r="P20"/>
  <c r="G20" s="1"/>
  <c r="Q20"/>
  <c r="V20"/>
  <c r="W20"/>
  <c r="X20"/>
  <c r="Y20"/>
  <c r="M21"/>
  <c r="D21" s="1"/>
  <c r="N21"/>
  <c r="E21" s="1"/>
  <c r="O21"/>
  <c r="P21"/>
  <c r="G21" s="1"/>
  <c r="Q21"/>
  <c r="V21"/>
  <c r="W21"/>
  <c r="X21"/>
  <c r="Y21"/>
  <c r="M23"/>
  <c r="N23"/>
  <c r="O23"/>
  <c r="P23"/>
  <c r="Q23"/>
  <c r="V23"/>
  <c r="W23"/>
  <c r="X23"/>
  <c r="Y23"/>
  <c r="V24"/>
  <c r="W24"/>
  <c r="X24"/>
  <c r="Y24"/>
  <c r="V25"/>
  <c r="W25"/>
  <c r="X25"/>
  <c r="Y25"/>
  <c r="M27"/>
  <c r="N27"/>
  <c r="E27" s="1"/>
  <c r="O27"/>
  <c r="P27"/>
  <c r="Q27"/>
  <c r="V27"/>
  <c r="W27"/>
  <c r="X27"/>
  <c r="Y27"/>
  <c r="M28"/>
  <c r="D28" s="1"/>
  <c r="N28"/>
  <c r="E28" s="1"/>
  <c r="O28"/>
  <c r="P28"/>
  <c r="G28" s="1"/>
  <c r="Q28"/>
  <c r="V28"/>
  <c r="W28"/>
  <c r="X28"/>
  <c r="Y28"/>
  <c r="M30"/>
  <c r="N30"/>
  <c r="E30" s="1"/>
  <c r="O30"/>
  <c r="P30"/>
  <c r="Q30"/>
  <c r="V30"/>
  <c r="W30"/>
  <c r="X30"/>
  <c r="Y30"/>
  <c r="M31"/>
  <c r="D31" s="1"/>
  <c r="N31"/>
  <c r="E31" s="1"/>
  <c r="O31"/>
  <c r="P31"/>
  <c r="G31" s="1"/>
  <c r="Q31"/>
  <c r="V31"/>
  <c r="W31"/>
  <c r="X31"/>
  <c r="Y31"/>
  <c r="M32"/>
  <c r="D32" s="1"/>
  <c r="N32"/>
  <c r="E32" s="1"/>
  <c r="O32"/>
  <c r="P32"/>
  <c r="G32" s="1"/>
  <c r="Q32"/>
  <c r="V32"/>
  <c r="W32"/>
  <c r="X32"/>
  <c r="Y32"/>
  <c r="M33"/>
  <c r="D33" s="1"/>
  <c r="N33"/>
  <c r="E33" s="1"/>
  <c r="O33"/>
  <c r="P33"/>
  <c r="G33" s="1"/>
  <c r="V33"/>
  <c r="W33"/>
  <c r="X33"/>
  <c r="Y33"/>
  <c r="M34"/>
  <c r="D34" s="1"/>
  <c r="N34"/>
  <c r="E34" s="1"/>
  <c r="O34"/>
  <c r="P34"/>
  <c r="G34" s="1"/>
  <c r="V34"/>
  <c r="W34"/>
  <c r="X34"/>
  <c r="Y34"/>
  <c r="M36"/>
  <c r="N36"/>
  <c r="O36"/>
  <c r="P36"/>
  <c r="V36"/>
  <c r="W36"/>
  <c r="X36"/>
  <c r="Y36"/>
  <c r="M37"/>
  <c r="D37" s="1"/>
  <c r="N37"/>
  <c r="E37" s="1"/>
  <c r="O37"/>
  <c r="P37"/>
  <c r="G37" s="1"/>
  <c r="Q37"/>
  <c r="V37"/>
  <c r="W37"/>
  <c r="X37"/>
  <c r="Y37"/>
  <c r="M39"/>
  <c r="N39"/>
  <c r="O39"/>
  <c r="P39"/>
  <c r="Q39"/>
  <c r="V39"/>
  <c r="W39"/>
  <c r="X39"/>
  <c r="Y39"/>
  <c r="M40"/>
  <c r="D40" s="1"/>
  <c r="N40"/>
  <c r="E40" s="1"/>
  <c r="O40"/>
  <c r="P40"/>
  <c r="G40" s="1"/>
  <c r="Q40"/>
  <c r="V40"/>
  <c r="W40"/>
  <c r="X40"/>
  <c r="Y40"/>
  <c r="M41"/>
  <c r="D41" s="1"/>
  <c r="N41"/>
  <c r="E41" s="1"/>
  <c r="O41"/>
  <c r="P41"/>
  <c r="G41" s="1"/>
  <c r="Q41"/>
  <c r="V41"/>
  <c r="W41"/>
  <c r="X41"/>
  <c r="Y41"/>
  <c r="M43"/>
  <c r="M42" s="1"/>
  <c r="N43"/>
  <c r="N42" s="1"/>
  <c r="O43"/>
  <c r="O42" s="1"/>
  <c r="P43"/>
  <c r="P42" s="1"/>
  <c r="Q43"/>
  <c r="Q42" s="1"/>
  <c r="V43"/>
  <c r="V42" s="1"/>
  <c r="W43"/>
  <c r="W42" s="1"/>
  <c r="X43"/>
  <c r="X42" s="1"/>
  <c r="Y43"/>
  <c r="Y42" s="1"/>
  <c r="M45"/>
  <c r="M44" s="1"/>
  <c r="N45"/>
  <c r="N44" s="1"/>
  <c r="O45"/>
  <c r="O44" s="1"/>
  <c r="P45"/>
  <c r="P44" s="1"/>
  <c r="Q45"/>
  <c r="Q44" s="1"/>
  <c r="V45"/>
  <c r="V44" s="1"/>
  <c r="W45"/>
  <c r="W44" s="1"/>
  <c r="X45"/>
  <c r="X44" s="1"/>
  <c r="Y45"/>
  <c r="Y44" s="1"/>
  <c r="M48"/>
  <c r="N48"/>
  <c r="E48" s="1"/>
  <c r="O48"/>
  <c r="P48"/>
  <c r="Q48"/>
  <c r="V48"/>
  <c r="W48"/>
  <c r="X48"/>
  <c r="Y48"/>
  <c r="M49"/>
  <c r="D49" s="1"/>
  <c r="N49"/>
  <c r="E49" s="1"/>
  <c r="O49"/>
  <c r="P49"/>
  <c r="G49" s="1"/>
  <c r="Q49"/>
  <c r="V49"/>
  <c r="W49"/>
  <c r="X49"/>
  <c r="Y49"/>
  <c r="M50"/>
  <c r="D50" s="1"/>
  <c r="N50"/>
  <c r="E50" s="1"/>
  <c r="O50"/>
  <c r="P50"/>
  <c r="G50" s="1"/>
  <c r="Q50"/>
  <c r="V50"/>
  <c r="W50"/>
  <c r="X50"/>
  <c r="Y50"/>
  <c r="M52"/>
  <c r="N52"/>
  <c r="O52"/>
  <c r="P52"/>
  <c r="Q52"/>
  <c r="V52"/>
  <c r="W52"/>
  <c r="X52"/>
  <c r="Y52"/>
  <c r="M53"/>
  <c r="D53" s="1"/>
  <c r="N53"/>
  <c r="E53" s="1"/>
  <c r="O53"/>
  <c r="P53"/>
  <c r="G53" s="1"/>
  <c r="Q53"/>
  <c r="V53"/>
  <c r="W53"/>
  <c r="X53"/>
  <c r="Y53"/>
  <c r="M54"/>
  <c r="D54" s="1"/>
  <c r="N54"/>
  <c r="E54" s="1"/>
  <c r="O54"/>
  <c r="P54"/>
  <c r="G54" s="1"/>
  <c r="Q54"/>
  <c r="V54"/>
  <c r="W54"/>
  <c r="X54"/>
  <c r="Y54"/>
  <c r="M55"/>
  <c r="D55" s="1"/>
  <c r="N55"/>
  <c r="E55" s="1"/>
  <c r="O55"/>
  <c r="P55"/>
  <c r="G55" s="1"/>
  <c r="Q55"/>
  <c r="V55"/>
  <c r="W55"/>
  <c r="X55"/>
  <c r="Y55"/>
  <c r="M57"/>
  <c r="N57"/>
  <c r="O57"/>
  <c r="P57"/>
  <c r="Q57"/>
  <c r="V57"/>
  <c r="W57"/>
  <c r="X57"/>
  <c r="Y57"/>
  <c r="M58"/>
  <c r="D58" s="1"/>
  <c r="N58"/>
  <c r="E58" s="1"/>
  <c r="O58"/>
  <c r="P58"/>
  <c r="G58" s="1"/>
  <c r="Q58"/>
  <c r="V58"/>
  <c r="W58"/>
  <c r="X58"/>
  <c r="Y58"/>
  <c r="M61"/>
  <c r="N61"/>
  <c r="O61"/>
  <c r="P61"/>
  <c r="Q61"/>
  <c r="V61"/>
  <c r="W61"/>
  <c r="X61"/>
  <c r="Y61"/>
  <c r="M62"/>
  <c r="D62" s="1"/>
  <c r="N62"/>
  <c r="O62"/>
  <c r="P62"/>
  <c r="G62" s="1"/>
  <c r="Q62"/>
  <c r="V62"/>
  <c r="E62" s="1"/>
  <c r="W62"/>
  <c r="X62"/>
  <c r="Y62"/>
  <c r="M63"/>
  <c r="D63" s="1"/>
  <c r="N63"/>
  <c r="E63" s="1"/>
  <c r="O63"/>
  <c r="P63"/>
  <c r="G63" s="1"/>
  <c r="Q63"/>
  <c r="V63"/>
  <c r="W63"/>
  <c r="X63"/>
  <c r="Y63"/>
  <c r="M64"/>
  <c r="D64" s="1"/>
  <c r="N64"/>
  <c r="O64"/>
  <c r="P64"/>
  <c r="G64" s="1"/>
  <c r="Q64"/>
  <c r="V64"/>
  <c r="E64" s="1"/>
  <c r="W64"/>
  <c r="X64"/>
  <c r="Y64"/>
  <c r="M66"/>
  <c r="D66" s="1"/>
  <c r="N66"/>
  <c r="E66" s="1"/>
  <c r="O66"/>
  <c r="P66"/>
  <c r="G66" s="1"/>
  <c r="Q66"/>
  <c r="V66"/>
  <c r="W66"/>
  <c r="X66"/>
  <c r="Y66"/>
  <c r="M67"/>
  <c r="D67" s="1"/>
  <c r="N67"/>
  <c r="E67" s="1"/>
  <c r="O67"/>
  <c r="P67"/>
  <c r="G67" s="1"/>
  <c r="Q67"/>
  <c r="V67"/>
  <c r="W67"/>
  <c r="X67"/>
  <c r="Y67"/>
  <c r="M68"/>
  <c r="D68" s="1"/>
  <c r="N68"/>
  <c r="E68" s="1"/>
  <c r="O68"/>
  <c r="P68"/>
  <c r="G68" s="1"/>
  <c r="Q68"/>
  <c r="V68"/>
  <c r="W68"/>
  <c r="X68"/>
  <c r="Y68"/>
  <c r="M70"/>
  <c r="D70" s="1"/>
  <c r="D69" s="1"/>
  <c r="N70"/>
  <c r="N69" s="1"/>
  <c r="O70"/>
  <c r="P70"/>
  <c r="P69" s="1"/>
  <c r="Q70"/>
  <c r="V70"/>
  <c r="V69" s="1"/>
  <c r="W70"/>
  <c r="W69" s="1"/>
  <c r="X70"/>
  <c r="X69" s="1"/>
  <c r="Y70"/>
  <c r="Y69" s="1"/>
  <c r="G134" i="30"/>
  <c r="F134"/>
  <c r="E134"/>
  <c r="D134"/>
  <c r="C134"/>
  <c r="G131"/>
  <c r="F131"/>
  <c r="E131"/>
  <c r="D131"/>
  <c r="C131"/>
  <c r="G128"/>
  <c r="F128"/>
  <c r="E128"/>
  <c r="D128"/>
  <c r="C128"/>
  <c r="G107"/>
  <c r="F107"/>
  <c r="E107"/>
  <c r="D107"/>
  <c r="C107"/>
  <c r="G104"/>
  <c r="F104"/>
  <c r="E104"/>
  <c r="D104"/>
  <c r="C104"/>
  <c r="G101"/>
  <c r="F101"/>
  <c r="E101"/>
  <c r="D101"/>
  <c r="C101"/>
  <c r="G70"/>
  <c r="F70"/>
  <c r="E70"/>
  <c r="D70"/>
  <c r="C70"/>
  <c r="G67"/>
  <c r="F67"/>
  <c r="E67"/>
  <c r="D67"/>
  <c r="C67"/>
  <c r="G64"/>
  <c r="F64"/>
  <c r="E64"/>
  <c r="D64"/>
  <c r="C64"/>
  <c r="E61"/>
  <c r="D61"/>
  <c r="C61"/>
  <c r="E58"/>
  <c r="D58"/>
  <c r="C58"/>
  <c r="G55"/>
  <c r="F55"/>
  <c r="E55"/>
  <c r="D55"/>
  <c r="C55"/>
  <c r="G49"/>
  <c r="F49"/>
  <c r="E49"/>
  <c r="D49"/>
  <c r="C49"/>
  <c r="G46"/>
  <c r="F46"/>
  <c r="E46"/>
  <c r="D46"/>
  <c r="C46"/>
  <c r="B157"/>
  <c r="C157"/>
  <c r="D157"/>
  <c r="E157"/>
  <c r="F157"/>
  <c r="G157"/>
  <c r="B158"/>
  <c r="C158"/>
  <c r="D158"/>
  <c r="E158"/>
  <c r="F158"/>
  <c r="G158"/>
  <c r="B159"/>
  <c r="C159"/>
  <c r="D159"/>
  <c r="E159"/>
  <c r="F159"/>
  <c r="G159"/>
  <c r="B160"/>
  <c r="C160"/>
  <c r="D160"/>
  <c r="E160"/>
  <c r="F160"/>
  <c r="G160"/>
  <c r="B161"/>
  <c r="C161"/>
  <c r="D161"/>
  <c r="E161"/>
  <c r="F161"/>
  <c r="G161"/>
  <c r="B162"/>
  <c r="C162"/>
  <c r="D162"/>
  <c r="E162"/>
  <c r="F162"/>
  <c r="G162"/>
  <c r="B119"/>
  <c r="C119"/>
  <c r="C118" s="1"/>
  <c r="D119"/>
  <c r="D118" s="1"/>
  <c r="E119"/>
  <c r="E118" s="1"/>
  <c r="F119"/>
  <c r="F118" s="1"/>
  <c r="G119"/>
  <c r="G118" s="1"/>
  <c r="C121"/>
  <c r="C120" s="1"/>
  <c r="D121"/>
  <c r="D120" s="1"/>
  <c r="E121"/>
  <c r="E120" s="1"/>
  <c r="F121"/>
  <c r="F120" s="1"/>
  <c r="G121"/>
  <c r="G120" s="1"/>
  <c r="B83"/>
  <c r="C83"/>
  <c r="D83"/>
  <c r="E83"/>
  <c r="F83"/>
  <c r="G83"/>
  <c r="B84"/>
  <c r="C84"/>
  <c r="D84"/>
  <c r="E84"/>
  <c r="F84"/>
  <c r="G84"/>
  <c r="B85"/>
  <c r="C85"/>
  <c r="D85"/>
  <c r="E85"/>
  <c r="F85"/>
  <c r="G85"/>
  <c r="B86"/>
  <c r="C86"/>
  <c r="D86"/>
  <c r="E86"/>
  <c r="F86"/>
  <c r="G86"/>
  <c r="C87"/>
  <c r="D87"/>
  <c r="E87"/>
  <c r="F87"/>
  <c r="G87"/>
  <c r="C88"/>
  <c r="D88"/>
  <c r="E88"/>
  <c r="F88"/>
  <c r="G88"/>
  <c r="B90"/>
  <c r="C90"/>
  <c r="D90"/>
  <c r="E90"/>
  <c r="F90"/>
  <c r="G90"/>
  <c r="C91"/>
  <c r="C89" s="1"/>
  <c r="D91"/>
  <c r="D89" s="1"/>
  <c r="E91"/>
  <c r="E89" s="1"/>
  <c r="F91"/>
  <c r="F89" s="1"/>
  <c r="G91"/>
  <c r="G89" s="1"/>
  <c r="B93"/>
  <c r="C93"/>
  <c r="D93"/>
  <c r="E93"/>
  <c r="F93"/>
  <c r="G93"/>
  <c r="C94"/>
  <c r="D94"/>
  <c r="D92" s="1"/>
  <c r="E94"/>
  <c r="E92" s="1"/>
  <c r="F94"/>
  <c r="F92" s="1"/>
  <c r="G94"/>
  <c r="G92" s="1"/>
  <c r="C9"/>
  <c r="D9"/>
  <c r="E9"/>
  <c r="F9"/>
  <c r="G9"/>
  <c r="C10"/>
  <c r="D10"/>
  <c r="E10"/>
  <c r="F10"/>
  <c r="G10"/>
  <c r="B12"/>
  <c r="C12"/>
  <c r="D12"/>
  <c r="E12"/>
  <c r="F12"/>
  <c r="G12"/>
  <c r="B13"/>
  <c r="C13"/>
  <c r="D13"/>
  <c r="E13"/>
  <c r="F13"/>
  <c r="G13"/>
  <c r="C14"/>
  <c r="D14"/>
  <c r="E14"/>
  <c r="F14"/>
  <c r="G14"/>
  <c r="C15"/>
  <c r="D15"/>
  <c r="E15"/>
  <c r="F15"/>
  <c r="G15"/>
  <c r="C17"/>
  <c r="C16" s="1"/>
  <c r="D17"/>
  <c r="D16" s="1"/>
  <c r="E17"/>
  <c r="E16" s="1"/>
  <c r="F17"/>
  <c r="F16" s="1"/>
  <c r="G17"/>
  <c r="G16" s="1"/>
  <c r="C19"/>
  <c r="C18" s="1"/>
  <c r="D19"/>
  <c r="D18" s="1"/>
  <c r="E19"/>
  <c r="E18" s="1"/>
  <c r="F19"/>
  <c r="F18" s="1"/>
  <c r="G19"/>
  <c r="G18" s="1"/>
  <c r="C21"/>
  <c r="D21"/>
  <c r="E21"/>
  <c r="F21"/>
  <c r="G21"/>
  <c r="G20" s="1"/>
  <c r="C22"/>
  <c r="D22"/>
  <c r="D20" s="1"/>
  <c r="E22"/>
  <c r="F22"/>
  <c r="G22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C38"/>
  <c r="D38"/>
  <c r="E38"/>
  <c r="F38"/>
  <c r="G38"/>
  <c r="C39"/>
  <c r="D39"/>
  <c r="E39"/>
  <c r="F39"/>
  <c r="G39"/>
  <c r="C45"/>
  <c r="C145" s="1"/>
  <c r="M38" i="16"/>
  <c r="M37"/>
  <c r="M36"/>
  <c r="M35"/>
  <c r="M34"/>
  <c r="M33"/>
  <c r="M32"/>
  <c r="M31"/>
  <c r="M30"/>
  <c r="M29"/>
  <c r="M20"/>
  <c r="M17"/>
  <c r="M16"/>
  <c r="M15"/>
  <c r="M14"/>
  <c r="M13"/>
  <c r="P27"/>
  <c r="O27"/>
  <c r="N20"/>
  <c r="N17"/>
  <c r="N14"/>
  <c r="N13"/>
  <c r="Q12"/>
  <c r="P12"/>
  <c r="O12"/>
  <c r="N12"/>
  <c r="L17"/>
  <c r="L16"/>
  <c r="L15"/>
  <c r="L14"/>
  <c r="L38"/>
  <c r="L37"/>
  <c r="L36"/>
  <c r="L35"/>
  <c r="L34"/>
  <c r="L33"/>
  <c r="L32"/>
  <c r="L13"/>
  <c r="L31"/>
  <c r="L30"/>
  <c r="L29"/>
  <c r="L20"/>
  <c r="L12"/>
  <c r="L11"/>
  <c r="L10"/>
  <c r="L28"/>
  <c r="L9"/>
  <c r="L8"/>
  <c r="L7"/>
  <c r="L27"/>
  <c r="L26"/>
  <c r="L25"/>
  <c r="L24"/>
  <c r="L23"/>
  <c r="L22"/>
  <c r="L19"/>
  <c r="P8" i="23"/>
  <c r="M8"/>
  <c r="J8"/>
  <c r="J7" s="1"/>
  <c r="G8"/>
  <c r="G7" s="1"/>
  <c r="D8"/>
  <c r="D7" s="1"/>
  <c r="D6" s="1"/>
  <c r="E68"/>
  <c r="E51"/>
  <c r="D64"/>
  <c r="D46"/>
  <c r="D38" i="16"/>
  <c r="D37"/>
  <c r="D36"/>
  <c r="D35"/>
  <c r="D34"/>
  <c r="D33"/>
  <c r="D32"/>
  <c r="D31"/>
  <c r="D30"/>
  <c r="D29"/>
  <c r="D28"/>
  <c r="D27"/>
  <c r="D26"/>
  <c r="D25"/>
  <c r="D24"/>
  <c r="D23"/>
  <c r="D22" s="1"/>
  <c r="D20"/>
  <c r="D18"/>
  <c r="C127" i="30"/>
  <c r="C151" s="1"/>
  <c r="C100"/>
  <c r="C148" s="1"/>
  <c r="G35" i="16"/>
  <c r="G38"/>
  <c r="F37"/>
  <c r="F36"/>
  <c r="F34"/>
  <c r="F33"/>
  <c r="F32"/>
  <c r="F31"/>
  <c r="F30"/>
  <c r="F29"/>
  <c r="F28"/>
  <c r="G27"/>
  <c r="F26"/>
  <c r="F25"/>
  <c r="F24"/>
  <c r="G23"/>
  <c r="F20"/>
  <c r="F19"/>
  <c r="F18"/>
  <c r="E16"/>
  <c r="E15"/>
  <c r="E14"/>
  <c r="E13"/>
  <c r="E12"/>
  <c r="E11"/>
  <c r="E10"/>
  <c r="E9"/>
  <c r="E8"/>
  <c r="E7"/>
  <c r="AA46" i="13"/>
  <c r="D35" i="21"/>
  <c r="D24"/>
  <c r="D16"/>
  <c r="D34"/>
  <c r="G28"/>
  <c r="E28" s="1"/>
  <c r="D32"/>
  <c r="D33"/>
  <c r="X27"/>
  <c r="W27"/>
  <c r="V27"/>
  <c r="U27"/>
  <c r="X26"/>
  <c r="W26"/>
  <c r="V26"/>
  <c r="U26"/>
  <c r="U24"/>
  <c r="X23"/>
  <c r="W23"/>
  <c r="V23"/>
  <c r="U23"/>
  <c r="X21"/>
  <c r="W21"/>
  <c r="V21"/>
  <c r="U21"/>
  <c r="X16"/>
  <c r="W16"/>
  <c r="V16"/>
  <c r="U16"/>
  <c r="X15"/>
  <c r="W15"/>
  <c r="V15"/>
  <c r="U15"/>
  <c r="U11"/>
  <c r="U10"/>
  <c r="E6" i="16" l="1"/>
  <c r="G65" i="29"/>
  <c r="E65"/>
  <c r="E47"/>
  <c r="E29"/>
  <c r="E26"/>
  <c r="H70"/>
  <c r="H69" s="1"/>
  <c r="F70"/>
  <c r="F69" s="1"/>
  <c r="E70"/>
  <c r="E69" s="1"/>
  <c r="H67"/>
  <c r="F67"/>
  <c r="X60"/>
  <c r="V60"/>
  <c r="P60"/>
  <c r="N60"/>
  <c r="G61"/>
  <c r="H58"/>
  <c r="F58"/>
  <c r="X56"/>
  <c r="V56"/>
  <c r="P56"/>
  <c r="N56"/>
  <c r="G57"/>
  <c r="G56" s="1"/>
  <c r="H55"/>
  <c r="F55"/>
  <c r="H53"/>
  <c r="F53"/>
  <c r="X51"/>
  <c r="V51"/>
  <c r="P51"/>
  <c r="N51"/>
  <c r="G52"/>
  <c r="G51" s="1"/>
  <c r="H50"/>
  <c r="F50"/>
  <c r="Y47"/>
  <c r="W47"/>
  <c r="Q47"/>
  <c r="O47"/>
  <c r="M47"/>
  <c r="G45"/>
  <c r="G44" s="1"/>
  <c r="E43"/>
  <c r="E42" s="1"/>
  <c r="H40"/>
  <c r="F40"/>
  <c r="X38"/>
  <c r="V38"/>
  <c r="P38"/>
  <c r="N38"/>
  <c r="G39"/>
  <c r="G38" s="1"/>
  <c r="H37"/>
  <c r="F37"/>
  <c r="X35"/>
  <c r="V35"/>
  <c r="P35"/>
  <c r="N35"/>
  <c r="G36"/>
  <c r="G35" s="1"/>
  <c r="F34"/>
  <c r="H32"/>
  <c r="F32"/>
  <c r="Y29"/>
  <c r="W29"/>
  <c r="O29"/>
  <c r="M29"/>
  <c r="Y26"/>
  <c r="W26"/>
  <c r="Q26"/>
  <c r="O26"/>
  <c r="M26"/>
  <c r="X22"/>
  <c r="V22"/>
  <c r="G23"/>
  <c r="H21"/>
  <c r="F21"/>
  <c r="H19"/>
  <c r="F19"/>
  <c r="H17"/>
  <c r="F17"/>
  <c r="G16"/>
  <c r="Y14"/>
  <c r="W14"/>
  <c r="Q14"/>
  <c r="O14"/>
  <c r="M14"/>
  <c r="G13"/>
  <c r="E13"/>
  <c r="H12"/>
  <c r="F12"/>
  <c r="G11"/>
  <c r="E11"/>
  <c r="H10"/>
  <c r="F10"/>
  <c r="G9"/>
  <c r="E9"/>
  <c r="Y7"/>
  <c r="W7"/>
  <c r="Q7"/>
  <c r="O7"/>
  <c r="M7"/>
  <c r="G70"/>
  <c r="G69" s="1"/>
  <c r="H68"/>
  <c r="F68"/>
  <c r="Y65"/>
  <c r="W65"/>
  <c r="Q65"/>
  <c r="F66"/>
  <c r="E61"/>
  <c r="Y56"/>
  <c r="W56"/>
  <c r="Q56"/>
  <c r="O56"/>
  <c r="M56"/>
  <c r="E57"/>
  <c r="E56" s="1"/>
  <c r="H54"/>
  <c r="F54"/>
  <c r="Y51"/>
  <c r="W51"/>
  <c r="Q51"/>
  <c r="O51"/>
  <c r="M51"/>
  <c r="E52"/>
  <c r="E51" s="1"/>
  <c r="H49"/>
  <c r="F49"/>
  <c r="X47"/>
  <c r="V47"/>
  <c r="P47"/>
  <c r="N47"/>
  <c r="G48"/>
  <c r="G47" s="1"/>
  <c r="E45"/>
  <c r="E44" s="1"/>
  <c r="G43"/>
  <c r="G42" s="1"/>
  <c r="H41"/>
  <c r="F41"/>
  <c r="Y38"/>
  <c r="W38"/>
  <c r="Q38"/>
  <c r="O38"/>
  <c r="M38"/>
  <c r="E39"/>
  <c r="E38" s="1"/>
  <c r="Y35"/>
  <c r="W35"/>
  <c r="O35"/>
  <c r="M35"/>
  <c r="E36"/>
  <c r="E35" s="1"/>
  <c r="F33"/>
  <c r="H31"/>
  <c r="F31"/>
  <c r="X29"/>
  <c r="V29"/>
  <c r="P29"/>
  <c r="N29"/>
  <c r="G30"/>
  <c r="G29" s="1"/>
  <c r="H28"/>
  <c r="F28"/>
  <c r="X26"/>
  <c r="V26"/>
  <c r="P26"/>
  <c r="N26"/>
  <c r="G27"/>
  <c r="G26" s="1"/>
  <c r="Y22"/>
  <c r="W22"/>
  <c r="E23"/>
  <c r="H20"/>
  <c r="F20"/>
  <c r="H18"/>
  <c r="F18"/>
  <c r="H16"/>
  <c r="F16"/>
  <c r="X14"/>
  <c r="V14"/>
  <c r="G15"/>
  <c r="E15"/>
  <c r="H13"/>
  <c r="F13"/>
  <c r="G12"/>
  <c r="E12"/>
  <c r="H11"/>
  <c r="F11"/>
  <c r="G10"/>
  <c r="E10"/>
  <c r="H9"/>
  <c r="F9"/>
  <c r="X7"/>
  <c r="V7"/>
  <c r="G8"/>
  <c r="E8"/>
  <c r="F65"/>
  <c r="Q69"/>
  <c r="O69"/>
  <c r="M69"/>
  <c r="D65"/>
  <c r="O65"/>
  <c r="H64"/>
  <c r="F64"/>
  <c r="H62"/>
  <c r="F62"/>
  <c r="G60"/>
  <c r="G59" s="1"/>
  <c r="Y46"/>
  <c r="W46"/>
  <c r="Q46"/>
  <c r="O46"/>
  <c r="M46"/>
  <c r="E46"/>
  <c r="Y6"/>
  <c r="W6"/>
  <c r="X65"/>
  <c r="X59" s="1"/>
  <c r="V65"/>
  <c r="V59" s="1"/>
  <c r="P65"/>
  <c r="P59" s="1"/>
  <c r="N65"/>
  <c r="N59" s="1"/>
  <c r="H66"/>
  <c r="H65" s="1"/>
  <c r="M65"/>
  <c r="H63"/>
  <c r="F63"/>
  <c r="Y60"/>
  <c r="Y59" s="1"/>
  <c r="W60"/>
  <c r="W59" s="1"/>
  <c r="Q60"/>
  <c r="Q59" s="1"/>
  <c r="O60"/>
  <c r="O59" s="1"/>
  <c r="M60"/>
  <c r="M59" s="1"/>
  <c r="E60"/>
  <c r="E59" s="1"/>
  <c r="X46"/>
  <c r="V46"/>
  <c r="P46"/>
  <c r="N46"/>
  <c r="G46"/>
  <c r="G14"/>
  <c r="E14"/>
  <c r="X6"/>
  <c r="V6"/>
  <c r="G7"/>
  <c r="E7"/>
  <c r="H61"/>
  <c r="H60" s="1"/>
  <c r="H59" s="1"/>
  <c r="F61"/>
  <c r="F60" s="1"/>
  <c r="F59" s="1"/>
  <c r="D61"/>
  <c r="D60" s="1"/>
  <c r="D59" s="1"/>
  <c r="H57"/>
  <c r="H56" s="1"/>
  <c r="F57"/>
  <c r="F56" s="1"/>
  <c r="D57"/>
  <c r="D56" s="1"/>
  <c r="H52"/>
  <c r="H51" s="1"/>
  <c r="F52"/>
  <c r="F51" s="1"/>
  <c r="D52"/>
  <c r="D51" s="1"/>
  <c r="H48"/>
  <c r="H47" s="1"/>
  <c r="F48"/>
  <c r="F47" s="1"/>
  <c r="F46" s="1"/>
  <c r="D48"/>
  <c r="D47" s="1"/>
  <c r="D46" s="1"/>
  <c r="H45"/>
  <c r="H44" s="1"/>
  <c r="F45"/>
  <c r="F44" s="1"/>
  <c r="D45"/>
  <c r="D44" s="1"/>
  <c r="H43"/>
  <c r="H42" s="1"/>
  <c r="F43"/>
  <c r="F42" s="1"/>
  <c r="D43"/>
  <c r="D42" s="1"/>
  <c r="H39"/>
  <c r="H38" s="1"/>
  <c r="F39"/>
  <c r="F38" s="1"/>
  <c r="D39"/>
  <c r="D38" s="1"/>
  <c r="F36"/>
  <c r="F35" s="1"/>
  <c r="D36"/>
  <c r="D35" s="1"/>
  <c r="H30"/>
  <c r="F30"/>
  <c r="F29" s="1"/>
  <c r="D30"/>
  <c r="D29" s="1"/>
  <c r="H27"/>
  <c r="H26" s="1"/>
  <c r="F27"/>
  <c r="F26" s="1"/>
  <c r="D27"/>
  <c r="D26" s="1"/>
  <c r="H23"/>
  <c r="F23"/>
  <c r="D23"/>
  <c r="H15"/>
  <c r="H14" s="1"/>
  <c r="F15"/>
  <c r="F14" s="1"/>
  <c r="D15"/>
  <c r="D14" s="1"/>
  <c r="P14"/>
  <c r="N14"/>
  <c r="H8"/>
  <c r="H7" s="1"/>
  <c r="F8"/>
  <c r="F7" s="1"/>
  <c r="D8"/>
  <c r="D7" s="1"/>
  <c r="P7"/>
  <c r="N7"/>
  <c r="F156" i="30"/>
  <c r="D156"/>
  <c r="G156"/>
  <c r="E156"/>
  <c r="C156"/>
  <c r="C142"/>
  <c r="G117"/>
  <c r="E117"/>
  <c r="C117"/>
  <c r="F117"/>
  <c r="D117"/>
  <c r="G82"/>
  <c r="E82"/>
  <c r="C82"/>
  <c r="C92"/>
  <c r="F82"/>
  <c r="F81" s="1"/>
  <c r="D82"/>
  <c r="G81"/>
  <c r="E81"/>
  <c r="C81"/>
  <c r="D81"/>
  <c r="C32"/>
  <c r="E20"/>
  <c r="F32"/>
  <c r="D32"/>
  <c r="F23"/>
  <c r="D23"/>
  <c r="C20"/>
  <c r="C11"/>
  <c r="F11"/>
  <c r="D11"/>
  <c r="G8"/>
  <c r="E8"/>
  <c r="C8"/>
  <c r="G32"/>
  <c r="E32"/>
  <c r="C23"/>
  <c r="G23"/>
  <c r="G7" s="1"/>
  <c r="E23"/>
  <c r="F20"/>
  <c r="G11"/>
  <c r="E11"/>
  <c r="F8"/>
  <c r="D8"/>
  <c r="D7" s="1"/>
  <c r="M19" i="16"/>
  <c r="M18" s="1"/>
  <c r="M23"/>
  <c r="M25"/>
  <c r="M27"/>
  <c r="M8"/>
  <c r="N28"/>
  <c r="N11"/>
  <c r="N29"/>
  <c r="N31"/>
  <c r="N32"/>
  <c r="N34"/>
  <c r="N36"/>
  <c r="N38"/>
  <c r="N16"/>
  <c r="O14"/>
  <c r="M22"/>
  <c r="M24"/>
  <c r="M26"/>
  <c r="M7"/>
  <c r="M9"/>
  <c r="N10"/>
  <c r="O20"/>
  <c r="N30"/>
  <c r="O13"/>
  <c r="N33"/>
  <c r="N35"/>
  <c r="N37"/>
  <c r="N15"/>
  <c r="O17"/>
  <c r="D37" i="21"/>
  <c r="D22"/>
  <c r="P15"/>
  <c r="M15"/>
  <c r="J15"/>
  <c r="G15"/>
  <c r="D20"/>
  <c r="D15"/>
  <c r="G16"/>
  <c r="J27"/>
  <c r="G27"/>
  <c r="G26"/>
  <c r="G24"/>
  <c r="J23"/>
  <c r="G23"/>
  <c r="J21"/>
  <c r="G21"/>
  <c r="G11"/>
  <c r="G10"/>
  <c r="D18"/>
  <c r="D17" s="1"/>
  <c r="D9"/>
  <c r="D14"/>
  <c r="G25" i="16"/>
  <c r="C71" i="27"/>
  <c r="C59"/>
  <c r="C42"/>
  <c r="C35"/>
  <c r="C28"/>
  <c r="C23"/>
  <c r="C6"/>
  <c r="H46" i="29" l="1"/>
  <c r="V5"/>
  <c r="W5"/>
  <c r="X5"/>
  <c r="Y5"/>
  <c r="F7" i="30"/>
  <c r="E7"/>
  <c r="O30" i="16"/>
  <c r="D19"/>
  <c r="D7" i="21"/>
  <c r="G24" i="16"/>
  <c r="D6" i="21"/>
  <c r="D5" s="1"/>
  <c r="C5" i="27"/>
  <c r="O95" i="1"/>
  <c r="K75" i="23"/>
  <c r="N75" s="1"/>
  <c r="K72"/>
  <c r="N72" s="1"/>
  <c r="E72"/>
  <c r="K45"/>
  <c r="N45" s="1"/>
  <c r="O29" i="16" l="1"/>
  <c r="F13"/>
  <c r="N27" l="1"/>
  <c r="G36" i="8" l="1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J179" i="1"/>
  <c r="L45"/>
  <c r="I41" l="1"/>
  <c r="L8" i="5"/>
  <c r="I31" i="1" l="1"/>
  <c r="I35"/>
  <c r="I6"/>
  <c r="I30"/>
  <c r="D25" i="28"/>
  <c r="D23"/>
  <c r="D22"/>
  <c r="D21"/>
  <c r="D20"/>
  <c r="D19"/>
  <c r="D17"/>
  <c r="D16"/>
  <c r="D15"/>
  <c r="D13"/>
  <c r="D12"/>
  <c r="D11"/>
  <c r="D10"/>
  <c r="D9"/>
  <c r="D8"/>
  <c r="D14"/>
  <c r="I25"/>
  <c r="D24" s="1"/>
  <c r="I23"/>
  <c r="I22"/>
  <c r="I21"/>
  <c r="I20"/>
  <c r="I19"/>
  <c r="I17"/>
  <c r="I16"/>
  <c r="I15"/>
  <c r="I13"/>
  <c r="I12"/>
  <c r="I11"/>
  <c r="I10"/>
  <c r="I9"/>
  <c r="I8"/>
  <c r="H24"/>
  <c r="G24"/>
  <c r="F24"/>
  <c r="E24"/>
  <c r="H18"/>
  <c r="G18"/>
  <c r="F18"/>
  <c r="E18"/>
  <c r="H14"/>
  <c r="G14"/>
  <c r="F14"/>
  <c r="E14"/>
  <c r="H7"/>
  <c r="G7"/>
  <c r="F7"/>
  <c r="E7"/>
  <c r="C7"/>
  <c r="C24"/>
  <c r="C18"/>
  <c r="C14"/>
  <c r="E6" l="1"/>
  <c r="G6"/>
  <c r="F6"/>
  <c r="D7"/>
  <c r="I7"/>
  <c r="I24"/>
  <c r="D18"/>
  <c r="D6" s="1"/>
  <c r="I18"/>
  <c r="I14"/>
  <c r="I6" s="1"/>
  <c r="H6"/>
  <c r="C6"/>
  <c r="AC46" i="13" l="1"/>
  <c r="Z46"/>
  <c r="AC65"/>
  <c r="AC64"/>
  <c r="AC63"/>
  <c r="AC62"/>
  <c r="AB65"/>
  <c r="AB64"/>
  <c r="AB63"/>
  <c r="AB62"/>
  <c r="AA65"/>
  <c r="AA64"/>
  <c r="AA63"/>
  <c r="AA62"/>
  <c r="Z65"/>
  <c r="Z64"/>
  <c r="Z63"/>
  <c r="Z62"/>
  <c r="AC71"/>
  <c r="AB71"/>
  <c r="AA71"/>
  <c r="Z71"/>
  <c r="AC69"/>
  <c r="AC68"/>
  <c r="AC67"/>
  <c r="AB69"/>
  <c r="AB68"/>
  <c r="AB67"/>
  <c r="AA69"/>
  <c r="AA68"/>
  <c r="AA67"/>
  <c r="Z68"/>
  <c r="Z69"/>
  <c r="Z67"/>
  <c r="AC59"/>
  <c r="AC58"/>
  <c r="AB58"/>
  <c r="AB59"/>
  <c r="AA59"/>
  <c r="AA58"/>
  <c r="Z59"/>
  <c r="Z58"/>
  <c r="AC56"/>
  <c r="AC55"/>
  <c r="AC54"/>
  <c r="AC53"/>
  <c r="AB56"/>
  <c r="AB55"/>
  <c r="AB54"/>
  <c r="AB53"/>
  <c r="AA56"/>
  <c r="AA55"/>
  <c r="AA54"/>
  <c r="AA53"/>
  <c r="Z55"/>
  <c r="Z56"/>
  <c r="Z54"/>
  <c r="Z53"/>
  <c r="AC51"/>
  <c r="AB51"/>
  <c r="AA51"/>
  <c r="AC50"/>
  <c r="AB50"/>
  <c r="AA50"/>
  <c r="Z51"/>
  <c r="Z50"/>
  <c r="AC49"/>
  <c r="AB49"/>
  <c r="AA49"/>
  <c r="Z49"/>
  <c r="D65" l="1"/>
  <c r="D64"/>
  <c r="D63"/>
  <c r="D62"/>
  <c r="D71"/>
  <c r="D69"/>
  <c r="D68"/>
  <c r="D67"/>
  <c r="C132" i="30" l="1"/>
  <c r="C135"/>
  <c r="H32" i="1"/>
  <c r="I32" s="1"/>
  <c r="H34"/>
  <c r="I34" s="1"/>
  <c r="C129" i="30" l="1"/>
  <c r="C126" s="1"/>
  <c r="C150" s="1"/>
  <c r="C149" s="1"/>
  <c r="C125"/>
  <c r="P64" i="1"/>
  <c r="P66" s="1"/>
  <c r="N44" i="26"/>
  <c r="Q44" s="1"/>
  <c r="E44"/>
  <c r="E31" i="4"/>
  <c r="M104" i="1"/>
  <c r="M103"/>
  <c r="M102"/>
  <c r="M101"/>
  <c r="M100"/>
  <c r="M99"/>
  <c r="M98"/>
  <c r="M97"/>
  <c r="M96"/>
  <c r="M109"/>
  <c r="M108"/>
  <c r="M107"/>
  <c r="M106"/>
  <c r="M125"/>
  <c r="M124"/>
  <c r="M123"/>
  <c r="M122"/>
  <c r="M121"/>
  <c r="M120"/>
  <c r="M119"/>
  <c r="M118"/>
  <c r="M117"/>
  <c r="M116"/>
  <c r="M115"/>
  <c r="M114"/>
  <c r="M113"/>
  <c r="M112"/>
  <c r="M111"/>
  <c r="N124"/>
  <c r="Q124" s="1"/>
  <c r="G44" i="26" s="1"/>
  <c r="H35" i="16"/>
  <c r="G34"/>
  <c r="G32"/>
  <c r="G31"/>
  <c r="G28"/>
  <c r="G20"/>
  <c r="G19"/>
  <c r="I13"/>
  <c r="Q27" s="1"/>
  <c r="G18"/>
  <c r="E18"/>
  <c r="D13"/>
  <c r="E22"/>
  <c r="D5" i="9"/>
  <c r="E5"/>
  <c r="F5"/>
  <c r="M28" i="16" l="1"/>
  <c r="M21" s="1"/>
  <c r="O11"/>
  <c r="O35"/>
  <c r="O38"/>
  <c r="O28"/>
  <c r="O10"/>
  <c r="O32"/>
  <c r="O36"/>
  <c r="P14"/>
  <c r="H20"/>
  <c r="H18"/>
  <c r="H19"/>
  <c r="H34"/>
  <c r="I35"/>
  <c r="H32"/>
  <c r="P124" i="1"/>
  <c r="F44" i="26" s="1"/>
  <c r="P44"/>
  <c r="R44"/>
  <c r="R124" i="1"/>
  <c r="H44" i="26" s="1"/>
  <c r="H10" i="13"/>
  <c r="H11"/>
  <c r="H12"/>
  <c r="H24"/>
  <c r="H25"/>
  <c r="H26"/>
  <c r="H28"/>
  <c r="H29"/>
  <c r="H31"/>
  <c r="H32"/>
  <c r="H33"/>
  <c r="H38"/>
  <c r="H68"/>
  <c r="AC43"/>
  <c r="AB43"/>
  <c r="AA43"/>
  <c r="Z43"/>
  <c r="AC45"/>
  <c r="Z45"/>
  <c r="AC39"/>
  <c r="AB39"/>
  <c r="AC36"/>
  <c r="AB36"/>
  <c r="AA36"/>
  <c r="Z36"/>
  <c r="AC30"/>
  <c r="AB30"/>
  <c r="AA30"/>
  <c r="Z30"/>
  <c r="AC27"/>
  <c r="AB27"/>
  <c r="AA27"/>
  <c r="Z27"/>
  <c r="AC23"/>
  <c r="AB23"/>
  <c r="AA23"/>
  <c r="Z23"/>
  <c r="AC15"/>
  <c r="AB15"/>
  <c r="AA15"/>
  <c r="Z15"/>
  <c r="AC8"/>
  <c r="AC7" s="1"/>
  <c r="AB8"/>
  <c r="AA8"/>
  <c r="Z8"/>
  <c r="H9"/>
  <c r="T61"/>
  <c r="P61"/>
  <c r="L61"/>
  <c r="T43"/>
  <c r="P43"/>
  <c r="L43"/>
  <c r="T45"/>
  <c r="P45"/>
  <c r="L45"/>
  <c r="H61"/>
  <c r="H45"/>
  <c r="H43"/>
  <c r="P38" i="16" l="1"/>
  <c r="Q14"/>
  <c r="P10"/>
  <c r="P11"/>
  <c r="P36"/>
  <c r="P28"/>
  <c r="I19"/>
  <c r="I18"/>
  <c r="I20"/>
  <c r="I34"/>
  <c r="I32"/>
  <c r="H66" i="13"/>
  <c r="H27"/>
  <c r="H23"/>
  <c r="W5" i="26"/>
  <c r="W6" s="1"/>
  <c r="D32" i="13"/>
  <c r="C75" i="27"/>
  <c r="C78"/>
  <c r="C77"/>
  <c r="C76"/>
  <c r="O213" i="26"/>
  <c r="O214"/>
  <c r="O218"/>
  <c r="P218"/>
  <c r="Q218"/>
  <c r="R218"/>
  <c r="O219"/>
  <c r="P219"/>
  <c r="Q219"/>
  <c r="R219"/>
  <c r="O225"/>
  <c r="P225"/>
  <c r="Q225"/>
  <c r="R225"/>
  <c r="O226"/>
  <c r="O228"/>
  <c r="Q36" i="16" l="1"/>
  <c r="Q11"/>
  <c r="Q10"/>
  <c r="Q38"/>
  <c r="Q28"/>
  <c r="C79" i="27"/>
  <c r="D105"/>
  <c r="D104"/>
  <c r="D103"/>
  <c r="D102"/>
  <c r="D101"/>
  <c r="D100"/>
  <c r="D99"/>
  <c r="D98"/>
  <c r="D97"/>
  <c r="D112"/>
  <c r="D111"/>
  <c r="D110"/>
  <c r="D109"/>
  <c r="D108"/>
  <c r="D115"/>
  <c r="D114"/>
  <c r="D107"/>
  <c r="D106" s="1"/>
  <c r="D96"/>
  <c r="D95"/>
  <c r="D94"/>
  <c r="D93"/>
  <c r="D92"/>
  <c r="D91"/>
  <c r="D90"/>
  <c r="D88"/>
  <c r="D87"/>
  <c r="D86"/>
  <c r="D85"/>
  <c r="C64"/>
  <c r="C41" s="1"/>
  <c r="O184" i="26"/>
  <c r="F54" i="27" s="1"/>
  <c r="O183" i="26"/>
  <c r="F53" i="27" s="1"/>
  <c r="O182" i="26"/>
  <c r="F52" i="27" s="1"/>
  <c r="O181" i="26"/>
  <c r="F51" i="27" s="1"/>
  <c r="O180" i="26"/>
  <c r="F50" i="27" s="1"/>
  <c r="O200" i="26"/>
  <c r="F70" i="27" s="1"/>
  <c r="O198" i="26"/>
  <c r="F68" i="27" s="1"/>
  <c r="O197" i="26"/>
  <c r="F67" i="27" s="1"/>
  <c r="R196" i="26"/>
  <c r="O66" i="27" s="1"/>
  <c r="Q196" i="26"/>
  <c r="L66" i="27" s="1"/>
  <c r="P196" i="26"/>
  <c r="I66" i="27" s="1"/>
  <c r="O196" i="26"/>
  <c r="F66" i="27" s="1"/>
  <c r="R203" i="26"/>
  <c r="O73" i="27" s="1"/>
  <c r="Q203" i="26"/>
  <c r="L73" i="27" s="1"/>
  <c r="P203" i="26"/>
  <c r="I73" i="27" s="1"/>
  <c r="O203" i="26"/>
  <c r="F73" i="27" s="1"/>
  <c r="O202" i="26"/>
  <c r="R195"/>
  <c r="Q195"/>
  <c r="P195"/>
  <c r="O195"/>
  <c r="R175"/>
  <c r="O45" i="27" s="1"/>
  <c r="Q175" i="26"/>
  <c r="L45" i="27" s="1"/>
  <c r="P175" i="26"/>
  <c r="I45" i="27" s="1"/>
  <c r="O175" i="26"/>
  <c r="F45" i="27" s="1"/>
  <c r="O174" i="26"/>
  <c r="F44" i="27" s="1"/>
  <c r="O173" i="26"/>
  <c r="N6"/>
  <c r="P6" s="1"/>
  <c r="V24" i="21" s="1"/>
  <c r="X5" i="26"/>
  <c r="X6" s="1"/>
  <c r="N8"/>
  <c r="N9"/>
  <c r="N10"/>
  <c r="N11"/>
  <c r="N12"/>
  <c r="Q12" s="1"/>
  <c r="N13"/>
  <c r="N14"/>
  <c r="O16"/>
  <c r="N21"/>
  <c r="O21" s="1"/>
  <c r="N22"/>
  <c r="O22" s="1"/>
  <c r="N23"/>
  <c r="P23" s="1"/>
  <c r="N24"/>
  <c r="N30"/>
  <c r="O30" s="1"/>
  <c r="N38"/>
  <c r="R38" s="1"/>
  <c r="P38"/>
  <c r="Q38"/>
  <c r="N39"/>
  <c r="P39" s="1"/>
  <c r="N40"/>
  <c r="O40" s="1"/>
  <c r="N41"/>
  <c r="P41" s="1"/>
  <c r="N43"/>
  <c r="N45"/>
  <c r="O132"/>
  <c r="H225"/>
  <c r="G225"/>
  <c r="F225"/>
  <c r="E225"/>
  <c r="H219"/>
  <c r="G219"/>
  <c r="F219"/>
  <c r="E219"/>
  <c r="H218"/>
  <c r="G218"/>
  <c r="F218"/>
  <c r="E218"/>
  <c r="E214"/>
  <c r="E213"/>
  <c r="E184"/>
  <c r="F18" i="27" s="1"/>
  <c r="E183" i="26"/>
  <c r="F17" i="27" s="1"/>
  <c r="E182" i="26"/>
  <c r="F16" i="27" s="1"/>
  <c r="E181" i="26"/>
  <c r="F15" i="27" s="1"/>
  <c r="E180" i="26"/>
  <c r="F14" i="27" s="1"/>
  <c r="E196" i="26"/>
  <c r="F30" i="27" s="1"/>
  <c r="E203" i="26"/>
  <c r="F37" i="27" s="1"/>
  <c r="E195" i="26"/>
  <c r="F29" i="27" s="1"/>
  <c r="E175" i="26"/>
  <c r="F9" i="27" s="1"/>
  <c r="E174" i="26"/>
  <c r="F8" i="27" s="1"/>
  <c r="E173" i="26"/>
  <c r="H196"/>
  <c r="O30" i="27" s="1"/>
  <c r="G196" i="26"/>
  <c r="L30" i="27" s="1"/>
  <c r="F196" i="26"/>
  <c r="I30" i="27" s="1"/>
  <c r="H203" i="26"/>
  <c r="O37" i="27" s="1"/>
  <c r="G203" i="26"/>
  <c r="L37" i="27" s="1"/>
  <c r="F203" i="26"/>
  <c r="I37" i="27" s="1"/>
  <c r="H195" i="26"/>
  <c r="G195"/>
  <c r="L29" i="27" s="1"/>
  <c r="F195" i="26"/>
  <c r="I29" i="27" s="1"/>
  <c r="H175" i="26"/>
  <c r="O9" i="27" s="1"/>
  <c r="G175" i="26"/>
  <c r="L9" i="27" s="1"/>
  <c r="F175" i="26"/>
  <c r="I9" i="27" s="1"/>
  <c r="E132" i="26"/>
  <c r="E45"/>
  <c r="E43"/>
  <c r="E42"/>
  <c r="E41"/>
  <c r="E39"/>
  <c r="F38"/>
  <c r="E38"/>
  <c r="E24"/>
  <c r="E23"/>
  <c r="F15"/>
  <c r="E15"/>
  <c r="E198" s="1"/>
  <c r="F32" i="27" s="1"/>
  <c r="F14" i="26"/>
  <c r="P14" s="1"/>
  <c r="E14"/>
  <c r="F13"/>
  <c r="P13" s="1"/>
  <c r="E13"/>
  <c r="F12"/>
  <c r="E12"/>
  <c r="F11"/>
  <c r="P11" s="1"/>
  <c r="E11"/>
  <c r="F10"/>
  <c r="P10" s="1"/>
  <c r="E10"/>
  <c r="F9"/>
  <c r="E9"/>
  <c r="E200" s="1"/>
  <c r="F34" i="27" s="1"/>
  <c r="E8" i="26"/>
  <c r="E7"/>
  <c r="E6"/>
  <c r="E226" s="1"/>
  <c r="I65" i="27" l="1"/>
  <c r="O65"/>
  <c r="F43"/>
  <c r="L65"/>
  <c r="F72"/>
  <c r="O201" i="26"/>
  <c r="F7" i="27"/>
  <c r="O29"/>
  <c r="O126" i="1"/>
  <c r="F71" i="27"/>
  <c r="L68" i="13"/>
  <c r="D84" i="27"/>
  <c r="D89"/>
  <c r="D83" s="1"/>
  <c r="D113"/>
  <c r="F200" i="26"/>
  <c r="I34" i="27" s="1"/>
  <c r="P9" i="26"/>
  <c r="F198"/>
  <c r="I32" i="27" s="1"/>
  <c r="P15" i="26"/>
  <c r="P198" s="1"/>
  <c r="I68" i="27" s="1"/>
  <c r="H42" i="13"/>
  <c r="Z52"/>
  <c r="Z42"/>
  <c r="Z61"/>
  <c r="P226" i="26"/>
  <c r="R40"/>
  <c r="F65" i="27"/>
  <c r="P197" i="26"/>
  <c r="I67" i="27" s="1"/>
  <c r="P40" i="26"/>
  <c r="Q39"/>
  <c r="R23"/>
  <c r="R22"/>
  <c r="Q40"/>
  <c r="R39"/>
  <c r="Q23"/>
  <c r="R12"/>
  <c r="Q30"/>
  <c r="P42" i="13" s="1"/>
  <c r="R24" i="26"/>
  <c r="P22"/>
  <c r="Q21"/>
  <c r="R6"/>
  <c r="X24" i="21" s="1"/>
  <c r="O25" i="26"/>
  <c r="Q45"/>
  <c r="Q43"/>
  <c r="Q41"/>
  <c r="R30"/>
  <c r="P30"/>
  <c r="L42" i="13" s="1"/>
  <c r="N25" i="26"/>
  <c r="Q24"/>
  <c r="Q22"/>
  <c r="R21"/>
  <c r="P21"/>
  <c r="Q6"/>
  <c r="W24" i="21" s="1"/>
  <c r="R45" i="26"/>
  <c r="R43"/>
  <c r="R41"/>
  <c r="E228"/>
  <c r="E197"/>
  <c r="F31" i="27" s="1"/>
  <c r="E202" i="26"/>
  <c r="E16"/>
  <c r="N7"/>
  <c r="P7" s="1"/>
  <c r="F36" i="27" l="1"/>
  <c r="F35" s="1"/>
  <c r="E201" i="26"/>
  <c r="L66" i="13"/>
  <c r="L38"/>
  <c r="P68"/>
  <c r="P200" i="26"/>
  <c r="I70" i="27" s="1"/>
  <c r="J26" i="21"/>
  <c r="J24"/>
  <c r="Z48" i="13"/>
  <c r="Z70"/>
  <c r="Z39"/>
  <c r="Z7" s="1"/>
  <c r="T42"/>
  <c r="Q226" i="26"/>
  <c r="R226"/>
  <c r="T68" i="13"/>
  <c r="R7" i="26"/>
  <c r="N16"/>
  <c r="Q7"/>
  <c r="P25"/>
  <c r="R25"/>
  <c r="Q25"/>
  <c r="G49" i="16"/>
  <c r="E17" i="18" s="1"/>
  <c r="P66" i="13" l="1"/>
  <c r="P38"/>
  <c r="T38"/>
  <c r="T66"/>
  <c r="Z57"/>
  <c r="Z47" s="1"/>
  <c r="Z66"/>
  <c r="Z60" s="1"/>
  <c r="O6" i="8"/>
  <c r="C10" i="20"/>
  <c r="D8" s="1"/>
  <c r="D10" s="1"/>
  <c r="E8" s="1"/>
  <c r="E10" s="1"/>
  <c r="F8" s="1"/>
  <c r="F10" s="1"/>
  <c r="G8" s="1"/>
  <c r="G10" s="1"/>
  <c r="J10"/>
  <c r="K8" s="1"/>
  <c r="K10" s="1"/>
  <c r="L8" s="1"/>
  <c r="L10" s="1"/>
  <c r="M8" s="1"/>
  <c r="M10" s="1"/>
  <c r="N8" s="1"/>
  <c r="N10" s="1"/>
  <c r="Q10"/>
  <c r="R8" s="1"/>
  <c r="R10" s="1"/>
  <c r="S8" s="1"/>
  <c r="S10" s="1"/>
  <c r="T8" s="1"/>
  <c r="T10" s="1"/>
  <c r="U8" s="1"/>
  <c r="U10" s="1"/>
  <c r="L15" i="9"/>
  <c r="L17" s="1"/>
  <c r="G19"/>
  <c r="G5" s="1"/>
  <c r="B13" i="18"/>
  <c r="C13"/>
  <c r="B14"/>
  <c r="C14"/>
  <c r="B15"/>
  <c r="C15"/>
  <c r="B16"/>
  <c r="C16"/>
  <c r="B17"/>
  <c r="C17"/>
  <c r="B18"/>
  <c r="C18"/>
  <c r="D7" i="16"/>
  <c r="F7"/>
  <c r="D8"/>
  <c r="F8"/>
  <c r="D10"/>
  <c r="F10"/>
  <c r="D11"/>
  <c r="F11"/>
  <c r="D9"/>
  <c r="F9"/>
  <c r="D12"/>
  <c r="F12"/>
  <c r="D14"/>
  <c r="F14"/>
  <c r="E19"/>
  <c r="D16"/>
  <c r="F16"/>
  <c r="E20"/>
  <c r="D17"/>
  <c r="E21"/>
  <c r="M12" s="1"/>
  <c r="D15"/>
  <c r="F15"/>
  <c r="G26"/>
  <c r="H28"/>
  <c r="G29"/>
  <c r="H31"/>
  <c r="G30"/>
  <c r="G33"/>
  <c r="H38"/>
  <c r="G37"/>
  <c r="E44"/>
  <c r="F45"/>
  <c r="D13" i="18" s="1"/>
  <c r="G45" i="16"/>
  <c r="E13" i="18" s="1"/>
  <c r="F46" i="16"/>
  <c r="D14" i="18" s="1"/>
  <c r="G46" i="16"/>
  <c r="E14" i="18" s="1"/>
  <c r="F47" i="16"/>
  <c r="D15" i="18" s="1"/>
  <c r="G47" i="16"/>
  <c r="E15" i="18" s="1"/>
  <c r="F48" i="16"/>
  <c r="D16" i="18" s="1"/>
  <c r="F49" i="16"/>
  <c r="D17" i="18" s="1"/>
  <c r="F50" i="16"/>
  <c r="D18" i="18" s="1"/>
  <c r="M21" i="21"/>
  <c r="P21"/>
  <c r="M27"/>
  <c r="P27"/>
  <c r="E15" i="4"/>
  <c r="D17"/>
  <c r="O50" i="1"/>
  <c r="O51"/>
  <c r="O52"/>
  <c r="O53"/>
  <c r="O54"/>
  <c r="O55"/>
  <c r="O56"/>
  <c r="O57"/>
  <c r="O58"/>
  <c r="P59"/>
  <c r="Q59"/>
  <c r="P60"/>
  <c r="Q60"/>
  <c r="E14"/>
  <c r="I14"/>
  <c r="P61"/>
  <c r="Q61"/>
  <c r="E24"/>
  <c r="H24"/>
  <c r="I24"/>
  <c r="N31" i="26"/>
  <c r="N33"/>
  <c r="N34"/>
  <c r="H33" i="1"/>
  <c r="N36" i="26"/>
  <c r="N37"/>
  <c r="H36" i="1"/>
  <c r="N42" i="26"/>
  <c r="E45" i="1"/>
  <c r="N96"/>
  <c r="N97"/>
  <c r="R97" s="1"/>
  <c r="H7" i="26" s="1"/>
  <c r="N98" i="1"/>
  <c r="P98" s="1"/>
  <c r="N99"/>
  <c r="Q99" s="1"/>
  <c r="G9" i="26" s="1"/>
  <c r="N101" i="1"/>
  <c r="Q101" s="1"/>
  <c r="G11" i="26" s="1"/>
  <c r="Q11" s="1"/>
  <c r="N100" i="1"/>
  <c r="Q100" s="1"/>
  <c r="G10" i="26" s="1"/>
  <c r="Q10" s="1"/>
  <c r="N102" i="1"/>
  <c r="Q102" s="1"/>
  <c r="G12" i="26" s="1"/>
  <c r="N103" i="1"/>
  <c r="Q103" s="1"/>
  <c r="G13" i="26" s="1"/>
  <c r="Q13" s="1"/>
  <c r="N104" i="1"/>
  <c r="N106"/>
  <c r="N107"/>
  <c r="N108"/>
  <c r="N109"/>
  <c r="N111"/>
  <c r="O111" s="1"/>
  <c r="N113"/>
  <c r="O113" s="1"/>
  <c r="E33" i="26" s="1"/>
  <c r="E177" s="1"/>
  <c r="F11" i="27" s="1"/>
  <c r="N118" i="1"/>
  <c r="Q118" s="1"/>
  <c r="G38" i="26" s="1"/>
  <c r="N119" i="1"/>
  <c r="P119" s="1"/>
  <c r="F39" i="26" s="1"/>
  <c r="N120" i="1"/>
  <c r="O120" s="1"/>
  <c r="E40" i="26" s="1"/>
  <c r="N121" i="1"/>
  <c r="R121" s="1"/>
  <c r="H41" i="26" s="1"/>
  <c r="N123" i="1"/>
  <c r="F43" i="26" s="1"/>
  <c r="N125" i="1"/>
  <c r="F45" i="26" s="1"/>
  <c r="F131" i="1"/>
  <c r="G131"/>
  <c r="H131"/>
  <c r="I136"/>
  <c r="I137"/>
  <c r="I138"/>
  <c r="I141"/>
  <c r="I143"/>
  <c r="N140" i="26" s="1"/>
  <c r="I144" i="1"/>
  <c r="I145"/>
  <c r="I147"/>
  <c r="I149"/>
  <c r="I150"/>
  <c r="I153"/>
  <c r="I154"/>
  <c r="I155"/>
  <c r="I156"/>
  <c r="I158"/>
  <c r="I159"/>
  <c r="I160"/>
  <c r="I161"/>
  <c r="I162"/>
  <c r="I163"/>
  <c r="I164"/>
  <c r="I165"/>
  <c r="I166"/>
  <c r="I167"/>
  <c r="I171"/>
  <c r="I172"/>
  <c r="I173"/>
  <c r="I174"/>
  <c r="I175"/>
  <c r="H179"/>
  <c r="K7" i="8"/>
  <c r="L7"/>
  <c r="M7"/>
  <c r="N7"/>
  <c r="O7"/>
  <c r="C8"/>
  <c r="C9"/>
  <c r="C10"/>
  <c r="C11"/>
  <c r="C12"/>
  <c r="C13"/>
  <c r="C14"/>
  <c r="C15"/>
  <c r="C16"/>
  <c r="C17"/>
  <c r="C18"/>
  <c r="K19"/>
  <c r="L19"/>
  <c r="M19"/>
  <c r="N19"/>
  <c r="O19"/>
  <c r="C20"/>
  <c r="C21"/>
  <c r="C22"/>
  <c r="C23"/>
  <c r="C24"/>
  <c r="C25"/>
  <c r="C26"/>
  <c r="C27"/>
  <c r="C28"/>
  <c r="C29"/>
  <c r="C30"/>
  <c r="C31"/>
  <c r="C32"/>
  <c r="C33"/>
  <c r="C34"/>
  <c r="C35"/>
  <c r="C36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D11" i="19"/>
  <c r="E11"/>
  <c r="F11"/>
  <c r="D43" s="1"/>
  <c r="G11"/>
  <c r="D17"/>
  <c r="C41" s="1"/>
  <c r="E17"/>
  <c r="C42" s="1"/>
  <c r="F17"/>
  <c r="G17"/>
  <c r="C44" s="1"/>
  <c r="C40"/>
  <c r="D40"/>
  <c r="E40"/>
  <c r="D41"/>
  <c r="E41"/>
  <c r="D42"/>
  <c r="E42"/>
  <c r="C43"/>
  <c r="E43"/>
  <c r="D44"/>
  <c r="E44"/>
  <c r="F7" i="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D17"/>
  <c r="E44"/>
  <c r="D26" s="1"/>
  <c r="H26" s="1"/>
  <c r="D220" s="1" a="1"/>
  <c r="D220" s="1"/>
  <c r="H44"/>
  <c r="E72"/>
  <c r="B96"/>
  <c r="D96" s="1"/>
  <c r="B97"/>
  <c r="B98"/>
  <c r="D98"/>
  <c r="B99"/>
  <c r="B100"/>
  <c r="D100" s="1"/>
  <c r="B101"/>
  <c r="B102"/>
  <c r="D102"/>
  <c r="B103"/>
  <c r="B104"/>
  <c r="D104" s="1"/>
  <c r="B105"/>
  <c r="E103" s="1"/>
  <c r="F103" s="1"/>
  <c r="B139"/>
  <c r="D139" s="1"/>
  <c r="B140"/>
  <c r="B141"/>
  <c r="D141" s="1"/>
  <c r="B142"/>
  <c r="B143"/>
  <c r="D143" s="1"/>
  <c r="B144"/>
  <c r="B145"/>
  <c r="D145" s="1"/>
  <c r="B146"/>
  <c r="B147"/>
  <c r="D147" s="1"/>
  <c r="B148"/>
  <c r="J151"/>
  <c r="E178"/>
  <c r="B181"/>
  <c r="D181" s="1"/>
  <c r="H181" s="1"/>
  <c r="B183"/>
  <c r="D183" s="1"/>
  <c r="H183" s="1"/>
  <c r="B189"/>
  <c r="D189" s="1"/>
  <c r="H189" s="1"/>
  <c r="A5" i="6"/>
  <c r="A6"/>
  <c r="A7"/>
  <c r="A8"/>
  <c r="A9"/>
  <c r="A10"/>
  <c r="A11"/>
  <c r="A12"/>
  <c r="A13"/>
  <c r="A14"/>
  <c r="B19"/>
  <c r="A22"/>
  <c r="E22"/>
  <c r="G32" s="1"/>
  <c r="A23"/>
  <c r="E23"/>
  <c r="F23" s="1"/>
  <c r="A24"/>
  <c r="E24"/>
  <c r="F24" s="1"/>
  <c r="G24" s="1"/>
  <c r="A25"/>
  <c r="E25"/>
  <c r="F25" s="1"/>
  <c r="G25" s="1"/>
  <c r="A26"/>
  <c r="E26"/>
  <c r="F26" s="1"/>
  <c r="G26" s="1"/>
  <c r="A27"/>
  <c r="B27"/>
  <c r="E27"/>
  <c r="F27"/>
  <c r="G27" s="1"/>
  <c r="A28"/>
  <c r="E28"/>
  <c r="B28" s="1"/>
  <c r="C28" s="1"/>
  <c r="A29"/>
  <c r="B29"/>
  <c r="C29" s="1"/>
  <c r="D29" s="1"/>
  <c r="E29"/>
  <c r="F29"/>
  <c r="G29" s="1"/>
  <c r="A30"/>
  <c r="E30"/>
  <c r="B30" s="1"/>
  <c r="C30" s="1"/>
  <c r="D30" s="1"/>
  <c r="A31"/>
  <c r="B31"/>
  <c r="C31" s="1"/>
  <c r="D31" s="1"/>
  <c r="E31"/>
  <c r="F31"/>
  <c r="G31" s="1"/>
  <c r="B36"/>
  <c r="A39"/>
  <c r="E39"/>
  <c r="A40"/>
  <c r="E40"/>
  <c r="F40" s="1"/>
  <c r="A41"/>
  <c r="E41"/>
  <c r="F41" s="1"/>
  <c r="G41" s="1"/>
  <c r="A42"/>
  <c r="E42"/>
  <c r="F42" s="1"/>
  <c r="G42" s="1"/>
  <c r="A43"/>
  <c r="E43"/>
  <c r="F43" s="1"/>
  <c r="G43" s="1"/>
  <c r="A44"/>
  <c r="E44"/>
  <c r="B44" s="1"/>
  <c r="A45"/>
  <c r="E45"/>
  <c r="B45" s="1"/>
  <c r="A46"/>
  <c r="E46"/>
  <c r="B46" s="1"/>
  <c r="C46" s="1"/>
  <c r="D46" s="1"/>
  <c r="A47"/>
  <c r="E47"/>
  <c r="B47" s="1"/>
  <c r="A48"/>
  <c r="E48"/>
  <c r="B48" s="1"/>
  <c r="C48" s="1"/>
  <c r="D48" s="1"/>
  <c r="B53"/>
  <c r="A56"/>
  <c r="E56"/>
  <c r="G66" s="1"/>
  <c r="A57"/>
  <c r="E57"/>
  <c r="F57" s="1"/>
  <c r="A58"/>
  <c r="E58"/>
  <c r="F58" s="1"/>
  <c r="G58" s="1"/>
  <c r="A59"/>
  <c r="E59"/>
  <c r="F59" s="1"/>
  <c r="G59" s="1"/>
  <c r="A60"/>
  <c r="E60"/>
  <c r="F60" s="1"/>
  <c r="G60" s="1"/>
  <c r="A61"/>
  <c r="B61"/>
  <c r="E61"/>
  <c r="F61"/>
  <c r="G61" s="1"/>
  <c r="A62"/>
  <c r="E62"/>
  <c r="B62" s="1"/>
  <c r="C62" s="1"/>
  <c r="A63"/>
  <c r="B63"/>
  <c r="C63" s="1"/>
  <c r="D63" s="1"/>
  <c r="E63"/>
  <c r="F63"/>
  <c r="G63" s="1"/>
  <c r="A64"/>
  <c r="E64"/>
  <c r="B64" s="1"/>
  <c r="C64" s="1"/>
  <c r="D64" s="1"/>
  <c r="A65"/>
  <c r="B65"/>
  <c r="C65" s="1"/>
  <c r="D65" s="1"/>
  <c r="E65"/>
  <c r="F65"/>
  <c r="G65" s="1"/>
  <c r="B70"/>
  <c r="A73"/>
  <c r="E73"/>
  <c r="A74"/>
  <c r="E74"/>
  <c r="F74" s="1"/>
  <c r="A75"/>
  <c r="E75"/>
  <c r="F75" s="1"/>
  <c r="G75" s="1"/>
  <c r="A76"/>
  <c r="E76"/>
  <c r="F76" s="1"/>
  <c r="G76" s="1"/>
  <c r="A77"/>
  <c r="E77"/>
  <c r="F77" s="1"/>
  <c r="G77" s="1"/>
  <c r="A78"/>
  <c r="E78"/>
  <c r="B78" s="1"/>
  <c r="A79"/>
  <c r="E79"/>
  <c r="B79" s="1"/>
  <c r="A80"/>
  <c r="E80"/>
  <c r="B80" s="1"/>
  <c r="C80" s="1"/>
  <c r="D80" s="1"/>
  <c r="A81"/>
  <c r="E81"/>
  <c r="B81" s="1"/>
  <c r="A82"/>
  <c r="E82"/>
  <c r="B82" s="1"/>
  <c r="C82" s="1"/>
  <c r="D82" s="1"/>
  <c r="B87"/>
  <c r="A90"/>
  <c r="E90"/>
  <c r="G100" s="1"/>
  <c r="A91"/>
  <c r="E91"/>
  <c r="F91" s="1"/>
  <c r="A92"/>
  <c r="E92"/>
  <c r="F92" s="1"/>
  <c r="G92" s="1"/>
  <c r="A93"/>
  <c r="E93"/>
  <c r="F93" s="1"/>
  <c r="G93" s="1"/>
  <c r="A94"/>
  <c r="E94"/>
  <c r="F94" s="1"/>
  <c r="G94" s="1"/>
  <c r="A95"/>
  <c r="B95"/>
  <c r="E95"/>
  <c r="F95"/>
  <c r="G95" s="1"/>
  <c r="A96"/>
  <c r="E96"/>
  <c r="B96" s="1"/>
  <c r="C96" s="1"/>
  <c r="A97"/>
  <c r="B97"/>
  <c r="C97" s="1"/>
  <c r="D97" s="1"/>
  <c r="E97"/>
  <c r="F97"/>
  <c r="G97" s="1"/>
  <c r="A98"/>
  <c r="E98"/>
  <c r="B98" s="1"/>
  <c r="C98" s="1"/>
  <c r="D98" s="1"/>
  <c r="A99"/>
  <c r="B99"/>
  <c r="C99" s="1"/>
  <c r="D99" s="1"/>
  <c r="E99"/>
  <c r="F99"/>
  <c r="G99" s="1"/>
  <c r="B104"/>
  <c r="A107"/>
  <c r="E107"/>
  <c r="A108"/>
  <c r="E108"/>
  <c r="F108" s="1"/>
  <c r="A109"/>
  <c r="E109"/>
  <c r="F109" s="1"/>
  <c r="G109" s="1"/>
  <c r="A110"/>
  <c r="E110"/>
  <c r="F110" s="1"/>
  <c r="G110" s="1"/>
  <c r="A111"/>
  <c r="E111"/>
  <c r="F111" s="1"/>
  <c r="G111" s="1"/>
  <c r="A112"/>
  <c r="E112"/>
  <c r="B112" s="1"/>
  <c r="A113"/>
  <c r="E113"/>
  <c r="B113" s="1"/>
  <c r="A114"/>
  <c r="E114"/>
  <c r="B114" s="1"/>
  <c r="C114" s="1"/>
  <c r="D114" s="1"/>
  <c r="A115"/>
  <c r="E115"/>
  <c r="B115" s="1"/>
  <c r="A116"/>
  <c r="E116"/>
  <c r="B116" s="1"/>
  <c r="C116" s="1"/>
  <c r="D116" s="1"/>
  <c r="B121"/>
  <c r="A124"/>
  <c r="E124"/>
  <c r="G134" s="1"/>
  <c r="A125"/>
  <c r="E125"/>
  <c r="F125" s="1"/>
  <c r="A126"/>
  <c r="E126"/>
  <c r="F126" s="1"/>
  <c r="G126" s="1"/>
  <c r="A127"/>
  <c r="E127"/>
  <c r="F127" s="1"/>
  <c r="G127" s="1"/>
  <c r="A128"/>
  <c r="E128"/>
  <c r="F128" s="1"/>
  <c r="G128" s="1"/>
  <c r="A129"/>
  <c r="B129"/>
  <c r="E129"/>
  <c r="F129"/>
  <c r="G129" s="1"/>
  <c r="A130"/>
  <c r="E130"/>
  <c r="B130" s="1"/>
  <c r="C130" s="1"/>
  <c r="A131"/>
  <c r="B131"/>
  <c r="C131" s="1"/>
  <c r="D131" s="1"/>
  <c r="E131"/>
  <c r="F131"/>
  <c r="G131" s="1"/>
  <c r="A132"/>
  <c r="E132"/>
  <c r="B132" s="1"/>
  <c r="C132" s="1"/>
  <c r="D132" s="1"/>
  <c r="A133"/>
  <c r="B133"/>
  <c r="E133"/>
  <c r="F133"/>
  <c r="G133" s="1"/>
  <c r="B138"/>
  <c r="A141"/>
  <c r="E141"/>
  <c r="A142"/>
  <c r="E142"/>
  <c r="F142" s="1"/>
  <c r="A143"/>
  <c r="E143"/>
  <c r="F143" s="1"/>
  <c r="G143" s="1"/>
  <c r="A144"/>
  <c r="E144"/>
  <c r="F144" s="1"/>
  <c r="G144" s="1"/>
  <c r="A145"/>
  <c r="E145"/>
  <c r="F145" s="1"/>
  <c r="G145" s="1"/>
  <c r="A146"/>
  <c r="E146"/>
  <c r="B146" s="1"/>
  <c r="A147"/>
  <c r="E147"/>
  <c r="B147" s="1"/>
  <c r="A148"/>
  <c r="E148"/>
  <c r="B148" s="1"/>
  <c r="C148" s="1"/>
  <c r="D148" s="1"/>
  <c r="A149"/>
  <c r="E149"/>
  <c r="B149" s="1"/>
  <c r="A150"/>
  <c r="E150"/>
  <c r="B150" s="1"/>
  <c r="C150" s="1"/>
  <c r="D150" s="1"/>
  <c r="B155"/>
  <c r="A158"/>
  <c r="E158"/>
  <c r="G168" s="1"/>
  <c r="A159"/>
  <c r="E159"/>
  <c r="F159" s="1"/>
  <c r="A160"/>
  <c r="E160"/>
  <c r="F160" s="1"/>
  <c r="G160" s="1"/>
  <c r="A161"/>
  <c r="E161"/>
  <c r="F161" s="1"/>
  <c r="G161" s="1"/>
  <c r="A162"/>
  <c r="E162"/>
  <c r="F162" s="1"/>
  <c r="G162" s="1"/>
  <c r="A163"/>
  <c r="B163"/>
  <c r="E163"/>
  <c r="F163"/>
  <c r="G163" s="1"/>
  <c r="A164"/>
  <c r="E164"/>
  <c r="B164" s="1"/>
  <c r="C164" s="1"/>
  <c r="A165"/>
  <c r="B165"/>
  <c r="C165" s="1"/>
  <c r="D165" s="1"/>
  <c r="E165"/>
  <c r="F165"/>
  <c r="G165" s="1"/>
  <c r="A166"/>
  <c r="E166"/>
  <c r="B166" s="1"/>
  <c r="C166" s="1"/>
  <c r="D166" s="1"/>
  <c r="A167"/>
  <c r="B167"/>
  <c r="C167" s="1"/>
  <c r="D167" s="1"/>
  <c r="E167"/>
  <c r="F167"/>
  <c r="G167" s="1"/>
  <c r="B172"/>
  <c r="A175"/>
  <c r="E175"/>
  <c r="A176"/>
  <c r="E176"/>
  <c r="F176" s="1"/>
  <c r="A177"/>
  <c r="E177"/>
  <c r="F177" s="1"/>
  <c r="G177" s="1"/>
  <c r="A178"/>
  <c r="E178"/>
  <c r="F178" s="1"/>
  <c r="G178" s="1"/>
  <c r="A179"/>
  <c r="E179"/>
  <c r="F179" s="1"/>
  <c r="G179" s="1"/>
  <c r="A180"/>
  <c r="E180"/>
  <c r="B180" s="1"/>
  <c r="A181"/>
  <c r="E181"/>
  <c r="B181" s="1"/>
  <c r="A182"/>
  <c r="E182"/>
  <c r="B182" s="1"/>
  <c r="C182" s="1"/>
  <c r="D182" s="1"/>
  <c r="A183"/>
  <c r="E183"/>
  <c r="B183" s="1"/>
  <c r="A184"/>
  <c r="E184"/>
  <c r="B184" s="1"/>
  <c r="C184" s="1"/>
  <c r="D184" s="1"/>
  <c r="B189"/>
  <c r="A192"/>
  <c r="E192"/>
  <c r="G202" s="1"/>
  <c r="A193"/>
  <c r="E193"/>
  <c r="F193" s="1"/>
  <c r="A194"/>
  <c r="E194"/>
  <c r="F194" s="1"/>
  <c r="G194" s="1"/>
  <c r="A195"/>
  <c r="E195"/>
  <c r="F195" s="1"/>
  <c r="G195" s="1"/>
  <c r="A196"/>
  <c r="E196"/>
  <c r="F196" s="1"/>
  <c r="G196" s="1"/>
  <c r="A197"/>
  <c r="B197"/>
  <c r="E197"/>
  <c r="F197"/>
  <c r="G197" s="1"/>
  <c r="A198"/>
  <c r="E198"/>
  <c r="B198" s="1"/>
  <c r="C198" s="1"/>
  <c r="A199"/>
  <c r="B199"/>
  <c r="C199" s="1"/>
  <c r="D199" s="1"/>
  <c r="E199"/>
  <c r="F199"/>
  <c r="G199" s="1"/>
  <c r="A200"/>
  <c r="E200"/>
  <c r="B200" s="1"/>
  <c r="C200" s="1"/>
  <c r="D200" s="1"/>
  <c r="A201"/>
  <c r="B201"/>
  <c r="E201"/>
  <c r="F201"/>
  <c r="G201" s="1"/>
  <c r="B206"/>
  <c r="A209"/>
  <c r="E209"/>
  <c r="A210"/>
  <c r="E210"/>
  <c r="F210" s="1"/>
  <c r="A211"/>
  <c r="E211"/>
  <c r="F211" s="1"/>
  <c r="G211" s="1"/>
  <c r="A212"/>
  <c r="E212"/>
  <c r="F212" s="1"/>
  <c r="G212" s="1"/>
  <c r="A213"/>
  <c r="E213"/>
  <c r="F213" s="1"/>
  <c r="G213" s="1"/>
  <c r="A214"/>
  <c r="E214"/>
  <c r="B214" s="1"/>
  <c r="A215"/>
  <c r="E215"/>
  <c r="B215" s="1"/>
  <c r="A216"/>
  <c r="E216"/>
  <c r="B216" s="1"/>
  <c r="C216" s="1"/>
  <c r="D216" s="1"/>
  <c r="A217"/>
  <c r="E217"/>
  <c r="B217" s="1"/>
  <c r="A218"/>
  <c r="E218"/>
  <c r="B218" s="1"/>
  <c r="C218" s="1"/>
  <c r="D218" s="1"/>
  <c r="B223"/>
  <c r="A226"/>
  <c r="E226"/>
  <c r="A227"/>
  <c r="E227"/>
  <c r="F227" s="1"/>
  <c r="A228"/>
  <c r="E228"/>
  <c r="F228" s="1"/>
  <c r="G228" s="1"/>
  <c r="A229"/>
  <c r="E229"/>
  <c r="F229" s="1"/>
  <c r="G229" s="1"/>
  <c r="A230"/>
  <c r="E230"/>
  <c r="F230" s="1"/>
  <c r="G230" s="1"/>
  <c r="A231"/>
  <c r="B231"/>
  <c r="E231"/>
  <c r="F231"/>
  <c r="G231" s="1"/>
  <c r="A232"/>
  <c r="E232"/>
  <c r="B232" s="1"/>
  <c r="C232" s="1"/>
  <c r="A233"/>
  <c r="B233"/>
  <c r="C233" s="1"/>
  <c r="D233" s="1"/>
  <c r="E233"/>
  <c r="F233"/>
  <c r="G233" s="1"/>
  <c r="A234"/>
  <c r="E234"/>
  <c r="B234" s="1"/>
  <c r="C234" s="1"/>
  <c r="D234" s="1"/>
  <c r="A235"/>
  <c r="B235"/>
  <c r="C235" s="1"/>
  <c r="D235" s="1"/>
  <c r="E235"/>
  <c r="F235"/>
  <c r="G235" s="1"/>
  <c r="B240"/>
  <c r="A243"/>
  <c r="E243"/>
  <c r="A244"/>
  <c r="E244"/>
  <c r="F244" s="1"/>
  <c r="A245"/>
  <c r="E245"/>
  <c r="F245" s="1"/>
  <c r="G245" s="1"/>
  <c r="A246"/>
  <c r="E246"/>
  <c r="F246" s="1"/>
  <c r="G246" s="1"/>
  <c r="A247"/>
  <c r="E247"/>
  <c r="F247" s="1"/>
  <c r="G247" s="1"/>
  <c r="A248"/>
  <c r="E248"/>
  <c r="B248" s="1"/>
  <c r="A249"/>
  <c r="E249"/>
  <c r="B249" s="1"/>
  <c r="A250"/>
  <c r="E250"/>
  <c r="B250" s="1"/>
  <c r="C250" s="1"/>
  <c r="D250" s="1"/>
  <c r="A251"/>
  <c r="E251"/>
  <c r="B251" s="1"/>
  <c r="A252"/>
  <c r="E252"/>
  <c r="B252" s="1"/>
  <c r="C252" s="1"/>
  <c r="D252" s="1"/>
  <c r="B257"/>
  <c r="A260"/>
  <c r="E260"/>
  <c r="A261"/>
  <c r="E261"/>
  <c r="F261" s="1"/>
  <c r="A262"/>
  <c r="E262"/>
  <c r="F262" s="1"/>
  <c r="G262" s="1"/>
  <c r="A263"/>
  <c r="E263"/>
  <c r="F263" s="1"/>
  <c r="G263" s="1"/>
  <c r="A264"/>
  <c r="E264"/>
  <c r="F264" s="1"/>
  <c r="G264" s="1"/>
  <c r="A265"/>
  <c r="B265"/>
  <c r="E265"/>
  <c r="F265"/>
  <c r="G265" s="1"/>
  <c r="A266"/>
  <c r="E266"/>
  <c r="B266" s="1"/>
  <c r="C266" s="1"/>
  <c r="A267"/>
  <c r="B267"/>
  <c r="C267" s="1"/>
  <c r="D267" s="1"/>
  <c r="E267"/>
  <c r="F267"/>
  <c r="G267" s="1"/>
  <c r="A268"/>
  <c r="E268"/>
  <c r="B268" s="1"/>
  <c r="C268" s="1"/>
  <c r="D268" s="1"/>
  <c r="A269"/>
  <c r="B269"/>
  <c r="E269"/>
  <c r="F269"/>
  <c r="G269" s="1"/>
  <c r="B274"/>
  <c r="A277"/>
  <c r="E277"/>
  <c r="A278"/>
  <c r="E278"/>
  <c r="F278" s="1"/>
  <c r="A279"/>
  <c r="E279"/>
  <c r="F279" s="1"/>
  <c r="G279" s="1"/>
  <c r="A280"/>
  <c r="E280"/>
  <c r="F280" s="1"/>
  <c r="G280" s="1"/>
  <c r="A281"/>
  <c r="E281"/>
  <c r="F281" s="1"/>
  <c r="G281" s="1"/>
  <c r="A282"/>
  <c r="E282"/>
  <c r="B282" s="1"/>
  <c r="A283"/>
  <c r="E283"/>
  <c r="B283" s="1"/>
  <c r="A284"/>
  <c r="E284"/>
  <c r="B284" s="1"/>
  <c r="C284" s="1"/>
  <c r="D284" s="1"/>
  <c r="A285"/>
  <c r="E285"/>
  <c r="B285" s="1"/>
  <c r="A286"/>
  <c r="E286"/>
  <c r="B286" s="1"/>
  <c r="C286" s="1"/>
  <c r="D286" s="1"/>
  <c r="B291"/>
  <c r="A294"/>
  <c r="E294"/>
  <c r="G304" s="1"/>
  <c r="A295"/>
  <c r="E295"/>
  <c r="F295" s="1"/>
  <c r="A296"/>
  <c r="E296"/>
  <c r="F296" s="1"/>
  <c r="G296" s="1"/>
  <c r="A297"/>
  <c r="E297"/>
  <c r="F297" s="1"/>
  <c r="G297" s="1"/>
  <c r="A298"/>
  <c r="E298"/>
  <c r="F298" s="1"/>
  <c r="G298" s="1"/>
  <c r="A299"/>
  <c r="B299"/>
  <c r="E299"/>
  <c r="F299"/>
  <c r="G299" s="1"/>
  <c r="A300"/>
  <c r="E300"/>
  <c r="B300" s="1"/>
  <c r="C300" s="1"/>
  <c r="A301"/>
  <c r="B301"/>
  <c r="C301" s="1"/>
  <c r="D301" s="1"/>
  <c r="E301"/>
  <c r="F301"/>
  <c r="G301" s="1"/>
  <c r="A302"/>
  <c r="E302"/>
  <c r="B302" s="1"/>
  <c r="C302" s="1"/>
  <c r="D302" s="1"/>
  <c r="A303"/>
  <c r="B303"/>
  <c r="E303"/>
  <c r="F303"/>
  <c r="G303" s="1"/>
  <c r="B308"/>
  <c r="A311"/>
  <c r="E311"/>
  <c r="A312"/>
  <c r="E312"/>
  <c r="F312" s="1"/>
  <c r="A313"/>
  <c r="E313"/>
  <c r="F313" s="1"/>
  <c r="G313" s="1"/>
  <c r="A314"/>
  <c r="E314"/>
  <c r="F314" s="1"/>
  <c r="G314" s="1"/>
  <c r="A315"/>
  <c r="E315"/>
  <c r="F315" s="1"/>
  <c r="G315" s="1"/>
  <c r="A316"/>
  <c r="E316"/>
  <c r="B316" s="1"/>
  <c r="A317"/>
  <c r="E317"/>
  <c r="B317" s="1"/>
  <c r="A318"/>
  <c r="E318"/>
  <c r="B318" s="1"/>
  <c r="C318" s="1"/>
  <c r="D318" s="1"/>
  <c r="A319"/>
  <c r="E319"/>
  <c r="B319" s="1"/>
  <c r="A320"/>
  <c r="E320"/>
  <c r="B320" s="1"/>
  <c r="C320" s="1"/>
  <c r="D320" s="1"/>
  <c r="B325"/>
  <c r="A328"/>
  <c r="E328"/>
  <c r="G338" s="1"/>
  <c r="A329"/>
  <c r="E329"/>
  <c r="F329" s="1"/>
  <c r="A330"/>
  <c r="E330"/>
  <c r="F330" s="1"/>
  <c r="G330" s="1"/>
  <c r="A331"/>
  <c r="E331"/>
  <c r="F331" s="1"/>
  <c r="G331" s="1"/>
  <c r="A332"/>
  <c r="E332"/>
  <c r="F332" s="1"/>
  <c r="G332" s="1"/>
  <c r="A333"/>
  <c r="B333"/>
  <c r="E333"/>
  <c r="F333"/>
  <c r="G333" s="1"/>
  <c r="A334"/>
  <c r="E334"/>
  <c r="B334" s="1"/>
  <c r="C334" s="1"/>
  <c r="A335"/>
  <c r="B335"/>
  <c r="C335" s="1"/>
  <c r="D335" s="1"/>
  <c r="E335"/>
  <c r="F335"/>
  <c r="G335" s="1"/>
  <c r="A336"/>
  <c r="E336"/>
  <c r="B336" s="1"/>
  <c r="C336" s="1"/>
  <c r="D336" s="1"/>
  <c r="A337"/>
  <c r="B337"/>
  <c r="E337"/>
  <c r="F337"/>
  <c r="G337" s="1"/>
  <c r="B342"/>
  <c r="A345"/>
  <c r="E345"/>
  <c r="A346"/>
  <c r="E346"/>
  <c r="F346" s="1"/>
  <c r="A347"/>
  <c r="E347"/>
  <c r="F347" s="1"/>
  <c r="G347" s="1"/>
  <c r="A348"/>
  <c r="E348"/>
  <c r="F348" s="1"/>
  <c r="G348" s="1"/>
  <c r="A349"/>
  <c r="E349"/>
  <c r="F349" s="1"/>
  <c r="G349" s="1"/>
  <c r="A350"/>
  <c r="E350"/>
  <c r="B350" s="1"/>
  <c r="A351"/>
  <c r="E351"/>
  <c r="B351" s="1"/>
  <c r="A352"/>
  <c r="E352"/>
  <c r="B352" s="1"/>
  <c r="C352" s="1"/>
  <c r="D352" s="1"/>
  <c r="A353"/>
  <c r="E353"/>
  <c r="B353" s="1"/>
  <c r="A354"/>
  <c r="E354"/>
  <c r="B354" s="1"/>
  <c r="C354" s="1"/>
  <c r="D354" s="1"/>
  <c r="A362"/>
  <c r="E362"/>
  <c r="A363"/>
  <c r="E363"/>
  <c r="F363"/>
  <c r="G363" s="1"/>
  <c r="A364"/>
  <c r="E364"/>
  <c r="F364" s="1"/>
  <c r="G364" s="1"/>
  <c r="A365"/>
  <c r="E365"/>
  <c r="F365" s="1"/>
  <c r="G365" s="1"/>
  <c r="A366"/>
  <c r="E366"/>
  <c r="A367"/>
  <c r="E367"/>
  <c r="B367" s="1"/>
  <c r="A368"/>
  <c r="E368"/>
  <c r="B368" s="1"/>
  <c r="C368" s="1"/>
  <c r="A369"/>
  <c r="E369"/>
  <c r="B369" s="1"/>
  <c r="A370"/>
  <c r="E370"/>
  <c r="B370" s="1"/>
  <c r="C370" s="1"/>
  <c r="D370" s="1"/>
  <c r="A371"/>
  <c r="E371"/>
  <c r="B371" s="1"/>
  <c r="A379"/>
  <c r="E379"/>
  <c r="A380"/>
  <c r="E380"/>
  <c r="F380" s="1"/>
  <c r="A381"/>
  <c r="E381"/>
  <c r="F381" s="1"/>
  <c r="G381" s="1"/>
  <c r="A382"/>
  <c r="E382"/>
  <c r="F382" s="1"/>
  <c r="G382" s="1"/>
  <c r="A383"/>
  <c r="E383"/>
  <c r="A384"/>
  <c r="E384"/>
  <c r="B384" s="1"/>
  <c r="A385"/>
  <c r="E385"/>
  <c r="B385" s="1"/>
  <c r="A386"/>
  <c r="E386"/>
  <c r="B386" s="1"/>
  <c r="C386" s="1"/>
  <c r="D386" s="1"/>
  <c r="A387"/>
  <c r="E387"/>
  <c r="B387" s="1"/>
  <c r="A388"/>
  <c r="E388"/>
  <c r="B388" s="1"/>
  <c r="C388" s="1"/>
  <c r="D388" s="1"/>
  <c r="B393"/>
  <c r="A396"/>
  <c r="E396"/>
  <c r="A397"/>
  <c r="E397"/>
  <c r="F397" s="1"/>
  <c r="A398"/>
  <c r="E398"/>
  <c r="F398" s="1"/>
  <c r="G398" s="1"/>
  <c r="A399"/>
  <c r="E399"/>
  <c r="F399" s="1"/>
  <c r="G399" s="1"/>
  <c r="A400"/>
  <c r="E400"/>
  <c r="F400" s="1"/>
  <c r="G400" s="1"/>
  <c r="A401"/>
  <c r="E401"/>
  <c r="B401" s="1"/>
  <c r="A402"/>
  <c r="E402"/>
  <c r="B402" s="1"/>
  <c r="A403"/>
  <c r="E403"/>
  <c r="B403" s="1"/>
  <c r="C403" s="1"/>
  <c r="D403" s="1"/>
  <c r="A404"/>
  <c r="E404"/>
  <c r="B404" s="1"/>
  <c r="A405"/>
  <c r="E405"/>
  <c r="B405" s="1"/>
  <c r="C405" s="1"/>
  <c r="D405" s="1"/>
  <c r="B410"/>
  <c r="A413"/>
  <c r="E413"/>
  <c r="A414"/>
  <c r="E414"/>
  <c r="F414" s="1"/>
  <c r="A415"/>
  <c r="E415"/>
  <c r="F415" s="1"/>
  <c r="G415" s="1"/>
  <c r="A416"/>
  <c r="E416"/>
  <c r="F416" s="1"/>
  <c r="G416" s="1"/>
  <c r="A417"/>
  <c r="E417"/>
  <c r="F417" s="1"/>
  <c r="G417" s="1"/>
  <c r="A418"/>
  <c r="E418"/>
  <c r="B418" s="1"/>
  <c r="A419"/>
  <c r="E419"/>
  <c r="B419" s="1"/>
  <c r="A420"/>
  <c r="E420"/>
  <c r="B420" s="1"/>
  <c r="C420" s="1"/>
  <c r="D420" s="1"/>
  <c r="A421"/>
  <c r="E421"/>
  <c r="B421" s="1"/>
  <c r="A422"/>
  <c r="E422"/>
  <c r="B422" s="1"/>
  <c r="C422" s="1"/>
  <c r="D422" s="1"/>
  <c r="B427"/>
  <c r="A430"/>
  <c r="E430"/>
  <c r="A431"/>
  <c r="E431"/>
  <c r="F431" s="1"/>
  <c r="A432"/>
  <c r="E432"/>
  <c r="F432" s="1"/>
  <c r="G432" s="1"/>
  <c r="A433"/>
  <c r="E433"/>
  <c r="F433" s="1"/>
  <c r="G433" s="1"/>
  <c r="A434"/>
  <c r="E434"/>
  <c r="F434" s="1"/>
  <c r="G434" s="1"/>
  <c r="A435"/>
  <c r="E435"/>
  <c r="B435" s="1"/>
  <c r="A436"/>
  <c r="E436"/>
  <c r="B436" s="1"/>
  <c r="A437"/>
  <c r="E437"/>
  <c r="B437" s="1"/>
  <c r="C437" s="1"/>
  <c r="D437" s="1"/>
  <c r="A438"/>
  <c r="E438"/>
  <c r="B438" s="1"/>
  <c r="A439"/>
  <c r="E439"/>
  <c r="B439" s="1"/>
  <c r="C439" s="1"/>
  <c r="D439" s="1"/>
  <c r="C10" i="5"/>
  <c r="D10"/>
  <c r="E10"/>
  <c r="F10"/>
  <c r="G10"/>
  <c r="H10"/>
  <c r="I10"/>
  <c r="J10"/>
  <c r="K10"/>
  <c r="L10"/>
  <c r="N10"/>
  <c r="C11"/>
  <c r="D11"/>
  <c r="E11"/>
  <c r="F11"/>
  <c r="G11"/>
  <c r="H11"/>
  <c r="I11"/>
  <c r="J11"/>
  <c r="K11"/>
  <c r="L11"/>
  <c r="M11" s="1"/>
  <c r="C12"/>
  <c r="D12"/>
  <c r="E12"/>
  <c r="F12"/>
  <c r="G12"/>
  <c r="H12"/>
  <c r="I12"/>
  <c r="J12"/>
  <c r="K12"/>
  <c r="L12"/>
  <c r="M12" s="1"/>
  <c r="C13"/>
  <c r="C6" s="1"/>
  <c r="D13"/>
  <c r="E13"/>
  <c r="E6" s="1"/>
  <c r="F13"/>
  <c r="G13"/>
  <c r="G6" s="1"/>
  <c r="H13"/>
  <c r="I13"/>
  <c r="J13"/>
  <c r="K13"/>
  <c r="L13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N22"/>
  <c r="M24"/>
  <c r="N24"/>
  <c r="C25"/>
  <c r="D25"/>
  <c r="E25"/>
  <c r="F25"/>
  <c r="G25"/>
  <c r="H25"/>
  <c r="I25"/>
  <c r="J25"/>
  <c r="K25"/>
  <c r="L25"/>
  <c r="N25" s="1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1"/>
  <c r="N41"/>
  <c r="M42"/>
  <c r="N42"/>
  <c r="F9" i="23"/>
  <c r="F10"/>
  <c r="E10" s="1"/>
  <c r="I10" s="1"/>
  <c r="H10" s="1"/>
  <c r="L10" s="1"/>
  <c r="K10" s="1"/>
  <c r="O10" s="1"/>
  <c r="N10" s="1"/>
  <c r="F11"/>
  <c r="E11" s="1"/>
  <c r="I11" s="1"/>
  <c r="H11" s="1"/>
  <c r="L11" s="1"/>
  <c r="K11" s="1"/>
  <c r="O11" s="1"/>
  <c r="N11" s="1"/>
  <c r="F12"/>
  <c r="E12" s="1"/>
  <c r="I12" s="1"/>
  <c r="H12" s="1"/>
  <c r="L12" s="1"/>
  <c r="K12" s="1"/>
  <c r="O12" s="1"/>
  <c r="N12" s="1"/>
  <c r="F13"/>
  <c r="E13" s="1"/>
  <c r="I13" s="1"/>
  <c r="H13" s="1"/>
  <c r="L13" s="1"/>
  <c r="K13" s="1"/>
  <c r="O13" s="1"/>
  <c r="N13" s="1"/>
  <c r="F14"/>
  <c r="E14" s="1"/>
  <c r="I14" s="1"/>
  <c r="H14" s="1"/>
  <c r="L14" s="1"/>
  <c r="K14" s="1"/>
  <c r="O14" s="1"/>
  <c r="N14" s="1"/>
  <c r="F15"/>
  <c r="E15" s="1"/>
  <c r="I15" s="1"/>
  <c r="H15" s="1"/>
  <c r="L15" s="1"/>
  <c r="K15" s="1"/>
  <c r="O15" s="1"/>
  <c r="N15" s="1"/>
  <c r="F17"/>
  <c r="E17" s="1"/>
  <c r="I17" s="1"/>
  <c r="H17" s="1"/>
  <c r="L17" s="1"/>
  <c r="K17" s="1"/>
  <c r="O17" s="1"/>
  <c r="N17" s="1"/>
  <c r="F16"/>
  <c r="E16" s="1"/>
  <c r="I16" s="1"/>
  <c r="H16" s="1"/>
  <c r="L16" s="1"/>
  <c r="K16" s="1"/>
  <c r="O16" s="1"/>
  <c r="N16" s="1"/>
  <c r="D18"/>
  <c r="G18"/>
  <c r="J18"/>
  <c r="M18"/>
  <c r="M7" s="1"/>
  <c r="P18"/>
  <c r="F19"/>
  <c r="E19" s="1"/>
  <c r="I19" s="1"/>
  <c r="F20"/>
  <c r="E20" s="1"/>
  <c r="I20" s="1"/>
  <c r="H20" s="1"/>
  <c r="L20" s="1"/>
  <c r="K20" s="1"/>
  <c r="O20" s="1"/>
  <c r="N20" s="1"/>
  <c r="F21"/>
  <c r="E21" s="1"/>
  <c r="I21" s="1"/>
  <c r="H21" s="1"/>
  <c r="L21" s="1"/>
  <c r="K21" s="1"/>
  <c r="O21" s="1"/>
  <c r="N21" s="1"/>
  <c r="D22"/>
  <c r="G22"/>
  <c r="J22"/>
  <c r="M22"/>
  <c r="P22"/>
  <c r="F23"/>
  <c r="E23" s="1"/>
  <c r="I23" s="1"/>
  <c r="F24"/>
  <c r="E24" s="1"/>
  <c r="I24" s="1"/>
  <c r="H24" s="1"/>
  <c r="L24" s="1"/>
  <c r="K24" s="1"/>
  <c r="O24" s="1"/>
  <c r="N24" s="1"/>
  <c r="F25"/>
  <c r="E25" s="1"/>
  <c r="I25" s="1"/>
  <c r="H25" s="1"/>
  <c r="L25" s="1"/>
  <c r="K25" s="1"/>
  <c r="O25" s="1"/>
  <c r="N25" s="1"/>
  <c r="D43"/>
  <c r="E44"/>
  <c r="H44" s="1"/>
  <c r="K44" s="1"/>
  <c r="E45"/>
  <c r="E47"/>
  <c r="E49"/>
  <c r="H49" s="1"/>
  <c r="K49" s="1"/>
  <c r="N49" s="1"/>
  <c r="E50"/>
  <c r="H50" s="1"/>
  <c r="K50" s="1"/>
  <c r="N50" s="1"/>
  <c r="H51"/>
  <c r="K51" s="1"/>
  <c r="N51" s="1"/>
  <c r="E48"/>
  <c r="H48" s="1"/>
  <c r="K48" s="1"/>
  <c r="N48" s="1"/>
  <c r="E52"/>
  <c r="H52" s="1"/>
  <c r="K52" s="1"/>
  <c r="N52" s="1"/>
  <c r="E53"/>
  <c r="K53" s="1"/>
  <c r="N53" s="1"/>
  <c r="H57"/>
  <c r="K57" s="1"/>
  <c r="N57" s="1"/>
  <c r="H60"/>
  <c r="K60" s="1"/>
  <c r="N60" s="1"/>
  <c r="H54"/>
  <c r="K54" s="1"/>
  <c r="N54" s="1"/>
  <c r="H55"/>
  <c r="K55" s="1"/>
  <c r="N55" s="1"/>
  <c r="H56"/>
  <c r="K56" s="1"/>
  <c r="N56" s="1"/>
  <c r="H58"/>
  <c r="K58" s="1"/>
  <c r="N58" s="1"/>
  <c r="H59"/>
  <c r="K59" s="1"/>
  <c r="N59" s="1"/>
  <c r="H62"/>
  <c r="K62" s="1"/>
  <c r="N62" s="1"/>
  <c r="H63"/>
  <c r="K63" s="1"/>
  <c r="N63" s="1"/>
  <c r="H61"/>
  <c r="K61" s="1"/>
  <c r="N61" s="1"/>
  <c r="E65"/>
  <c r="H65" s="1"/>
  <c r="H68"/>
  <c r="K68" s="1"/>
  <c r="N68" s="1"/>
  <c r="E67"/>
  <c r="H67" s="1"/>
  <c r="K67" s="1"/>
  <c r="N67" s="1"/>
  <c r="H69"/>
  <c r="K69" s="1"/>
  <c r="N69" s="1"/>
  <c r="E66"/>
  <c r="E71"/>
  <c r="K71"/>
  <c r="N71" s="1"/>
  <c r="H73"/>
  <c r="K73" s="1"/>
  <c r="N73" s="1"/>
  <c r="H74"/>
  <c r="K74" s="1"/>
  <c r="N74" s="1"/>
  <c r="O16" i="16" l="1"/>
  <c r="O37"/>
  <c r="P35"/>
  <c r="P32"/>
  <c r="N8"/>
  <c r="M11"/>
  <c r="N7"/>
  <c r="N6" s="1"/>
  <c r="N26"/>
  <c r="N23"/>
  <c r="N25"/>
  <c r="N24"/>
  <c r="N22"/>
  <c r="N19"/>
  <c r="N18" s="1"/>
  <c r="P17"/>
  <c r="O34"/>
  <c r="O33"/>
  <c r="O31"/>
  <c r="N9"/>
  <c r="M10"/>
  <c r="M6" s="1"/>
  <c r="M5" s="1"/>
  <c r="E9" i="23"/>
  <c r="I9" s="1"/>
  <c r="F8"/>
  <c r="F7" s="1"/>
  <c r="I8"/>
  <c r="I7" s="1"/>
  <c r="H66"/>
  <c r="E64"/>
  <c r="H47"/>
  <c r="E46"/>
  <c r="I31" i="16"/>
  <c r="I28"/>
  <c r="G15"/>
  <c r="G14"/>
  <c r="G12"/>
  <c r="G9"/>
  <c r="G11"/>
  <c r="G10"/>
  <c r="G8"/>
  <c r="G16"/>
  <c r="H37"/>
  <c r="H33"/>
  <c r="I38"/>
  <c r="H30"/>
  <c r="H29"/>
  <c r="H26"/>
  <c r="F383" i="6"/>
  <c r="G383" s="1"/>
  <c r="Z6" i="13"/>
  <c r="M26" i="21"/>
  <c r="Q9" i="26"/>
  <c r="N95" i="1"/>
  <c r="D42" i="23"/>
  <c r="G270" i="6"/>
  <c r="G236"/>
  <c r="I33" i="1"/>
  <c r="N35" i="26" s="1"/>
  <c r="E30"/>
  <c r="R108" i="1"/>
  <c r="Q108"/>
  <c r="P108"/>
  <c r="F23" i="26" s="1"/>
  <c r="Q106" i="1"/>
  <c r="O106"/>
  <c r="R106"/>
  <c r="P106"/>
  <c r="F21" i="26" s="1"/>
  <c r="Q109" i="1"/>
  <c r="R109"/>
  <c r="F24" i="26"/>
  <c r="O107" i="1"/>
  <c r="E22" i="26" s="1"/>
  <c r="R107" i="1"/>
  <c r="Q107"/>
  <c r="P107"/>
  <c r="I49"/>
  <c r="J49" s="1"/>
  <c r="F50" i="26" s="1"/>
  <c r="G50" s="1"/>
  <c r="I93" i="1"/>
  <c r="I128"/>
  <c r="G200" i="26"/>
  <c r="L34" i="27" s="1"/>
  <c r="Q200" i="26"/>
  <c r="L70" i="27" s="1"/>
  <c r="F17" i="16"/>
  <c r="G7"/>
  <c r="F6"/>
  <c r="D6"/>
  <c r="H25"/>
  <c r="F22"/>
  <c r="E17"/>
  <c r="C19" i="18"/>
  <c r="E163" i="26"/>
  <c r="F163" s="1"/>
  <c r="G163" s="1"/>
  <c r="H163" s="1"/>
  <c r="N163"/>
  <c r="E159"/>
  <c r="F159" s="1"/>
  <c r="G159" s="1"/>
  <c r="H159" s="1"/>
  <c r="N159"/>
  <c r="E155"/>
  <c r="F155" s="1"/>
  <c r="G155" s="1"/>
  <c r="H155" s="1"/>
  <c r="N155"/>
  <c r="N50"/>
  <c r="E164"/>
  <c r="F164" s="1"/>
  <c r="G164" s="1"/>
  <c r="H164" s="1"/>
  <c r="N164"/>
  <c r="E162"/>
  <c r="F162" s="1"/>
  <c r="G162" s="1"/>
  <c r="H162" s="1"/>
  <c r="N162"/>
  <c r="E160"/>
  <c r="F160" s="1"/>
  <c r="N160"/>
  <c r="E158"/>
  <c r="F158" s="1"/>
  <c r="G158" s="1"/>
  <c r="H158" s="1"/>
  <c r="N158"/>
  <c r="E156"/>
  <c r="F156" s="1"/>
  <c r="G156" s="1"/>
  <c r="H156" s="1"/>
  <c r="N156"/>
  <c r="E154"/>
  <c r="N154"/>
  <c r="E152"/>
  <c r="E199" s="1"/>
  <c r="F33" i="27" s="1"/>
  <c r="N152" i="26"/>
  <c r="E150"/>
  <c r="F150" s="1"/>
  <c r="G150" s="1"/>
  <c r="H150" s="1"/>
  <c r="N150"/>
  <c r="E148"/>
  <c r="F148" s="1"/>
  <c r="G148" s="1"/>
  <c r="H148" s="1"/>
  <c r="N148"/>
  <c r="E146"/>
  <c r="F146" s="1"/>
  <c r="G146" s="1"/>
  <c r="H146" s="1"/>
  <c r="N146"/>
  <c r="E144"/>
  <c r="F144" s="1"/>
  <c r="G144" s="1"/>
  <c r="H144" s="1"/>
  <c r="N144"/>
  <c r="E142"/>
  <c r="F142" s="1"/>
  <c r="G142" s="1"/>
  <c r="H142" s="1"/>
  <c r="N142"/>
  <c r="E139"/>
  <c r="F139" s="1"/>
  <c r="G139" s="1"/>
  <c r="H139" s="1"/>
  <c r="N139"/>
  <c r="E137"/>
  <c r="E222" s="1"/>
  <c r="N137"/>
  <c r="O36"/>
  <c r="P36"/>
  <c r="Q36"/>
  <c r="R36"/>
  <c r="O34"/>
  <c r="R34"/>
  <c r="P34"/>
  <c r="Q34"/>
  <c r="O31"/>
  <c r="R32"/>
  <c r="P32"/>
  <c r="Q32"/>
  <c r="Q31"/>
  <c r="R31"/>
  <c r="P31"/>
  <c r="O32"/>
  <c r="E165"/>
  <c r="F165" s="1"/>
  <c r="G165" s="1"/>
  <c r="H165" s="1"/>
  <c r="N165"/>
  <c r="E161"/>
  <c r="F161" s="1"/>
  <c r="G161" s="1"/>
  <c r="H161" s="1"/>
  <c r="N161"/>
  <c r="E157"/>
  <c r="E192" s="1"/>
  <c r="F26" i="27" s="1"/>
  <c r="N157" i="26"/>
  <c r="E153"/>
  <c r="F153" s="1"/>
  <c r="G153" s="1"/>
  <c r="H153" s="1"/>
  <c r="N153"/>
  <c r="E151"/>
  <c r="F151" s="1"/>
  <c r="G151" s="1"/>
  <c r="H151" s="1"/>
  <c r="N151"/>
  <c r="E149"/>
  <c r="F149" s="1"/>
  <c r="G149" s="1"/>
  <c r="H149" s="1"/>
  <c r="N149"/>
  <c r="E147"/>
  <c r="F147" s="1"/>
  <c r="G147" s="1"/>
  <c r="H147" s="1"/>
  <c r="N147"/>
  <c r="E145"/>
  <c r="E211" s="1"/>
  <c r="N145"/>
  <c r="E143"/>
  <c r="F143" s="1"/>
  <c r="G143" s="1"/>
  <c r="H143" s="1"/>
  <c r="N143"/>
  <c r="O140"/>
  <c r="P140"/>
  <c r="R141"/>
  <c r="O141"/>
  <c r="P141"/>
  <c r="R140"/>
  <c r="Q141"/>
  <c r="Q140"/>
  <c r="E138"/>
  <c r="E215" s="1"/>
  <c r="N138"/>
  <c r="E136"/>
  <c r="F136" s="1"/>
  <c r="N136"/>
  <c r="P42"/>
  <c r="Q42"/>
  <c r="R42"/>
  <c r="O37"/>
  <c r="R37"/>
  <c r="P37"/>
  <c r="Q37"/>
  <c r="O33"/>
  <c r="H18" i="13" s="1"/>
  <c r="R33" i="26"/>
  <c r="Q33"/>
  <c r="P18" i="13" s="1"/>
  <c r="P33" i="26"/>
  <c r="L18" i="13" s="1"/>
  <c r="R96" i="1"/>
  <c r="P96"/>
  <c r="F8" i="26"/>
  <c r="G48" i="16"/>
  <c r="E16" i="18" s="1"/>
  <c r="E141" i="26"/>
  <c r="F141" s="1"/>
  <c r="G141" s="1"/>
  <c r="H141" s="1"/>
  <c r="E140"/>
  <c r="F140" s="1"/>
  <c r="G140" s="1"/>
  <c r="H140" s="1"/>
  <c r="F422" i="6"/>
  <c r="G422" s="1"/>
  <c r="C421"/>
  <c r="D421" s="1"/>
  <c r="F420"/>
  <c r="G420" s="1"/>
  <c r="C419"/>
  <c r="F418"/>
  <c r="G418" s="1"/>
  <c r="G423"/>
  <c r="F388"/>
  <c r="G388" s="1"/>
  <c r="C387"/>
  <c r="D387" s="1"/>
  <c r="F386"/>
  <c r="G386" s="1"/>
  <c r="C385"/>
  <c r="F384"/>
  <c r="G384" s="1"/>
  <c r="G389"/>
  <c r="G372"/>
  <c r="O59" i="1"/>
  <c r="O60" s="1"/>
  <c r="N117"/>
  <c r="O117" s="1"/>
  <c r="E37" i="26" s="1"/>
  <c r="N115" i="1"/>
  <c r="O115" s="1"/>
  <c r="E35" i="26" s="1"/>
  <c r="N122" i="1"/>
  <c r="P122" s="1"/>
  <c r="F42" i="26" s="1"/>
  <c r="H45" i="1"/>
  <c r="F366" i="6"/>
  <c r="G366" s="1"/>
  <c r="R113" i="1"/>
  <c r="H33" i="26" s="1"/>
  <c r="H177" s="1"/>
  <c r="O11" i="27" s="1"/>
  <c r="R117" i="1"/>
  <c r="H37" i="26" s="1"/>
  <c r="H22"/>
  <c r="N114" i="1"/>
  <c r="O114" s="1"/>
  <c r="E34" i="26" s="1"/>
  <c r="P113" i="1"/>
  <c r="F33" i="26" s="1"/>
  <c r="F177" s="1"/>
  <c r="I11" i="27" s="1"/>
  <c r="F22" i="26"/>
  <c r="H21"/>
  <c r="I179" i="1"/>
  <c r="N127" s="1"/>
  <c r="Q125"/>
  <c r="G45" i="26" s="1"/>
  <c r="Q123" i="1"/>
  <c r="G43" i="26" s="1"/>
  <c r="Q122" i="1"/>
  <c r="G42" i="26" s="1"/>
  <c r="R120" i="1"/>
  <c r="H40" i="26" s="1"/>
  <c r="Q113" i="1"/>
  <c r="G33" i="26" s="1"/>
  <c r="G177" s="1"/>
  <c r="L11" i="27" s="1"/>
  <c r="R111" i="1"/>
  <c r="R99"/>
  <c r="H9" i="26" s="1"/>
  <c r="P120" i="1"/>
  <c r="F40" i="26" s="1"/>
  <c r="Q119" i="1"/>
  <c r="G39" i="26" s="1"/>
  <c r="P111" i="1"/>
  <c r="R103"/>
  <c r="H13" i="26" s="1"/>
  <c r="I45" i="1"/>
  <c r="N11" i="5"/>
  <c r="C303" i="6"/>
  <c r="D303" s="1"/>
  <c r="C201"/>
  <c r="D201" s="1"/>
  <c r="E99" i="7"/>
  <c r="F99" s="1"/>
  <c r="E96"/>
  <c r="F96" s="1"/>
  <c r="E43" i="23"/>
  <c r="F18"/>
  <c r="E18" s="1"/>
  <c r="M25" i="5"/>
  <c r="L6"/>
  <c r="J6"/>
  <c r="H6"/>
  <c r="F6"/>
  <c r="D6"/>
  <c r="N12"/>
  <c r="M10"/>
  <c r="F439" i="6"/>
  <c r="G439" s="1"/>
  <c r="C438"/>
  <c r="D438" s="1"/>
  <c r="F437"/>
  <c r="G437" s="1"/>
  <c r="C436"/>
  <c r="F435"/>
  <c r="G435" s="1"/>
  <c r="G440"/>
  <c r="F405"/>
  <c r="G405" s="1"/>
  <c r="C404"/>
  <c r="D404" s="1"/>
  <c r="F403"/>
  <c r="G403" s="1"/>
  <c r="C402"/>
  <c r="F401"/>
  <c r="G401" s="1"/>
  <c r="G406"/>
  <c r="F370"/>
  <c r="G370" s="1"/>
  <c r="C369"/>
  <c r="D369" s="1"/>
  <c r="F368"/>
  <c r="G368" s="1"/>
  <c r="F354"/>
  <c r="G354" s="1"/>
  <c r="C353"/>
  <c r="D353" s="1"/>
  <c r="F352"/>
  <c r="G352" s="1"/>
  <c r="C351"/>
  <c r="F350"/>
  <c r="G350" s="1"/>
  <c r="G355"/>
  <c r="F320"/>
  <c r="G320" s="1"/>
  <c r="C319"/>
  <c r="D319" s="1"/>
  <c r="F318"/>
  <c r="G318" s="1"/>
  <c r="C317"/>
  <c r="F316"/>
  <c r="G316" s="1"/>
  <c r="G321"/>
  <c r="F286"/>
  <c r="G286" s="1"/>
  <c r="C285"/>
  <c r="D285" s="1"/>
  <c r="F284"/>
  <c r="G284" s="1"/>
  <c r="C283"/>
  <c r="F282"/>
  <c r="G282" s="1"/>
  <c r="G287"/>
  <c r="F252"/>
  <c r="G252" s="1"/>
  <c r="C251"/>
  <c r="D251" s="1"/>
  <c r="F250"/>
  <c r="G250" s="1"/>
  <c r="C249"/>
  <c r="F248"/>
  <c r="G248" s="1"/>
  <c r="G253"/>
  <c r="F218"/>
  <c r="G218" s="1"/>
  <c r="C217"/>
  <c r="D217" s="1"/>
  <c r="F216"/>
  <c r="G216" s="1"/>
  <c r="C215"/>
  <c r="F214"/>
  <c r="G214" s="1"/>
  <c r="G219"/>
  <c r="F184"/>
  <c r="G184" s="1"/>
  <c r="C183"/>
  <c r="D183" s="1"/>
  <c r="F182"/>
  <c r="G182" s="1"/>
  <c r="C181"/>
  <c r="F180"/>
  <c r="G180" s="1"/>
  <c r="G185"/>
  <c r="F150"/>
  <c r="G150" s="1"/>
  <c r="C149"/>
  <c r="D149" s="1"/>
  <c r="F148"/>
  <c r="G148" s="1"/>
  <c r="C147"/>
  <c r="F146"/>
  <c r="G146" s="1"/>
  <c r="G151"/>
  <c r="F116"/>
  <c r="G116" s="1"/>
  <c r="C115"/>
  <c r="D115" s="1"/>
  <c r="F114"/>
  <c r="G114" s="1"/>
  <c r="C113"/>
  <c r="F112"/>
  <c r="G112" s="1"/>
  <c r="G117"/>
  <c r="F82"/>
  <c r="G82" s="1"/>
  <c r="C81"/>
  <c r="D81" s="1"/>
  <c r="F80"/>
  <c r="G80" s="1"/>
  <c r="C79"/>
  <c r="F78"/>
  <c r="G78" s="1"/>
  <c r="G83"/>
  <c r="F48"/>
  <c r="G48" s="1"/>
  <c r="C47"/>
  <c r="D47" s="1"/>
  <c r="F46"/>
  <c r="G46" s="1"/>
  <c r="C45"/>
  <c r="F44"/>
  <c r="G44" s="1"/>
  <c r="G49"/>
  <c r="G189" i="7"/>
  <c r="I189" s="1"/>
  <c r="B187"/>
  <c r="D187" s="1"/>
  <c r="B185"/>
  <c r="D185" s="1"/>
  <c r="G183"/>
  <c r="I183" s="1"/>
  <c r="G181"/>
  <c r="I181" s="1"/>
  <c r="E148"/>
  <c r="F148" s="1"/>
  <c r="G148" s="1"/>
  <c r="E147"/>
  <c r="F147" s="1"/>
  <c r="G147" s="1"/>
  <c r="H147" s="1"/>
  <c r="J147" s="1"/>
  <c r="K147" s="1"/>
  <c r="E146"/>
  <c r="F146" s="1"/>
  <c r="G146" s="1"/>
  <c r="E145"/>
  <c r="F145" s="1"/>
  <c r="G145" s="1"/>
  <c r="H145" s="1"/>
  <c r="J145" s="1"/>
  <c r="K145" s="1"/>
  <c r="E144"/>
  <c r="F144" s="1"/>
  <c r="G144" s="1"/>
  <c r="E143"/>
  <c r="F143" s="1"/>
  <c r="G143" s="1"/>
  <c r="H143" s="1"/>
  <c r="J143" s="1"/>
  <c r="K143" s="1"/>
  <c r="E142"/>
  <c r="F142" s="1"/>
  <c r="G142" s="1"/>
  <c r="E141"/>
  <c r="F141" s="1"/>
  <c r="G141" s="1"/>
  <c r="H141" s="1"/>
  <c r="J141" s="1"/>
  <c r="K141" s="1"/>
  <c r="E140"/>
  <c r="F140" s="1"/>
  <c r="G140" s="1"/>
  <c r="E139"/>
  <c r="F139" s="1"/>
  <c r="G139" s="1"/>
  <c r="H139" s="1"/>
  <c r="J139" s="1"/>
  <c r="K139" s="1"/>
  <c r="E105"/>
  <c r="F105" s="1"/>
  <c r="E101"/>
  <c r="F101" s="1"/>
  <c r="E97"/>
  <c r="F97" s="1"/>
  <c r="H72"/>
  <c r="D54" s="1"/>
  <c r="H54" s="1"/>
  <c r="E220" s="1" a="1"/>
  <c r="E220" s="1"/>
  <c r="C57" i="8"/>
  <c r="C58" s="1"/>
  <c r="C19"/>
  <c r="C7"/>
  <c r="N6"/>
  <c r="L6"/>
  <c r="I130" i="1"/>
  <c r="J130" s="1"/>
  <c r="J128"/>
  <c r="I126"/>
  <c r="J126" s="1"/>
  <c r="I124"/>
  <c r="J124" s="1"/>
  <c r="I122"/>
  <c r="J122" s="1"/>
  <c r="I120"/>
  <c r="J120" s="1"/>
  <c r="I118"/>
  <c r="J118" s="1"/>
  <c r="I116"/>
  <c r="J116" s="1"/>
  <c r="I114"/>
  <c r="J114" s="1"/>
  <c r="I112"/>
  <c r="J112" s="1"/>
  <c r="I110"/>
  <c r="J110" s="1"/>
  <c r="I108"/>
  <c r="J108" s="1"/>
  <c r="I106"/>
  <c r="J106" s="1"/>
  <c r="I104"/>
  <c r="J104" s="1"/>
  <c r="I102"/>
  <c r="J102" s="1"/>
  <c r="I100"/>
  <c r="J100" s="1"/>
  <c r="I98"/>
  <c r="J98" s="1"/>
  <c r="I96"/>
  <c r="J96" s="1"/>
  <c r="I94"/>
  <c r="J94" s="1"/>
  <c r="I92"/>
  <c r="J92" s="1"/>
  <c r="I88"/>
  <c r="J88" s="1"/>
  <c r="I86"/>
  <c r="J86" s="1"/>
  <c r="C337" i="6"/>
  <c r="D337" s="1"/>
  <c r="C269"/>
  <c r="D269" s="1"/>
  <c r="C133"/>
  <c r="D133" s="1"/>
  <c r="M6" i="8"/>
  <c r="K6"/>
  <c r="I129" i="1"/>
  <c r="J129" s="1"/>
  <c r="I127"/>
  <c r="J127" s="1"/>
  <c r="I125"/>
  <c r="J125" s="1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J105" s="1"/>
  <c r="I103"/>
  <c r="J103" s="1"/>
  <c r="I101"/>
  <c r="J101" s="1"/>
  <c r="I99"/>
  <c r="J99" s="1"/>
  <c r="I97"/>
  <c r="J97" s="1"/>
  <c r="I95"/>
  <c r="J95" s="1"/>
  <c r="J93"/>
  <c r="I91"/>
  <c r="J91" s="1"/>
  <c r="I87"/>
  <c r="J87" s="1"/>
  <c r="I85"/>
  <c r="J85" s="1"/>
  <c r="P121"/>
  <c r="F41" i="26" s="1"/>
  <c r="N116" i="1"/>
  <c r="P116" s="1"/>
  <c r="F36" i="26" s="1"/>
  <c r="N112" i="1"/>
  <c r="R112" s="1"/>
  <c r="Q111"/>
  <c r="G24" i="26"/>
  <c r="G23"/>
  <c r="R100" i="1"/>
  <c r="H10" i="26" s="1"/>
  <c r="R10" s="1"/>
  <c r="Q98" i="1"/>
  <c r="P97"/>
  <c r="F7" i="26" s="1"/>
  <c r="H23" i="16"/>
  <c r="R125" i="1"/>
  <c r="H45" i="26" s="1"/>
  <c r="R123" i="1"/>
  <c r="H43" i="26" s="1"/>
  <c r="Q120" i="1"/>
  <c r="G40" i="26" s="1"/>
  <c r="R119" i="1"/>
  <c r="H39" i="26" s="1"/>
  <c r="R118" i="1"/>
  <c r="H38" i="26" s="1"/>
  <c r="P114" i="1"/>
  <c r="F34" i="26" s="1"/>
  <c r="G22"/>
  <c r="N105" i="1"/>
  <c r="Q104"/>
  <c r="R102"/>
  <c r="H12" i="26" s="1"/>
  <c r="R101" i="1"/>
  <c r="H11" i="26" s="1"/>
  <c r="R11" s="1"/>
  <c r="R98" i="1"/>
  <c r="Q97"/>
  <c r="G7" i="26" s="1"/>
  <c r="Q96" i="1"/>
  <c r="E12" i="4"/>
  <c r="M57" i="1"/>
  <c r="E12" i="6"/>
  <c r="B12"/>
  <c r="J8" i="5"/>
  <c r="S11"/>
  <c r="S13"/>
  <c r="S25"/>
  <c r="M53" i="1"/>
  <c r="E8" i="6"/>
  <c r="F8" i="5"/>
  <c r="F9"/>
  <c r="K65" i="23"/>
  <c r="K43"/>
  <c r="N44"/>
  <c r="N43" s="1"/>
  <c r="H19"/>
  <c r="L19" s="1"/>
  <c r="I18"/>
  <c r="H18" s="1"/>
  <c r="H9"/>
  <c r="L9" s="1"/>
  <c r="L8" s="1"/>
  <c r="L7" s="1"/>
  <c r="M54" i="1"/>
  <c r="N54" s="1"/>
  <c r="G8" i="5"/>
  <c r="G9"/>
  <c r="E9" i="6"/>
  <c r="F9" s="1"/>
  <c r="G9" s="1"/>
  <c r="M52" i="1"/>
  <c r="E8" i="5"/>
  <c r="E9"/>
  <c r="E7" i="6"/>
  <c r="M50" i="1"/>
  <c r="N50" s="1"/>
  <c r="R50" s="1"/>
  <c r="C8" i="5"/>
  <c r="C9"/>
  <c r="E5" i="6"/>
  <c r="D419"/>
  <c r="C423"/>
  <c r="G414"/>
  <c r="D385"/>
  <c r="C389"/>
  <c r="G380"/>
  <c r="D334"/>
  <c r="C338"/>
  <c r="G329"/>
  <c r="D300"/>
  <c r="C304"/>
  <c r="G295"/>
  <c r="D266"/>
  <c r="C270"/>
  <c r="G261"/>
  <c r="D232"/>
  <c r="C236"/>
  <c r="G227"/>
  <c r="D198"/>
  <c r="C202"/>
  <c r="G193"/>
  <c r="D164"/>
  <c r="C168"/>
  <c r="G159"/>
  <c r="D130"/>
  <c r="C134"/>
  <c r="G125"/>
  <c r="D96"/>
  <c r="C100"/>
  <c r="G91"/>
  <c r="D62"/>
  <c r="C66"/>
  <c r="G57"/>
  <c r="D28"/>
  <c r="C32"/>
  <c r="G23"/>
  <c r="S12" i="5"/>
  <c r="Q12"/>
  <c r="I22" i="23"/>
  <c r="H22" s="1"/>
  <c r="H23"/>
  <c r="L23" s="1"/>
  <c r="D5" i="4"/>
  <c r="M59" i="1"/>
  <c r="E14" i="6"/>
  <c r="N6" i="5"/>
  <c r="B14" i="6"/>
  <c r="M6" i="5"/>
  <c r="U11"/>
  <c r="U13"/>
  <c r="U25"/>
  <c r="M55" i="1"/>
  <c r="E10" i="6"/>
  <c r="B10"/>
  <c r="H8" i="5"/>
  <c r="H9"/>
  <c r="Q11"/>
  <c r="Q13"/>
  <c r="Q25"/>
  <c r="M51" i="1"/>
  <c r="E6" i="6"/>
  <c r="D8" i="5"/>
  <c r="D9"/>
  <c r="D436" i="6"/>
  <c r="C440"/>
  <c r="G431"/>
  <c r="D402"/>
  <c r="C406"/>
  <c r="G397"/>
  <c r="C371"/>
  <c r="D371" s="1"/>
  <c r="D372"/>
  <c r="C372"/>
  <c r="D368"/>
  <c r="D351"/>
  <c r="C355"/>
  <c r="G346"/>
  <c r="D317"/>
  <c r="C321"/>
  <c r="G312"/>
  <c r="D283"/>
  <c r="C287"/>
  <c r="G278"/>
  <c r="D249"/>
  <c r="C253"/>
  <c r="G244"/>
  <c r="D215"/>
  <c r="C219"/>
  <c r="G210"/>
  <c r="D181"/>
  <c r="C185"/>
  <c r="G176"/>
  <c r="D147"/>
  <c r="C151"/>
  <c r="G142"/>
  <c r="D113"/>
  <c r="C117"/>
  <c r="G108"/>
  <c r="D79"/>
  <c r="C83"/>
  <c r="G74"/>
  <c r="D45"/>
  <c r="C49"/>
  <c r="G40"/>
  <c r="G149" i="7"/>
  <c r="S10" i="5"/>
  <c r="S6" s="1"/>
  <c r="Q10"/>
  <c r="Q6" s="1"/>
  <c r="O61" i="1"/>
  <c r="H43" i="23"/>
  <c r="F22"/>
  <c r="E22" s="1"/>
  <c r="K6" i="5"/>
  <c r="T13" s="1"/>
  <c r="I6"/>
  <c r="J189" i="7"/>
  <c r="J181"/>
  <c r="J17"/>
  <c r="P105" i="1"/>
  <c r="F13" i="4" s="1"/>
  <c r="D148" i="7"/>
  <c r="H148" s="1"/>
  <c r="J148" s="1"/>
  <c r="B190"/>
  <c r="D146"/>
  <c r="H146" s="1"/>
  <c r="J146" s="1"/>
  <c r="K146" s="1"/>
  <c r="B188"/>
  <c r="D144"/>
  <c r="H144" s="1"/>
  <c r="J144" s="1"/>
  <c r="K144" s="1"/>
  <c r="B186"/>
  <c r="D142"/>
  <c r="H142" s="1"/>
  <c r="J142" s="1"/>
  <c r="K142" s="1"/>
  <c r="B184"/>
  <c r="D140"/>
  <c r="H140" s="1"/>
  <c r="J140" s="1"/>
  <c r="K140" s="1"/>
  <c r="B182"/>
  <c r="E42" i="23"/>
  <c r="U12" i="5"/>
  <c r="U10"/>
  <c r="U6" s="1"/>
  <c r="D440" i="6"/>
  <c r="F438"/>
  <c r="G438" s="1"/>
  <c r="F436"/>
  <c r="G436" s="1"/>
  <c r="D423"/>
  <c r="F421"/>
  <c r="G421" s="1"/>
  <c r="F419"/>
  <c r="G419" s="1"/>
  <c r="D406"/>
  <c r="F404"/>
  <c r="G404" s="1"/>
  <c r="F402"/>
  <c r="G402" s="1"/>
  <c r="D389"/>
  <c r="F387"/>
  <c r="G387" s="1"/>
  <c r="F385"/>
  <c r="G385" s="1"/>
  <c r="F371"/>
  <c r="G371" s="1"/>
  <c r="F369"/>
  <c r="G369" s="1"/>
  <c r="F367"/>
  <c r="G367" s="1"/>
  <c r="D355"/>
  <c r="F353"/>
  <c r="G353" s="1"/>
  <c r="F351"/>
  <c r="G351" s="1"/>
  <c r="D338"/>
  <c r="F336"/>
  <c r="G336" s="1"/>
  <c r="F334"/>
  <c r="G334" s="1"/>
  <c r="D321"/>
  <c r="F319"/>
  <c r="G319" s="1"/>
  <c r="F317"/>
  <c r="G317" s="1"/>
  <c r="D304"/>
  <c r="F302"/>
  <c r="G302" s="1"/>
  <c r="F300"/>
  <c r="G300" s="1"/>
  <c r="D287"/>
  <c r="F285"/>
  <c r="G285" s="1"/>
  <c r="F283"/>
  <c r="G283" s="1"/>
  <c r="D270"/>
  <c r="F268"/>
  <c r="G268" s="1"/>
  <c r="F266"/>
  <c r="G266" s="1"/>
  <c r="D253"/>
  <c r="F251"/>
  <c r="G251" s="1"/>
  <c r="F249"/>
  <c r="G249" s="1"/>
  <c r="D236"/>
  <c r="F234"/>
  <c r="G234" s="1"/>
  <c r="F232"/>
  <c r="G232" s="1"/>
  <c r="D219"/>
  <c r="F217"/>
  <c r="G217" s="1"/>
  <c r="F215"/>
  <c r="G215" s="1"/>
  <c r="D202"/>
  <c r="F200"/>
  <c r="G200" s="1"/>
  <c r="F198"/>
  <c r="G198" s="1"/>
  <c r="D185"/>
  <c r="F183"/>
  <c r="G183" s="1"/>
  <c r="F181"/>
  <c r="G181" s="1"/>
  <c r="D168"/>
  <c r="F166"/>
  <c r="G166" s="1"/>
  <c r="F164"/>
  <c r="G164" s="1"/>
  <c r="D151"/>
  <c r="F149"/>
  <c r="G149" s="1"/>
  <c r="F147"/>
  <c r="G147" s="1"/>
  <c r="D134"/>
  <c r="F132"/>
  <c r="G132" s="1"/>
  <c r="F130"/>
  <c r="G130" s="1"/>
  <c r="D117"/>
  <c r="F115"/>
  <c r="G115" s="1"/>
  <c r="F113"/>
  <c r="G113" s="1"/>
  <c r="D100"/>
  <c r="F98"/>
  <c r="G98" s="1"/>
  <c r="F96"/>
  <c r="G96" s="1"/>
  <c r="D83"/>
  <c r="F81"/>
  <c r="G81" s="1"/>
  <c r="F79"/>
  <c r="G79" s="1"/>
  <c r="D66"/>
  <c r="F64"/>
  <c r="G64" s="1"/>
  <c r="F62"/>
  <c r="G62" s="1"/>
  <c r="D49"/>
  <c r="F47"/>
  <c r="G47" s="1"/>
  <c r="F45"/>
  <c r="G45" s="1"/>
  <c r="D32"/>
  <c r="F30"/>
  <c r="G30" s="1"/>
  <c r="F28"/>
  <c r="G28" s="1"/>
  <c r="E189" i="7"/>
  <c r="E185"/>
  <c r="J183"/>
  <c r="E181"/>
  <c r="F149"/>
  <c r="H96"/>
  <c r="H17"/>
  <c r="C6" i="8"/>
  <c r="D11" i="4" s="1"/>
  <c r="H47" i="16"/>
  <c r="F15" i="18" s="1"/>
  <c r="H46" i="16"/>
  <c r="F14" i="18" s="1"/>
  <c r="D106" i="7"/>
  <c r="D105"/>
  <c r="H105" s="1"/>
  <c r="E104"/>
  <c r="F104" s="1"/>
  <c r="D103"/>
  <c r="H103" s="1"/>
  <c r="E102"/>
  <c r="F102" s="1"/>
  <c r="D101"/>
  <c r="H101" s="1"/>
  <c r="E100"/>
  <c r="F100" s="1"/>
  <c r="D99"/>
  <c r="H99" s="1"/>
  <c r="E98"/>
  <c r="F98" s="1"/>
  <c r="F106" s="1"/>
  <c r="D97"/>
  <c r="H97" s="1"/>
  <c r="D71"/>
  <c r="H71" s="1"/>
  <c r="E237" s="1" a="1"/>
  <c r="E237" s="1"/>
  <c r="H6" i="4" s="1"/>
  <c r="D70" i="7"/>
  <c r="H70" s="1"/>
  <c r="E236" s="1" a="1"/>
  <c r="E236" s="1"/>
  <c r="D69"/>
  <c r="H69" s="1"/>
  <c r="E235" s="1" a="1"/>
  <c r="E235" s="1"/>
  <c r="D68"/>
  <c r="H68" s="1"/>
  <c r="E234" s="1" a="1"/>
  <c r="E234" s="1"/>
  <c r="D67"/>
  <c r="H67" s="1"/>
  <c r="E233" s="1" a="1"/>
  <c r="E233" s="1"/>
  <c r="D66"/>
  <c r="H66" s="1"/>
  <c r="E232" s="1" a="1"/>
  <c r="E232" s="1"/>
  <c r="G6" i="4" s="1"/>
  <c r="D65" i="7"/>
  <c r="H65" s="1"/>
  <c r="E231" s="1" a="1"/>
  <c r="E231" s="1"/>
  <c r="D64"/>
  <c r="H64" s="1"/>
  <c r="E230" s="1" a="1"/>
  <c r="E230" s="1"/>
  <c r="D63"/>
  <c r="H63" s="1"/>
  <c r="E229" s="1" a="1"/>
  <c r="E229" s="1"/>
  <c r="D62"/>
  <c r="H62" s="1"/>
  <c r="E228" s="1" a="1"/>
  <c r="E228" s="1"/>
  <c r="D61"/>
  <c r="H61" s="1"/>
  <c r="E227" s="1" a="1"/>
  <c r="E227" s="1"/>
  <c r="F6" i="4" s="1"/>
  <c r="D60" i="7"/>
  <c r="H60" s="1"/>
  <c r="E226" s="1" a="1"/>
  <c r="E226" s="1"/>
  <c r="D59"/>
  <c r="H59" s="1"/>
  <c r="E225" s="1" a="1"/>
  <c r="E225" s="1"/>
  <c r="D58"/>
  <c r="H58" s="1"/>
  <c r="E224" s="1" a="1"/>
  <c r="E224" s="1"/>
  <c r="D57"/>
  <c r="H57" s="1"/>
  <c r="E223" s="1" a="1"/>
  <c r="E223" s="1"/>
  <c r="D56"/>
  <c r="H56" s="1"/>
  <c r="E222" s="1" a="1"/>
  <c r="E222" s="1"/>
  <c r="E6" i="4" s="1"/>
  <c r="D55" i="7"/>
  <c r="H55" s="1"/>
  <c r="E221" s="1" a="1"/>
  <c r="E221" s="1"/>
  <c r="D43"/>
  <c r="H43" s="1"/>
  <c r="D237" s="1" a="1"/>
  <c r="D237" s="1"/>
  <c r="D42"/>
  <c r="H42" s="1"/>
  <c r="D236" s="1" a="1"/>
  <c r="D236" s="1"/>
  <c r="D41"/>
  <c r="H41" s="1"/>
  <c r="D235" s="1" a="1"/>
  <c r="D235" s="1"/>
  <c r="D40"/>
  <c r="H40" s="1"/>
  <c r="D234" s="1" a="1"/>
  <c r="D234" s="1"/>
  <c r="D39"/>
  <c r="H39" s="1"/>
  <c r="D233" s="1" a="1"/>
  <c r="D233" s="1"/>
  <c r="D38"/>
  <c r="H38" s="1"/>
  <c r="D232" s="1" a="1"/>
  <c r="D232" s="1"/>
  <c r="D37"/>
  <c r="H37" s="1"/>
  <c r="D231" s="1" a="1"/>
  <c r="D231" s="1"/>
  <c r="D36"/>
  <c r="H36" s="1"/>
  <c r="D230" s="1" a="1"/>
  <c r="D230" s="1"/>
  <c r="D35"/>
  <c r="H35" s="1"/>
  <c r="D229" s="1" a="1"/>
  <c r="D229" s="1"/>
  <c r="D34"/>
  <c r="H34" s="1"/>
  <c r="D228" s="1" a="1"/>
  <c r="D228" s="1"/>
  <c r="D33"/>
  <c r="H33" s="1"/>
  <c r="D227" s="1" a="1"/>
  <c r="D227" s="1"/>
  <c r="D32"/>
  <c r="H32" s="1"/>
  <c r="D226" s="1" a="1"/>
  <c r="D226" s="1"/>
  <c r="D31"/>
  <c r="H31" s="1"/>
  <c r="D225" s="1" a="1"/>
  <c r="D225" s="1"/>
  <c r="D30"/>
  <c r="H30" s="1"/>
  <c r="D224" s="1" a="1"/>
  <c r="D224" s="1"/>
  <c r="D29"/>
  <c r="H29" s="1"/>
  <c r="D223" s="1" a="1"/>
  <c r="D223" s="1"/>
  <c r="D28"/>
  <c r="H28" s="1"/>
  <c r="D222" s="1" a="1"/>
  <c r="D222" s="1"/>
  <c r="D27"/>
  <c r="H27" s="1"/>
  <c r="D221" s="1" a="1"/>
  <c r="D221" s="1"/>
  <c r="I84" i="1"/>
  <c r="J84" s="1"/>
  <c r="I83"/>
  <c r="J83" s="1"/>
  <c r="I82"/>
  <c r="J82" s="1"/>
  <c r="I81"/>
  <c r="J81" s="1"/>
  <c r="I80"/>
  <c r="J80" s="1"/>
  <c r="Q121"/>
  <c r="G41" i="26" s="1"/>
  <c r="I78" i="1"/>
  <c r="J78" s="1"/>
  <c r="I77"/>
  <c r="J77" s="1"/>
  <c r="I75"/>
  <c r="J75" s="1"/>
  <c r="I73"/>
  <c r="J73" s="1"/>
  <c r="I71"/>
  <c r="J71" s="1"/>
  <c r="I69"/>
  <c r="J69" s="1"/>
  <c r="H24" i="26"/>
  <c r="H23"/>
  <c r="I65" i="1"/>
  <c r="J65" s="1"/>
  <c r="G21" i="26"/>
  <c r="E21"/>
  <c r="I64" i="1"/>
  <c r="J64" s="1"/>
  <c r="R104"/>
  <c r="I62"/>
  <c r="J62" s="1"/>
  <c r="I61"/>
  <c r="J61" s="1"/>
  <c r="I60"/>
  <c r="J60" s="1"/>
  <c r="I59"/>
  <c r="J59" s="1"/>
  <c r="I58"/>
  <c r="J58" s="1"/>
  <c r="I57"/>
  <c r="J57" s="1"/>
  <c r="I51"/>
  <c r="J51" s="1"/>
  <c r="H45" i="16"/>
  <c r="H48"/>
  <c r="F16" i="18" s="1"/>
  <c r="I79" i="1"/>
  <c r="J79" s="1"/>
  <c r="I76"/>
  <c r="J76" s="1"/>
  <c r="I74"/>
  <c r="J74" s="1"/>
  <c r="I72"/>
  <c r="J72" s="1"/>
  <c r="I70"/>
  <c r="J70" s="1"/>
  <c r="I68"/>
  <c r="J68" s="1"/>
  <c r="I67"/>
  <c r="J67" s="1"/>
  <c r="I66"/>
  <c r="J66" s="1"/>
  <c r="I63"/>
  <c r="J63" s="1"/>
  <c r="I56"/>
  <c r="J56" s="1"/>
  <c r="I55"/>
  <c r="J55" s="1"/>
  <c r="I54"/>
  <c r="J54" s="1"/>
  <c r="I53"/>
  <c r="J53" s="1"/>
  <c r="I52"/>
  <c r="J52" s="1"/>
  <c r="I50"/>
  <c r="J50" s="1"/>
  <c r="P23" i="21"/>
  <c r="M23"/>
  <c r="H14" i="16"/>
  <c r="D19" i="18"/>
  <c r="F44" i="16"/>
  <c r="G36"/>
  <c r="H27"/>
  <c r="H8"/>
  <c r="H24"/>
  <c r="N21" l="1"/>
  <c r="P22"/>
  <c r="O15"/>
  <c r="P7"/>
  <c r="P20"/>
  <c r="O19"/>
  <c r="O18" s="1"/>
  <c r="P31"/>
  <c r="P34"/>
  <c r="P37"/>
  <c r="O9"/>
  <c r="O24"/>
  <c r="O23"/>
  <c r="O7"/>
  <c r="Q32"/>
  <c r="P29"/>
  <c r="P13"/>
  <c r="P30"/>
  <c r="P33"/>
  <c r="Q17"/>
  <c r="P16"/>
  <c r="O22"/>
  <c r="O25"/>
  <c r="O26"/>
  <c r="O8"/>
  <c r="O6" s="1"/>
  <c r="Q35"/>
  <c r="N5"/>
  <c r="K66" i="23"/>
  <c r="H64"/>
  <c r="K47"/>
  <c r="H46"/>
  <c r="O112" i="1"/>
  <c r="H16" i="16"/>
  <c r="H10"/>
  <c r="H11"/>
  <c r="H9"/>
  <c r="H12"/>
  <c r="H15"/>
  <c r="G6"/>
  <c r="H36"/>
  <c r="I33"/>
  <c r="I37"/>
  <c r="I25"/>
  <c r="I26"/>
  <c r="I29"/>
  <c r="I30"/>
  <c r="R13" i="26"/>
  <c r="I47" i="16" s="1"/>
  <c r="G15" i="18" s="1"/>
  <c r="R9" i="26"/>
  <c r="F6"/>
  <c r="F226" s="1"/>
  <c r="P95" i="1"/>
  <c r="G6" i="26"/>
  <c r="G226" s="1"/>
  <c r="Q95" i="1"/>
  <c r="J16" i="21"/>
  <c r="P8" i="26"/>
  <c r="J28" i="21" s="1"/>
  <c r="H28" s="1"/>
  <c r="H6" i="26"/>
  <c r="H226" s="1"/>
  <c r="R95" i="1"/>
  <c r="F152" i="26"/>
  <c r="F227" s="1"/>
  <c r="I45" i="16"/>
  <c r="F31" i="4"/>
  <c r="P228" i="26"/>
  <c r="H7" i="16"/>
  <c r="F6" i="6"/>
  <c r="F10"/>
  <c r="G10" s="1"/>
  <c r="E193" i="26"/>
  <c r="F27" i="27" s="1"/>
  <c r="F137" i="26"/>
  <c r="G137" s="1"/>
  <c r="H137" s="1"/>
  <c r="E227"/>
  <c r="E224" s="1"/>
  <c r="Q112" i="1"/>
  <c r="G32" i="26" s="1"/>
  <c r="Q114" i="1"/>
  <c r="G34" i="26" s="1"/>
  <c r="Q116" i="1"/>
  <c r="G36" i="26" s="1"/>
  <c r="Q115" i="1"/>
  <c r="G35" i="26" s="1"/>
  <c r="E179"/>
  <c r="F13" i="27" s="1"/>
  <c r="F145" i="26"/>
  <c r="G145" s="1"/>
  <c r="H145" s="1"/>
  <c r="E188"/>
  <c r="F22" i="27" s="1"/>
  <c r="Q35" i="26"/>
  <c r="W13" i="21" s="1"/>
  <c r="P35" i="26"/>
  <c r="P216" s="1"/>
  <c r="N46"/>
  <c r="O35"/>
  <c r="H37" i="13" s="1"/>
  <c r="R35" i="26"/>
  <c r="X13" i="21" s="1"/>
  <c r="N51" i="1"/>
  <c r="N55"/>
  <c r="E5" i="16"/>
  <c r="C11" i="18" s="1"/>
  <c r="G30" i="26"/>
  <c r="F30"/>
  <c r="H30"/>
  <c r="F138"/>
  <c r="G138" s="1"/>
  <c r="H138" s="1"/>
  <c r="F157"/>
  <c r="E221"/>
  <c r="E190"/>
  <c r="H20" i="13"/>
  <c r="E191" i="26"/>
  <c r="F25" i="27" s="1"/>
  <c r="F228" i="26"/>
  <c r="F154"/>
  <c r="G154" s="1"/>
  <c r="H154" s="1"/>
  <c r="E223"/>
  <c r="E220" s="1"/>
  <c r="P20" i="13"/>
  <c r="L37"/>
  <c r="H200" i="26"/>
  <c r="O34" i="27" s="1"/>
  <c r="R200" i="26"/>
  <c r="O70" i="27" s="1"/>
  <c r="G223" i="26"/>
  <c r="R122" i="1"/>
  <c r="H42" i="26" s="1"/>
  <c r="F202"/>
  <c r="L20" i="13"/>
  <c r="P37"/>
  <c r="F5" i="16"/>
  <c r="G17"/>
  <c r="G22"/>
  <c r="I23"/>
  <c r="P177" i="26"/>
  <c r="I47" i="27" s="1"/>
  <c r="R177" i="26"/>
  <c r="O47" i="27" s="1"/>
  <c r="T18" i="13"/>
  <c r="T20"/>
  <c r="T37"/>
  <c r="Q177" i="26"/>
  <c r="L47" i="27" s="1"/>
  <c r="F223" i="26"/>
  <c r="O177"/>
  <c r="F47" i="27" s="1"/>
  <c r="F12" i="4"/>
  <c r="F224" i="26"/>
  <c r="Q117" i="1"/>
  <c r="G37" i="26" s="1"/>
  <c r="G178" s="1"/>
  <c r="L12" i="27" s="1"/>
  <c r="P117" i="1"/>
  <c r="F37" i="26" s="1"/>
  <c r="F55"/>
  <c r="G55" s="1"/>
  <c r="N55"/>
  <c r="F67"/>
  <c r="G67" s="1"/>
  <c r="H67" s="1"/>
  <c r="N67"/>
  <c r="F73"/>
  <c r="G73" s="1"/>
  <c r="H73" s="1"/>
  <c r="N73"/>
  <c r="F58"/>
  <c r="G58" s="1"/>
  <c r="H58" s="1"/>
  <c r="N58"/>
  <c r="F62"/>
  <c r="G62" s="1"/>
  <c r="N62"/>
  <c r="F66"/>
  <c r="G66" s="1"/>
  <c r="H66" s="1"/>
  <c r="N66"/>
  <c r="F72"/>
  <c r="G72" s="1"/>
  <c r="N72"/>
  <c r="F76"/>
  <c r="G76" s="1"/>
  <c r="H76" s="1"/>
  <c r="N76"/>
  <c r="F81"/>
  <c r="G81" s="1"/>
  <c r="H81" s="1"/>
  <c r="N81"/>
  <c r="F85"/>
  <c r="G85" s="1"/>
  <c r="H85" s="1"/>
  <c r="N85"/>
  <c r="F94"/>
  <c r="G94" s="1"/>
  <c r="H94" s="1"/>
  <c r="N94"/>
  <c r="F102"/>
  <c r="G102" s="1"/>
  <c r="H102" s="1"/>
  <c r="N102"/>
  <c r="F110"/>
  <c r="G110" s="1"/>
  <c r="H110" s="1"/>
  <c r="N110"/>
  <c r="F118"/>
  <c r="G118" s="1"/>
  <c r="H118" s="1"/>
  <c r="N118"/>
  <c r="F126"/>
  <c r="G126" s="1"/>
  <c r="H126" s="1"/>
  <c r="N126"/>
  <c r="F87"/>
  <c r="G87" s="1"/>
  <c r="H87" s="1"/>
  <c r="N87"/>
  <c r="F97"/>
  <c r="G97" s="1"/>
  <c r="H97" s="1"/>
  <c r="N97"/>
  <c r="F105"/>
  <c r="G105" s="1"/>
  <c r="H105" s="1"/>
  <c r="N105"/>
  <c r="F113"/>
  <c r="G113" s="1"/>
  <c r="H113" s="1"/>
  <c r="N113"/>
  <c r="F117"/>
  <c r="G117" s="1"/>
  <c r="H117" s="1"/>
  <c r="N117"/>
  <c r="F121"/>
  <c r="G121" s="1"/>
  <c r="H121" s="1"/>
  <c r="N121"/>
  <c r="F129"/>
  <c r="G129" s="1"/>
  <c r="H129" s="1"/>
  <c r="N129"/>
  <c r="O136"/>
  <c r="R136"/>
  <c r="N166"/>
  <c r="P136"/>
  <c r="Q136"/>
  <c r="O138"/>
  <c r="R138"/>
  <c r="P138"/>
  <c r="Q138"/>
  <c r="O143"/>
  <c r="R143"/>
  <c r="Q143"/>
  <c r="P143"/>
  <c r="O145"/>
  <c r="P145"/>
  <c r="R145"/>
  <c r="Q145"/>
  <c r="O147"/>
  <c r="Q147"/>
  <c r="P22" i="13" s="1"/>
  <c r="R147" i="26"/>
  <c r="P147"/>
  <c r="L22" i="13" s="1"/>
  <c r="O149" i="26"/>
  <c r="P149"/>
  <c r="R149"/>
  <c r="Q149"/>
  <c r="O151"/>
  <c r="H17" i="13" s="1"/>
  <c r="R151" i="26"/>
  <c r="T17" i="13" s="1"/>
  <c r="Q151" i="26"/>
  <c r="P17" i="13" s="1"/>
  <c r="P151" i="26"/>
  <c r="L17" i="13" s="1"/>
  <c r="O153" i="26"/>
  <c r="P153"/>
  <c r="R153"/>
  <c r="Q153"/>
  <c r="O157"/>
  <c r="H49" i="13" s="1"/>
  <c r="P157" i="26"/>
  <c r="L49" i="13" s="1"/>
  <c r="R157" i="26"/>
  <c r="Q157"/>
  <c r="P49" i="13" s="1"/>
  <c r="O161" i="26"/>
  <c r="P161"/>
  <c r="R161"/>
  <c r="Q161"/>
  <c r="O165"/>
  <c r="P165"/>
  <c r="R165"/>
  <c r="Q165"/>
  <c r="R46"/>
  <c r="R176"/>
  <c r="O46" i="27" s="1"/>
  <c r="O176" i="26"/>
  <c r="O46"/>
  <c r="O186"/>
  <c r="F56" i="27" s="1"/>
  <c r="Q186" i="26"/>
  <c r="L56" i="27" s="1"/>
  <c r="F53" i="26"/>
  <c r="G53" s="1"/>
  <c r="H53" s="1"/>
  <c r="N53"/>
  <c r="F57"/>
  <c r="G57" s="1"/>
  <c r="H57" s="1"/>
  <c r="N57"/>
  <c r="F69"/>
  <c r="G69" s="1"/>
  <c r="H69" s="1"/>
  <c r="N69"/>
  <c r="F77"/>
  <c r="G77" s="1"/>
  <c r="H77" s="1"/>
  <c r="N77"/>
  <c r="F60"/>
  <c r="G60" s="1"/>
  <c r="H60" s="1"/>
  <c r="N60"/>
  <c r="F74"/>
  <c r="G74" s="1"/>
  <c r="H74" s="1"/>
  <c r="N74"/>
  <c r="F79"/>
  <c r="G79" s="1"/>
  <c r="H79" s="1"/>
  <c r="N79"/>
  <c r="F83"/>
  <c r="G83" s="1"/>
  <c r="H83" s="1"/>
  <c r="N83"/>
  <c r="F88"/>
  <c r="G88" s="1"/>
  <c r="H88" s="1"/>
  <c r="N88"/>
  <c r="F98"/>
  <c r="G98" s="1"/>
  <c r="H98" s="1"/>
  <c r="N98"/>
  <c r="F106"/>
  <c r="G106" s="1"/>
  <c r="H106" s="1"/>
  <c r="N106"/>
  <c r="F114"/>
  <c r="G114" s="1"/>
  <c r="N114"/>
  <c r="F122"/>
  <c r="G122" s="1"/>
  <c r="H122" s="1"/>
  <c r="N122"/>
  <c r="F130"/>
  <c r="G130" s="1"/>
  <c r="H130" s="1"/>
  <c r="N130"/>
  <c r="F93"/>
  <c r="G93" s="1"/>
  <c r="H93" s="1"/>
  <c r="N93"/>
  <c r="F101"/>
  <c r="G101" s="1"/>
  <c r="H101" s="1"/>
  <c r="N101"/>
  <c r="F109"/>
  <c r="G109" s="1"/>
  <c r="H109" s="1"/>
  <c r="N109"/>
  <c r="F125"/>
  <c r="G125" s="1"/>
  <c r="H125" s="1"/>
  <c r="N125"/>
  <c r="F51"/>
  <c r="G51" s="1"/>
  <c r="N51"/>
  <c r="F54"/>
  <c r="G54" s="1"/>
  <c r="H54" s="1"/>
  <c r="N54"/>
  <c r="F56"/>
  <c r="G56" s="1"/>
  <c r="H56" s="1"/>
  <c r="N56"/>
  <c r="F64"/>
  <c r="G64" s="1"/>
  <c r="H64" s="1"/>
  <c r="N64"/>
  <c r="F68"/>
  <c r="G68" s="1"/>
  <c r="H68" s="1"/>
  <c r="N68"/>
  <c r="F71"/>
  <c r="G71" s="1"/>
  <c r="H71" s="1"/>
  <c r="N71"/>
  <c r="F75"/>
  <c r="G75" s="1"/>
  <c r="H75" s="1"/>
  <c r="N75"/>
  <c r="F80"/>
  <c r="G80" s="1"/>
  <c r="H80" s="1"/>
  <c r="N80"/>
  <c r="F52"/>
  <c r="G52" s="1"/>
  <c r="N52"/>
  <c r="F59"/>
  <c r="G59" s="1"/>
  <c r="H59" s="1"/>
  <c r="N59"/>
  <c r="F61"/>
  <c r="G61" s="1"/>
  <c r="H61" s="1"/>
  <c r="N61"/>
  <c r="F63"/>
  <c r="G63" s="1"/>
  <c r="H63" s="1"/>
  <c r="N63"/>
  <c r="F65"/>
  <c r="G65" s="1"/>
  <c r="H65" s="1"/>
  <c r="N65"/>
  <c r="F70"/>
  <c r="G70" s="1"/>
  <c r="H70" s="1"/>
  <c r="N70"/>
  <c r="F78"/>
  <c r="G78" s="1"/>
  <c r="N78"/>
  <c r="F82"/>
  <c r="G82" s="1"/>
  <c r="N82"/>
  <c r="F84"/>
  <c r="G84" s="1"/>
  <c r="H84" s="1"/>
  <c r="N84"/>
  <c r="F86"/>
  <c r="G86" s="1"/>
  <c r="H86" s="1"/>
  <c r="N86"/>
  <c r="F92"/>
  <c r="G92" s="1"/>
  <c r="H92" s="1"/>
  <c r="N92"/>
  <c r="F96"/>
  <c r="G96" s="1"/>
  <c r="H96" s="1"/>
  <c r="N96"/>
  <c r="F100"/>
  <c r="G100" s="1"/>
  <c r="H100" s="1"/>
  <c r="N100"/>
  <c r="F104"/>
  <c r="N104"/>
  <c r="F108"/>
  <c r="G108" s="1"/>
  <c r="N108"/>
  <c r="F112"/>
  <c r="G112" s="1"/>
  <c r="H112" s="1"/>
  <c r="N112"/>
  <c r="F116"/>
  <c r="G116" s="1"/>
  <c r="H116" s="1"/>
  <c r="N116"/>
  <c r="F120"/>
  <c r="G120" s="1"/>
  <c r="H120" s="1"/>
  <c r="N120"/>
  <c r="F124"/>
  <c r="G124" s="1"/>
  <c r="H124" s="1"/>
  <c r="N124"/>
  <c r="F128"/>
  <c r="G128" s="1"/>
  <c r="H128" s="1"/>
  <c r="N128"/>
  <c r="F89"/>
  <c r="G89" s="1"/>
  <c r="H89" s="1"/>
  <c r="N89"/>
  <c r="F95"/>
  <c r="G95" s="1"/>
  <c r="H95" s="1"/>
  <c r="N95"/>
  <c r="F99"/>
  <c r="G99" s="1"/>
  <c r="H99" s="1"/>
  <c r="N99"/>
  <c r="F103"/>
  <c r="G103" s="1"/>
  <c r="H103" s="1"/>
  <c r="N103"/>
  <c r="F107"/>
  <c r="F174" s="1"/>
  <c r="I8" i="27" s="1"/>
  <c r="N107" i="26"/>
  <c r="F111"/>
  <c r="G111" s="1"/>
  <c r="H111" s="1"/>
  <c r="N111"/>
  <c r="F115"/>
  <c r="G115" s="1"/>
  <c r="H115" s="1"/>
  <c r="N115"/>
  <c r="F119"/>
  <c r="G119" s="1"/>
  <c r="H119" s="1"/>
  <c r="N119"/>
  <c r="F123"/>
  <c r="G123" s="1"/>
  <c r="H123" s="1"/>
  <c r="N123"/>
  <c r="F127"/>
  <c r="G127" s="1"/>
  <c r="H127" s="1"/>
  <c r="N127"/>
  <c r="F131"/>
  <c r="G131" s="1"/>
  <c r="H131" s="1"/>
  <c r="N131"/>
  <c r="P46"/>
  <c r="Q176"/>
  <c r="L46" i="27" s="1"/>
  <c r="Q46" i="26"/>
  <c r="Q216"/>
  <c r="R216"/>
  <c r="O137"/>
  <c r="P137"/>
  <c r="Q137"/>
  <c r="R137"/>
  <c r="O139"/>
  <c r="R139"/>
  <c r="P139"/>
  <c r="Q139"/>
  <c r="O142"/>
  <c r="P142"/>
  <c r="Q142"/>
  <c r="R142"/>
  <c r="O144"/>
  <c r="R144"/>
  <c r="P144"/>
  <c r="Q144"/>
  <c r="O146"/>
  <c r="R146"/>
  <c r="P146"/>
  <c r="Q146"/>
  <c r="O148"/>
  <c r="R148"/>
  <c r="P148"/>
  <c r="Q148"/>
  <c r="O150"/>
  <c r="P150"/>
  <c r="Q150"/>
  <c r="R150"/>
  <c r="O152"/>
  <c r="R152"/>
  <c r="X25" i="21" s="1"/>
  <c r="P152" i="26"/>
  <c r="Q152"/>
  <c r="W25" i="21" s="1"/>
  <c r="O154" i="26"/>
  <c r="U20" i="21" s="1"/>
  <c r="R154" i="26"/>
  <c r="P154"/>
  <c r="V20" i="21" s="1"/>
  <c r="Q154" i="26"/>
  <c r="W20" i="21" s="1"/>
  <c r="O156" i="26"/>
  <c r="P156"/>
  <c r="R156"/>
  <c r="Q156"/>
  <c r="O158"/>
  <c r="H50" i="13" s="1"/>
  <c r="P158" i="26"/>
  <c r="L50" i="13" s="1"/>
  <c r="Q158" i="26"/>
  <c r="P50" i="13" s="1"/>
  <c r="R158" i="26"/>
  <c r="T50" i="13" s="1"/>
  <c r="O160" i="26"/>
  <c r="R160"/>
  <c r="P160"/>
  <c r="Q160"/>
  <c r="O162"/>
  <c r="R162"/>
  <c r="P162"/>
  <c r="Q162"/>
  <c r="O164"/>
  <c r="P164"/>
  <c r="R164"/>
  <c r="Q164"/>
  <c r="P50"/>
  <c r="Q50"/>
  <c r="R50"/>
  <c r="O155"/>
  <c r="Q155"/>
  <c r="R155"/>
  <c r="P155"/>
  <c r="O159"/>
  <c r="R159"/>
  <c r="Q159"/>
  <c r="P159"/>
  <c r="O163"/>
  <c r="Q163"/>
  <c r="R163"/>
  <c r="P163"/>
  <c r="N110" i="1"/>
  <c r="P186" i="26"/>
  <c r="I56" i="27" s="1"/>
  <c r="R186" i="26"/>
  <c r="O56" i="27" s="1"/>
  <c r="R114" i="1"/>
  <c r="H34" i="26" s="1"/>
  <c r="P115" i="1"/>
  <c r="F35" i="26" s="1"/>
  <c r="R115" i="1"/>
  <c r="H35" i="26" s="1"/>
  <c r="H8"/>
  <c r="G8"/>
  <c r="E166"/>
  <c r="E185"/>
  <c r="F19" i="27" s="1"/>
  <c r="E217" i="26"/>
  <c r="E187"/>
  <c r="F21" i="27" s="1"/>
  <c r="H191" i="26"/>
  <c r="O25" i="27" s="1"/>
  <c r="G179" i="26"/>
  <c r="L13" i="27" s="1"/>
  <c r="H179" i="26"/>
  <c r="O13" i="27" s="1"/>
  <c r="H223" i="26"/>
  <c r="F222"/>
  <c r="G25"/>
  <c r="G31"/>
  <c r="G15"/>
  <c r="Q15" s="1"/>
  <c r="G14"/>
  <c r="Q14" s="1"/>
  <c r="F197"/>
  <c r="I31" i="27" s="1"/>
  <c r="F16" i="26"/>
  <c r="G104"/>
  <c r="G107"/>
  <c r="H50"/>
  <c r="F166"/>
  <c r="G136"/>
  <c r="G160"/>
  <c r="G222" s="1"/>
  <c r="F193"/>
  <c r="I27" i="27" s="1"/>
  <c r="F188" i="26"/>
  <c r="I22" i="27" s="1"/>
  <c r="H15" i="26"/>
  <c r="R15" s="1"/>
  <c r="H14"/>
  <c r="R14" s="1"/>
  <c r="E25"/>
  <c r="E32"/>
  <c r="E186" s="1"/>
  <c r="E31"/>
  <c r="H32"/>
  <c r="H186" s="1"/>
  <c r="O20" i="27" s="1"/>
  <c r="H31" i="26"/>
  <c r="H25"/>
  <c r="G157"/>
  <c r="F192"/>
  <c r="I26" i="27" s="1"/>
  <c r="F199" i="26"/>
  <c r="I33" i="27" s="1"/>
  <c r="G152" i="26"/>
  <c r="G227" s="1"/>
  <c r="G224" s="1"/>
  <c r="F132"/>
  <c r="F25"/>
  <c r="H12" i="4"/>
  <c r="O105" i="1"/>
  <c r="E13" i="4" s="1"/>
  <c r="Q105" i="1"/>
  <c r="G13" i="4" s="1"/>
  <c r="D18"/>
  <c r="D24" s="1"/>
  <c r="D29" s="1"/>
  <c r="D30" s="1"/>
  <c r="P112" i="1"/>
  <c r="G12" i="4"/>
  <c r="R51" i="1"/>
  <c r="S51" s="1"/>
  <c r="R54"/>
  <c r="S54" s="1"/>
  <c r="R105"/>
  <c r="H13" i="4" s="1"/>
  <c r="O116" i="1"/>
  <c r="E36" i="26" s="1"/>
  <c r="E178" s="1"/>
  <c r="F12" i="27" s="1"/>
  <c r="R116" i="1"/>
  <c r="H36" i="26" s="1"/>
  <c r="H185" i="7"/>
  <c r="J185" s="1"/>
  <c r="G185"/>
  <c r="I185" s="1"/>
  <c r="H187"/>
  <c r="J187" s="1"/>
  <c r="G187"/>
  <c r="I187" s="1"/>
  <c r="K148"/>
  <c r="K149" s="1"/>
  <c r="J149"/>
  <c r="I27" i="16"/>
  <c r="F5" i="4"/>
  <c r="H5"/>
  <c r="I46" i="16"/>
  <c r="G14" i="18" s="1"/>
  <c r="F181" i="7"/>
  <c r="K181"/>
  <c r="F185"/>
  <c r="K185"/>
  <c r="F189"/>
  <c r="K189"/>
  <c r="M56" i="1"/>
  <c r="N56" s="1"/>
  <c r="R56" s="1"/>
  <c r="S56" s="1"/>
  <c r="B11" i="6"/>
  <c r="C11" s="1"/>
  <c r="I8" i="5"/>
  <c r="I9"/>
  <c r="E11" i="6"/>
  <c r="F11" s="1"/>
  <c r="G11" s="1"/>
  <c r="R10" i="5"/>
  <c r="R12"/>
  <c r="E8" i="23"/>
  <c r="E7" s="1"/>
  <c r="E6" s="1"/>
  <c r="J150" i="7"/>
  <c r="E150"/>
  <c r="G6" i="6"/>
  <c r="D15"/>
  <c r="G15"/>
  <c r="D6" i="4"/>
  <c r="D7" s="1"/>
  <c r="D8" s="1"/>
  <c r="D9" s="1"/>
  <c r="H8" i="23"/>
  <c r="H7" s="1"/>
  <c r="H6" s="1"/>
  <c r="L18"/>
  <c r="K18" s="1"/>
  <c r="K19"/>
  <c r="O19" s="1"/>
  <c r="H104" i="7"/>
  <c r="F372" i="6"/>
  <c r="J131" i="1"/>
  <c r="H102" i="7"/>
  <c r="H42" i="23"/>
  <c r="T25" i="5"/>
  <c r="F49" i="6"/>
  <c r="F83"/>
  <c r="F117"/>
  <c r="F151"/>
  <c r="F185"/>
  <c r="F219"/>
  <c r="F253"/>
  <c r="F287"/>
  <c r="F321"/>
  <c r="F355"/>
  <c r="F406"/>
  <c r="F440"/>
  <c r="R25" i="5"/>
  <c r="N52" i="1"/>
  <c r="N53"/>
  <c r="J9" i="5"/>
  <c r="C12" i="6"/>
  <c r="D12" s="1"/>
  <c r="I24" i="16"/>
  <c r="I8"/>
  <c r="I7"/>
  <c r="I14"/>
  <c r="I48"/>
  <c r="G16" i="18" s="1"/>
  <c r="P26" i="21"/>
  <c r="F13" i="18"/>
  <c r="E5" i="4"/>
  <c r="G5"/>
  <c r="G13" i="18"/>
  <c r="E182" i="7"/>
  <c r="D182"/>
  <c r="E183"/>
  <c r="E187"/>
  <c r="E184"/>
  <c r="D184"/>
  <c r="E186"/>
  <c r="D186"/>
  <c r="E188"/>
  <c r="D188"/>
  <c r="E190"/>
  <c r="D190"/>
  <c r="M58" i="1"/>
  <c r="N58" s="1"/>
  <c r="R58" s="1"/>
  <c r="S58" s="1"/>
  <c r="B13" i="6"/>
  <c r="C13" s="1"/>
  <c r="D13" s="1"/>
  <c r="K8" i="5"/>
  <c r="K9"/>
  <c r="E13" i="6"/>
  <c r="F13" s="1"/>
  <c r="G13" s="1"/>
  <c r="T10" i="5"/>
  <c r="T12"/>
  <c r="R55" i="1"/>
  <c r="K23" i="23"/>
  <c r="O23" s="1"/>
  <c r="L22"/>
  <c r="K22" s="1"/>
  <c r="K9"/>
  <c r="O9" s="1"/>
  <c r="O8" s="1"/>
  <c r="N65"/>
  <c r="H100" i="7"/>
  <c r="H98"/>
  <c r="R11" i="5"/>
  <c r="L9"/>
  <c r="R13"/>
  <c r="T11"/>
  <c r="F32" i="6"/>
  <c r="F66"/>
  <c r="F100"/>
  <c r="F134"/>
  <c r="F168"/>
  <c r="F202"/>
  <c r="F236"/>
  <c r="F270"/>
  <c r="F304"/>
  <c r="F338"/>
  <c r="F389"/>
  <c r="F423"/>
  <c r="F7"/>
  <c r="G7" s="1"/>
  <c r="F8"/>
  <c r="G8" s="1"/>
  <c r="F12"/>
  <c r="G12" s="1"/>
  <c r="H22" i="16" l="1"/>
  <c r="O21"/>
  <c r="F46" i="27"/>
  <c r="I36"/>
  <c r="I35" s="1"/>
  <c r="F201" i="26"/>
  <c r="F24" i="27"/>
  <c r="E189" i="26"/>
  <c r="O127" i="1"/>
  <c r="E16" i="4" s="1"/>
  <c r="P126" i="1"/>
  <c r="U9" i="21"/>
  <c r="Q7" i="16"/>
  <c r="Q22"/>
  <c r="Q13"/>
  <c r="Q34"/>
  <c r="Q31"/>
  <c r="Q16"/>
  <c r="P15"/>
  <c r="P8"/>
  <c r="P23"/>
  <c r="P24"/>
  <c r="O5"/>
  <c r="Q19"/>
  <c r="Q29"/>
  <c r="Q20"/>
  <c r="P19"/>
  <c r="P18" s="1"/>
  <c r="Q33"/>
  <c r="Q30"/>
  <c r="Q37"/>
  <c r="P26"/>
  <c r="P21" s="1"/>
  <c r="P25"/>
  <c r="P9"/>
  <c r="H6"/>
  <c r="P6"/>
  <c r="N66" i="23"/>
  <c r="N64" s="1"/>
  <c r="K64"/>
  <c r="K46"/>
  <c r="N47"/>
  <c r="N46" s="1"/>
  <c r="X20" i="21"/>
  <c r="P20" s="1"/>
  <c r="T53" i="13"/>
  <c r="X19" i="21"/>
  <c r="V19"/>
  <c r="U14"/>
  <c r="U8"/>
  <c r="U12"/>
  <c r="V13"/>
  <c r="J13" s="1"/>
  <c r="V25"/>
  <c r="J25" s="1"/>
  <c r="U25"/>
  <c r="G25" s="1"/>
  <c r="U18"/>
  <c r="G18" s="1"/>
  <c r="W19"/>
  <c r="U19"/>
  <c r="U13"/>
  <c r="G13" s="1"/>
  <c r="I15" i="16"/>
  <c r="I12"/>
  <c r="I9"/>
  <c r="I11"/>
  <c r="I10"/>
  <c r="I16"/>
  <c r="I36"/>
  <c r="R8" i="26"/>
  <c r="P28" i="21" s="1"/>
  <c r="N28" s="1"/>
  <c r="Q8" i="26"/>
  <c r="M28" i="21" s="1"/>
  <c r="K28" s="1"/>
  <c r="G186" i="26"/>
  <c r="L20" i="27" s="1"/>
  <c r="L58" i="13"/>
  <c r="J20" i="21"/>
  <c r="H58" i="13"/>
  <c r="G20" i="21"/>
  <c r="P58" i="13"/>
  <c r="M20" i="21"/>
  <c r="G9"/>
  <c r="P53" i="13"/>
  <c r="H53"/>
  <c r="G19" i="21"/>
  <c r="T71" i="13"/>
  <c r="T70" s="1"/>
  <c r="T60" s="1"/>
  <c r="L53"/>
  <c r="J19" i="21"/>
  <c r="G8"/>
  <c r="G12"/>
  <c r="F23" i="27"/>
  <c r="I28"/>
  <c r="H51" i="13"/>
  <c r="Q178" i="26"/>
  <c r="L48" i="27" s="1"/>
  <c r="G216" i="26"/>
  <c r="Q110" i="1"/>
  <c r="G14" i="4" s="1"/>
  <c r="G191" i="26"/>
  <c r="L25" i="27" s="1"/>
  <c r="G221" i="26"/>
  <c r="F180"/>
  <c r="I14" i="27" s="1"/>
  <c r="F191" i="26"/>
  <c r="I25" i="27" s="1"/>
  <c r="O216" i="26"/>
  <c r="T36" i="13"/>
  <c r="L36"/>
  <c r="H36"/>
  <c r="P36"/>
  <c r="H187" i="26"/>
  <c r="O21" i="27" s="1"/>
  <c r="F183" i="26"/>
  <c r="I17" i="27" s="1"/>
  <c r="F179" i="26"/>
  <c r="I13" i="27" s="1"/>
  <c r="P176" i="26"/>
  <c r="I46" i="27" s="1"/>
  <c r="H190" i="26"/>
  <c r="H178"/>
  <c r="O12" i="27" s="1"/>
  <c r="H106" i="7"/>
  <c r="G31" i="4"/>
  <c r="H31"/>
  <c r="F181" i="26"/>
  <c r="I15" i="27" s="1"/>
  <c r="F214" i="26"/>
  <c r="G202"/>
  <c r="R110" i="1"/>
  <c r="H14" i="4" s="1"/>
  <c r="O110" i="1"/>
  <c r="E14" i="4" s="1"/>
  <c r="E17" s="1"/>
  <c r="F221" i="26"/>
  <c r="F220" s="1"/>
  <c r="F217"/>
  <c r="F173"/>
  <c r="F185"/>
  <c r="I19" i="27" s="1"/>
  <c r="F184" i="26"/>
  <c r="I18" i="27" s="1"/>
  <c r="H41" i="13"/>
  <c r="H13"/>
  <c r="L34"/>
  <c r="H34"/>
  <c r="N132" i="26"/>
  <c r="F178"/>
  <c r="I12" i="27" s="1"/>
  <c r="Q202" i="26"/>
  <c r="H50" i="16"/>
  <c r="F18" i="18" s="1"/>
  <c r="H202" i="26"/>
  <c r="L71" i="13"/>
  <c r="H71"/>
  <c r="P110" i="1"/>
  <c r="F14" i="4" s="1"/>
  <c r="F190" i="26"/>
  <c r="F187"/>
  <c r="I21" i="27" s="1"/>
  <c r="F182" i="26"/>
  <c r="I16" i="27" s="1"/>
  <c r="F211" i="26"/>
  <c r="F216"/>
  <c r="L55" i="13"/>
  <c r="H55"/>
  <c r="H14"/>
  <c r="P34"/>
  <c r="H21"/>
  <c r="P71"/>
  <c r="O178" i="26"/>
  <c r="F48" i="27" s="1"/>
  <c r="H22" i="13"/>
  <c r="P202" i="26"/>
  <c r="P16"/>
  <c r="G50" i="16"/>
  <c r="P55" i="13"/>
  <c r="G5" i="16"/>
  <c r="I17"/>
  <c r="H17"/>
  <c r="H5" s="1"/>
  <c r="I6"/>
  <c r="I22"/>
  <c r="D11" i="18"/>
  <c r="G190" i="26"/>
  <c r="P178"/>
  <c r="I48" i="27" s="1"/>
  <c r="G217" i="26"/>
  <c r="Q223"/>
  <c r="P57" i="13"/>
  <c r="R223" i="26"/>
  <c r="T58" i="13"/>
  <c r="R192" i="26"/>
  <c r="O62" i="27" s="1"/>
  <c r="T49" i="13"/>
  <c r="R178" i="26"/>
  <c r="O48" i="27" s="1"/>
  <c r="T22" i="13"/>
  <c r="T55"/>
  <c r="P223" i="26"/>
  <c r="L57" i="13"/>
  <c r="Q192" i="26"/>
  <c r="L62" i="27" s="1"/>
  <c r="P192" i="26"/>
  <c r="I62" i="27" s="1"/>
  <c r="T34" i="13"/>
  <c r="H217" i="26"/>
  <c r="G187"/>
  <c r="L21" i="27" s="1"/>
  <c r="O223" i="26"/>
  <c r="G188"/>
  <c r="L22" i="27" s="1"/>
  <c r="O192" i="26"/>
  <c r="F62" i="27" s="1"/>
  <c r="H39" i="13"/>
  <c r="G220" i="26"/>
  <c r="G197"/>
  <c r="L31" i="27" s="1"/>
  <c r="H198" i="26"/>
  <c r="O32" i="27" s="1"/>
  <c r="R198" i="26"/>
  <c r="O68" i="27" s="1"/>
  <c r="Q197" i="26"/>
  <c r="H197"/>
  <c r="G198"/>
  <c r="L32" i="27" s="1"/>
  <c r="F215" i="26"/>
  <c r="F213"/>
  <c r="O212"/>
  <c r="Q227"/>
  <c r="Q199"/>
  <c r="R227"/>
  <c r="R199"/>
  <c r="R222"/>
  <c r="R191"/>
  <c r="O61" i="27" s="1"/>
  <c r="P222" i="26"/>
  <c r="P191"/>
  <c r="I61" i="27" s="1"/>
  <c r="P131" i="26"/>
  <c r="Q131"/>
  <c r="R131"/>
  <c r="P127"/>
  <c r="V18" i="21" s="1"/>
  <c r="Q127" i="26"/>
  <c r="W18" i="21" s="1"/>
  <c r="R127" i="26"/>
  <c r="X18" i="21" s="1"/>
  <c r="P123" i="26"/>
  <c r="Q123"/>
  <c r="R123"/>
  <c r="P119"/>
  <c r="Q119"/>
  <c r="R119"/>
  <c r="P115"/>
  <c r="Q115"/>
  <c r="R115"/>
  <c r="P111"/>
  <c r="Q111"/>
  <c r="R111"/>
  <c r="P107"/>
  <c r="Q107"/>
  <c r="R107"/>
  <c r="P103"/>
  <c r="Q103"/>
  <c r="R103"/>
  <c r="P99"/>
  <c r="Q99"/>
  <c r="R99"/>
  <c r="P95"/>
  <c r="Q95"/>
  <c r="R95"/>
  <c r="P89"/>
  <c r="Q89"/>
  <c r="R89"/>
  <c r="P128"/>
  <c r="R128"/>
  <c r="Q128"/>
  <c r="P124"/>
  <c r="R124"/>
  <c r="Q124"/>
  <c r="P120"/>
  <c r="R120"/>
  <c r="Q120"/>
  <c r="P116"/>
  <c r="R116"/>
  <c r="Q116"/>
  <c r="P112"/>
  <c r="R112"/>
  <c r="Q112"/>
  <c r="P108"/>
  <c r="R108"/>
  <c r="Q108"/>
  <c r="P104"/>
  <c r="V9" i="21" s="1"/>
  <c r="R104" i="26"/>
  <c r="X9" i="21" s="1"/>
  <c r="Q104" i="26"/>
  <c r="W9" i="21" s="1"/>
  <c r="P100" i="26"/>
  <c r="R100"/>
  <c r="Q100"/>
  <c r="P96"/>
  <c r="R96"/>
  <c r="Q96"/>
  <c r="P92"/>
  <c r="R92"/>
  <c r="Q92"/>
  <c r="P86"/>
  <c r="R86"/>
  <c r="Q86"/>
  <c r="P84"/>
  <c r="R84"/>
  <c r="Q84"/>
  <c r="P82"/>
  <c r="R82"/>
  <c r="Q82"/>
  <c r="P78"/>
  <c r="R78"/>
  <c r="Q78"/>
  <c r="P70"/>
  <c r="R70"/>
  <c r="Q70"/>
  <c r="P65"/>
  <c r="Q65"/>
  <c r="R65"/>
  <c r="P63"/>
  <c r="Q63"/>
  <c r="R63"/>
  <c r="P61"/>
  <c r="Q61"/>
  <c r="R61"/>
  <c r="P59"/>
  <c r="Q59"/>
  <c r="R59"/>
  <c r="P52"/>
  <c r="Q52"/>
  <c r="R52"/>
  <c r="P80"/>
  <c r="R80"/>
  <c r="Q80"/>
  <c r="P75"/>
  <c r="Q75"/>
  <c r="R75"/>
  <c r="P71"/>
  <c r="Q71"/>
  <c r="R71"/>
  <c r="P68"/>
  <c r="R68"/>
  <c r="Q68"/>
  <c r="P64"/>
  <c r="R64"/>
  <c r="Q64"/>
  <c r="P56"/>
  <c r="R56"/>
  <c r="Q56"/>
  <c r="P54"/>
  <c r="Q54"/>
  <c r="R54"/>
  <c r="P51"/>
  <c r="Q51"/>
  <c r="R51"/>
  <c r="P125"/>
  <c r="Q125"/>
  <c r="R125"/>
  <c r="P109"/>
  <c r="Q109"/>
  <c r="R109"/>
  <c r="P101"/>
  <c r="Q101"/>
  <c r="R101"/>
  <c r="P93"/>
  <c r="Q93"/>
  <c r="R93"/>
  <c r="P130"/>
  <c r="R130"/>
  <c r="Q130"/>
  <c r="P122"/>
  <c r="L11" i="13" s="1"/>
  <c r="R122" i="26"/>
  <c r="Q122"/>
  <c r="P114"/>
  <c r="R114"/>
  <c r="Q114"/>
  <c r="P106"/>
  <c r="R106"/>
  <c r="Q106"/>
  <c r="P98"/>
  <c r="R98"/>
  <c r="Q98"/>
  <c r="P88"/>
  <c r="R88"/>
  <c r="Q88"/>
  <c r="P83"/>
  <c r="Q83"/>
  <c r="R83"/>
  <c r="P79"/>
  <c r="Q79"/>
  <c r="R79"/>
  <c r="P74"/>
  <c r="R74"/>
  <c r="Q74"/>
  <c r="P60"/>
  <c r="R60"/>
  <c r="Q60"/>
  <c r="P77"/>
  <c r="Q77"/>
  <c r="R77"/>
  <c r="P69"/>
  <c r="Q69"/>
  <c r="R69"/>
  <c r="P57"/>
  <c r="Q57"/>
  <c r="R57"/>
  <c r="P53"/>
  <c r="Q53"/>
  <c r="R53"/>
  <c r="O166"/>
  <c r="Q193"/>
  <c r="L63" i="27" s="1"/>
  <c r="R193" i="26"/>
  <c r="O63" i="27" s="1"/>
  <c r="O185" i="26"/>
  <c r="F55" i="27" s="1"/>
  <c r="Q179" i="26"/>
  <c r="L49" i="27" s="1"/>
  <c r="R179" i="26"/>
  <c r="O49" i="27" s="1"/>
  <c r="Q166" i="26"/>
  <c r="P227"/>
  <c r="P199"/>
  <c r="P194" s="1"/>
  <c r="O227"/>
  <c r="O199"/>
  <c r="O194" s="1"/>
  <c r="O190"/>
  <c r="O221"/>
  <c r="Q222"/>
  <c r="Q191"/>
  <c r="L61" i="27" s="1"/>
  <c r="O191" i="26"/>
  <c r="F61" i="27" s="1"/>
  <c r="O222" i="26"/>
  <c r="O187"/>
  <c r="F57" i="27" s="1"/>
  <c r="O217" i="26"/>
  <c r="O211"/>
  <c r="O188"/>
  <c r="F58" i="27" s="1"/>
  <c r="O215" i="26"/>
  <c r="O179"/>
  <c r="F49" i="27" s="1"/>
  <c r="P129" i="26"/>
  <c r="Q129"/>
  <c r="R129"/>
  <c r="P121"/>
  <c r="Q121"/>
  <c r="R121"/>
  <c r="P117"/>
  <c r="Q117"/>
  <c r="R117"/>
  <c r="P113"/>
  <c r="Q113"/>
  <c r="R113"/>
  <c r="P105"/>
  <c r="V14" i="21" s="1"/>
  <c r="Q105" i="26"/>
  <c r="W14" i="21" s="1"/>
  <c r="R105" i="26"/>
  <c r="X14" i="21" s="1"/>
  <c r="P97" i="26"/>
  <c r="Q97"/>
  <c r="R97"/>
  <c r="P87"/>
  <c r="Q87"/>
  <c r="R87"/>
  <c r="P126"/>
  <c r="R126"/>
  <c r="Q126"/>
  <c r="P118"/>
  <c r="R118"/>
  <c r="Q118"/>
  <c r="P110"/>
  <c r="R110"/>
  <c r="Q110"/>
  <c r="P102"/>
  <c r="R102"/>
  <c r="Q102"/>
  <c r="P94"/>
  <c r="R94"/>
  <c r="Q94"/>
  <c r="P85"/>
  <c r="Q85"/>
  <c r="R85"/>
  <c r="P81"/>
  <c r="Q81"/>
  <c r="R81"/>
  <c r="P76"/>
  <c r="R76"/>
  <c r="Q76"/>
  <c r="P72"/>
  <c r="R72"/>
  <c r="Q72"/>
  <c r="P66"/>
  <c r="R66"/>
  <c r="Q66"/>
  <c r="P62"/>
  <c r="R62"/>
  <c r="Q62"/>
  <c r="P58"/>
  <c r="R58"/>
  <c r="Q58"/>
  <c r="P73"/>
  <c r="Q73"/>
  <c r="R73"/>
  <c r="P67"/>
  <c r="Q67"/>
  <c r="R67"/>
  <c r="P55"/>
  <c r="R55"/>
  <c r="Q55"/>
  <c r="P193"/>
  <c r="I63" i="27" s="1"/>
  <c r="O193" i="26"/>
  <c r="F63" i="27" s="1"/>
  <c r="P179" i="26"/>
  <c r="I49" i="27" s="1"/>
  <c r="P166" i="26"/>
  <c r="R166"/>
  <c r="C6" i="18"/>
  <c r="U13" i="26"/>
  <c r="G46"/>
  <c r="E194"/>
  <c r="F20" i="27"/>
  <c r="F28" s="1"/>
  <c r="E216" i="26"/>
  <c r="H16"/>
  <c r="G16"/>
  <c r="G228"/>
  <c r="H228"/>
  <c r="H216"/>
  <c r="H176"/>
  <c r="O10" i="27" s="1"/>
  <c r="E212" i="26"/>
  <c r="E176"/>
  <c r="E172" s="1"/>
  <c r="E171" s="1"/>
  <c r="G176"/>
  <c r="L10" i="27" s="1"/>
  <c r="G212" i="26"/>
  <c r="H72"/>
  <c r="H214" s="1"/>
  <c r="G214"/>
  <c r="H52"/>
  <c r="G211"/>
  <c r="H51"/>
  <c r="G215"/>
  <c r="G213"/>
  <c r="G199"/>
  <c r="L33" i="27" s="1"/>
  <c r="H152" i="26"/>
  <c r="G184"/>
  <c r="L18" i="27" s="1"/>
  <c r="H114" i="26"/>
  <c r="H184" s="1"/>
  <c r="O18" i="27" s="1"/>
  <c r="E46" i="26"/>
  <c r="G183"/>
  <c r="L17" i="27" s="1"/>
  <c r="H62" i="26"/>
  <c r="H136"/>
  <c r="G166"/>
  <c r="H188"/>
  <c r="O22" i="27" s="1"/>
  <c r="F32" i="26"/>
  <c r="F186" s="1"/>
  <c r="I20" i="27" s="1"/>
  <c r="F31" i="26"/>
  <c r="H157"/>
  <c r="G192"/>
  <c r="L26" i="27" s="1"/>
  <c r="H160" i="26"/>
  <c r="G193"/>
  <c r="L27" i="27" s="1"/>
  <c r="G174" i="26"/>
  <c r="L8" i="27" s="1"/>
  <c r="H107" i="26"/>
  <c r="H174" s="1"/>
  <c r="O8" i="27" s="1"/>
  <c r="G173" i="26"/>
  <c r="H108"/>
  <c r="H173" s="1"/>
  <c r="G185"/>
  <c r="L19" i="27" s="1"/>
  <c r="H104" i="26"/>
  <c r="H185" s="1"/>
  <c r="O19" i="27" s="1"/>
  <c r="G180" i="26"/>
  <c r="L14" i="27" s="1"/>
  <c r="H82" i="26"/>
  <c r="H180" s="1"/>
  <c r="O14" i="27" s="1"/>
  <c r="G181" i="26"/>
  <c r="L15" i="27" s="1"/>
  <c r="H78" i="26"/>
  <c r="H181" s="1"/>
  <c r="O15" i="27" s="1"/>
  <c r="G182" i="26"/>
  <c r="L16" i="27" s="1"/>
  <c r="H55" i="26"/>
  <c r="H46"/>
  <c r="G132"/>
  <c r="P127" i="1"/>
  <c r="F16" i="4" s="1"/>
  <c r="R52" i="1"/>
  <c r="S52" s="1"/>
  <c r="R53"/>
  <c r="S53" s="1"/>
  <c r="N59"/>
  <c r="R59" s="1"/>
  <c r="S59" s="1"/>
  <c r="N57"/>
  <c r="R57" s="1"/>
  <c r="S57" s="1"/>
  <c r="G107" i="7"/>
  <c r="K107"/>
  <c r="K8" i="23"/>
  <c r="K7" s="1"/>
  <c r="K6" s="1"/>
  <c r="F190" i="7"/>
  <c r="F188"/>
  <c r="F186"/>
  <c r="F184"/>
  <c r="F183"/>
  <c r="K183"/>
  <c r="F182"/>
  <c r="M13" i="21"/>
  <c r="S50" i="1"/>
  <c r="D155" i="7"/>
  <c r="H155" s="1"/>
  <c r="G220" s="1" a="1"/>
  <c r="G220" s="1"/>
  <c r="D156"/>
  <c r="H156" s="1"/>
  <c r="G221" s="1" a="1"/>
  <c r="G221" s="1"/>
  <c r="D157"/>
  <c r="H157" s="1"/>
  <c r="G222" s="1" a="1"/>
  <c r="G222" s="1"/>
  <c r="D158"/>
  <c r="H158" s="1"/>
  <c r="G223" s="1" a="1"/>
  <c r="G223" s="1"/>
  <c r="D159"/>
  <c r="H159" s="1"/>
  <c r="G224" s="1" a="1"/>
  <c r="G224" s="1"/>
  <c r="D160"/>
  <c r="H160" s="1"/>
  <c r="G225" s="1" a="1"/>
  <c r="G225" s="1"/>
  <c r="D161"/>
  <c r="H161" s="1"/>
  <c r="G226" s="1" a="1"/>
  <c r="G226" s="1"/>
  <c r="D162"/>
  <c r="H162" s="1"/>
  <c r="G227" s="1" a="1"/>
  <c r="G227" s="1"/>
  <c r="D163"/>
  <c r="H163" s="1"/>
  <c r="G228" s="1" a="1"/>
  <c r="G228" s="1"/>
  <c r="D164"/>
  <c r="H164" s="1"/>
  <c r="G229" s="1" a="1"/>
  <c r="G229" s="1"/>
  <c r="D165"/>
  <c r="H165" s="1"/>
  <c r="G230" s="1" a="1"/>
  <c r="G230" s="1"/>
  <c r="D166"/>
  <c r="H166" s="1"/>
  <c r="G231" s="1" a="1"/>
  <c r="G231" s="1"/>
  <c r="D167"/>
  <c r="H167" s="1"/>
  <c r="G232" s="1" a="1"/>
  <c r="G232" s="1"/>
  <c r="D168"/>
  <c r="H168" s="1"/>
  <c r="G233" s="1" a="1"/>
  <c r="G233" s="1"/>
  <c r="D169"/>
  <c r="H169" s="1"/>
  <c r="G234" s="1" a="1"/>
  <c r="G234" s="1"/>
  <c r="D170"/>
  <c r="H170" s="1"/>
  <c r="G235" s="1" a="1"/>
  <c r="G235" s="1"/>
  <c r="D171"/>
  <c r="H171" s="1"/>
  <c r="G236" s="1" a="1"/>
  <c r="G236" s="1"/>
  <c r="D172"/>
  <c r="H172" s="1"/>
  <c r="G237" s="1" a="1"/>
  <c r="G237" s="1"/>
  <c r="O94" i="1"/>
  <c r="C14" i="6"/>
  <c r="D14" s="1"/>
  <c r="E191" i="7"/>
  <c r="N9" i="23"/>
  <c r="O22"/>
  <c r="N22" s="1"/>
  <c r="N23"/>
  <c r="S55" i="1"/>
  <c r="G190" i="7"/>
  <c r="I190" s="1"/>
  <c r="H190"/>
  <c r="G188"/>
  <c r="I188" s="1"/>
  <c r="H188"/>
  <c r="G186"/>
  <c r="I186" s="1"/>
  <c r="H186"/>
  <c r="G184"/>
  <c r="I184" s="1"/>
  <c r="H184"/>
  <c r="F187"/>
  <c r="K187"/>
  <c r="G182"/>
  <c r="I182" s="1"/>
  <c r="H182"/>
  <c r="D191"/>
  <c r="N126" i="1"/>
  <c r="O18" i="23"/>
  <c r="N18" s="1"/>
  <c r="N19"/>
  <c r="M25" i="21"/>
  <c r="D11" i="6"/>
  <c r="C15"/>
  <c r="T6" i="5"/>
  <c r="D10" i="4"/>
  <c r="F14" i="6"/>
  <c r="G14" s="1"/>
  <c r="R6" i="5"/>
  <c r="F191" i="7"/>
  <c r="O7" i="23" l="1"/>
  <c r="L67" i="27"/>
  <c r="O189" i="26"/>
  <c r="I72" i="27"/>
  <c r="I71" s="1"/>
  <c r="P201" i="26"/>
  <c r="L72" i="27"/>
  <c r="L71" s="1"/>
  <c r="Q201" i="26"/>
  <c r="O172"/>
  <c r="O171" s="1"/>
  <c r="H57" i="13"/>
  <c r="P52"/>
  <c r="O7" i="27"/>
  <c r="O31"/>
  <c r="L24"/>
  <c r="G189" i="26"/>
  <c r="I24" i="27"/>
  <c r="I23" s="1"/>
  <c r="F189" i="26"/>
  <c r="O36" i="27"/>
  <c r="O35" s="1"/>
  <c r="H201" i="26"/>
  <c r="L36" i="27"/>
  <c r="L35" s="1"/>
  <c r="G201" i="26"/>
  <c r="L7" i="27"/>
  <c r="G172" i="26"/>
  <c r="I7" i="27"/>
  <c r="O24"/>
  <c r="X8" i="21"/>
  <c r="V8"/>
  <c r="W10"/>
  <c r="V10"/>
  <c r="W11"/>
  <c r="W8"/>
  <c r="P5" i="16"/>
  <c r="Q9"/>
  <c r="Q25"/>
  <c r="Q26"/>
  <c r="Q15"/>
  <c r="Q6" s="1"/>
  <c r="Q24"/>
  <c r="Q23"/>
  <c r="Q21" s="1"/>
  <c r="Q8"/>
  <c r="Q18"/>
  <c r="F11" i="18"/>
  <c r="E11"/>
  <c r="K42" i="23"/>
  <c r="N42"/>
  <c r="V11" i="21"/>
  <c r="W12"/>
  <c r="X10"/>
  <c r="X11"/>
  <c r="X12"/>
  <c r="X7" s="1"/>
  <c r="V12"/>
  <c r="P14"/>
  <c r="M14"/>
  <c r="W7"/>
  <c r="J14"/>
  <c r="V7"/>
  <c r="G14"/>
  <c r="G7" s="1"/>
  <c r="U7"/>
  <c r="V17"/>
  <c r="J18"/>
  <c r="F42" i="27"/>
  <c r="J8" i="21"/>
  <c r="P21" i="13"/>
  <c r="L21"/>
  <c r="J9" i="21"/>
  <c r="P32" i="13"/>
  <c r="T51"/>
  <c r="X17" i="21"/>
  <c r="J10"/>
  <c r="J11"/>
  <c r="U17"/>
  <c r="L32" i="13"/>
  <c r="J12" i="21"/>
  <c r="P51" i="13"/>
  <c r="W17" i="21"/>
  <c r="L6" i="27"/>
  <c r="L28"/>
  <c r="L23"/>
  <c r="L51" i="13"/>
  <c r="P211" i="26"/>
  <c r="L52" i="13"/>
  <c r="P70"/>
  <c r="P60" s="1"/>
  <c r="L70"/>
  <c r="T52"/>
  <c r="T57"/>
  <c r="H52"/>
  <c r="H70"/>
  <c r="H30"/>
  <c r="E210" i="26"/>
  <c r="E209" s="1"/>
  <c r="E208" s="1"/>
  <c r="L41" i="13"/>
  <c r="H8"/>
  <c r="P41"/>
  <c r="P11"/>
  <c r="L13"/>
  <c r="P13"/>
  <c r="R202" i="26"/>
  <c r="I50" i="16"/>
  <c r="G18" i="18" s="1"/>
  <c r="M16" i="21"/>
  <c r="P10" i="13"/>
  <c r="L10"/>
  <c r="P31"/>
  <c r="L31"/>
  <c r="P14"/>
  <c r="L14"/>
  <c r="L24"/>
  <c r="L33"/>
  <c r="E18" i="18"/>
  <c r="E19" s="1"/>
  <c r="G44" i="16"/>
  <c r="P25" i="13"/>
  <c r="L25"/>
  <c r="P26"/>
  <c r="L26"/>
  <c r="P28"/>
  <c r="L28"/>
  <c r="P29"/>
  <c r="L29"/>
  <c r="P12"/>
  <c r="L12"/>
  <c r="P24"/>
  <c r="P33"/>
  <c r="I5" i="16"/>
  <c r="D5"/>
  <c r="T13" i="13"/>
  <c r="P9"/>
  <c r="L9"/>
  <c r="T9"/>
  <c r="T14"/>
  <c r="T11"/>
  <c r="T12"/>
  <c r="T10"/>
  <c r="T28"/>
  <c r="T29"/>
  <c r="T41"/>
  <c r="T25"/>
  <c r="T26"/>
  <c r="T24"/>
  <c r="Q212" i="26"/>
  <c r="M9" i="21" s="1"/>
  <c r="P15" i="13"/>
  <c r="P212" i="26"/>
  <c r="L15" i="13"/>
  <c r="Q174" i="26"/>
  <c r="L44" i="27" s="1"/>
  <c r="T31" i="13"/>
  <c r="R212" i="26"/>
  <c r="T21" i="13"/>
  <c r="R174" i="26"/>
  <c r="O44" i="27" s="1"/>
  <c r="T32" i="13"/>
  <c r="P174" i="26"/>
  <c r="I44" i="27" s="1"/>
  <c r="T33" i="13"/>
  <c r="P48"/>
  <c r="P47" s="1"/>
  <c r="T48"/>
  <c r="H48"/>
  <c r="H15"/>
  <c r="H183" i="26"/>
  <c r="O17" i="27" s="1"/>
  <c r="Q217" i="26"/>
  <c r="R217"/>
  <c r="P217"/>
  <c r="P188"/>
  <c r="I58" i="27" s="1"/>
  <c r="P132" i="26"/>
  <c r="Q198"/>
  <c r="L68" i="27" s="1"/>
  <c r="H49" i="16"/>
  <c r="R197" i="26"/>
  <c r="R228"/>
  <c r="R16"/>
  <c r="I49" i="16"/>
  <c r="Q228" i="26"/>
  <c r="Q16"/>
  <c r="M19" i="21"/>
  <c r="R214" i="26"/>
  <c r="Q188"/>
  <c r="L58" i="27" s="1"/>
  <c r="N60" i="1"/>
  <c r="R182" i="26"/>
  <c r="O52" i="27" s="1"/>
  <c r="R213" i="26"/>
  <c r="O220"/>
  <c r="U22" i="21"/>
  <c r="O224" i="26"/>
  <c r="P224"/>
  <c r="Q190"/>
  <c r="Q189" s="1"/>
  <c r="Q221"/>
  <c r="R224"/>
  <c r="Q224"/>
  <c r="R183"/>
  <c r="O53" i="27" s="1"/>
  <c r="R187" i="26"/>
  <c r="O57" i="27" s="1"/>
  <c r="R184" i="26"/>
  <c r="O54" i="27" s="1"/>
  <c r="R215" i="26"/>
  <c r="P215"/>
  <c r="R211"/>
  <c r="Q181"/>
  <c r="L51" i="27" s="1"/>
  <c r="P181" i="26"/>
  <c r="I51" i="27" s="1"/>
  <c r="R180" i="26"/>
  <c r="O50" i="27" s="1"/>
  <c r="R185" i="26"/>
  <c r="O55" i="27" s="1"/>
  <c r="Q173" i="26"/>
  <c r="P173"/>
  <c r="R188"/>
  <c r="O58" i="27" s="1"/>
  <c r="Q182" i="26"/>
  <c r="L52" i="27" s="1"/>
  <c r="Q213" i="26"/>
  <c r="P213"/>
  <c r="P182"/>
  <c r="I52" i="27" s="1"/>
  <c r="H7" i="13"/>
  <c r="O210" i="26"/>
  <c r="F60" i="27"/>
  <c r="F59" s="1"/>
  <c r="F69"/>
  <c r="F64" s="1"/>
  <c r="I69"/>
  <c r="R190" i="26"/>
  <c r="R189" s="1"/>
  <c r="R221"/>
  <c r="P190"/>
  <c r="P189" s="1"/>
  <c r="P221"/>
  <c r="O69" i="27"/>
  <c r="L69"/>
  <c r="Q183" i="26"/>
  <c r="L53" i="27" s="1"/>
  <c r="P183" i="26"/>
  <c r="I53" i="27" s="1"/>
  <c r="Q214" i="26"/>
  <c r="P214"/>
  <c r="Q187"/>
  <c r="L57" i="27" s="1"/>
  <c r="P187" i="26"/>
  <c r="I57" i="27" s="1"/>
  <c r="Q184" i="26"/>
  <c r="L54" i="27" s="1"/>
  <c r="P184" i="26"/>
  <c r="I54" i="27" s="1"/>
  <c r="Q215" i="26"/>
  <c r="Q211"/>
  <c r="R181"/>
  <c r="O51" i="27" s="1"/>
  <c r="Q180" i="26"/>
  <c r="L50" i="27" s="1"/>
  <c r="P180" i="26"/>
  <c r="I50" i="27" s="1"/>
  <c r="Q185" i="26"/>
  <c r="L55" i="27" s="1"/>
  <c r="P185" i="26"/>
  <c r="I55" i="27" s="1"/>
  <c r="R173" i="26"/>
  <c r="Q132"/>
  <c r="R132"/>
  <c r="F194"/>
  <c r="F212"/>
  <c r="F210" s="1"/>
  <c r="F209" s="1"/>
  <c r="F208" s="1"/>
  <c r="F10" i="27"/>
  <c r="F6" s="1"/>
  <c r="F5" s="1"/>
  <c r="H182" i="26"/>
  <c r="O16" i="27" s="1"/>
  <c r="O6" s="1"/>
  <c r="H213" i="26"/>
  <c r="H193"/>
  <c r="O27" i="27" s="1"/>
  <c r="H222" i="26"/>
  <c r="H192"/>
  <c r="O26" i="27" s="1"/>
  <c r="O23" s="1"/>
  <c r="H221" i="26"/>
  <c r="H220" s="1"/>
  <c r="H215"/>
  <c r="H211"/>
  <c r="H199"/>
  <c r="O33" i="27" s="1"/>
  <c r="O28" s="1"/>
  <c r="H227" i="26"/>
  <c r="H224" s="1"/>
  <c r="G210"/>
  <c r="G209" s="1"/>
  <c r="G208" s="1"/>
  <c r="H212"/>
  <c r="G194"/>
  <c r="H166"/>
  <c r="F176"/>
  <c r="F172" s="1"/>
  <c r="F46"/>
  <c r="H132"/>
  <c r="Q126" i="1"/>
  <c r="Q127"/>
  <c r="G16" i="4" s="1"/>
  <c r="F15" i="6"/>
  <c r="R61" i="1"/>
  <c r="N61"/>
  <c r="R60"/>
  <c r="S60" s="1"/>
  <c r="N94"/>
  <c r="M24" i="21"/>
  <c r="M22" s="1"/>
  <c r="W22"/>
  <c r="N8" i="23"/>
  <c r="N7" s="1"/>
  <c r="N6" s="1"/>
  <c r="H8" i="4"/>
  <c r="F8"/>
  <c r="P13" i="21"/>
  <c r="P25"/>
  <c r="P19"/>
  <c r="G192" i="7"/>
  <c r="G8" i="4"/>
  <c r="E8"/>
  <c r="D112" i="7"/>
  <c r="H112" s="1"/>
  <c r="F220" s="1" a="1"/>
  <c r="F220" s="1"/>
  <c r="J220" s="1"/>
  <c r="D113"/>
  <c r="H113" s="1"/>
  <c r="F221" s="1" a="1"/>
  <c r="F221" s="1"/>
  <c r="J221" s="1"/>
  <c r="D114"/>
  <c r="H114" s="1"/>
  <c r="F222" s="1" a="1"/>
  <c r="F222" s="1"/>
  <c r="D115"/>
  <c r="H115" s="1"/>
  <c r="F223" s="1" a="1"/>
  <c r="F223" s="1"/>
  <c r="J223" s="1"/>
  <c r="D116"/>
  <c r="H116" s="1"/>
  <c r="F224" s="1" a="1"/>
  <c r="F224" s="1"/>
  <c r="J224" s="1"/>
  <c r="D117"/>
  <c r="H117" s="1"/>
  <c r="F225" s="1" a="1"/>
  <c r="F225" s="1"/>
  <c r="J225" s="1"/>
  <c r="D118"/>
  <c r="H118" s="1"/>
  <c r="F226" s="1" a="1"/>
  <c r="F226" s="1"/>
  <c r="J226" s="1"/>
  <c r="D119"/>
  <c r="H119" s="1"/>
  <c r="F227" s="1" a="1"/>
  <c r="F227" s="1"/>
  <c r="D120"/>
  <c r="H120" s="1"/>
  <c r="F228" s="1" a="1"/>
  <c r="F228" s="1"/>
  <c r="J228" s="1"/>
  <c r="D121"/>
  <c r="H121" s="1"/>
  <c r="F229" s="1" a="1"/>
  <c r="F229" s="1"/>
  <c r="J229" s="1"/>
  <c r="D122"/>
  <c r="H122" s="1"/>
  <c r="F230" s="1" a="1"/>
  <c r="F230" s="1"/>
  <c r="J230" s="1"/>
  <c r="D123"/>
  <c r="H123" s="1"/>
  <c r="F231" s="1" a="1"/>
  <c r="F231" s="1"/>
  <c r="J231" s="1"/>
  <c r="D124"/>
  <c r="H124" s="1"/>
  <c r="F232" s="1" a="1"/>
  <c r="F232" s="1"/>
  <c r="D125"/>
  <c r="H125" s="1"/>
  <c r="F233" s="1" a="1"/>
  <c r="F233" s="1"/>
  <c r="J233" s="1"/>
  <c r="D126"/>
  <c r="H126" s="1"/>
  <c r="F234" s="1" a="1"/>
  <c r="F234" s="1"/>
  <c r="J234" s="1"/>
  <c r="D127"/>
  <c r="H127" s="1"/>
  <c r="F235" s="1" a="1"/>
  <c r="F235" s="1"/>
  <c r="J235" s="1"/>
  <c r="D128"/>
  <c r="H128" s="1"/>
  <c r="F236" s="1" a="1"/>
  <c r="F236" s="1"/>
  <c r="J236" s="1"/>
  <c r="D129"/>
  <c r="H129" s="1"/>
  <c r="F237" s="1" a="1"/>
  <c r="F237" s="1"/>
  <c r="J182"/>
  <c r="J184"/>
  <c r="K184" s="1"/>
  <c r="J186"/>
  <c r="K186" s="1"/>
  <c r="J188"/>
  <c r="K188" s="1"/>
  <c r="J190"/>
  <c r="K190" s="1"/>
  <c r="O43" i="27" l="1"/>
  <c r="R172" i="26"/>
  <c r="I43" i="27"/>
  <c r="P172" i="26"/>
  <c r="P171" s="1"/>
  <c r="O72" i="27"/>
  <c r="O71" s="1"/>
  <c r="R201" i="26"/>
  <c r="L43" i="27"/>
  <c r="Q172" i="26"/>
  <c r="Q171" s="1"/>
  <c r="O67" i="27"/>
  <c r="R194" i="26"/>
  <c r="Q194"/>
  <c r="F171"/>
  <c r="H189"/>
  <c r="G171"/>
  <c r="H194"/>
  <c r="H172"/>
  <c r="H171" s="1"/>
  <c r="Q5" i="16"/>
  <c r="G11" i="18"/>
  <c r="J7" i="21"/>
  <c r="U6"/>
  <c r="W6"/>
  <c r="L48" i="13"/>
  <c r="T47"/>
  <c r="J17" i="21"/>
  <c r="F41" i="27"/>
  <c r="H47" i="13"/>
  <c r="O42" i="27"/>
  <c r="I42"/>
  <c r="L47" i="13"/>
  <c r="H60"/>
  <c r="G22" i="21"/>
  <c r="L60" i="13"/>
  <c r="L42" i="27"/>
  <c r="O5"/>
  <c r="L5"/>
  <c r="T15" i="13"/>
  <c r="T39"/>
  <c r="P39"/>
  <c r="L39"/>
  <c r="P27"/>
  <c r="T8"/>
  <c r="P16" i="21"/>
  <c r="P10"/>
  <c r="L23" i="13"/>
  <c r="L30"/>
  <c r="T30"/>
  <c r="P30"/>
  <c r="T23"/>
  <c r="T27"/>
  <c r="L27"/>
  <c r="P23"/>
  <c r="P8"/>
  <c r="L8"/>
  <c r="M11" i="21"/>
  <c r="O209" i="26"/>
  <c r="O208" s="1"/>
  <c r="E34" i="4" s="1"/>
  <c r="G17" i="18"/>
  <c r="G19" s="1"/>
  <c r="I44" i="16"/>
  <c r="F17" i="18"/>
  <c r="F19" s="1"/>
  <c r="H44" i="16"/>
  <c r="M12" i="21"/>
  <c r="I60" i="27"/>
  <c r="I59" s="1"/>
  <c r="O60"/>
  <c r="O59" s="1"/>
  <c r="P210" i="26"/>
  <c r="L60" i="27"/>
  <c r="L59" s="1"/>
  <c r="G17" i="21"/>
  <c r="G6" s="1"/>
  <c r="G5" s="1"/>
  <c r="L64" i="27"/>
  <c r="O64"/>
  <c r="I64"/>
  <c r="H6" i="13"/>
  <c r="Q210" i="26"/>
  <c r="M8" i="21"/>
  <c r="P220" i="26"/>
  <c r="R220"/>
  <c r="M10" i="21"/>
  <c r="R210" i="26"/>
  <c r="Q220"/>
  <c r="J22" i="21"/>
  <c r="V22"/>
  <c r="V6" s="1"/>
  <c r="I10" i="27"/>
  <c r="I6" s="1"/>
  <c r="I5" s="1"/>
  <c r="H210" i="26"/>
  <c r="H209" s="1"/>
  <c r="H208" s="1"/>
  <c r="R126" i="1"/>
  <c r="H15" i="4" s="1"/>
  <c r="R127" i="1"/>
  <c r="H16" i="4" s="1"/>
  <c r="P9" i="21"/>
  <c r="S61" i="1"/>
  <c r="J191" i="7"/>
  <c r="K182"/>
  <c r="K191" s="1"/>
  <c r="H7" i="4"/>
  <c r="J237" i="7"/>
  <c r="F7" i="4"/>
  <c r="J227" i="7"/>
  <c r="P11" i="21"/>
  <c r="M18"/>
  <c r="M17" s="1"/>
  <c r="P24"/>
  <c r="P22" s="1"/>
  <c r="X22"/>
  <c r="X6" s="1"/>
  <c r="G7" i="4"/>
  <c r="J232" i="7"/>
  <c r="E7" i="4"/>
  <c r="J222" i="7"/>
  <c r="P12" i="21"/>
  <c r="P8"/>
  <c r="G15" i="4"/>
  <c r="G17" s="1"/>
  <c r="Q94" i="1"/>
  <c r="F15" i="4"/>
  <c r="F17" s="1"/>
  <c r="P94" i="1"/>
  <c r="R171" i="26" l="1"/>
  <c r="P7" i="21"/>
  <c r="M7"/>
  <c r="J6"/>
  <c r="J5" s="1"/>
  <c r="M6"/>
  <c r="M5" s="1"/>
  <c r="O41" i="27"/>
  <c r="L41"/>
  <c r="I41"/>
  <c r="T7" i="13"/>
  <c r="T6" s="1"/>
  <c r="P7"/>
  <c r="P6" s="1"/>
  <c r="L7"/>
  <c r="L6" s="1"/>
  <c r="H17" i="4"/>
  <c r="P209" i="26"/>
  <c r="P208" s="1"/>
  <c r="F34" i="4" s="1"/>
  <c r="R209" i="26"/>
  <c r="R208" s="1"/>
  <c r="H34" i="4" s="1"/>
  <c r="Q209" i="26"/>
  <c r="Q208" s="1"/>
  <c r="G34" i="4" s="1"/>
  <c r="R94" i="1"/>
  <c r="P18" i="21"/>
  <c r="P17" s="1"/>
  <c r="P6" s="1"/>
  <c r="P5" s="1"/>
  <c r="K194" i="7"/>
  <c r="H193"/>
  <c r="D198" l="1"/>
  <c r="H198" s="1"/>
  <c r="H220" s="1" a="1"/>
  <c r="H220" s="1"/>
  <c r="I220" s="1"/>
  <c r="D200"/>
  <c r="H200" s="1"/>
  <c r="H222" s="1" a="1"/>
  <c r="H222" s="1"/>
  <c r="D202"/>
  <c r="H202" s="1"/>
  <c r="H224" s="1" a="1"/>
  <c r="H224" s="1"/>
  <c r="I224" s="1"/>
  <c r="D204"/>
  <c r="H204" s="1"/>
  <c r="H226" s="1" a="1"/>
  <c r="H226" s="1"/>
  <c r="I226" s="1"/>
  <c r="D206"/>
  <c r="H206" s="1"/>
  <c r="H228" s="1" a="1"/>
  <c r="H228" s="1"/>
  <c r="I228" s="1"/>
  <c r="D208"/>
  <c r="H208" s="1"/>
  <c r="H230" s="1" a="1"/>
  <c r="H230" s="1"/>
  <c r="I230" s="1"/>
  <c r="D210"/>
  <c r="H210" s="1"/>
  <c r="H232" s="1" a="1"/>
  <c r="H232" s="1"/>
  <c r="D212"/>
  <c r="H212" s="1"/>
  <c r="H234" s="1" a="1"/>
  <c r="H234" s="1"/>
  <c r="I234" s="1"/>
  <c r="D214"/>
  <c r="H214" s="1"/>
  <c r="H236" s="1" a="1"/>
  <c r="H236" s="1"/>
  <c r="I236" s="1"/>
  <c r="D199"/>
  <c r="H199" s="1"/>
  <c r="H221" s="1" a="1"/>
  <c r="H221" s="1"/>
  <c r="I221" s="1"/>
  <c r="D201"/>
  <c r="H201" s="1"/>
  <c r="H223" s="1" a="1"/>
  <c r="H223" s="1"/>
  <c r="I223" s="1"/>
  <c r="D203"/>
  <c r="H203" s="1"/>
  <c r="H225" s="1" a="1"/>
  <c r="H225" s="1"/>
  <c r="I225" s="1"/>
  <c r="D205"/>
  <c r="H205" s="1"/>
  <c r="H227" s="1" a="1"/>
  <c r="H227" s="1"/>
  <c r="D207"/>
  <c r="H207" s="1"/>
  <c r="H229" s="1" a="1"/>
  <c r="H229" s="1"/>
  <c r="I229" s="1"/>
  <c r="D209"/>
  <c r="H209" s="1"/>
  <c r="H231" s="1" a="1"/>
  <c r="H231" s="1"/>
  <c r="I231" s="1"/>
  <c r="D211"/>
  <c r="H211" s="1"/>
  <c r="H233" s="1" a="1"/>
  <c r="H233" s="1"/>
  <c r="I233" s="1"/>
  <c r="D213"/>
  <c r="H213" s="1"/>
  <c r="H235" s="1" a="1"/>
  <c r="H235" s="1"/>
  <c r="I235" s="1"/>
  <c r="D215"/>
  <c r="H215" s="1"/>
  <c r="H237" s="1" a="1"/>
  <c r="H237" s="1"/>
  <c r="F9" i="4" l="1"/>
  <c r="F10" s="1"/>
  <c r="I227" i="7"/>
  <c r="G9" i="4"/>
  <c r="G10" s="1"/>
  <c r="I232" i="7"/>
  <c r="H9" i="4"/>
  <c r="H10" s="1"/>
  <c r="I237" i="7"/>
  <c r="E9" i="4"/>
  <c r="E10" s="1"/>
  <c r="I222" i="7"/>
  <c r="D42" i="8" l="1"/>
  <c r="D44"/>
  <c r="D46"/>
  <c r="D48"/>
  <c r="D55"/>
  <c r="D45"/>
  <c r="D50"/>
  <c r="D54"/>
  <c r="D40"/>
  <c r="D49"/>
  <c r="D51"/>
  <c r="D53"/>
  <c r="D56"/>
  <c r="D43"/>
  <c r="D47"/>
  <c r="D41"/>
  <c r="D52"/>
  <c r="D39" l="1"/>
  <c r="D57" s="1"/>
  <c r="D58" s="1"/>
  <c r="D7" l="1"/>
  <c r="D19" l="1"/>
  <c r="D6" s="1"/>
  <c r="E11" i="4" s="1"/>
  <c r="E18" s="1"/>
  <c r="E24" s="1"/>
  <c r="E74" i="27" s="1"/>
  <c r="E13" l="1"/>
  <c r="E29" i="4"/>
  <c r="E30" s="1"/>
  <c r="V13" i="26"/>
  <c r="E35" i="4"/>
  <c r="E32"/>
  <c r="E33"/>
  <c r="D6" i="18"/>
  <c r="E21" i="27" l="1"/>
  <c r="D21" s="1"/>
  <c r="E104" s="1"/>
  <c r="E22"/>
  <c r="D22" s="1"/>
  <c r="E105" s="1"/>
  <c r="E25"/>
  <c r="D25" s="1"/>
  <c r="E86" s="1"/>
  <c r="E27"/>
  <c r="D27" s="1"/>
  <c r="E10"/>
  <c r="D10" s="1"/>
  <c r="E8"/>
  <c r="D8" s="1"/>
  <c r="E36"/>
  <c r="E12"/>
  <c r="D12" s="1"/>
  <c r="E30"/>
  <c r="E32"/>
  <c r="E34"/>
  <c r="D34" s="1"/>
  <c r="E112" s="1"/>
  <c r="E15"/>
  <c r="D15" s="1"/>
  <c r="E98" s="1"/>
  <c r="E19"/>
  <c r="D19" s="1"/>
  <c r="E102" s="1"/>
  <c r="D32"/>
  <c r="E110" s="1"/>
  <c r="D30"/>
  <c r="E108" s="1"/>
  <c r="E17"/>
  <c r="D17" s="1"/>
  <c r="E100" s="1"/>
  <c r="E20"/>
  <c r="D20" s="1"/>
  <c r="E103" s="1"/>
  <c r="D13"/>
  <c r="E26"/>
  <c r="D26" s="1"/>
  <c r="E11"/>
  <c r="D11" s="1"/>
  <c r="E24"/>
  <c r="E7"/>
  <c r="E37"/>
  <c r="E9"/>
  <c r="D9" s="1"/>
  <c r="E29"/>
  <c r="E31"/>
  <c r="E33"/>
  <c r="E14"/>
  <c r="D14" s="1"/>
  <c r="E97" s="1"/>
  <c r="E16"/>
  <c r="D16" s="1"/>
  <c r="E99" s="1"/>
  <c r="E18"/>
  <c r="D18" s="1"/>
  <c r="E101" s="1"/>
  <c r="E23" l="1"/>
  <c r="E35"/>
  <c r="D36"/>
  <c r="E114" s="1"/>
  <c r="E6"/>
  <c r="D7"/>
  <c r="E75" s="1"/>
  <c r="F75" s="1"/>
  <c r="E92"/>
  <c r="E94"/>
  <c r="E96"/>
  <c r="E93"/>
  <c r="E87"/>
  <c r="E95"/>
  <c r="E91"/>
  <c r="E88"/>
  <c r="D24"/>
  <c r="D29"/>
  <c r="E28"/>
  <c r="D28" s="1"/>
  <c r="D31"/>
  <c r="E109" s="1"/>
  <c r="D33"/>
  <c r="E111" s="1"/>
  <c r="D37"/>
  <c r="E78" s="1"/>
  <c r="F78" s="1"/>
  <c r="G46" i="13" s="1"/>
  <c r="G45" s="1"/>
  <c r="G58" l="1"/>
  <c r="G44"/>
  <c r="G43" s="1"/>
  <c r="G42"/>
  <c r="G40"/>
  <c r="G37"/>
  <c r="G34"/>
  <c r="G32"/>
  <c r="G29"/>
  <c r="G26"/>
  <c r="G24"/>
  <c r="G21"/>
  <c r="G19"/>
  <c r="G17"/>
  <c r="G14"/>
  <c r="G12"/>
  <c r="G10"/>
  <c r="G9"/>
  <c r="G41"/>
  <c r="G38"/>
  <c r="G35"/>
  <c r="G33"/>
  <c r="G31"/>
  <c r="G28"/>
  <c r="G25"/>
  <c r="G22"/>
  <c r="G20"/>
  <c r="G18"/>
  <c r="G16"/>
  <c r="G15" s="1"/>
  <c r="G13"/>
  <c r="G11"/>
  <c r="E76" i="27"/>
  <c r="F76" s="1"/>
  <c r="F59" i="13" s="1"/>
  <c r="E54" i="27"/>
  <c r="E77"/>
  <c r="F77" s="1"/>
  <c r="E49"/>
  <c r="D49" s="1"/>
  <c r="D6"/>
  <c r="E62"/>
  <c r="D62" s="1"/>
  <c r="E60"/>
  <c r="E63"/>
  <c r="D63" s="1"/>
  <c r="E61"/>
  <c r="E43"/>
  <c r="E44"/>
  <c r="D44" s="1"/>
  <c r="D23"/>
  <c r="E72"/>
  <c r="E73"/>
  <c r="D73" s="1"/>
  <c r="D61"/>
  <c r="E58"/>
  <c r="D58" s="1"/>
  <c r="E55"/>
  <c r="D55" s="1"/>
  <c r="E51"/>
  <c r="D51" s="1"/>
  <c r="E47"/>
  <c r="D47" s="1"/>
  <c r="E57"/>
  <c r="D57" s="1"/>
  <c r="E53"/>
  <c r="D53" s="1"/>
  <c r="E45"/>
  <c r="D45" s="1"/>
  <c r="E48"/>
  <c r="D48" s="1"/>
  <c r="E52"/>
  <c r="D52" s="1"/>
  <c r="E56"/>
  <c r="D56" s="1"/>
  <c r="E46"/>
  <c r="D46" s="1"/>
  <c r="E50"/>
  <c r="D54"/>
  <c r="E107"/>
  <c r="E106" s="1"/>
  <c r="E90"/>
  <c r="E89" s="1"/>
  <c r="E115"/>
  <c r="E113" s="1"/>
  <c r="E85"/>
  <c r="E84" s="1"/>
  <c r="E56" i="8"/>
  <c r="E41"/>
  <c r="E54"/>
  <c r="E52"/>
  <c r="E46"/>
  <c r="E53"/>
  <c r="E44"/>
  <c r="E50"/>
  <c r="E48"/>
  <c r="E55"/>
  <c r="E40"/>
  <c r="E49"/>
  <c r="E42"/>
  <c r="E45"/>
  <c r="E47"/>
  <c r="E43"/>
  <c r="E51"/>
  <c r="G30" i="13" l="1"/>
  <c r="G27"/>
  <c r="G71"/>
  <c r="G70" s="1"/>
  <c r="G68"/>
  <c r="G65"/>
  <c r="G63"/>
  <c r="G62"/>
  <c r="G69"/>
  <c r="G67"/>
  <c r="G64"/>
  <c r="G56"/>
  <c r="G54"/>
  <c r="G51"/>
  <c r="G59"/>
  <c r="G57" s="1"/>
  <c r="G55"/>
  <c r="G53"/>
  <c r="G50"/>
  <c r="G49"/>
  <c r="G8"/>
  <c r="G36"/>
  <c r="G23"/>
  <c r="G39"/>
  <c r="D72" i="27"/>
  <c r="E71"/>
  <c r="D43"/>
  <c r="E42"/>
  <c r="E59"/>
  <c r="F33" i="21" s="1"/>
  <c r="F32" i="13"/>
  <c r="F38"/>
  <c r="F22"/>
  <c r="F42"/>
  <c r="D50" i="27"/>
  <c r="E79"/>
  <c r="F79" s="1"/>
  <c r="E65"/>
  <c r="E70"/>
  <c r="D70" s="1"/>
  <c r="E68"/>
  <c r="D68" s="1"/>
  <c r="E66"/>
  <c r="D66" s="1"/>
  <c r="E69"/>
  <c r="D69" s="1"/>
  <c r="E67"/>
  <c r="D67" s="1"/>
  <c r="D60"/>
  <c r="E83"/>
  <c r="E39" i="8"/>
  <c r="E57" s="1"/>
  <c r="E58" s="1"/>
  <c r="G7" i="13" l="1"/>
  <c r="G66"/>
  <c r="F32" i="21"/>
  <c r="D71" i="27"/>
  <c r="F35" i="21"/>
  <c r="F16" s="1"/>
  <c r="G35" s="1"/>
  <c r="G61" i="13"/>
  <c r="G60" s="1"/>
  <c r="F21" i="21"/>
  <c r="F18"/>
  <c r="G48" i="13"/>
  <c r="G52"/>
  <c r="F9" i="21"/>
  <c r="D59" i="27"/>
  <c r="F13" i="21"/>
  <c r="F11"/>
  <c r="F14"/>
  <c r="F12"/>
  <c r="F10"/>
  <c r="F8"/>
  <c r="E22" i="13"/>
  <c r="E32"/>
  <c r="E42"/>
  <c r="E38"/>
  <c r="D65" i="27"/>
  <c r="E64"/>
  <c r="F34" i="21" s="1"/>
  <c r="D42" i="27"/>
  <c r="E19" i="8"/>
  <c r="F37" i="21" l="1"/>
  <c r="G47" i="13"/>
  <c r="G6" s="1"/>
  <c r="F26" i="21"/>
  <c r="F23"/>
  <c r="F27"/>
  <c r="F25"/>
  <c r="F24"/>
  <c r="F15"/>
  <c r="F20"/>
  <c r="G32"/>
  <c r="D64" i="27"/>
  <c r="F19" i="21"/>
  <c r="E41" i="27"/>
  <c r="F30" i="21" s="1"/>
  <c r="E15" s="1"/>
  <c r="E7" i="8"/>
  <c r="E6" s="1"/>
  <c r="F11" i="4" s="1"/>
  <c r="F18" s="1"/>
  <c r="F24" s="1"/>
  <c r="G34" i="21" l="1"/>
  <c r="G33"/>
  <c r="E27"/>
  <c r="E24"/>
  <c r="F7"/>
  <c r="F17"/>
  <c r="E20"/>
  <c r="E26"/>
  <c r="E25"/>
  <c r="E19"/>
  <c r="E21"/>
  <c r="D41" i="27"/>
  <c r="H74"/>
  <c r="H13" s="1"/>
  <c r="F29" i="4"/>
  <c r="F30" s="1"/>
  <c r="W13" i="26"/>
  <c r="F33" i="4"/>
  <c r="F32"/>
  <c r="E6" i="18"/>
  <c r="F35" i="4"/>
  <c r="F22" i="21" l="1"/>
  <c r="G37" s="1"/>
  <c r="E23"/>
  <c r="E17"/>
  <c r="E18"/>
  <c r="E16"/>
  <c r="D35" i="27"/>
  <c r="E5"/>
  <c r="D5" s="1"/>
  <c r="H16"/>
  <c r="G16" s="1"/>
  <c r="F99" s="1"/>
  <c r="G13"/>
  <c r="F96" s="1"/>
  <c r="H26"/>
  <c r="G26" s="1"/>
  <c r="H24"/>
  <c r="H7"/>
  <c r="H37"/>
  <c r="G37" s="1"/>
  <c r="F115" s="1"/>
  <c r="H11"/>
  <c r="G11" s="1"/>
  <c r="H33"/>
  <c r="G33" s="1"/>
  <c r="F111" s="1"/>
  <c r="H21"/>
  <c r="G21" s="1"/>
  <c r="F104" s="1"/>
  <c r="H20"/>
  <c r="G20" s="1"/>
  <c r="F103" s="1"/>
  <c r="H25"/>
  <c r="G25" s="1"/>
  <c r="F86" s="1"/>
  <c r="H8"/>
  <c r="G8" s="1"/>
  <c r="H12"/>
  <c r="G12" s="1"/>
  <c r="H30"/>
  <c r="H34"/>
  <c r="H17"/>
  <c r="G17" s="1"/>
  <c r="F100" s="1"/>
  <c r="H9"/>
  <c r="G9" s="1"/>
  <c r="H29"/>
  <c r="H31"/>
  <c r="H14"/>
  <c r="G14" s="1"/>
  <c r="F97" s="1"/>
  <c r="H18"/>
  <c r="G18" s="1"/>
  <c r="F101" s="1"/>
  <c r="H22"/>
  <c r="G22" s="1"/>
  <c r="F105" s="1"/>
  <c r="H27"/>
  <c r="G27" s="1"/>
  <c r="H10"/>
  <c r="G10" s="1"/>
  <c r="H36"/>
  <c r="H35" s="1"/>
  <c r="G35" s="1"/>
  <c r="H32"/>
  <c r="H15"/>
  <c r="G15" s="1"/>
  <c r="F98" s="1"/>
  <c r="H19"/>
  <c r="G19" s="1"/>
  <c r="F102" s="1"/>
  <c r="G7"/>
  <c r="H75" l="1"/>
  <c r="J75" s="1"/>
  <c r="F6" i="21"/>
  <c r="E22"/>
  <c r="H28" i="27"/>
  <c r="G28" s="1"/>
  <c r="H23"/>
  <c r="G23" s="1"/>
  <c r="H6"/>
  <c r="H49"/>
  <c r="G29"/>
  <c r="G24"/>
  <c r="H76" s="1"/>
  <c r="F90"/>
  <c r="F88"/>
  <c r="F92"/>
  <c r="F95"/>
  <c r="F94"/>
  <c r="F87"/>
  <c r="F93"/>
  <c r="F91"/>
  <c r="G36"/>
  <c r="H78" s="1"/>
  <c r="G31"/>
  <c r="F109" s="1"/>
  <c r="G34"/>
  <c r="F112" s="1"/>
  <c r="G32"/>
  <c r="F110" s="1"/>
  <c r="G30"/>
  <c r="I75" l="1"/>
  <c r="I78"/>
  <c r="K46" i="13" s="1"/>
  <c r="J78" i="27"/>
  <c r="H60"/>
  <c r="I76"/>
  <c r="J59" i="13" s="1"/>
  <c r="J76" i="27"/>
  <c r="K41" i="13"/>
  <c r="K37"/>
  <c r="K34"/>
  <c r="K32"/>
  <c r="K29"/>
  <c r="K26"/>
  <c r="K24"/>
  <c r="K21"/>
  <c r="K19"/>
  <c r="K17"/>
  <c r="K14"/>
  <c r="K12"/>
  <c r="K10"/>
  <c r="K58"/>
  <c r="K44"/>
  <c r="K43" s="1"/>
  <c r="K42"/>
  <c r="K40"/>
  <c r="K38"/>
  <c r="K35"/>
  <c r="K33"/>
  <c r="K31"/>
  <c r="K30" s="1"/>
  <c r="K28"/>
  <c r="K25"/>
  <c r="K22"/>
  <c r="K20"/>
  <c r="K18"/>
  <c r="K16"/>
  <c r="K15" s="1"/>
  <c r="K13"/>
  <c r="K11"/>
  <c r="K9"/>
  <c r="F5" i="21"/>
  <c r="E5" s="1"/>
  <c r="H77" i="27"/>
  <c r="F85"/>
  <c r="F84" s="1"/>
  <c r="G6"/>
  <c r="H5"/>
  <c r="G5" s="1"/>
  <c r="H72"/>
  <c r="H73"/>
  <c r="G73" s="1"/>
  <c r="H62"/>
  <c r="G62" s="1"/>
  <c r="H63"/>
  <c r="G63" s="1"/>
  <c r="H61"/>
  <c r="G61" s="1"/>
  <c r="H57"/>
  <c r="G57" s="1"/>
  <c r="H56"/>
  <c r="G56" s="1"/>
  <c r="H52"/>
  <c r="G52" s="1"/>
  <c r="H48"/>
  <c r="G48" s="1"/>
  <c r="H44"/>
  <c r="G44" s="1"/>
  <c r="H58"/>
  <c r="G58" s="1"/>
  <c r="H54"/>
  <c r="G54" s="1"/>
  <c r="H50"/>
  <c r="G50" s="1"/>
  <c r="H46"/>
  <c r="G46" s="1"/>
  <c r="H45"/>
  <c r="G45" s="1"/>
  <c r="G49"/>
  <c r="H53"/>
  <c r="G53" s="1"/>
  <c r="H43"/>
  <c r="H47"/>
  <c r="G47" s="1"/>
  <c r="H51"/>
  <c r="G51" s="1"/>
  <c r="H55"/>
  <c r="G55" s="1"/>
  <c r="F107"/>
  <c r="F89"/>
  <c r="F108"/>
  <c r="F114"/>
  <c r="F113" s="1"/>
  <c r="F52" i="8"/>
  <c r="F43"/>
  <c r="F40"/>
  <c r="F49"/>
  <c r="F53"/>
  <c r="F50"/>
  <c r="F42"/>
  <c r="F55"/>
  <c r="F46"/>
  <c r="F54"/>
  <c r="F48"/>
  <c r="F47"/>
  <c r="F44"/>
  <c r="F45"/>
  <c r="F41"/>
  <c r="F51"/>
  <c r="F56"/>
  <c r="K8" i="13" l="1"/>
  <c r="K27"/>
  <c r="K36"/>
  <c r="J77" i="27"/>
  <c r="I77"/>
  <c r="K59" i="13"/>
  <c r="K55"/>
  <c r="K53"/>
  <c r="K51"/>
  <c r="K49"/>
  <c r="K56"/>
  <c r="K54"/>
  <c r="K50"/>
  <c r="K23"/>
  <c r="G72" i="27"/>
  <c r="H71"/>
  <c r="H59"/>
  <c r="I33" i="21" s="1"/>
  <c r="G43" i="27"/>
  <c r="H42"/>
  <c r="J38" i="13"/>
  <c r="J32"/>
  <c r="J22"/>
  <c r="J42"/>
  <c r="F106" i="27"/>
  <c r="F83" s="1"/>
  <c r="H79"/>
  <c r="H70"/>
  <c r="G70" s="1"/>
  <c r="H68"/>
  <c r="G68" s="1"/>
  <c r="H66"/>
  <c r="G66" s="1"/>
  <c r="H69"/>
  <c r="G69" s="1"/>
  <c r="H67"/>
  <c r="G67" s="1"/>
  <c r="H65"/>
  <c r="G60"/>
  <c r="J79" l="1"/>
  <c r="I79"/>
  <c r="I32" i="21"/>
  <c r="I18"/>
  <c r="I21"/>
  <c r="I19"/>
  <c r="K69" i="13"/>
  <c r="K67"/>
  <c r="K64"/>
  <c r="K71"/>
  <c r="K68"/>
  <c r="K65"/>
  <c r="K63"/>
  <c r="K62"/>
  <c r="G71" i="27"/>
  <c r="I35" i="21"/>
  <c r="I16" s="1"/>
  <c r="J35" s="1"/>
  <c r="G59" i="27"/>
  <c r="G42"/>
  <c r="I22" i="13"/>
  <c r="I38"/>
  <c r="I32"/>
  <c r="G65" i="27"/>
  <c r="H64"/>
  <c r="I34" i="21" s="1"/>
  <c r="F39" i="8"/>
  <c r="F57" s="1"/>
  <c r="F58" s="1"/>
  <c r="I37" i="21" l="1"/>
  <c r="J33"/>
  <c r="I24"/>
  <c r="I26"/>
  <c r="I25"/>
  <c r="I27"/>
  <c r="I23"/>
  <c r="I11"/>
  <c r="I10"/>
  <c r="I13"/>
  <c r="I8"/>
  <c r="I12"/>
  <c r="I14"/>
  <c r="I9"/>
  <c r="I20"/>
  <c r="I15"/>
  <c r="G64" i="27"/>
  <c r="H41"/>
  <c r="G45" i="8"/>
  <c r="G55"/>
  <c r="G43"/>
  <c r="G54"/>
  <c r="G44"/>
  <c r="G50"/>
  <c r="G42"/>
  <c r="G51"/>
  <c r="J32" i="21" l="1"/>
  <c r="I7"/>
  <c r="J34"/>
  <c r="I22"/>
  <c r="I17"/>
  <c r="I6" s="1"/>
  <c r="I5" s="1"/>
  <c r="G41" i="27"/>
  <c r="I30" i="21"/>
  <c r="F7" i="8"/>
  <c r="F19"/>
  <c r="G47"/>
  <c r="G49"/>
  <c r="G46"/>
  <c r="G53"/>
  <c r="G41"/>
  <c r="G48"/>
  <c r="G52"/>
  <c r="G56"/>
  <c r="H27" i="21" l="1"/>
  <c r="H25"/>
  <c r="H26"/>
  <c r="H24"/>
  <c r="H19"/>
  <c r="H21"/>
  <c r="G40" i="8"/>
  <c r="F6"/>
  <c r="J37" i="21" l="1"/>
  <c r="H18"/>
  <c r="H23"/>
  <c r="H16"/>
  <c r="G11" i="4"/>
  <c r="G18" s="1"/>
  <c r="G24" s="1"/>
  <c r="H5" i="21" l="1"/>
  <c r="H22"/>
  <c r="X13" i="26"/>
  <c r="G29" i="4"/>
  <c r="G30" s="1"/>
  <c r="K74" i="27"/>
  <c r="K13" s="1"/>
  <c r="G35" i="4"/>
  <c r="G32"/>
  <c r="G33"/>
  <c r="F6" i="18"/>
  <c r="K21" i="27" l="1"/>
  <c r="J21" s="1"/>
  <c r="G104" s="1"/>
  <c r="K19"/>
  <c r="J19" s="1"/>
  <c r="G102" s="1"/>
  <c r="K17"/>
  <c r="J17" s="1"/>
  <c r="G100" s="1"/>
  <c r="K15"/>
  <c r="J15" s="1"/>
  <c r="G98" s="1"/>
  <c r="K34"/>
  <c r="K32"/>
  <c r="K30"/>
  <c r="K36"/>
  <c r="J13"/>
  <c r="K11"/>
  <c r="J11" s="1"/>
  <c r="K9"/>
  <c r="J9" s="1"/>
  <c r="K7"/>
  <c r="K26"/>
  <c r="J26" s="1"/>
  <c r="K24"/>
  <c r="K22"/>
  <c r="J22" s="1"/>
  <c r="G105" s="1"/>
  <c r="K20"/>
  <c r="J20" s="1"/>
  <c r="G103" s="1"/>
  <c r="K18"/>
  <c r="J18" s="1"/>
  <c r="G101" s="1"/>
  <c r="K16"/>
  <c r="J16" s="1"/>
  <c r="G99" s="1"/>
  <c r="K14"/>
  <c r="J14" s="1"/>
  <c r="G97" s="1"/>
  <c r="K33"/>
  <c r="K31"/>
  <c r="K37"/>
  <c r="K29"/>
  <c r="K12"/>
  <c r="J12" s="1"/>
  <c r="K10"/>
  <c r="J10" s="1"/>
  <c r="K8"/>
  <c r="J8" s="1"/>
  <c r="K27"/>
  <c r="J27" s="1"/>
  <c r="K25"/>
  <c r="J25" s="1"/>
  <c r="G86" s="1"/>
  <c r="K28" l="1"/>
  <c r="J28" s="1"/>
  <c r="K35"/>
  <c r="J35" s="1"/>
  <c r="K23"/>
  <c r="J23" s="1"/>
  <c r="K6"/>
  <c r="G91"/>
  <c r="G95"/>
  <c r="G94"/>
  <c r="G88"/>
  <c r="G93"/>
  <c r="G87"/>
  <c r="G92"/>
  <c r="G96"/>
  <c r="J31"/>
  <c r="G109" s="1"/>
  <c r="J30"/>
  <c r="G108" s="1"/>
  <c r="J34"/>
  <c r="G112" s="1"/>
  <c r="J37"/>
  <c r="G115" s="1"/>
  <c r="J33"/>
  <c r="G111" s="1"/>
  <c r="J36"/>
  <c r="J32"/>
  <c r="G110" s="1"/>
  <c r="J29"/>
  <c r="J24"/>
  <c r="K76" s="1"/>
  <c r="J7"/>
  <c r="K75" s="1"/>
  <c r="G39" i="8"/>
  <c r="G57" s="1"/>
  <c r="G58" s="1"/>
  <c r="M76" i="27" l="1"/>
  <c r="L76"/>
  <c r="N59" i="13" s="1"/>
  <c r="K49" i="27"/>
  <c r="L75"/>
  <c r="M75"/>
  <c r="K77"/>
  <c r="J6"/>
  <c r="K5"/>
  <c r="J5" s="1"/>
  <c r="K78"/>
  <c r="J49"/>
  <c r="K57"/>
  <c r="J57" s="1"/>
  <c r="K58"/>
  <c r="J58" s="1"/>
  <c r="K54"/>
  <c r="J54" s="1"/>
  <c r="K50"/>
  <c r="J50" s="1"/>
  <c r="K46"/>
  <c r="J46" s="1"/>
  <c r="K56"/>
  <c r="J56" s="1"/>
  <c r="K52"/>
  <c r="J52" s="1"/>
  <c r="K48"/>
  <c r="J48" s="1"/>
  <c r="K44"/>
  <c r="J44" s="1"/>
  <c r="K45"/>
  <c r="J45" s="1"/>
  <c r="K51"/>
  <c r="J51" s="1"/>
  <c r="K55"/>
  <c r="J55" s="1"/>
  <c r="K43"/>
  <c r="J43" s="1"/>
  <c r="K47"/>
  <c r="J47" s="1"/>
  <c r="K53"/>
  <c r="J53" s="1"/>
  <c r="K62"/>
  <c r="J62" s="1"/>
  <c r="K60"/>
  <c r="K63"/>
  <c r="J63" s="1"/>
  <c r="K61"/>
  <c r="J61" s="1"/>
  <c r="K72"/>
  <c r="G107"/>
  <c r="G106" s="1"/>
  <c r="G90"/>
  <c r="G89" s="1"/>
  <c r="G85"/>
  <c r="G84" s="1"/>
  <c r="G114"/>
  <c r="G113" s="1"/>
  <c r="M78" l="1"/>
  <c r="O46" i="13" s="1"/>
  <c r="L78" i="27"/>
  <c r="O58" i="13"/>
  <c r="O44"/>
  <c r="O43" s="1"/>
  <c r="O42"/>
  <c r="O40"/>
  <c r="O37"/>
  <c r="O34"/>
  <c r="O32"/>
  <c r="O29"/>
  <c r="O26"/>
  <c r="O24"/>
  <c r="O21"/>
  <c r="O19"/>
  <c r="O17"/>
  <c r="O14"/>
  <c r="O12"/>
  <c r="O10"/>
  <c r="O9"/>
  <c r="O41"/>
  <c r="O38"/>
  <c r="O35"/>
  <c r="O33"/>
  <c r="O31"/>
  <c r="O28"/>
  <c r="O25"/>
  <c r="O22"/>
  <c r="O20"/>
  <c r="O18"/>
  <c r="O16"/>
  <c r="O13"/>
  <c r="O11"/>
  <c r="O56"/>
  <c r="O54"/>
  <c r="O51"/>
  <c r="O59"/>
  <c r="O49"/>
  <c r="O55"/>
  <c r="O53"/>
  <c r="O50"/>
  <c r="L77" i="27"/>
  <c r="M77"/>
  <c r="K68"/>
  <c r="J68" s="1"/>
  <c r="K65"/>
  <c r="J65" s="1"/>
  <c r="K59"/>
  <c r="L33" i="21" s="1"/>
  <c r="K42" i="27"/>
  <c r="L32" i="21" s="1"/>
  <c r="J72" i="27"/>
  <c r="K73"/>
  <c r="J73" s="1"/>
  <c r="N22" i="13"/>
  <c r="N38"/>
  <c r="N42"/>
  <c r="N32"/>
  <c r="K70" i="27"/>
  <c r="J70" s="1"/>
  <c r="K67"/>
  <c r="J67" s="1"/>
  <c r="K66"/>
  <c r="J66" s="1"/>
  <c r="K69"/>
  <c r="J69" s="1"/>
  <c r="K79"/>
  <c r="J60"/>
  <c r="G83"/>
  <c r="G19" i="8"/>
  <c r="G7"/>
  <c r="O15" i="13" l="1"/>
  <c r="O30"/>
  <c r="O27"/>
  <c r="L79" i="27"/>
  <c r="M79"/>
  <c r="L18" i="21"/>
  <c r="L19"/>
  <c r="L21"/>
  <c r="O8" i="13"/>
  <c r="O36"/>
  <c r="L8" i="21"/>
  <c r="L20"/>
  <c r="L10"/>
  <c r="L15"/>
  <c r="L12"/>
  <c r="L11"/>
  <c r="L14"/>
  <c r="L9"/>
  <c r="L13"/>
  <c r="O71" i="13"/>
  <c r="O68"/>
  <c r="O65"/>
  <c r="O63"/>
  <c r="O62"/>
  <c r="O69"/>
  <c r="O67"/>
  <c r="O64"/>
  <c r="O23"/>
  <c r="J59" i="27"/>
  <c r="J42"/>
  <c r="K71"/>
  <c r="M32" i="13"/>
  <c r="M38"/>
  <c r="M22"/>
  <c r="K64" i="27"/>
  <c r="L34" i="21" s="1"/>
  <c r="G6" i="8"/>
  <c r="H11" i="4" s="1"/>
  <c r="H18" s="1"/>
  <c r="H24" s="1"/>
  <c r="K15" i="21" l="1"/>
  <c r="M33"/>
  <c r="L17"/>
  <c r="L24"/>
  <c r="L26"/>
  <c r="L23"/>
  <c r="L25"/>
  <c r="L27"/>
  <c r="J71" i="27"/>
  <c r="L35" i="21"/>
  <c r="L16" s="1"/>
  <c r="M35" s="1"/>
  <c r="J64" i="27"/>
  <c r="K41"/>
  <c r="Y13" i="26"/>
  <c r="H29" i="4"/>
  <c r="H30" s="1"/>
  <c r="N74" i="27"/>
  <c r="N13" s="1"/>
  <c r="H35" i="4"/>
  <c r="H33"/>
  <c r="H32"/>
  <c r="G6" i="18"/>
  <c r="M34" i="21" l="1"/>
  <c r="L37"/>
  <c r="L22"/>
  <c r="L7"/>
  <c r="L6" s="1"/>
  <c r="L5" s="1"/>
  <c r="M32"/>
  <c r="J41" i="27"/>
  <c r="L30" i="21"/>
  <c r="N22" i="27"/>
  <c r="M22" s="1"/>
  <c r="H105" s="1"/>
  <c r="N20"/>
  <c r="M20" s="1"/>
  <c r="H103" s="1"/>
  <c r="N18"/>
  <c r="M18" s="1"/>
  <c r="H101" s="1"/>
  <c r="N16"/>
  <c r="M16" s="1"/>
  <c r="H99" s="1"/>
  <c r="N14"/>
  <c r="M14" s="1"/>
  <c r="H97" s="1"/>
  <c r="N33"/>
  <c r="N31"/>
  <c r="N37"/>
  <c r="N29"/>
  <c r="N11"/>
  <c r="M11" s="1"/>
  <c r="N9"/>
  <c r="M9" s="1"/>
  <c r="N7"/>
  <c r="N26"/>
  <c r="M26" s="1"/>
  <c r="N24"/>
  <c r="M13"/>
  <c r="N21"/>
  <c r="M21" s="1"/>
  <c r="H104" s="1"/>
  <c r="N19"/>
  <c r="M19" s="1"/>
  <c r="H102" s="1"/>
  <c r="N17"/>
  <c r="M17" s="1"/>
  <c r="H100" s="1"/>
  <c r="N15"/>
  <c r="M15" s="1"/>
  <c r="H98" s="1"/>
  <c r="N34"/>
  <c r="N32"/>
  <c r="N30"/>
  <c r="N36"/>
  <c r="N12"/>
  <c r="M12" s="1"/>
  <c r="N10"/>
  <c r="M10" s="1"/>
  <c r="N8"/>
  <c r="M8" s="1"/>
  <c r="N27"/>
  <c r="M27" s="1"/>
  <c r="N25"/>
  <c r="M25" s="1"/>
  <c r="H86" s="1"/>
  <c r="M37" i="21" l="1"/>
  <c r="N35" i="27"/>
  <c r="M35" s="1"/>
  <c r="N28"/>
  <c r="M28" s="1"/>
  <c r="N23"/>
  <c r="M23" s="1"/>
  <c r="N6"/>
  <c r="H91"/>
  <c r="H95"/>
  <c r="H94"/>
  <c r="H88"/>
  <c r="H93"/>
  <c r="H96"/>
  <c r="H87"/>
  <c r="H92"/>
  <c r="M36"/>
  <c r="M32"/>
  <c r="H110" s="1"/>
  <c r="M31"/>
  <c r="H109" s="1"/>
  <c r="M30"/>
  <c r="H108" s="1"/>
  <c r="M34"/>
  <c r="H112" s="1"/>
  <c r="M37"/>
  <c r="H115" s="1"/>
  <c r="M33"/>
  <c r="H111" s="1"/>
  <c r="M29"/>
  <c r="M24"/>
  <c r="N76" s="1"/>
  <c r="M7"/>
  <c r="N75" s="1"/>
  <c r="N77" l="1"/>
  <c r="N49"/>
  <c r="P75"/>
  <c r="S58" i="13" s="1"/>
  <c r="O75" i="27"/>
  <c r="P77"/>
  <c r="O77"/>
  <c r="O76"/>
  <c r="R59" i="13" s="1"/>
  <c r="P76" i="27"/>
  <c r="K5" i="21"/>
  <c r="M6" i="27"/>
  <c r="N5"/>
  <c r="M5" s="1"/>
  <c r="M49"/>
  <c r="H114"/>
  <c r="H113" s="1"/>
  <c r="N78"/>
  <c r="N57"/>
  <c r="M57" s="1"/>
  <c r="N56"/>
  <c r="M56" s="1"/>
  <c r="N52"/>
  <c r="M52" s="1"/>
  <c r="N47"/>
  <c r="M47" s="1"/>
  <c r="N43"/>
  <c r="M43" s="1"/>
  <c r="N58"/>
  <c r="M58" s="1"/>
  <c r="N54"/>
  <c r="M54" s="1"/>
  <c r="N50"/>
  <c r="M50" s="1"/>
  <c r="N45"/>
  <c r="M45" s="1"/>
  <c r="N46"/>
  <c r="M46" s="1"/>
  <c r="N51"/>
  <c r="M51" s="1"/>
  <c r="N55"/>
  <c r="M55" s="1"/>
  <c r="N44"/>
  <c r="M44" s="1"/>
  <c r="N48"/>
  <c r="M48" s="1"/>
  <c r="N53"/>
  <c r="M53" s="1"/>
  <c r="N62"/>
  <c r="M62" s="1"/>
  <c r="N61"/>
  <c r="M61" s="1"/>
  <c r="N63"/>
  <c r="M63" s="1"/>
  <c r="N60"/>
  <c r="H90"/>
  <c r="H89" s="1"/>
  <c r="H85"/>
  <c r="H84" s="1"/>
  <c r="H107"/>
  <c r="H106" s="1"/>
  <c r="O78" l="1"/>
  <c r="P78"/>
  <c r="S46" i="13" s="1"/>
  <c r="S59"/>
  <c r="S49"/>
  <c r="S56"/>
  <c r="S54"/>
  <c r="S51"/>
  <c r="S55"/>
  <c r="S53"/>
  <c r="S50"/>
  <c r="S69"/>
  <c r="S67"/>
  <c r="S64"/>
  <c r="S71"/>
  <c r="S68"/>
  <c r="S65"/>
  <c r="S63"/>
  <c r="S62"/>
  <c r="S41"/>
  <c r="S37"/>
  <c r="S34"/>
  <c r="S32"/>
  <c r="S29"/>
  <c r="S26"/>
  <c r="S24"/>
  <c r="S21"/>
  <c r="S19"/>
  <c r="S17"/>
  <c r="S14"/>
  <c r="S12"/>
  <c r="S10"/>
  <c r="S44"/>
  <c r="S43" s="1"/>
  <c r="S42"/>
  <c r="S40"/>
  <c r="S38"/>
  <c r="S35"/>
  <c r="S33"/>
  <c r="S31"/>
  <c r="S28"/>
  <c r="S27" s="1"/>
  <c r="S25"/>
  <c r="S22"/>
  <c r="S20"/>
  <c r="S18"/>
  <c r="S16"/>
  <c r="S13"/>
  <c r="S11"/>
  <c r="S9"/>
  <c r="N59" i="27"/>
  <c r="O33" i="21" s="1"/>
  <c r="N65" i="27"/>
  <c r="N42"/>
  <c r="O32" i="21" s="1"/>
  <c r="R38" i="13"/>
  <c r="R22"/>
  <c r="R32"/>
  <c r="R42"/>
  <c r="N70" i="27"/>
  <c r="M70" s="1"/>
  <c r="N66"/>
  <c r="M66" s="1"/>
  <c r="N67"/>
  <c r="M67" s="1"/>
  <c r="N68"/>
  <c r="M68" s="1"/>
  <c r="M65"/>
  <c r="N69"/>
  <c r="M69" s="1"/>
  <c r="N79"/>
  <c r="M60"/>
  <c r="N72"/>
  <c r="N73"/>
  <c r="M73" s="1"/>
  <c r="H83"/>
  <c r="S8" i="13" l="1"/>
  <c r="P79" i="27"/>
  <c r="O79"/>
  <c r="O8" i="21"/>
  <c r="O11"/>
  <c r="O13"/>
  <c r="O12"/>
  <c r="O15"/>
  <c r="O9"/>
  <c r="O20"/>
  <c r="O14"/>
  <c r="O10"/>
  <c r="O18"/>
  <c r="O19"/>
  <c r="O21"/>
  <c r="S15" i="13"/>
  <c r="S30"/>
  <c r="S36"/>
  <c r="S23"/>
  <c r="M59" i="27"/>
  <c r="M42"/>
  <c r="N71"/>
  <c r="Q32" i="13"/>
  <c r="Q38"/>
  <c r="Q22"/>
  <c r="M72" i="27"/>
  <c r="N64"/>
  <c r="O34" i="21" s="1"/>
  <c r="M71" i="27" l="1"/>
  <c r="O35" i="21"/>
  <c r="O16" s="1"/>
  <c r="P35" s="1"/>
  <c r="P32"/>
  <c r="O7"/>
  <c r="O24"/>
  <c r="O25"/>
  <c r="O23"/>
  <c r="O27"/>
  <c r="O26"/>
  <c r="O17"/>
  <c r="P33"/>
  <c r="O37"/>
  <c r="N41" i="27"/>
  <c r="M41" s="1"/>
  <c r="M64"/>
  <c r="O30" i="21" l="1"/>
  <c r="O22"/>
  <c r="P34"/>
  <c r="O6"/>
  <c r="O5" s="1"/>
  <c r="P37"/>
  <c r="N5" l="1"/>
  <c r="D17" i="13" l="1"/>
  <c r="D18"/>
  <c r="F18" s="1"/>
  <c r="D19"/>
  <c r="D20"/>
  <c r="D33"/>
  <c r="D54"/>
  <c r="D35"/>
  <c r="D24"/>
  <c r="D41"/>
  <c r="D14"/>
  <c r="D13"/>
  <c r="D12"/>
  <c r="D11"/>
  <c r="F12" l="1"/>
  <c r="F14"/>
  <c r="F11"/>
  <c r="F13"/>
  <c r="F41"/>
  <c r="F35"/>
  <c r="F33"/>
  <c r="F19"/>
  <c r="F17"/>
  <c r="F54"/>
  <c r="F20"/>
  <c r="D21"/>
  <c r="D28"/>
  <c r="D31"/>
  <c r="D40"/>
  <c r="J12"/>
  <c r="J35"/>
  <c r="D44"/>
  <c r="J11"/>
  <c r="J14"/>
  <c r="F24"/>
  <c r="E20"/>
  <c r="J20"/>
  <c r="E18"/>
  <c r="J18"/>
  <c r="D16"/>
  <c r="F64"/>
  <c r="D34"/>
  <c r="D10"/>
  <c r="D9"/>
  <c r="D37"/>
  <c r="E54"/>
  <c r="AA45"/>
  <c r="O45"/>
  <c r="S45"/>
  <c r="K45"/>
  <c r="D59"/>
  <c r="D58"/>
  <c r="AB48"/>
  <c r="AB45"/>
  <c r="AB7" s="1"/>
  <c r="F68"/>
  <c r="F9" l="1"/>
  <c r="J54"/>
  <c r="J13"/>
  <c r="J19"/>
  <c r="E14"/>
  <c r="E13"/>
  <c r="E11"/>
  <c r="J17"/>
  <c r="J33"/>
  <c r="J41"/>
  <c r="E12"/>
  <c r="E17"/>
  <c r="E19"/>
  <c r="E33"/>
  <c r="E35"/>
  <c r="E41"/>
  <c r="F34"/>
  <c r="C68" i="30"/>
  <c r="F21" i="13"/>
  <c r="C62" i="30"/>
  <c r="F10" i="13"/>
  <c r="C65" i="30"/>
  <c r="E68" i="13"/>
  <c r="J68"/>
  <c r="AA57"/>
  <c r="E64"/>
  <c r="J64"/>
  <c r="D15"/>
  <c r="F16"/>
  <c r="I17"/>
  <c r="N17"/>
  <c r="I19"/>
  <c r="N19"/>
  <c r="I33"/>
  <c r="N33"/>
  <c r="I35"/>
  <c r="N41"/>
  <c r="F69"/>
  <c r="I12"/>
  <c r="N12"/>
  <c r="D39"/>
  <c r="F40"/>
  <c r="D26"/>
  <c r="M25" i="29" s="1"/>
  <c r="D25" s="1"/>
  <c r="F28" i="13"/>
  <c r="E21"/>
  <c r="J21"/>
  <c r="S39"/>
  <c r="S7" s="1"/>
  <c r="AA39"/>
  <c r="AA7" s="1"/>
  <c r="K39"/>
  <c r="K7" s="1"/>
  <c r="O39"/>
  <c r="O7" s="1"/>
  <c r="D57"/>
  <c r="F58"/>
  <c r="E59"/>
  <c r="I54"/>
  <c r="N54"/>
  <c r="D36"/>
  <c r="F37"/>
  <c r="D8"/>
  <c r="E34"/>
  <c r="J34"/>
  <c r="I18"/>
  <c r="N18"/>
  <c r="I20"/>
  <c r="N20"/>
  <c r="E24"/>
  <c r="J24"/>
  <c r="I14"/>
  <c r="N14"/>
  <c r="I13"/>
  <c r="N13"/>
  <c r="I11"/>
  <c r="N11"/>
  <c r="D46"/>
  <c r="D43"/>
  <c r="F44"/>
  <c r="D30"/>
  <c r="F31"/>
  <c r="AB52"/>
  <c r="R13" l="1"/>
  <c r="R20"/>
  <c r="C59" i="30"/>
  <c r="I42" i="13"/>
  <c r="M42"/>
  <c r="Q42"/>
  <c r="J10"/>
  <c r="E10"/>
  <c r="C50" i="30"/>
  <c r="C71"/>
  <c r="C108"/>
  <c r="D68"/>
  <c r="D45" i="13"/>
  <c r="F46"/>
  <c r="M11"/>
  <c r="R11"/>
  <c r="M13"/>
  <c r="M14"/>
  <c r="R14"/>
  <c r="I24"/>
  <c r="N24"/>
  <c r="E40"/>
  <c r="E39" s="1"/>
  <c r="F39"/>
  <c r="J40"/>
  <c r="M12"/>
  <c r="R12"/>
  <c r="E69"/>
  <c r="J69"/>
  <c r="M41"/>
  <c r="R41"/>
  <c r="M35"/>
  <c r="R35"/>
  <c r="Q34" i="29" s="1"/>
  <c r="M33" i="13"/>
  <c r="R33"/>
  <c r="M19"/>
  <c r="R19"/>
  <c r="M17"/>
  <c r="R17"/>
  <c r="E16"/>
  <c r="E15" s="1"/>
  <c r="F15"/>
  <c r="J16"/>
  <c r="I64"/>
  <c r="N64"/>
  <c r="F65"/>
  <c r="F63"/>
  <c r="K57"/>
  <c r="D29"/>
  <c r="E31"/>
  <c r="E30" s="1"/>
  <c r="F30"/>
  <c r="J31"/>
  <c r="F43"/>
  <c r="E44"/>
  <c r="E43" s="1"/>
  <c r="J44"/>
  <c r="M20"/>
  <c r="M18"/>
  <c r="R18"/>
  <c r="I34"/>
  <c r="E9"/>
  <c r="E8" s="1"/>
  <c r="F8"/>
  <c r="J9"/>
  <c r="E37"/>
  <c r="E36" s="1"/>
  <c r="F36"/>
  <c r="J37"/>
  <c r="M54"/>
  <c r="R54"/>
  <c r="I59"/>
  <c r="E58"/>
  <c r="E57" s="1"/>
  <c r="F57"/>
  <c r="J58"/>
  <c r="I21"/>
  <c r="N21"/>
  <c r="E28"/>
  <c r="J28"/>
  <c r="D25"/>
  <c r="M24" i="29" s="1"/>
  <c r="F26" i="13"/>
  <c r="N25" i="29" s="1"/>
  <c r="E25" s="1"/>
  <c r="I10" i="13"/>
  <c r="N10"/>
  <c r="I68"/>
  <c r="N68"/>
  <c r="AC61"/>
  <c r="D55"/>
  <c r="I41"/>
  <c r="H34" i="29" l="1"/>
  <c r="D24"/>
  <c r="D22" s="1"/>
  <c r="D6" s="1"/>
  <c r="D5" s="1"/>
  <c r="M22"/>
  <c r="M6" s="1"/>
  <c r="M5" s="1"/>
  <c r="C47" i="30"/>
  <c r="E14" i="21"/>
  <c r="E13"/>
  <c r="E12"/>
  <c r="E9"/>
  <c r="C56" i="30"/>
  <c r="F55" i="13"/>
  <c r="Q54"/>
  <c r="Q18"/>
  <c r="Q20"/>
  <c r="E68" i="30"/>
  <c r="Q17" i="13"/>
  <c r="Q19"/>
  <c r="Q33"/>
  <c r="Q35"/>
  <c r="Q41"/>
  <c r="Q12"/>
  <c r="Q14"/>
  <c r="Q13"/>
  <c r="Q11"/>
  <c r="D71" i="30"/>
  <c r="D49" i="13"/>
  <c r="D56"/>
  <c r="E55"/>
  <c r="J55"/>
  <c r="F25"/>
  <c r="N24" i="29" s="1"/>
  <c r="D23" i="13"/>
  <c r="C52" i="30" s="1"/>
  <c r="C53" s="1"/>
  <c r="I58" i="13"/>
  <c r="I57" s="1"/>
  <c r="J57"/>
  <c r="N58"/>
  <c r="I9"/>
  <c r="I8" s="1"/>
  <c r="J8"/>
  <c r="N9"/>
  <c r="I31"/>
  <c r="I30" s="1"/>
  <c r="J30"/>
  <c r="N31"/>
  <c r="F29"/>
  <c r="D27"/>
  <c r="E65"/>
  <c r="J65"/>
  <c r="I69"/>
  <c r="N69"/>
  <c r="AB57"/>
  <c r="AB47" s="1"/>
  <c r="S57"/>
  <c r="O57"/>
  <c r="M24"/>
  <c r="R24"/>
  <c r="AC57"/>
  <c r="M68"/>
  <c r="R68"/>
  <c r="M10"/>
  <c r="R10"/>
  <c r="D51"/>
  <c r="E26"/>
  <c r="J26"/>
  <c r="O25" i="29" s="1"/>
  <c r="F25" s="1"/>
  <c r="I28" i="13"/>
  <c r="N28"/>
  <c r="M21"/>
  <c r="R21"/>
  <c r="M59"/>
  <c r="I37"/>
  <c r="I36" s="1"/>
  <c r="J36"/>
  <c r="M34"/>
  <c r="R34"/>
  <c r="Q33" i="29" s="1"/>
  <c r="H33" s="1"/>
  <c r="J43" i="13"/>
  <c r="I44"/>
  <c r="I43" s="1"/>
  <c r="N44"/>
  <c r="E63"/>
  <c r="J63"/>
  <c r="AC70"/>
  <c r="M64"/>
  <c r="R64"/>
  <c r="I16"/>
  <c r="I15" s="1"/>
  <c r="J15"/>
  <c r="N16"/>
  <c r="I40"/>
  <c r="I39" s="1"/>
  <c r="J39"/>
  <c r="N40"/>
  <c r="E46"/>
  <c r="E45" s="1"/>
  <c r="F45"/>
  <c r="J46"/>
  <c r="H29" i="29" l="1"/>
  <c r="Q29"/>
  <c r="E24"/>
  <c r="E22" s="1"/>
  <c r="E6" s="1"/>
  <c r="E5" s="1"/>
  <c r="N22"/>
  <c r="N6" s="1"/>
  <c r="N5" s="1"/>
  <c r="C44" i="30"/>
  <c r="C144" s="1"/>
  <c r="C43"/>
  <c r="R9" i="13"/>
  <c r="R8" s="1"/>
  <c r="F51"/>
  <c r="F56"/>
  <c r="Q64"/>
  <c r="F68" i="30"/>
  <c r="Q59" i="13"/>
  <c r="Q21"/>
  <c r="E71" i="30"/>
  <c r="Q34" i="13"/>
  <c r="Q10"/>
  <c r="Q68"/>
  <c r="M40"/>
  <c r="M39" s="1"/>
  <c r="N39"/>
  <c r="R40"/>
  <c r="M37"/>
  <c r="M36" s="1"/>
  <c r="F61" i="30" s="1"/>
  <c r="N36" i="13"/>
  <c r="R37"/>
  <c r="Q36" i="29" s="1"/>
  <c r="I26" i="13"/>
  <c r="N26"/>
  <c r="P25" i="29" s="1"/>
  <c r="G25" s="1"/>
  <c r="Q24" i="13"/>
  <c r="F27"/>
  <c r="E29"/>
  <c r="E27" s="1"/>
  <c r="J29"/>
  <c r="M9"/>
  <c r="M8" s="1"/>
  <c r="N8"/>
  <c r="D70"/>
  <c r="F71"/>
  <c r="E56"/>
  <c r="F49"/>
  <c r="D53"/>
  <c r="D7"/>
  <c r="J45"/>
  <c r="I46"/>
  <c r="I45" s="1"/>
  <c r="N46"/>
  <c r="M16"/>
  <c r="M15" s="1"/>
  <c r="N15"/>
  <c r="R16"/>
  <c r="I63"/>
  <c r="N63"/>
  <c r="M44"/>
  <c r="M43" s="1"/>
  <c r="N43"/>
  <c r="R44"/>
  <c r="M28"/>
  <c r="R28"/>
  <c r="E51"/>
  <c r="J51"/>
  <c r="M69"/>
  <c r="R69"/>
  <c r="I65"/>
  <c r="N65"/>
  <c r="N30"/>
  <c r="M31"/>
  <c r="M30" s="1"/>
  <c r="F58" i="30" s="1"/>
  <c r="R31" i="13"/>
  <c r="M58"/>
  <c r="M57" s="1"/>
  <c r="N57"/>
  <c r="R58"/>
  <c r="E25"/>
  <c r="E23" s="1"/>
  <c r="D52" i="30" s="1"/>
  <c r="J25" i="13"/>
  <c r="O24" i="29" s="1"/>
  <c r="F23" i="13"/>
  <c r="F7" s="1"/>
  <c r="I55"/>
  <c r="N55"/>
  <c r="Q35" i="29" l="1"/>
  <c r="H36"/>
  <c r="H35" s="1"/>
  <c r="F24"/>
  <c r="F22" s="1"/>
  <c r="F6" s="1"/>
  <c r="F5" s="1"/>
  <c r="O22"/>
  <c r="O6" s="1"/>
  <c r="O5" s="1"/>
  <c r="C143" i="30"/>
  <c r="D43"/>
  <c r="R55" i="13"/>
  <c r="R63"/>
  <c r="E11" i="21"/>
  <c r="J56" i="13"/>
  <c r="Q69"/>
  <c r="G68" i="30"/>
  <c r="F71"/>
  <c r="AA70" i="13"/>
  <c r="K70"/>
  <c r="I25"/>
  <c r="I23" s="1"/>
  <c r="E52" i="30" s="1"/>
  <c r="N25" i="13"/>
  <c r="P24" i="29" s="1"/>
  <c r="J23" i="13"/>
  <c r="Q58"/>
  <c r="Q57" s="1"/>
  <c r="R57"/>
  <c r="M65"/>
  <c r="R65"/>
  <c r="Q44"/>
  <c r="Q43" s="1"/>
  <c r="R43"/>
  <c r="M46"/>
  <c r="M45" s="1"/>
  <c r="N45"/>
  <c r="R46"/>
  <c r="E49"/>
  <c r="J49"/>
  <c r="I56"/>
  <c r="N56"/>
  <c r="F70"/>
  <c r="E71"/>
  <c r="E70" s="1"/>
  <c r="J71"/>
  <c r="Q9"/>
  <c r="Q8" s="1"/>
  <c r="D50"/>
  <c r="Q40"/>
  <c r="Q39" s="1"/>
  <c r="R39"/>
  <c r="M55"/>
  <c r="E7"/>
  <c r="Q31"/>
  <c r="Q30" s="1"/>
  <c r="G58" i="30" s="1"/>
  <c r="R30" i="13"/>
  <c r="I51"/>
  <c r="N51"/>
  <c r="Q28"/>
  <c r="M63"/>
  <c r="Q16"/>
  <c r="Q15" s="1"/>
  <c r="R15"/>
  <c r="U9" i="26"/>
  <c r="C4" i="20"/>
  <c r="C7" i="18"/>
  <c r="D52" i="13"/>
  <c r="F53"/>
  <c r="I29"/>
  <c r="I27" s="1"/>
  <c r="N29"/>
  <c r="J27"/>
  <c r="AB70"/>
  <c r="M26"/>
  <c r="R26"/>
  <c r="Q25" i="29" s="1"/>
  <c r="H25" s="1"/>
  <c r="Q37" i="13"/>
  <c r="Q36" s="1"/>
  <c r="G61" i="30" s="1"/>
  <c r="R36" i="13"/>
  <c r="G24" i="29" l="1"/>
  <c r="G22" s="1"/>
  <c r="G6" s="1"/>
  <c r="G5" s="1"/>
  <c r="P22"/>
  <c r="P6" s="1"/>
  <c r="P5" s="1"/>
  <c r="E43" i="30"/>
  <c r="R51" i="13"/>
  <c r="E10" i="21"/>
  <c r="C105" i="30"/>
  <c r="Q26" i="13"/>
  <c r="Q65"/>
  <c r="Q63"/>
  <c r="Q55"/>
  <c r="G71" i="30"/>
  <c r="M29" i="13"/>
  <c r="M27" s="1"/>
  <c r="R29"/>
  <c r="N27"/>
  <c r="F52"/>
  <c r="E53"/>
  <c r="E52" s="1"/>
  <c r="J53"/>
  <c r="AC52"/>
  <c r="M51"/>
  <c r="F50"/>
  <c r="D48"/>
  <c r="D47" s="1"/>
  <c r="M56"/>
  <c r="R56"/>
  <c r="I49"/>
  <c r="N49"/>
  <c r="J7"/>
  <c r="AC48"/>
  <c r="AC47" s="1"/>
  <c r="D7" i="18"/>
  <c r="D4" i="20"/>
  <c r="V9" i="26"/>
  <c r="K48" i="13"/>
  <c r="O48"/>
  <c r="AA48"/>
  <c r="AB66"/>
  <c r="J70"/>
  <c r="I71"/>
  <c r="I70" s="1"/>
  <c r="N71"/>
  <c r="R71" s="1"/>
  <c r="Q46"/>
  <c r="Q45" s="1"/>
  <c r="R45"/>
  <c r="M25"/>
  <c r="M23" s="1"/>
  <c r="F52" i="30" s="1"/>
  <c r="R25" i="13"/>
  <c r="Q24" i="29" s="1"/>
  <c r="N23" i="13"/>
  <c r="D66"/>
  <c r="F67"/>
  <c r="O70"/>
  <c r="S70"/>
  <c r="H24" i="29" l="1"/>
  <c r="H22" s="1"/>
  <c r="H6" s="1"/>
  <c r="H5" s="1"/>
  <c r="Q22"/>
  <c r="Q6" s="1"/>
  <c r="Q5" s="1"/>
  <c r="F43" i="30"/>
  <c r="R49" i="13"/>
  <c r="Q56"/>
  <c r="Q51"/>
  <c r="N7"/>
  <c r="M7" s="1"/>
  <c r="Q25"/>
  <c r="Q23" s="1"/>
  <c r="G52" i="30" s="1"/>
  <c r="R23" i="13"/>
  <c r="M71"/>
  <c r="M70" s="1"/>
  <c r="N70"/>
  <c r="AB61"/>
  <c r="AB60" s="1"/>
  <c r="AB6" s="1"/>
  <c r="I7"/>
  <c r="M49"/>
  <c r="E50"/>
  <c r="E48" s="1"/>
  <c r="J50"/>
  <c r="F48"/>
  <c r="F47" s="1"/>
  <c r="AC66"/>
  <c r="AC60" s="1"/>
  <c r="AC6" s="1"/>
  <c r="S48"/>
  <c r="F66"/>
  <c r="E67"/>
  <c r="E66" s="1"/>
  <c r="J67"/>
  <c r="U10" i="26"/>
  <c r="J4" i="20"/>
  <c r="C8" i="18"/>
  <c r="S52" i="13"/>
  <c r="K52"/>
  <c r="K47" s="1"/>
  <c r="O52"/>
  <c r="O47" s="1"/>
  <c r="AA52"/>
  <c r="AA47" s="1"/>
  <c r="J52"/>
  <c r="N53"/>
  <c r="Q29"/>
  <c r="Q27" s="1"/>
  <c r="R27"/>
  <c r="D98" i="30" l="1"/>
  <c r="C102"/>
  <c r="C99" s="1"/>
  <c r="C147" s="1"/>
  <c r="C98"/>
  <c r="G43"/>
  <c r="R53" i="13"/>
  <c r="I53"/>
  <c r="I52" s="1"/>
  <c r="S47"/>
  <c r="M53"/>
  <c r="M52" s="1"/>
  <c r="N52"/>
  <c r="X9" i="26"/>
  <c r="F7" i="18"/>
  <c r="F4" i="20"/>
  <c r="E47" i="13"/>
  <c r="Q71"/>
  <c r="Q70" s="1"/>
  <c r="R70"/>
  <c r="AA66"/>
  <c r="S66"/>
  <c r="K66"/>
  <c r="O66"/>
  <c r="J66"/>
  <c r="N67"/>
  <c r="I50"/>
  <c r="I48" s="1"/>
  <c r="N50"/>
  <c r="J48"/>
  <c r="J47" s="1"/>
  <c r="Q49"/>
  <c r="W9" i="26"/>
  <c r="E4" i="20"/>
  <c r="E7" i="18"/>
  <c r="R7" i="13"/>
  <c r="C146" i="30" l="1"/>
  <c r="C141"/>
  <c r="C140" s="1"/>
  <c r="R50" i="13"/>
  <c r="R67"/>
  <c r="E98" i="30"/>
  <c r="I67" i="13"/>
  <c r="I66" s="1"/>
  <c r="Q7"/>
  <c r="D61"/>
  <c r="D60" s="1"/>
  <c r="F62"/>
  <c r="M50"/>
  <c r="M48" s="1"/>
  <c r="N48"/>
  <c r="N47" s="1"/>
  <c r="M67"/>
  <c r="M66" s="1"/>
  <c r="N66"/>
  <c r="S61"/>
  <c r="S60" s="1"/>
  <c r="S6" s="1"/>
  <c r="K61"/>
  <c r="K60" s="1"/>
  <c r="K6" s="1"/>
  <c r="O61"/>
  <c r="O60" s="1"/>
  <c r="O6" s="1"/>
  <c r="AA61"/>
  <c r="AA60" s="1"/>
  <c r="AA6" s="1"/>
  <c r="I47"/>
  <c r="V10" i="26"/>
  <c r="D8" i="18"/>
  <c r="K4" i="20"/>
  <c r="Q53" i="13"/>
  <c r="Q52" s="1"/>
  <c r="R52"/>
  <c r="F98" i="30" l="1"/>
  <c r="M47" i="13"/>
  <c r="U11" i="26"/>
  <c r="U12" s="1"/>
  <c r="U14" s="1"/>
  <c r="Q4" i="20"/>
  <c r="C9" i="18"/>
  <c r="C10" s="1"/>
  <c r="C12" s="1"/>
  <c r="C20" s="1"/>
  <c r="C21" s="1"/>
  <c r="D6" i="13"/>
  <c r="Y9" i="26"/>
  <c r="G7" i="18"/>
  <c r="G4" i="20"/>
  <c r="W10" i="26"/>
  <c r="E8" i="18"/>
  <c r="L4" i="20"/>
  <c r="Q67" i="13"/>
  <c r="Q66" s="1"/>
  <c r="R66"/>
  <c r="Q50"/>
  <c r="Q48" s="1"/>
  <c r="R48"/>
  <c r="R47" s="1"/>
  <c r="F61"/>
  <c r="F60" s="1"/>
  <c r="E62"/>
  <c r="E61" s="1"/>
  <c r="J62"/>
  <c r="G98" i="30" l="1"/>
  <c r="E60" i="13"/>
  <c r="F6"/>
  <c r="E6" s="1"/>
  <c r="X10" i="26"/>
  <c r="M4" i="20"/>
  <c r="F8" i="18"/>
  <c r="I62" i="13"/>
  <c r="I61" s="1"/>
  <c r="J61"/>
  <c r="J60" s="1"/>
  <c r="N62"/>
  <c r="Q47"/>
  <c r="D129" i="30" l="1"/>
  <c r="D125"/>
  <c r="R62" i="13"/>
  <c r="Y10" i="26"/>
  <c r="N4" i="20"/>
  <c r="G8" i="18"/>
  <c r="I60" i="13"/>
  <c r="J6"/>
  <c r="I6" s="1"/>
  <c r="V11" i="26"/>
  <c r="V12" s="1"/>
  <c r="V14" s="1"/>
  <c r="D9" i="18"/>
  <c r="D10" s="1"/>
  <c r="D12" s="1"/>
  <c r="D20" s="1"/>
  <c r="D21" s="1"/>
  <c r="R4" i="20"/>
  <c r="M62" i="13"/>
  <c r="M61" s="1"/>
  <c r="N61"/>
  <c r="N60" s="1"/>
  <c r="E129" i="30" l="1"/>
  <c r="E125"/>
  <c r="Q62" i="13"/>
  <c r="Q61" s="1"/>
  <c r="R61"/>
  <c r="R60" s="1"/>
  <c r="M60"/>
  <c r="N6"/>
  <c r="M6" s="1"/>
  <c r="S4" i="20"/>
  <c r="W11" i="26"/>
  <c r="W12" s="1"/>
  <c r="W14" s="1"/>
  <c r="E9" i="18"/>
  <c r="E10" s="1"/>
  <c r="E12" s="1"/>
  <c r="E20" s="1"/>
  <c r="E21" s="1"/>
  <c r="F129" i="30" l="1"/>
  <c r="F125"/>
  <c r="T4" i="20"/>
  <c r="X11" i="26"/>
  <c r="X12" s="1"/>
  <c r="X14" s="1"/>
  <c r="F9" i="18"/>
  <c r="F10" s="1"/>
  <c r="F12" s="1"/>
  <c r="F20" s="1"/>
  <c r="F21" s="1"/>
  <c r="Q60" i="13"/>
  <c r="R6"/>
  <c r="Q6" s="1"/>
  <c r="G129" i="30" l="1"/>
  <c r="G125"/>
  <c r="Y11" i="26"/>
  <c r="Y12" s="1"/>
  <c r="Y14" s="1"/>
  <c r="U4" i="20"/>
  <c r="G9" i="18"/>
  <c r="G10" s="1"/>
  <c r="G12" s="1"/>
  <c r="G20" s="1"/>
  <c r="G21" s="1"/>
  <c r="K27" i="21" l="1"/>
  <c r="K26"/>
  <c r="K24"/>
  <c r="K25"/>
  <c r="K22" l="1"/>
  <c r="K23"/>
  <c r="K16"/>
  <c r="E8"/>
  <c r="E6" l="1"/>
  <c r="E7"/>
  <c r="H11"/>
  <c r="H14"/>
  <c r="H15"/>
  <c r="H13"/>
  <c r="H10"/>
  <c r="H12"/>
  <c r="H9"/>
  <c r="F31" l="1"/>
  <c r="H8"/>
  <c r="H20"/>
  <c r="K19" l="1"/>
  <c r="K21"/>
  <c r="H17"/>
  <c r="H7"/>
  <c r="K20"/>
  <c r="K10" l="1"/>
  <c r="N10"/>
  <c r="K14"/>
  <c r="N14"/>
  <c r="K11"/>
  <c r="N11"/>
  <c r="K9"/>
  <c r="N9"/>
  <c r="K12"/>
  <c r="N12"/>
  <c r="K8"/>
  <c r="K13"/>
  <c r="N13"/>
  <c r="I31"/>
  <c r="H6"/>
  <c r="K17"/>
  <c r="K18"/>
  <c r="N8" l="1"/>
  <c r="K7"/>
  <c r="K6" l="1"/>
  <c r="N24"/>
  <c r="N26"/>
  <c r="N21"/>
  <c r="N20"/>
  <c r="N25"/>
  <c r="N15"/>
  <c r="N19"/>
  <c r="N27"/>
  <c r="L31"/>
  <c r="N7"/>
  <c r="N18" l="1"/>
  <c r="N23"/>
  <c r="N16"/>
  <c r="N22" l="1"/>
  <c r="N17"/>
  <c r="N6" l="1"/>
  <c r="O31"/>
  <c r="D57" i="30" l="1"/>
  <c r="D56" s="1"/>
  <c r="D54"/>
  <c r="D53" s="1"/>
  <c r="D109" l="1"/>
  <c r="D108" s="1"/>
  <c r="G54"/>
  <c r="G53" s="1"/>
  <c r="G57"/>
  <c r="G56" s="1"/>
  <c r="G136"/>
  <c r="G135" s="1"/>
  <c r="D133"/>
  <c r="F133"/>
  <c r="G109"/>
  <c r="G108" s="1"/>
  <c r="G106"/>
  <c r="G105" s="1"/>
  <c r="D60"/>
  <c r="D59" s="1"/>
  <c r="E109"/>
  <c r="E108" s="1"/>
  <c r="D136"/>
  <c r="D135" s="1"/>
  <c r="F136"/>
  <c r="F135" s="1"/>
  <c r="E106"/>
  <c r="E105" s="1"/>
  <c r="E136"/>
  <c r="E135" s="1"/>
  <c r="F54"/>
  <c r="F53" s="1"/>
  <c r="E54"/>
  <c r="E53" s="1"/>
  <c r="F109"/>
  <c r="F108" s="1"/>
  <c r="D63" l="1"/>
  <c r="D62" s="1"/>
  <c r="E63"/>
  <c r="E62" s="1"/>
  <c r="F63"/>
  <c r="F62" s="1"/>
  <c r="D103"/>
  <c r="G103"/>
  <c r="G133"/>
  <c r="E57"/>
  <c r="E56" s="1"/>
  <c r="E51"/>
  <c r="E50" s="1"/>
  <c r="D106"/>
  <c r="D105" s="1"/>
  <c r="F51"/>
  <c r="F50" s="1"/>
  <c r="F106"/>
  <c r="F105" s="1"/>
  <c r="F66"/>
  <c r="F65" s="1"/>
  <c r="G63"/>
  <c r="G62" s="1"/>
  <c r="D66"/>
  <c r="D65" s="1"/>
  <c r="G51"/>
  <c r="G50" s="1"/>
  <c r="F132"/>
  <c r="F126" s="1"/>
  <c r="F150" s="1"/>
  <c r="F127"/>
  <c r="F151" s="1"/>
  <c r="D132"/>
  <c r="D126" s="1"/>
  <c r="D150" s="1"/>
  <c r="D127"/>
  <c r="D151" s="1"/>
  <c r="E133"/>
  <c r="D51"/>
  <c r="D50" s="1"/>
  <c r="E66"/>
  <c r="E65" s="1"/>
  <c r="F57"/>
  <c r="F56" s="1"/>
  <c r="G66"/>
  <c r="G65" s="1"/>
  <c r="G60"/>
  <c r="G59" s="1"/>
  <c r="D149" l="1"/>
  <c r="F149"/>
  <c r="E103"/>
  <c r="F103"/>
  <c r="E132"/>
  <c r="E126" s="1"/>
  <c r="E150" s="1"/>
  <c r="E127"/>
  <c r="E151" s="1"/>
  <c r="G132"/>
  <c r="G126" s="1"/>
  <c r="G150" s="1"/>
  <c r="G127"/>
  <c r="G151" s="1"/>
  <c r="G100"/>
  <c r="G148" s="1"/>
  <c r="G102"/>
  <c r="G99" s="1"/>
  <c r="G147" s="1"/>
  <c r="D100"/>
  <c r="D148" s="1"/>
  <c r="D102"/>
  <c r="D99" s="1"/>
  <c r="D147" s="1"/>
  <c r="F60"/>
  <c r="F59" s="1"/>
  <c r="G48"/>
  <c r="D48"/>
  <c r="D47" s="1"/>
  <c r="E60"/>
  <c r="E59" s="1"/>
  <c r="D146" l="1"/>
  <c r="G146"/>
  <c r="G149"/>
  <c r="E149"/>
  <c r="E48"/>
  <c r="D45"/>
  <c r="D145" s="1"/>
  <c r="D142" s="1"/>
  <c r="D44"/>
  <c r="G45"/>
  <c r="G145" s="1"/>
  <c r="G142" s="1"/>
  <c r="G47"/>
  <c r="G44" s="1"/>
  <c r="F100"/>
  <c r="F148" s="1"/>
  <c r="F102"/>
  <c r="F99" s="1"/>
  <c r="F147" s="1"/>
  <c r="E102"/>
  <c r="E99" s="1"/>
  <c r="E147" s="1"/>
  <c r="E100"/>
  <c r="E148" s="1"/>
  <c r="F48"/>
  <c r="G144" l="1"/>
  <c r="D144"/>
  <c r="E146"/>
  <c r="G143"/>
  <c r="G141"/>
  <c r="G140" s="1"/>
  <c r="D141"/>
  <c r="D140" s="1"/>
  <c r="D143"/>
  <c r="F146"/>
  <c r="F45"/>
  <c r="F145" s="1"/>
  <c r="F142" s="1"/>
  <c r="F47"/>
  <c r="F44" s="1"/>
  <c r="E45"/>
  <c r="E145" s="1"/>
  <c r="E142" s="1"/>
  <c r="E47"/>
  <c r="E44" s="1"/>
  <c r="E144" l="1"/>
  <c r="F144"/>
  <c r="F141" s="1"/>
  <c r="F140" s="1"/>
  <c r="E143"/>
  <c r="E141"/>
  <c r="E140" s="1"/>
  <c r="F143"/>
  <c r="Q5" i="20"/>
  <c r="T5"/>
  <c r="S5"/>
  <c r="U7"/>
  <c r="U5"/>
  <c r="E5"/>
  <c r="C5"/>
  <c r="R5" l="1"/>
  <c r="C7"/>
  <c r="F7"/>
  <c r="F5"/>
  <c r="D5"/>
  <c r="F6"/>
  <c r="E7"/>
  <c r="Q7"/>
  <c r="T7"/>
  <c r="Q6"/>
  <c r="D7"/>
  <c r="U6"/>
  <c r="G5"/>
  <c r="R6" l="1"/>
  <c r="S6"/>
  <c r="S7"/>
  <c r="D6"/>
  <c r="G6"/>
  <c r="C6"/>
  <c r="T6"/>
  <c r="E6"/>
  <c r="G7"/>
  <c r="R7" l="1"/>
  <c r="K5" l="1"/>
  <c r="L5"/>
  <c r="J5"/>
  <c r="N5"/>
  <c r="M5"/>
  <c r="K7" l="1"/>
  <c r="L7"/>
  <c r="J7"/>
  <c r="N7"/>
  <c r="M7"/>
  <c r="K6" l="1"/>
  <c r="R26" s="1"/>
  <c r="J6"/>
  <c r="L6"/>
  <c r="S26" s="1"/>
  <c r="N6"/>
  <c r="U26" s="1"/>
  <c r="M6"/>
  <c r="T26" s="1"/>
</calcChain>
</file>

<file path=xl/comments1.xml><?xml version="1.0" encoding="utf-8"?>
<comments xmlns="http://schemas.openxmlformats.org/spreadsheetml/2006/main">
  <authors>
    <author>Your User Name</author>
  </authors>
  <commentList>
    <comment ref="D16" authorId="0">
      <text>
        <r>
          <rPr>
            <sz val="9"/>
            <color indexed="81"/>
            <rFont val="돋움"/>
            <family val="3"/>
            <charset val="129"/>
          </rPr>
          <t>행정구역상 목천읍인구이나 수계상 풍세에 포함 (10200인)</t>
        </r>
      </text>
    </comment>
  </commentList>
</comments>
</file>

<file path=xl/sharedStrings.xml><?xml version="1.0" encoding="utf-8"?>
<sst xmlns="http://schemas.openxmlformats.org/spreadsheetml/2006/main" count="4294" uniqueCount="1442">
  <si>
    <t>동부바이오 산업단지</t>
    <phoneticPr fontId="2" type="noConversion"/>
  </si>
  <si>
    <t>북부광역 클러스터</t>
    <phoneticPr fontId="2" type="noConversion"/>
  </si>
  <si>
    <t>도시·주거환경정비사업</t>
    <phoneticPr fontId="2" type="noConversion"/>
  </si>
  <si>
    <t>2015년</t>
  </si>
  <si>
    <t>2020년</t>
  </si>
  <si>
    <t>2025년</t>
  </si>
  <si>
    <t>신 안 동</t>
    <phoneticPr fontId="2" type="noConversion"/>
  </si>
  <si>
    <t>청 룡 동</t>
    <phoneticPr fontId="2" type="noConversion"/>
  </si>
  <si>
    <t>일 봉 동</t>
    <phoneticPr fontId="2" type="noConversion"/>
  </si>
  <si>
    <t>원성2동</t>
    <phoneticPr fontId="2" type="noConversion"/>
  </si>
  <si>
    <t>중 앙 동</t>
    <phoneticPr fontId="2" type="noConversion"/>
  </si>
  <si>
    <t>동     면</t>
    <phoneticPr fontId="2" type="noConversion"/>
  </si>
  <si>
    <t>병 천 면</t>
    <phoneticPr fontId="2" type="noConversion"/>
  </si>
  <si>
    <t>수 신 면</t>
    <phoneticPr fontId="2" type="noConversion"/>
  </si>
  <si>
    <t>성 남 면</t>
    <phoneticPr fontId="2" type="noConversion"/>
  </si>
  <si>
    <t>북     면</t>
    <phoneticPr fontId="2" type="noConversion"/>
  </si>
  <si>
    <t>광 덕 면</t>
    <phoneticPr fontId="2" type="noConversion"/>
  </si>
  <si>
    <t>풍 세 면</t>
    <phoneticPr fontId="2" type="noConversion"/>
  </si>
  <si>
    <t>목 천 읍</t>
    <phoneticPr fontId="2" type="noConversion"/>
  </si>
  <si>
    <t>소     계</t>
    <phoneticPr fontId="2" type="noConversion"/>
  </si>
  <si>
    <t>부 성 동</t>
    <phoneticPr fontId="2" type="noConversion"/>
  </si>
  <si>
    <t>백 석 동</t>
    <phoneticPr fontId="2" type="noConversion"/>
  </si>
  <si>
    <t>쌍용2동</t>
    <phoneticPr fontId="2" type="noConversion"/>
  </si>
  <si>
    <t>성정2동</t>
    <phoneticPr fontId="2" type="noConversion"/>
  </si>
  <si>
    <t>성정1동</t>
    <phoneticPr fontId="2" type="noConversion"/>
  </si>
  <si>
    <t>입 장 면</t>
    <phoneticPr fontId="2" type="noConversion"/>
  </si>
  <si>
    <t>직 산 읍</t>
    <phoneticPr fontId="2" type="noConversion"/>
  </si>
  <si>
    <t>성 거 읍</t>
    <phoneticPr fontId="2" type="noConversion"/>
  </si>
  <si>
    <t>합     계</t>
    <phoneticPr fontId="2" type="noConversion"/>
  </si>
  <si>
    <t>2025년</t>
    <phoneticPr fontId="2" type="noConversion"/>
  </si>
  <si>
    <t>2020년</t>
    <phoneticPr fontId="2" type="noConversion"/>
  </si>
  <si>
    <t>2015년</t>
    <phoneticPr fontId="2" type="noConversion"/>
  </si>
  <si>
    <t>2010년</t>
    <phoneticPr fontId="2" type="noConversion"/>
  </si>
  <si>
    <t>2007년</t>
    <phoneticPr fontId="2" type="noConversion"/>
  </si>
  <si>
    <t>구    분</t>
    <phoneticPr fontId="2" type="noConversion"/>
  </si>
  <si>
    <t>청룡동</t>
    <phoneticPr fontId="2" type="noConversion"/>
  </si>
  <si>
    <t>하수처리구역</t>
    <phoneticPr fontId="2" type="noConversion"/>
  </si>
  <si>
    <t>기  존</t>
    <phoneticPr fontId="2" type="noConversion"/>
  </si>
  <si>
    <t>입    장</t>
    <phoneticPr fontId="2" type="noConversion"/>
  </si>
  <si>
    <t>광     기</t>
    <phoneticPr fontId="2" type="noConversion"/>
  </si>
  <si>
    <t>병
천</t>
    <phoneticPr fontId="2" type="noConversion"/>
  </si>
  <si>
    <t>백석동</t>
    <phoneticPr fontId="2" type="noConversion"/>
  </si>
  <si>
    <t>업성</t>
    <phoneticPr fontId="2" type="noConversion"/>
  </si>
  <si>
    <t>천안하류</t>
  </si>
  <si>
    <t>성남면</t>
    <phoneticPr fontId="2" type="noConversion"/>
  </si>
  <si>
    <t>성
환</t>
    <phoneticPr fontId="2" type="noConversion"/>
  </si>
  <si>
    <t>풍세</t>
    <phoneticPr fontId="2" type="noConversion"/>
  </si>
  <si>
    <t>승천</t>
    <phoneticPr fontId="2" type="noConversion"/>
  </si>
  <si>
    <t>천안상류</t>
    <phoneticPr fontId="2" type="noConversion"/>
  </si>
  <si>
    <t>성거읍</t>
    <phoneticPr fontId="2" type="noConversion"/>
  </si>
  <si>
    <t>하수처리인구(인)</t>
    <phoneticPr fontId="2" type="noConversion"/>
  </si>
  <si>
    <t>계획하수량
(㎥/일)</t>
    <phoneticPr fontId="2" type="noConversion"/>
  </si>
  <si>
    <t>일평균 하수량</t>
    <phoneticPr fontId="2" type="noConversion"/>
  </si>
  <si>
    <t>계</t>
    <phoneticPr fontId="2" type="noConversion"/>
  </si>
  <si>
    <t>증  설</t>
    <phoneticPr fontId="2" type="noConversion"/>
  </si>
  <si>
    <t>시간최대 하수량</t>
    <phoneticPr fontId="2" type="noConversion"/>
  </si>
  <si>
    <t>(단위 : 인)</t>
    <phoneticPr fontId="2" type="noConversion"/>
  </si>
  <si>
    <t>유입인구(인)</t>
    <phoneticPr fontId="2" type="noConversion"/>
  </si>
  <si>
    <t>개발지구</t>
    <phoneticPr fontId="2" type="noConversion"/>
  </si>
  <si>
    <t>천안하류</t>
    <phoneticPr fontId="2" type="noConversion"/>
  </si>
  <si>
    <t>원     성</t>
    <phoneticPr fontId="2" type="noConversion"/>
  </si>
  <si>
    <t>삼     룡</t>
    <phoneticPr fontId="2" type="noConversion"/>
  </si>
  <si>
    <t>성환</t>
    <phoneticPr fontId="2" type="noConversion"/>
  </si>
  <si>
    <t>병     천</t>
    <phoneticPr fontId="2" type="noConversion"/>
  </si>
  <si>
    <t>-</t>
    <phoneticPr fontId="2" type="noConversion"/>
  </si>
  <si>
    <t>수신일반산업단지</t>
    <phoneticPr fontId="2" type="noConversion"/>
  </si>
  <si>
    <t>0~4세</t>
    <phoneticPr fontId="2" type="noConversion"/>
  </si>
  <si>
    <t>15~19세</t>
    <phoneticPr fontId="2" type="noConversion"/>
  </si>
  <si>
    <t>40~44세</t>
    <phoneticPr fontId="2" type="noConversion"/>
  </si>
  <si>
    <t>50~54세</t>
    <phoneticPr fontId="2" type="noConversion"/>
  </si>
  <si>
    <t>55~59세</t>
    <phoneticPr fontId="2" type="noConversion"/>
  </si>
  <si>
    <t>65~69세</t>
    <phoneticPr fontId="2" type="noConversion"/>
  </si>
  <si>
    <t>70~74세</t>
    <phoneticPr fontId="2" type="noConversion"/>
  </si>
  <si>
    <t>75~79세</t>
    <phoneticPr fontId="2" type="noConversion"/>
  </si>
  <si>
    <t>80~84세</t>
    <phoneticPr fontId="2" type="noConversion"/>
  </si>
  <si>
    <t>85세 이상</t>
    <phoneticPr fontId="2" type="noConversion"/>
  </si>
  <si>
    <t>PROJECT NAME:</t>
    <phoneticPr fontId="2" type="noConversion"/>
  </si>
  <si>
    <t>천안시 인구추정</t>
    <phoneticPr fontId="2" type="noConversion"/>
  </si>
  <si>
    <t>인구현황</t>
    <phoneticPr fontId="2" type="noConversion"/>
  </si>
  <si>
    <t>인구</t>
    <phoneticPr fontId="2" type="noConversion"/>
  </si>
  <si>
    <t>증가수</t>
    <phoneticPr fontId="2" type="noConversion"/>
  </si>
  <si>
    <t>비고</t>
    <phoneticPr fontId="2" type="noConversion"/>
  </si>
  <si>
    <t>포화인구</t>
    <phoneticPr fontId="2" type="noConversion"/>
  </si>
  <si>
    <t xml:space="preserve">  ◆ 계 산 식 :</t>
    <phoneticPr fontId="2" type="noConversion"/>
  </si>
  <si>
    <t>여기서,</t>
    <phoneticPr fontId="2" type="noConversion"/>
  </si>
  <si>
    <t>A  : 연평균 인구증가수</t>
    <phoneticPr fontId="2" type="noConversion"/>
  </si>
  <si>
    <t>등차 급수법</t>
    <phoneticPr fontId="2" type="noConversion"/>
  </si>
  <si>
    <t>사회적 증가</t>
    <phoneticPr fontId="2" type="noConversion"/>
  </si>
  <si>
    <t xml:space="preserve">Yo = </t>
    <phoneticPr fontId="2" type="noConversion"/>
  </si>
  <si>
    <t xml:space="preserve">A = </t>
    <phoneticPr fontId="2" type="noConversion"/>
  </si>
  <si>
    <t>N =</t>
    <phoneticPr fontId="2" type="noConversion"/>
  </si>
  <si>
    <t>년수</t>
    <phoneticPr fontId="2" type="noConversion"/>
  </si>
  <si>
    <t>등비 급수법</t>
    <phoneticPr fontId="2" type="noConversion"/>
  </si>
  <si>
    <t>Y = Yo * (r) ^ (N)</t>
    <phoneticPr fontId="2" type="noConversion"/>
  </si>
  <si>
    <t xml:space="preserve">  다. 최소자승법에 의한 추정</t>
    <phoneticPr fontId="2" type="noConversion"/>
  </si>
  <si>
    <t xml:space="preserve">여기서,   </t>
    <phoneticPr fontId="2" type="noConversion"/>
  </si>
  <si>
    <t>n  : 인구통계 자료 수</t>
    <phoneticPr fontId="2" type="noConversion"/>
  </si>
  <si>
    <t>최소 자승법</t>
    <phoneticPr fontId="2" type="noConversion"/>
  </si>
  <si>
    <t>x</t>
    <phoneticPr fontId="2" type="noConversion"/>
  </si>
  <si>
    <t>xy</t>
    <phoneticPr fontId="2" type="noConversion"/>
  </si>
  <si>
    <t>TOTAL</t>
    <phoneticPr fontId="2" type="noConversion"/>
  </si>
  <si>
    <t>Y = a X + b</t>
    <phoneticPr fontId="2" type="noConversion"/>
  </si>
  <si>
    <t>a = (n∑xy-∑x∑y) / (n∑x2-∑x∑x) =</t>
    <phoneticPr fontId="2" type="noConversion"/>
  </si>
  <si>
    <t>자연적 증가</t>
    <phoneticPr fontId="2" type="noConversion"/>
  </si>
  <si>
    <t xml:space="preserve">  가. 자연적 증가(생잔모형법에 의한 인구증가)</t>
    <phoneticPr fontId="2" type="noConversion"/>
  </si>
  <si>
    <t xml:space="preserve"> 2.1 수학적방법에 의한 인구추정</t>
    <phoneticPr fontId="2" type="noConversion"/>
  </si>
  <si>
    <t xml:space="preserve"> 2.2 자연증가 및 사회적증가에 의한 방법</t>
    <phoneticPr fontId="2" type="noConversion"/>
  </si>
  <si>
    <t xml:space="preserve"> 1.2 과거인구 추이 분석</t>
    <phoneticPr fontId="2" type="noConversion"/>
  </si>
  <si>
    <t>2. 계획인구 추정</t>
    <phoneticPr fontId="2" type="noConversion"/>
  </si>
  <si>
    <t>구  분</t>
    <phoneticPr fontId="2" type="noConversion"/>
  </si>
  <si>
    <t>세대수
(가구)</t>
    <phoneticPr fontId="2" type="noConversion"/>
  </si>
  <si>
    <t>청수지구</t>
    <phoneticPr fontId="2" type="noConversion"/>
  </si>
  <si>
    <t>용곡동 476-2 일원</t>
    <phoneticPr fontId="2" type="noConversion"/>
  </si>
  <si>
    <t>대한주택공사</t>
    <phoneticPr fontId="2" type="noConversion"/>
  </si>
  <si>
    <t>백석4지구</t>
    <phoneticPr fontId="2" type="noConversion"/>
  </si>
  <si>
    <t>백석2지구</t>
    <phoneticPr fontId="2" type="noConversion"/>
  </si>
  <si>
    <t>추진 상황</t>
    <phoneticPr fontId="2" type="noConversion"/>
  </si>
  <si>
    <t>성 환 읍</t>
    <phoneticPr fontId="2" type="noConversion"/>
  </si>
  <si>
    <t>문 성 동</t>
    <phoneticPr fontId="2" type="noConversion"/>
  </si>
  <si>
    <t>신 방 동</t>
    <phoneticPr fontId="2" type="noConversion"/>
  </si>
  <si>
    <t>동
남
구</t>
    <phoneticPr fontId="2" type="noConversion"/>
  </si>
  <si>
    <t>비  고</t>
    <phoneticPr fontId="2" type="noConversion"/>
  </si>
  <si>
    <t>개발계획 수립
(2007. 12)</t>
    <phoneticPr fontId="2" type="noConversion"/>
  </si>
  <si>
    <t>동남구 청당동 일원</t>
    <phoneticPr fontId="2" type="noConversion"/>
  </si>
  <si>
    <t>2005~2012년</t>
    <phoneticPr fontId="2" type="noConversion"/>
  </si>
  <si>
    <t>성 환 읍</t>
  </si>
  <si>
    <t>성 거 읍</t>
  </si>
  <si>
    <t>직 산 읍</t>
  </si>
  <si>
    <t>목 천 읍</t>
  </si>
  <si>
    <t>입 장 면</t>
  </si>
  <si>
    <t>풍 세 면</t>
  </si>
  <si>
    <t>광 덕 면</t>
  </si>
  <si>
    <t>성 남 면</t>
  </si>
  <si>
    <t>수 신 면</t>
  </si>
  <si>
    <t>병 천 면</t>
  </si>
  <si>
    <t>중 앙 동</t>
  </si>
  <si>
    <t>문 성 동</t>
  </si>
  <si>
    <t>원성 1동</t>
  </si>
  <si>
    <t>원성 2동</t>
  </si>
  <si>
    <t>성정 1동</t>
  </si>
  <si>
    <t>성정 2동</t>
  </si>
  <si>
    <t>봉 명 동</t>
  </si>
  <si>
    <t>쌍용 1동</t>
  </si>
  <si>
    <t>쌍용 2동</t>
  </si>
  <si>
    <t>쌍용 3동</t>
  </si>
  <si>
    <t>백 석 동</t>
  </si>
  <si>
    <t>청 룡 동</t>
  </si>
  <si>
    <t>신 안 동</t>
  </si>
  <si>
    <t>부 성 동</t>
  </si>
  <si>
    <t>이므로</t>
  </si>
  <si>
    <t>동지역</t>
    <phoneticPr fontId="2" type="noConversion"/>
  </si>
  <si>
    <t>북  면</t>
    <phoneticPr fontId="2" type="noConversion"/>
  </si>
  <si>
    <t>병천면</t>
    <phoneticPr fontId="2" type="noConversion"/>
  </si>
  <si>
    <t>행정구역</t>
    <phoneticPr fontId="2" type="noConversion"/>
  </si>
  <si>
    <t>소  계</t>
    <phoneticPr fontId="2" type="noConversion"/>
  </si>
  <si>
    <t>성환읍</t>
    <phoneticPr fontId="2" type="noConversion"/>
  </si>
  <si>
    <t>직산읍</t>
    <phoneticPr fontId="2" type="noConversion"/>
  </si>
  <si>
    <t>택지 및 도시개발사업</t>
    <phoneticPr fontId="2" type="noConversion"/>
  </si>
  <si>
    <t>국제비즈니스파크</t>
    <phoneticPr fontId="2" type="noConversion"/>
  </si>
  <si>
    <t>청당</t>
    <phoneticPr fontId="2" type="noConversion"/>
  </si>
  <si>
    <t>부성동</t>
    <phoneticPr fontId="2" type="noConversion"/>
  </si>
  <si>
    <t>폐수처리구역</t>
    <phoneticPr fontId="2" type="noConversion"/>
  </si>
  <si>
    <t>신방 통정지구</t>
    <phoneticPr fontId="2" type="noConversion"/>
  </si>
  <si>
    <t>신방동</t>
    <phoneticPr fontId="2" type="noConversion"/>
  </si>
  <si>
    <t>입장면</t>
    <phoneticPr fontId="2" type="noConversion"/>
  </si>
  <si>
    <t xml:space="preserve"> 3.3 행정구역별 인구배분계획</t>
    <phoneticPr fontId="2" type="noConversion"/>
  </si>
  <si>
    <t>북부BIT 산업단지</t>
    <phoneticPr fontId="2" type="noConversion"/>
  </si>
  <si>
    <t>동면</t>
    <phoneticPr fontId="2" type="noConversion"/>
  </si>
  <si>
    <t>계획인구
(인)</t>
    <phoneticPr fontId="2" type="noConversion"/>
  </si>
  <si>
    <t>구 역 명</t>
    <phoneticPr fontId="2" type="noConversion"/>
  </si>
  <si>
    <t>1. 신부구역</t>
    <phoneticPr fontId="2" type="noConversion"/>
  </si>
  <si>
    <t>▣ 단계별 입주계획(사회적 유입+내부이동)</t>
    <phoneticPr fontId="2" type="noConversion"/>
  </si>
  <si>
    <t>사업완료 후 5년내</t>
    <phoneticPr fontId="2" type="noConversion"/>
  </si>
  <si>
    <t>사업완료 후 10년내</t>
    <phoneticPr fontId="2" type="noConversion"/>
  </si>
  <si>
    <t>사업완료 직후</t>
    <phoneticPr fontId="2" type="noConversion"/>
  </si>
  <si>
    <t>보급율(%)</t>
    <phoneticPr fontId="2" type="noConversion"/>
  </si>
  <si>
    <t>쌍용1동</t>
    <phoneticPr fontId="2" type="noConversion"/>
  </si>
  <si>
    <t>쌍용3동</t>
    <phoneticPr fontId="2" type="noConversion"/>
  </si>
  <si>
    <t xml:space="preserve">  3.2.1 사회적 유입인구 배분</t>
    <phoneticPr fontId="2" type="noConversion"/>
  </si>
  <si>
    <t xml:space="preserve">   가. 산업단지조성사업</t>
    <phoneticPr fontId="2" type="noConversion"/>
  </si>
  <si>
    <t xml:space="preserve">   다. 도시개발사업</t>
    <phoneticPr fontId="2" type="noConversion"/>
  </si>
  <si>
    <t xml:space="preserve">   라. 도시·주거환경정비사업</t>
    <phoneticPr fontId="2" type="noConversion"/>
  </si>
  <si>
    <t>수용인구
(인)</t>
    <phoneticPr fontId="2" type="noConversion"/>
  </si>
  <si>
    <t>일봉동</t>
    <phoneticPr fontId="2" type="noConversion"/>
  </si>
  <si>
    <t>입장</t>
    <phoneticPr fontId="2" type="noConversion"/>
  </si>
  <si>
    <t>원성1동</t>
    <phoneticPr fontId="2" type="noConversion"/>
  </si>
  <si>
    <t>국제비즈니스파크
조성사업</t>
    <phoneticPr fontId="2" type="noConversion"/>
  </si>
  <si>
    <t>입장밸리 산업단지</t>
    <phoneticPr fontId="2" type="noConversion"/>
  </si>
  <si>
    <t>개발지구 계획인구(인)</t>
    <phoneticPr fontId="2" type="noConversion"/>
  </si>
  <si>
    <t xml:space="preserve"> 3.2 인구 배분계획</t>
    <phoneticPr fontId="2" type="noConversion"/>
  </si>
  <si>
    <t xml:space="preserve">  3.2.2 각종 개발계획지구 내 인구 배분계획</t>
    <phoneticPr fontId="2" type="noConversion"/>
  </si>
  <si>
    <t xml:space="preserve">  3.3.1 사회적 유입인구만을 고려한 행정구역별 인구계획</t>
    <phoneticPr fontId="2" type="noConversion"/>
  </si>
  <si>
    <t xml:space="preserve">  3.3.2 사회적 유입인구 및 내부이동을 고려한 행정구역별 인구계획</t>
    <phoneticPr fontId="2" type="noConversion"/>
  </si>
  <si>
    <t>개발지구 인구</t>
    <phoneticPr fontId="2" type="noConversion"/>
  </si>
  <si>
    <t>기존 시가지 인구</t>
    <phoneticPr fontId="2" type="noConversion"/>
  </si>
  <si>
    <t>봉 명 동</t>
    <phoneticPr fontId="2" type="noConversion"/>
  </si>
  <si>
    <t>기존시가지인구</t>
    <phoneticPr fontId="2" type="noConversion"/>
  </si>
  <si>
    <t>성환지역</t>
    <phoneticPr fontId="2" type="noConversion"/>
  </si>
  <si>
    <t>병천지역</t>
    <phoneticPr fontId="2" type="noConversion"/>
  </si>
  <si>
    <t>풍세지역</t>
    <phoneticPr fontId="2" type="noConversion"/>
  </si>
  <si>
    <t>풍세면</t>
    <phoneticPr fontId="2" type="noConversion"/>
  </si>
  <si>
    <t>수신면</t>
    <phoneticPr fontId="2" type="noConversion"/>
  </si>
  <si>
    <t>서
북
구</t>
    <phoneticPr fontId="2" type="noConversion"/>
  </si>
  <si>
    <t>▣ 단계별 처리구역 편입인구</t>
    <phoneticPr fontId="2" type="noConversion"/>
  </si>
  <si>
    <t>기존 시가지</t>
    <phoneticPr fontId="2" type="noConversion"/>
  </si>
  <si>
    <t>처리구역 편입</t>
    <phoneticPr fontId="2" type="noConversion"/>
  </si>
  <si>
    <t>봉명동</t>
    <phoneticPr fontId="2" type="noConversion"/>
  </si>
  <si>
    <t>장     재</t>
    <phoneticPr fontId="2" type="noConversion"/>
  </si>
  <si>
    <t>매     곡</t>
    <phoneticPr fontId="2" type="noConversion"/>
  </si>
  <si>
    <t>업    성</t>
    <phoneticPr fontId="2" type="noConversion"/>
  </si>
  <si>
    <t>승     천</t>
    <phoneticPr fontId="2" type="noConversion"/>
  </si>
  <si>
    <t>(단위 : ㎢)</t>
    <phoneticPr fontId="2" type="noConversion"/>
  </si>
  <si>
    <t>1. 천안시 과거인구 변화추이</t>
    <phoneticPr fontId="2" type="noConversion"/>
  </si>
  <si>
    <t xml:space="preserve"> 1.1 과거인구 추이</t>
    <phoneticPr fontId="2" type="noConversion"/>
  </si>
  <si>
    <t>(단위 : 인)</t>
    <phoneticPr fontId="2" type="noConversion"/>
  </si>
  <si>
    <t>구  분</t>
    <phoneticPr fontId="2" type="noConversion"/>
  </si>
  <si>
    <t>인구증감율(%)</t>
    <phoneticPr fontId="2" type="noConversion"/>
  </si>
  <si>
    <t>2003년</t>
    <phoneticPr fontId="2" type="noConversion"/>
  </si>
  <si>
    <t>2004년</t>
    <phoneticPr fontId="2" type="noConversion"/>
  </si>
  <si>
    <t>2005년</t>
    <phoneticPr fontId="2" type="noConversion"/>
  </si>
  <si>
    <t>2006년</t>
    <phoneticPr fontId="2" type="noConversion"/>
  </si>
  <si>
    <t>2007년</t>
    <phoneticPr fontId="2" type="noConversion"/>
  </si>
  <si>
    <t>과거 10년</t>
    <phoneticPr fontId="2" type="noConversion"/>
  </si>
  <si>
    <t>최근 5년</t>
    <phoneticPr fontId="2" type="noConversion"/>
  </si>
  <si>
    <t>총   인   구</t>
    <phoneticPr fontId="2" type="noConversion"/>
  </si>
  <si>
    <t>합      계</t>
    <phoneticPr fontId="2" type="noConversion"/>
  </si>
  <si>
    <t>세대(가구)</t>
    <phoneticPr fontId="2" type="noConversion"/>
  </si>
  <si>
    <t>세대당 인구</t>
    <phoneticPr fontId="2" type="noConversion"/>
  </si>
  <si>
    <t>인구증감율(%)</t>
    <phoneticPr fontId="2" type="noConversion"/>
  </si>
  <si>
    <t>읍지역</t>
    <phoneticPr fontId="2" type="noConversion"/>
  </si>
  <si>
    <t>읍  지  역</t>
    <phoneticPr fontId="2" type="noConversion"/>
  </si>
  <si>
    <t>면지역</t>
    <phoneticPr fontId="2" type="noConversion"/>
  </si>
  <si>
    <t>면  지  역</t>
    <phoneticPr fontId="2" type="noConversion"/>
  </si>
  <si>
    <t>동지역</t>
    <phoneticPr fontId="2" type="noConversion"/>
  </si>
  <si>
    <t>동  지  역</t>
    <phoneticPr fontId="2" type="noConversion"/>
  </si>
  <si>
    <t>소   계</t>
    <phoneticPr fontId="2" type="noConversion"/>
  </si>
  <si>
    <t>서
북
구</t>
    <phoneticPr fontId="2" type="noConversion"/>
  </si>
  <si>
    <t>동
남
구</t>
    <phoneticPr fontId="2" type="noConversion"/>
  </si>
  <si>
    <t>북    면</t>
    <phoneticPr fontId="2" type="noConversion"/>
  </si>
  <si>
    <t>동    면</t>
    <phoneticPr fontId="2" type="noConversion"/>
  </si>
  <si>
    <t>일 봉 동</t>
    <phoneticPr fontId="2" type="noConversion"/>
  </si>
  <si>
    <t>일봉동</t>
    <phoneticPr fontId="2" type="noConversion"/>
  </si>
  <si>
    <t>신 방 동</t>
    <phoneticPr fontId="2" type="noConversion"/>
  </si>
  <si>
    <t>신방동</t>
    <phoneticPr fontId="2" type="noConversion"/>
  </si>
  <si>
    <t>1997년 인구</t>
    <phoneticPr fontId="2" type="noConversion"/>
  </si>
  <si>
    <t>년도</t>
    <phoneticPr fontId="2" type="noConversion"/>
  </si>
  <si>
    <t>천안시 전체</t>
    <phoneticPr fontId="2" type="noConversion"/>
  </si>
  <si>
    <t>5년</t>
    <phoneticPr fontId="2" type="noConversion"/>
  </si>
  <si>
    <t>10년</t>
    <phoneticPr fontId="2" type="noConversion"/>
  </si>
  <si>
    <t>그래프 분석</t>
    <phoneticPr fontId="2" type="noConversion"/>
  </si>
  <si>
    <t>인구변화</t>
    <phoneticPr fontId="2" type="noConversion"/>
  </si>
  <si>
    <t>증감
(인)</t>
    <phoneticPr fontId="2" type="noConversion"/>
  </si>
  <si>
    <t>증감율
(%)</t>
    <phoneticPr fontId="2" type="noConversion"/>
  </si>
  <si>
    <t>변화값</t>
    <phoneticPr fontId="2" type="noConversion"/>
  </si>
  <si>
    <t>인구 현황분석</t>
    <phoneticPr fontId="2" type="noConversion"/>
  </si>
  <si>
    <t>30%는 자연적 증가분이며, 나머지 70%는 정부정책이나 방침에 의해 증가하는 사회적 요인으로 분석되 도시의 발전이 급속하게 이루어지고 있음을 보여주고 있다.</t>
    <phoneticPr fontId="2" type="noConversion"/>
  </si>
  <si>
    <t>년도</t>
    <phoneticPr fontId="2" type="noConversion"/>
  </si>
  <si>
    <t>2001년, 2004년 높은 인구증가율은 주변 개발로인한 것이고, 인구증가가 안정세에 접어들고 있다고 판단됨.</t>
    <phoneticPr fontId="2" type="noConversion"/>
  </si>
  <si>
    <t>도심 생활권과 가까워 개발이 활발하고 계획중인 지역어어서 폭발적인 인구 증가를 보이고 앞으로도 꾸준한 증가세가 예상됨.</t>
    <phoneticPr fontId="2" type="noConversion"/>
  </si>
  <si>
    <t>도심 생활권과 인접하고 있어서 지속적으로 인구증가가 예상된다.</t>
    <phoneticPr fontId="2" type="noConversion"/>
  </si>
  <si>
    <t>도심 생활권과 가까워 개발계획이 활발하고 계획중인 지역이어서 폭발적인 인구증가를 보이고 있으며 앞으로도 꾸준한 증가세가 예상된다.</t>
    <phoneticPr fontId="2" type="noConversion"/>
  </si>
  <si>
    <t>2004년을 기점으로 인구감소의 원인은 도심 생활권의 인구이동으로 판단됨.</t>
    <phoneticPr fontId="2" type="noConversion"/>
  </si>
  <si>
    <t>도심 생활권과 가까우나 개발이 활발하지 않아 개발된 도심 생활권으로 인구 이동이 됐다고 판단됨.</t>
    <phoneticPr fontId="2" type="noConversion"/>
  </si>
  <si>
    <t>꾸준한 인구감소의 원인은 도심생활권으로 인구이동이 됐다고 판단됨.</t>
    <phoneticPr fontId="2" type="noConversion"/>
  </si>
  <si>
    <t>2004년까지 꾸준한 인구증가를 보였으나, 이후로 도시개발이 이루어지지 않아 도심생활권으로 인구 이동이 됐다고 판단됨.</t>
    <phoneticPr fontId="2" type="noConversion"/>
  </si>
  <si>
    <t>꾸준한 인구감소의 원인은 도심 생활권으로 인구이동이 됐다고 판단됨.</t>
    <phoneticPr fontId="2" type="noConversion"/>
  </si>
  <si>
    <t>2003년,2004년은 도시개발로 인한 인구증가를 보이고 있으나, 꾸준한 감소세는 도심생활권으로 인구 이동이 됐다고 판단됨.</t>
    <phoneticPr fontId="2" type="noConversion"/>
  </si>
  <si>
    <t>천안 시가지의 중심가인 중앙동의 꾸준한 인구 감소 추세는 도심 개발이 잘 이루어진 인근 지역으로의 이동으로 판단됨.</t>
    <phoneticPr fontId="2" type="noConversion"/>
  </si>
  <si>
    <t>2003년, 2004년은 도심개발로인한 인구증가를 보이나 꾸준한 감소추세는 도심개발이 잘 이루어진 인근 지역으로의 이동으로 판단됨.</t>
    <phoneticPr fontId="2" type="noConversion"/>
  </si>
  <si>
    <t>2004년, 2005년은 도심개발로인한 인구증가를 보이나 꾸준한 감소추세는 도심개발이 잘 이루어진 인근 지역으로의 이동으로 판단됨.</t>
    <phoneticPr fontId="2" type="noConversion"/>
  </si>
  <si>
    <t>년도</t>
    <phoneticPr fontId="2" type="noConversion"/>
  </si>
  <si>
    <t>5년</t>
    <phoneticPr fontId="2" type="noConversion"/>
  </si>
  <si>
    <t>10년</t>
    <phoneticPr fontId="2" type="noConversion"/>
  </si>
  <si>
    <t>그래프 분석</t>
    <phoneticPr fontId="2" type="noConversion"/>
  </si>
  <si>
    <t>인구변화</t>
    <phoneticPr fontId="2" type="noConversion"/>
  </si>
  <si>
    <t>증감
(인)</t>
    <phoneticPr fontId="2" type="noConversion"/>
  </si>
  <si>
    <t>증감율
(%)</t>
    <phoneticPr fontId="2" type="noConversion"/>
  </si>
  <si>
    <t>변화값</t>
    <phoneticPr fontId="2" type="noConversion"/>
  </si>
  <si>
    <t>인구 현황분석</t>
    <phoneticPr fontId="2" type="noConversion"/>
  </si>
  <si>
    <t>2002년부터 2004년까지 도시개발이 이루어져 인구증가를 보였으나 약간의 감소추세는 도시개발이 잘 이루어진 인근지역으로의 이동으로 판단됨.</t>
    <phoneticPr fontId="2" type="noConversion"/>
  </si>
  <si>
    <t>도심 생활권으로 2001년~2003년의 폭발적인 인구증가는 도심개발이  활발하게 이루어 졌음을 보여준다.</t>
    <phoneticPr fontId="2" type="noConversion"/>
  </si>
  <si>
    <t>꾸준한 인구 감소추세는 도시개발이 잘 이루어진 인근지역으로의 이동으로 판단됨.</t>
    <phoneticPr fontId="2" type="noConversion"/>
  </si>
  <si>
    <t>쌍용2동(쌍용3동,백석동 포함)</t>
    <phoneticPr fontId="2" type="noConversion"/>
  </si>
  <si>
    <t>도심생활권으로 가장 개발이 활발하고 계획중이어서 폭발적인 인구증가를 보이고 앞으로도 꾸준한 증가세가 예상된다.</t>
    <phoneticPr fontId="2" type="noConversion"/>
  </si>
  <si>
    <t>일봉동, 신방동</t>
    <phoneticPr fontId="2" type="noConversion"/>
  </si>
  <si>
    <t>2005년까지 인구 변화폭이 작았으나 이후 폭발적인 인구증가는 도시개발 계획이 이루어지고 있음을 보여주고 있다.</t>
    <phoneticPr fontId="2" type="noConversion"/>
  </si>
  <si>
    <t>꾸준한 인구증가 추세는 도시개발 중이고 앞으로도  꾸준한 인구증가가 예상된다.</t>
    <phoneticPr fontId="2" type="noConversion"/>
  </si>
  <si>
    <t>2001년 이후 폭발적인 인구증가는 도시개발이 활발하게 이루어지고 있음을 보여주고 있으며 앞으로도 꾸준한 인구증가가 예상된다.</t>
    <phoneticPr fontId="2" type="noConversion"/>
  </si>
  <si>
    <t>증가율(%)</t>
    <phoneticPr fontId="2" type="noConversion"/>
  </si>
  <si>
    <t xml:space="preserve">  가. 등차급수에 의한 추정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</si>
  <si>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n</t>
    </r>
    <r>
      <rPr>
        <sz val="8"/>
        <rFont val="가는으뜸체"/>
        <family val="1"/>
        <charset val="129"/>
      </rPr>
      <t xml:space="preserve"> = Y</t>
    </r>
    <r>
      <rPr>
        <vertAlign val="subscript"/>
        <sz val="8"/>
        <rFont val="가는으뜸체"/>
        <family val="1"/>
        <charset val="129"/>
      </rPr>
      <t>o</t>
    </r>
    <r>
      <rPr>
        <sz val="8"/>
        <rFont val="가는으뜸체"/>
        <family val="1"/>
        <charset val="129"/>
      </rPr>
      <t xml:space="preserve"> + A × N</t>
    </r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</si>
  <si>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n</t>
    </r>
    <r>
      <rPr>
        <sz val="8"/>
        <rFont val="가는으뜸체"/>
        <family val="1"/>
        <charset val="129"/>
      </rPr>
      <t xml:space="preserve"> : 기준년으로부터 N년후의 인구</t>
    </r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</si>
  <si>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0</t>
    </r>
    <r>
      <rPr>
        <sz val="8"/>
        <rFont val="가는으뜸체"/>
        <family val="1"/>
        <charset val="129"/>
      </rPr>
      <t xml:space="preserve"> : 기준년도 인구</t>
    </r>
    <phoneticPr fontId="2" type="noConversion"/>
  </si>
  <si>
    <t>추정 인구</t>
    <phoneticPr fontId="2" type="noConversion"/>
  </si>
  <si>
    <t>추정총인구</t>
    <phoneticPr fontId="2" type="noConversion"/>
  </si>
  <si>
    <t>Y = Yo + A x N</t>
    <phoneticPr fontId="2" type="noConversion"/>
  </si>
  <si>
    <t xml:space="preserve">  나. 등비급수에 의한 추정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</si>
  <si>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n</t>
    </r>
    <r>
      <rPr>
        <sz val="8"/>
        <rFont val="가는으뜸체"/>
        <family val="1"/>
        <charset val="129"/>
      </rPr>
      <t xml:space="preserve"> = Y</t>
    </r>
    <r>
      <rPr>
        <vertAlign val="subscript"/>
        <sz val="8"/>
        <rFont val="가는으뜸체"/>
        <family val="1"/>
        <charset val="129"/>
      </rPr>
      <t>o</t>
    </r>
    <r>
      <rPr>
        <sz val="8"/>
        <rFont val="가는으뜸체"/>
        <family val="1"/>
        <charset val="129"/>
      </rPr>
      <t xml:space="preserve"> × ( r)</t>
    </r>
    <r>
      <rPr>
        <vertAlign val="superscript"/>
        <sz val="8"/>
        <rFont val="가는으뜸체"/>
        <family val="1"/>
        <charset val="129"/>
      </rPr>
      <t>N</t>
    </r>
    <phoneticPr fontId="2" type="noConversion"/>
  </si>
  <si>
    <r>
      <t>r  : 연평균 인구증가율 = (Y</t>
    </r>
    <r>
      <rPr>
        <vertAlign val="subscript"/>
        <sz val="8"/>
        <rFont val="가는으뜸체"/>
        <family val="1"/>
        <charset val="129"/>
      </rPr>
      <t>0</t>
    </r>
    <r>
      <rPr>
        <sz val="8"/>
        <rFont val="가는으뜸체"/>
        <family val="1"/>
        <charset val="129"/>
      </rPr>
      <t>/Y</t>
    </r>
    <r>
      <rPr>
        <vertAlign val="subscript"/>
        <sz val="8"/>
        <rFont val="가는으뜸체"/>
        <family val="1"/>
        <charset val="129"/>
      </rPr>
      <t>t</t>
    </r>
    <r>
      <rPr>
        <sz val="8"/>
        <rFont val="가는으뜸체"/>
        <family val="1"/>
        <charset val="129"/>
      </rPr>
      <t>)</t>
    </r>
    <r>
      <rPr>
        <vertAlign val="superscript"/>
        <sz val="8"/>
        <rFont val="가는으뜸체"/>
        <family val="1"/>
        <charset val="129"/>
      </rPr>
      <t>(1/t)</t>
    </r>
    <r>
      <rPr>
        <sz val="8"/>
        <rFont val="가는으뜸체"/>
        <family val="1"/>
        <charset val="129"/>
      </rPr>
      <t>-1</t>
    </r>
    <phoneticPr fontId="2" type="noConversion"/>
  </si>
  <si>
    <t xml:space="preserve">r = 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</si>
  <si>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= aX + b</t>
    </r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</si>
  <si>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: 기준년으로부터 X년후의 인구</t>
    </r>
    <phoneticPr fontId="2" type="noConversion"/>
  </si>
  <si>
    <t>X  : 기준년으로부터 경과년수</t>
    <phoneticPr fontId="2" type="noConversion"/>
  </si>
  <si>
    <t>x^2</t>
    <phoneticPr fontId="2" type="noConversion"/>
  </si>
  <si>
    <r>
      <t>b = (∑x</t>
    </r>
    <r>
      <rPr>
        <vertAlign val="superscript"/>
        <sz val="8"/>
        <rFont val="가는으뜸체"/>
        <family val="1"/>
        <charset val="129"/>
      </rPr>
      <t>2</t>
    </r>
    <r>
      <rPr>
        <sz val="8"/>
        <rFont val="가는으뜸체"/>
        <family val="1"/>
        <charset val="129"/>
      </rPr>
      <t>∑y-∑x∑xy) / (n∑x</t>
    </r>
    <r>
      <rPr>
        <vertAlign val="superscript"/>
        <sz val="8"/>
        <rFont val="가는으뜸체"/>
        <family val="1"/>
        <charset val="129"/>
      </rPr>
      <t>2</t>
    </r>
    <r>
      <rPr>
        <sz val="8"/>
        <rFont val="가는으뜸체"/>
        <family val="1"/>
        <charset val="129"/>
      </rPr>
      <t>-∑x∑x) =</t>
    </r>
    <phoneticPr fontId="2" type="noConversion"/>
  </si>
  <si>
    <t>장래 추정인구</t>
    <phoneticPr fontId="2" type="noConversion"/>
  </si>
  <si>
    <t>추정 인구</t>
    <phoneticPr fontId="2" type="noConversion"/>
  </si>
  <si>
    <t>사회적 증가</t>
    <phoneticPr fontId="2" type="noConversion"/>
  </si>
  <si>
    <t>추정총인구</t>
    <phoneticPr fontId="2" type="noConversion"/>
  </si>
  <si>
    <t>비고</t>
    <phoneticPr fontId="2" type="noConversion"/>
  </si>
  <si>
    <t xml:space="preserve">  라. 지수곡선식에 의한 추정</t>
    <phoneticPr fontId="2" type="noConversion"/>
  </si>
  <si>
    <t xml:space="preserve">  ◆ 계 산 식 :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</si>
  <si>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= Y</t>
    </r>
    <r>
      <rPr>
        <vertAlign val="subscript"/>
        <sz val="8"/>
        <rFont val="가는으뜸체"/>
        <family val="1"/>
        <charset val="129"/>
      </rPr>
      <t>o</t>
    </r>
    <r>
      <rPr>
        <sz val="8"/>
        <rFont val="가는으뜸체"/>
        <family val="1"/>
        <charset val="129"/>
      </rPr>
      <t xml:space="preserve"> + Ax</t>
    </r>
    <r>
      <rPr>
        <vertAlign val="superscript"/>
        <sz val="8"/>
        <rFont val="가는으뜸체"/>
        <family val="1"/>
        <charset val="129"/>
      </rPr>
      <t>a</t>
    </r>
    <phoneticPr fontId="2" type="noConversion"/>
  </si>
  <si>
    <t xml:space="preserve">여기서,   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</si>
  <si>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: 기준년으로부터 x년후의 인구</t>
    </r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</si>
  <si>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o</t>
    </r>
    <r>
      <rPr>
        <sz val="8"/>
        <rFont val="가는으뜸체"/>
        <family val="1"/>
        <charset val="129"/>
      </rPr>
      <t xml:space="preserve"> : 기준년의 인구</t>
    </r>
    <phoneticPr fontId="2" type="noConversion"/>
  </si>
  <si>
    <t>x : 실적 초년도부터 계획년도까지의 경과년수</t>
    <phoneticPr fontId="2" type="noConversion"/>
  </si>
  <si>
    <t>PEGGY 함수법</t>
    <phoneticPr fontId="2" type="noConversion"/>
  </si>
  <si>
    <t>인구</t>
    <phoneticPr fontId="2" type="noConversion"/>
  </si>
  <si>
    <t>x</t>
    <phoneticPr fontId="2" type="noConversion"/>
  </si>
  <si>
    <t>x^2</t>
    <phoneticPr fontId="2" type="noConversion"/>
  </si>
  <si>
    <t>y-yo</t>
    <phoneticPr fontId="2" type="noConversion"/>
  </si>
  <si>
    <t>Y</t>
    <phoneticPr fontId="2" type="noConversion"/>
  </si>
  <si>
    <t>X*Y</t>
    <phoneticPr fontId="2" type="noConversion"/>
  </si>
  <si>
    <t>TOTAL</t>
    <phoneticPr fontId="2" type="noConversion"/>
  </si>
  <si>
    <t>Y = Yo + Ax ^ a</t>
    <phoneticPr fontId="2" type="noConversion"/>
  </si>
  <si>
    <t xml:space="preserve">A = </t>
    <phoneticPr fontId="2" type="noConversion"/>
  </si>
  <si>
    <r>
      <t>a = (N∑XY-∑X∑Y) / (N∑X</t>
    </r>
    <r>
      <rPr>
        <vertAlign val="superscript"/>
        <sz val="8"/>
        <rFont val="가는으뜸체"/>
        <family val="1"/>
        <charset val="129"/>
      </rPr>
      <t>2</t>
    </r>
    <r>
      <rPr>
        <sz val="8"/>
        <rFont val="가는으뜸체"/>
        <family val="1"/>
        <charset val="129"/>
      </rPr>
      <t>-∑X∑X) =</t>
    </r>
    <phoneticPr fontId="2" type="noConversion"/>
  </si>
  <si>
    <r>
      <t>b = (∑X</t>
    </r>
    <r>
      <rPr>
        <vertAlign val="superscript"/>
        <sz val="8"/>
        <rFont val="가는으뜸체"/>
        <family val="1"/>
        <charset val="129"/>
      </rPr>
      <t>2</t>
    </r>
    <r>
      <rPr>
        <sz val="8"/>
        <rFont val="가는으뜸체"/>
        <family val="1"/>
        <charset val="129"/>
      </rPr>
      <t>∑Y-∑X∑XY) / (N∑X</t>
    </r>
    <r>
      <rPr>
        <vertAlign val="superscript"/>
        <sz val="8"/>
        <rFont val="가는으뜸체"/>
        <family val="1"/>
        <charset val="129"/>
      </rPr>
      <t>2</t>
    </r>
    <r>
      <rPr>
        <sz val="8"/>
        <rFont val="가는으뜸체"/>
        <family val="1"/>
        <charset val="129"/>
      </rPr>
      <t>-∑X∑X)</t>
    </r>
    <phoneticPr fontId="2" type="noConversion"/>
  </si>
  <si>
    <t>logA = b</t>
    <phoneticPr fontId="2" type="noConversion"/>
  </si>
  <si>
    <t>장래 추정인구</t>
    <phoneticPr fontId="2" type="noConversion"/>
  </si>
  <si>
    <t>년도</t>
    <phoneticPr fontId="2" type="noConversion"/>
  </si>
  <si>
    <t>추정 인구</t>
    <phoneticPr fontId="2" type="noConversion"/>
  </si>
  <si>
    <t>사회적 증가</t>
    <phoneticPr fontId="2" type="noConversion"/>
  </si>
  <si>
    <t>추정총인구</t>
    <phoneticPr fontId="2" type="noConversion"/>
  </si>
  <si>
    <t>비고</t>
    <phoneticPr fontId="2" type="noConversion"/>
  </si>
  <si>
    <t xml:space="preserve">  마. 로지스틱 곡선식에 의한 추정</t>
    <phoneticPr fontId="2" type="noConversion"/>
  </si>
  <si>
    <t xml:space="preserve">  ◆ 계 산 식 :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</si>
  <si>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= K / (1+e</t>
    </r>
    <r>
      <rPr>
        <vertAlign val="superscript"/>
        <sz val="8"/>
        <rFont val="가는으뜸체"/>
        <family val="1"/>
        <charset val="129"/>
      </rPr>
      <t>a-bx</t>
    </r>
    <r>
      <rPr>
        <sz val="8"/>
        <rFont val="가는으뜸체"/>
        <family val="1"/>
        <charset val="129"/>
      </rPr>
      <t>)</t>
    </r>
    <phoneticPr fontId="2" type="noConversion"/>
  </si>
  <si>
    <t xml:space="preserve">여기서,   </t>
    <phoneticPr fontId="2" type="noConversion"/>
  </si>
  <si>
    <r>
      <t>Y</t>
    </r>
    <r>
      <rPr>
        <vertAlign val="subscript"/>
        <sz val="8"/>
        <rFont val="가는으뜸체"/>
        <family val="1"/>
        <charset val="129"/>
      </rPr>
      <t>x</t>
    </r>
    <r>
      <rPr>
        <sz val="8"/>
        <rFont val="가는으뜸체"/>
        <family val="1"/>
        <charset val="129"/>
      </rPr>
      <t xml:space="preserve"> : 기준년으로부터 x년후의 인구</t>
    </r>
    <phoneticPr fontId="2" type="noConversion"/>
  </si>
  <si>
    <t>K : 포화인구</t>
    <phoneticPr fontId="2" type="noConversion"/>
  </si>
  <si>
    <t>x : 기준년으로부터 경과년수</t>
    <phoneticPr fontId="2" type="noConversion"/>
  </si>
  <si>
    <t>LOGISTIC CURVE</t>
    <phoneticPr fontId="2" type="noConversion"/>
  </si>
  <si>
    <t>k-y</t>
    <phoneticPr fontId="2" type="noConversion"/>
  </si>
  <si>
    <t>LOG y</t>
    <phoneticPr fontId="2" type="noConversion"/>
  </si>
  <si>
    <t>LOG(k-y)</t>
    <phoneticPr fontId="2" type="noConversion"/>
  </si>
  <si>
    <t>x*Y</t>
    <phoneticPr fontId="2" type="noConversion"/>
  </si>
  <si>
    <t>Yt = K / (1 + e^(a-b))</t>
    <phoneticPr fontId="2" type="noConversion"/>
  </si>
  <si>
    <t>e =</t>
    <phoneticPr fontId="2" type="noConversion"/>
  </si>
  <si>
    <t>자연대수의 밑수</t>
    <phoneticPr fontId="2" type="noConversion"/>
  </si>
  <si>
    <t>Y = LOG y - LOG(K-y)</t>
    <phoneticPr fontId="2" type="noConversion"/>
  </si>
  <si>
    <t>a = 1/ log e × (∑X∑XY-∑X²∑Y) / (N∑X²-∑X∑X) =</t>
    <phoneticPr fontId="2" type="noConversion"/>
  </si>
  <si>
    <t>b = (N∑XY-∑X∑Y) / (N∑X²-∑X∑X)</t>
    <phoneticPr fontId="2" type="noConversion"/>
  </si>
  <si>
    <t>= N∑XY / N∑X² = ∑XY / ∑X² = ∑xY / LOGe(∑x²) =</t>
    <phoneticPr fontId="2" type="noConversion"/>
  </si>
  <si>
    <t>장래 추정인구</t>
    <phoneticPr fontId="2" type="noConversion"/>
  </si>
  <si>
    <t>추정 인구</t>
    <phoneticPr fontId="2" type="noConversion"/>
  </si>
  <si>
    <t>사회적 증가</t>
    <phoneticPr fontId="2" type="noConversion"/>
  </si>
  <si>
    <t>인구추정 총괄표</t>
    <phoneticPr fontId="2" type="noConversion"/>
  </si>
  <si>
    <t>단위 : 인</t>
    <phoneticPr fontId="2" type="noConversion"/>
  </si>
  <si>
    <t>등차급수</t>
    <phoneticPr fontId="2" type="noConversion"/>
  </si>
  <si>
    <t>등비급수</t>
    <phoneticPr fontId="2" type="noConversion"/>
  </si>
  <si>
    <t>최소자승</t>
    <phoneticPr fontId="2" type="noConversion"/>
  </si>
  <si>
    <t>PEGGY함수</t>
    <phoneticPr fontId="2" type="noConversion"/>
  </si>
  <si>
    <t>LOGISTIC</t>
    <phoneticPr fontId="2" type="noConversion"/>
  </si>
  <si>
    <t>평균</t>
    <phoneticPr fontId="2" type="noConversion"/>
  </si>
  <si>
    <t>비고(계)</t>
    <phoneticPr fontId="2" type="noConversion"/>
  </si>
  <si>
    <t>2007년</t>
    <phoneticPr fontId="2" type="noConversion"/>
  </si>
  <si>
    <t>2010년</t>
    <phoneticPr fontId="2" type="noConversion"/>
  </si>
  <si>
    <t>비  고</t>
    <phoneticPr fontId="2" type="noConversion"/>
  </si>
  <si>
    <t>1.2 장래인구 추정</t>
    <phoneticPr fontId="2" type="noConversion"/>
  </si>
  <si>
    <t xml:space="preserve"> 1.2.1 수학적 추정방법에 의한 장래인구 추정</t>
    <phoneticPr fontId="2" type="noConversion"/>
  </si>
  <si>
    <t>인구추정 결과</t>
    <phoneticPr fontId="2" type="noConversion"/>
  </si>
  <si>
    <t>(단위 : 인)</t>
    <phoneticPr fontId="2" type="noConversion"/>
  </si>
  <si>
    <t>구         분</t>
    <phoneticPr fontId="2" type="noConversion"/>
  </si>
  <si>
    <t>2007년</t>
    <phoneticPr fontId="2" type="noConversion"/>
  </si>
  <si>
    <t>2010년</t>
    <phoneticPr fontId="2" type="noConversion"/>
  </si>
  <si>
    <t>비  고</t>
    <phoneticPr fontId="2" type="noConversion"/>
  </si>
  <si>
    <t>과거 10년 기준</t>
    <phoneticPr fontId="2" type="noConversion"/>
  </si>
  <si>
    <t>등차급수법</t>
    <phoneticPr fontId="2" type="noConversion"/>
  </si>
  <si>
    <t>등비급수법</t>
    <phoneticPr fontId="2" type="noConversion"/>
  </si>
  <si>
    <t>최소자승법</t>
    <phoneticPr fontId="2" type="noConversion"/>
  </si>
  <si>
    <t>지수함수법</t>
    <phoneticPr fontId="2" type="noConversion"/>
  </si>
  <si>
    <t>Logistic곡선법</t>
    <phoneticPr fontId="2" type="noConversion"/>
  </si>
  <si>
    <t>평  균</t>
    <phoneticPr fontId="2" type="noConversion"/>
  </si>
  <si>
    <t>등비급수 제외</t>
    <phoneticPr fontId="2" type="noConversion"/>
  </si>
  <si>
    <t>최근 5년 기준</t>
    <phoneticPr fontId="2" type="noConversion"/>
  </si>
  <si>
    <t>5년 기준</t>
    <phoneticPr fontId="2" type="noConversion"/>
  </si>
  <si>
    <t>10년 기준</t>
    <phoneticPr fontId="2" type="noConversion"/>
  </si>
  <si>
    <t>평 균</t>
    <phoneticPr fontId="2" type="noConversion"/>
  </si>
  <si>
    <t>5~9세</t>
    <phoneticPr fontId="2" type="noConversion"/>
  </si>
  <si>
    <t>10~14세</t>
    <phoneticPr fontId="2" type="noConversion"/>
  </si>
  <si>
    <t>20~24세</t>
    <phoneticPr fontId="2" type="noConversion"/>
  </si>
  <si>
    <t>25~29세</t>
    <phoneticPr fontId="2" type="noConversion"/>
  </si>
  <si>
    <t>30~34세</t>
    <phoneticPr fontId="2" type="noConversion"/>
  </si>
  <si>
    <t>35~39세</t>
    <phoneticPr fontId="2" type="noConversion"/>
  </si>
  <si>
    <t>45~49세</t>
    <phoneticPr fontId="2" type="noConversion"/>
  </si>
  <si>
    <t>60~64세</t>
    <phoneticPr fontId="2" type="noConversion"/>
  </si>
  <si>
    <t>적     용</t>
    <phoneticPr fontId="2" type="noConversion"/>
  </si>
  <si>
    <t xml:space="preserve">  나. 사회적 유입인구</t>
    <phoneticPr fontId="2" type="noConversion"/>
  </si>
  <si>
    <t xml:space="preserve">    1) 개발사업 현황</t>
    <phoneticPr fontId="2" type="noConversion"/>
  </si>
  <si>
    <t xml:space="preserve">     가) 산업단지 및 산업기반시설 확충사업</t>
    <phoneticPr fontId="2" type="noConversion"/>
  </si>
  <si>
    <t>위 치</t>
    <phoneticPr fontId="2" type="noConversion"/>
  </si>
  <si>
    <t>면 적
(천㎡)</t>
    <phoneticPr fontId="2" type="noConversion"/>
  </si>
  <si>
    <t>사업시행자</t>
    <phoneticPr fontId="2" type="noConversion"/>
  </si>
  <si>
    <t>사업기간</t>
    <phoneticPr fontId="2" type="noConversion"/>
  </si>
  <si>
    <t>세대수</t>
    <phoneticPr fontId="2" type="noConversion"/>
  </si>
  <si>
    <t>제5일반산업단지</t>
    <phoneticPr fontId="2" type="noConversion"/>
  </si>
  <si>
    <t>동남구 성남면 대화리 일원</t>
    <phoneticPr fontId="2" type="noConversion"/>
  </si>
  <si>
    <t>천안시</t>
    <phoneticPr fontId="2" type="noConversion"/>
  </si>
  <si>
    <t>2006~2011년</t>
    <phoneticPr fontId="2" type="noConversion"/>
  </si>
  <si>
    <t>산업단지 지정고시
(2007. 11)</t>
    <phoneticPr fontId="2" type="noConversion"/>
  </si>
  <si>
    <t>제3산업단지 확장</t>
    <phoneticPr fontId="2" type="noConversion"/>
  </si>
  <si>
    <t>서북구 차암동 일원</t>
    <phoneticPr fontId="2" type="noConversion"/>
  </si>
  <si>
    <t>산업단지 지정변경
승인(2008.5)</t>
    <phoneticPr fontId="2" type="noConversion"/>
  </si>
  <si>
    <t>풍세 산업단지</t>
    <phoneticPr fontId="2" type="noConversion"/>
  </si>
  <si>
    <t>동남구 풍세면 보성리 일원</t>
    <phoneticPr fontId="2" type="noConversion"/>
  </si>
  <si>
    <t>㈜ 세흥</t>
    <phoneticPr fontId="2" type="noConversion"/>
  </si>
  <si>
    <t>2005~2011년</t>
    <phoneticPr fontId="2" type="noConversion"/>
  </si>
  <si>
    <t>실시계획 승인
(2009.1)</t>
    <phoneticPr fontId="2" type="noConversion"/>
  </si>
  <si>
    <t>동남구 동면 송연리 일원</t>
    <phoneticPr fontId="2" type="noConversion"/>
  </si>
  <si>
    <t>2006~2020년</t>
    <phoneticPr fontId="2" type="noConversion"/>
  </si>
  <si>
    <t>산업단지 타당성조사 완료(2007.12)</t>
    <phoneticPr fontId="2" type="noConversion"/>
  </si>
  <si>
    <t>서북구 입장면 홍천리 일원</t>
    <phoneticPr fontId="2" type="noConversion"/>
  </si>
  <si>
    <t>서북구 성환읍 와룡리 일원</t>
    <phoneticPr fontId="2" type="noConversion"/>
  </si>
  <si>
    <t>제6지방산업단지</t>
    <phoneticPr fontId="2" type="noConversion"/>
  </si>
  <si>
    <t>서북구 직산읍 남산리 일원</t>
    <phoneticPr fontId="2" type="noConversion"/>
  </si>
  <si>
    <t>2009~2020년</t>
    <phoneticPr fontId="2" type="noConversion"/>
  </si>
  <si>
    <t>사업 추진중</t>
    <phoneticPr fontId="2" type="noConversion"/>
  </si>
  <si>
    <t>서북구 입장면 가산리 일원</t>
    <phoneticPr fontId="2" type="noConversion"/>
  </si>
  <si>
    <t>산업단지 조성방안 및
타당성 검토(2006. 7)</t>
    <phoneticPr fontId="2" type="noConversion"/>
  </si>
  <si>
    <t>동남구 수신면,성남면 일원</t>
    <phoneticPr fontId="2" type="noConversion"/>
  </si>
  <si>
    <t>2009~2013년</t>
    <phoneticPr fontId="2" type="noConversion"/>
  </si>
  <si>
    <t>조사설계용역 중
(2006. 7)</t>
    <phoneticPr fontId="2" type="noConversion"/>
  </si>
  <si>
    <t>합                        계</t>
    <phoneticPr fontId="2" type="noConversion"/>
  </si>
  <si>
    <t xml:space="preserve">    나) 택지개발사업</t>
    <phoneticPr fontId="2" type="noConversion"/>
  </si>
  <si>
    <t>동남구 청수·청당·삼룡·구성·다가동 일원</t>
    <phoneticPr fontId="2" type="noConversion"/>
  </si>
  <si>
    <t>한국토지공사</t>
    <phoneticPr fontId="2" type="noConversion"/>
  </si>
  <si>
    <t>2004~2009년</t>
    <phoneticPr fontId="2" type="noConversion"/>
  </si>
  <si>
    <t>실시계획 변경 승인
(2007. 11)</t>
    <phoneticPr fontId="2" type="noConversion"/>
  </si>
  <si>
    <t>불당동, 신방동 일원</t>
    <phoneticPr fontId="2" type="noConversion"/>
  </si>
  <si>
    <t>2004~2010년</t>
    <phoneticPr fontId="2" type="noConversion"/>
  </si>
  <si>
    <t>개발계획 및 실시계획
변경 승인(2008. 10)</t>
    <phoneticPr fontId="2" type="noConversion"/>
  </si>
  <si>
    <t>불당동, 백석동, 신방동 일원</t>
    <phoneticPr fontId="2" type="noConversion"/>
  </si>
  <si>
    <t>2007~2015년</t>
    <phoneticPr fontId="2" type="noConversion"/>
  </si>
  <si>
    <t>지구지정 변경 및 개발
계획 승인(2007. 12)</t>
    <phoneticPr fontId="2" type="noConversion"/>
  </si>
  <si>
    <t>북부지구</t>
    <phoneticPr fontId="2" type="noConversion"/>
  </si>
  <si>
    <t>성거읍 오색당리,
저리, 정촌리 일원</t>
    <phoneticPr fontId="2" type="noConversion"/>
  </si>
  <si>
    <t>2007~2013년</t>
    <phoneticPr fontId="2" type="noConversion"/>
  </si>
  <si>
    <t>지구지정 및 개발계획
승인 예정(2009.)</t>
    <phoneticPr fontId="2" type="noConversion"/>
  </si>
  <si>
    <t>주 : ( )는 아산시 일부지역을 포함한 택지개발사업지구내 총 가구 및 수용인구임.</t>
    <phoneticPr fontId="2" type="noConversion"/>
  </si>
  <si>
    <t xml:space="preserve">    다) 도시개발사업</t>
    <phoneticPr fontId="2" type="noConversion"/>
  </si>
  <si>
    <t>신방동 331-1 일원</t>
    <phoneticPr fontId="2" type="noConversion"/>
  </si>
  <si>
    <t>천안시장</t>
    <phoneticPr fontId="2" type="noConversion"/>
  </si>
  <si>
    <t>실시계획 변경 승인
(2008. 12)</t>
    <phoneticPr fontId="2" type="noConversion"/>
  </si>
  <si>
    <t>쌍용·신방지구</t>
    <phoneticPr fontId="2" type="noConversion"/>
  </si>
  <si>
    <t>쌍용동 498 일원</t>
    <phoneticPr fontId="2" type="noConversion"/>
  </si>
  <si>
    <t>쌍용지구</t>
    <phoneticPr fontId="2" type="noConversion"/>
  </si>
  <si>
    <t>쌍용동 23 일원</t>
    <phoneticPr fontId="2" type="noConversion"/>
  </si>
  <si>
    <t>쌍용지구
 도시개발조합</t>
    <phoneticPr fontId="2" type="noConversion"/>
  </si>
  <si>
    <t>2006~2009년</t>
    <phoneticPr fontId="2" type="noConversion"/>
  </si>
  <si>
    <t>실시계획 승인
(2006. 4)</t>
    <phoneticPr fontId="2" type="noConversion"/>
  </si>
  <si>
    <t>백석동 76-16 일원</t>
    <phoneticPr fontId="2" type="noConversion"/>
  </si>
  <si>
    <t>실시계획 변경 승인
(2009. 3)</t>
    <phoneticPr fontId="2" type="noConversion"/>
  </si>
  <si>
    <t>백석동 78-3 일원</t>
    <phoneticPr fontId="2" type="noConversion"/>
  </si>
  <si>
    <t>2007~2010년</t>
    <phoneticPr fontId="2" type="noConversion"/>
  </si>
  <si>
    <t>실시계획 승인
(2007. 8)</t>
    <phoneticPr fontId="2" type="noConversion"/>
  </si>
  <si>
    <t>백석3지구</t>
    <phoneticPr fontId="2" type="noConversion"/>
  </si>
  <si>
    <t>백석동 81-4 일원</t>
    <phoneticPr fontId="2" type="noConversion"/>
  </si>
  <si>
    <t>백석동 121-3 일원</t>
    <phoneticPr fontId="2" type="noConversion"/>
  </si>
  <si>
    <t>백석4지구 도시
개발사업조합</t>
    <phoneticPr fontId="2" type="noConversion"/>
  </si>
  <si>
    <t>2008~2010년</t>
    <phoneticPr fontId="2" type="noConversion"/>
  </si>
  <si>
    <t>실시계획 승인
(2008. 3)</t>
    <phoneticPr fontId="2" type="noConversion"/>
  </si>
  <si>
    <t>백석 미개발지구</t>
    <phoneticPr fontId="2" type="noConversion"/>
  </si>
  <si>
    <t>백석동 일원</t>
    <phoneticPr fontId="2" type="noConversion"/>
  </si>
  <si>
    <t>추진중</t>
    <phoneticPr fontId="2" type="noConversion"/>
  </si>
  <si>
    <t>새텃말지구</t>
    <phoneticPr fontId="2" type="noConversion"/>
  </si>
  <si>
    <t>청당동 310 일원</t>
    <phoneticPr fontId="2" type="noConversion"/>
  </si>
  <si>
    <t>2008~2012년</t>
    <phoneticPr fontId="2" type="noConversion"/>
  </si>
  <si>
    <t>도시개발사업 고시
(2008. 12)</t>
    <phoneticPr fontId="2" type="noConversion"/>
  </si>
  <si>
    <t>용곡지구</t>
    <phoneticPr fontId="2" type="noConversion"/>
  </si>
  <si>
    <t>㈜상우종합건설</t>
    <phoneticPr fontId="2" type="noConversion"/>
  </si>
  <si>
    <t>2005~2010년</t>
    <phoneticPr fontId="2" type="noConversion"/>
  </si>
  <si>
    <t>공동주택건설사업에
반영</t>
    <phoneticPr fontId="2" type="noConversion"/>
  </si>
  <si>
    <t>용곡2지구</t>
    <phoneticPr fontId="2" type="noConversion"/>
  </si>
  <si>
    <t>용곡동 116-18 일원</t>
    <phoneticPr fontId="2" type="noConversion"/>
  </si>
  <si>
    <t>용곡2지구
도시개발조합</t>
    <phoneticPr fontId="2" type="noConversion"/>
  </si>
  <si>
    <t>2006~2010년</t>
    <phoneticPr fontId="2" type="noConversion"/>
  </si>
  <si>
    <t>실시계획 변경 승인
(2007. 9)</t>
    <phoneticPr fontId="2" type="noConversion"/>
  </si>
  <si>
    <t>신월 국민임대주택</t>
    <phoneticPr fontId="2" type="noConversion"/>
  </si>
  <si>
    <t>성거읍 신월리, 소우리
직산읍 삼은리 일원</t>
    <phoneticPr fontId="2" type="noConversion"/>
  </si>
  <si>
    <t>2007~2011년</t>
    <phoneticPr fontId="2" type="noConversion"/>
  </si>
  <si>
    <t>실시계획 승인
(2008. 1)</t>
    <phoneticPr fontId="2" type="noConversion"/>
  </si>
  <si>
    <t>성환읍 매주리 일원</t>
    <phoneticPr fontId="2" type="noConversion"/>
  </si>
  <si>
    <t>2015년</t>
    <phoneticPr fontId="2" type="noConversion"/>
  </si>
  <si>
    <t>구    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</si>
  <si>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</si>
  <si>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</si>
  <si>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</si>
  <si>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산업단지조성사업</t>
    <phoneticPr fontId="2" type="noConversion"/>
  </si>
  <si>
    <t>계획인구</t>
    <phoneticPr fontId="2" type="noConversion"/>
  </si>
  <si>
    <t>배수구역</t>
    <phoneticPr fontId="2" type="noConversion"/>
  </si>
  <si>
    <t>계</t>
    <phoneticPr fontId="2" type="noConversion"/>
  </si>
  <si>
    <t>합     계</t>
    <phoneticPr fontId="2" type="noConversion"/>
  </si>
  <si>
    <t>천
안</t>
    <phoneticPr fontId="2" type="noConversion"/>
  </si>
  <si>
    <t>소  계</t>
    <phoneticPr fontId="2" type="noConversion"/>
  </si>
  <si>
    <t>천안하류</t>
    <phoneticPr fontId="2" type="noConversion"/>
  </si>
  <si>
    <t>성     정</t>
    <phoneticPr fontId="2" type="noConversion"/>
  </si>
  <si>
    <t>장재</t>
    <phoneticPr fontId="2" type="noConversion"/>
  </si>
  <si>
    <t>성     환</t>
    <phoneticPr fontId="2" type="noConversion"/>
  </si>
  <si>
    <t>성환</t>
    <phoneticPr fontId="2" type="noConversion"/>
  </si>
  <si>
    <t>병천</t>
    <phoneticPr fontId="2" type="noConversion"/>
  </si>
  <si>
    <t>광기</t>
    <phoneticPr fontId="2" type="noConversion"/>
  </si>
  <si>
    <t>녹동</t>
    <phoneticPr fontId="2" type="noConversion"/>
  </si>
  <si>
    <t xml:space="preserve"> ▣ 소규모 공공하수처리시설 현황(14개소)</t>
    <phoneticPr fontId="2" type="noConversion"/>
  </si>
  <si>
    <t>행 정
구 역</t>
    <phoneticPr fontId="2" type="noConversion"/>
  </si>
  <si>
    <t>시설명</t>
    <phoneticPr fontId="2" type="noConversion"/>
  </si>
  <si>
    <t>위  치</t>
    <phoneticPr fontId="2" type="noConversion"/>
  </si>
  <si>
    <t>처리
면적
(ha)</t>
    <phoneticPr fontId="2" type="noConversion"/>
  </si>
  <si>
    <t>세대
(가구)</t>
    <phoneticPr fontId="2" type="noConversion"/>
  </si>
  <si>
    <t>처리
인구
(인)</t>
    <phoneticPr fontId="2" type="noConversion"/>
  </si>
  <si>
    <t>시설
용량
(㎥/일)</t>
    <phoneticPr fontId="2" type="noConversion"/>
  </si>
  <si>
    <t>처리공법</t>
    <phoneticPr fontId="2" type="noConversion"/>
  </si>
  <si>
    <t>설치
년도</t>
    <phoneticPr fontId="2" type="noConversion"/>
  </si>
  <si>
    <t>입장면</t>
    <phoneticPr fontId="2" type="noConversion"/>
  </si>
  <si>
    <t>양대지구</t>
    <phoneticPr fontId="2" type="noConversion"/>
  </si>
  <si>
    <t>서북구 입장면 양대리</t>
    <phoneticPr fontId="2" type="noConversion"/>
  </si>
  <si>
    <t>목천읍</t>
    <phoneticPr fontId="2" type="noConversion"/>
  </si>
  <si>
    <t>서흥지구</t>
    <phoneticPr fontId="2" type="noConversion"/>
  </si>
  <si>
    <t>동남구 목천읍 서흥리</t>
    <phoneticPr fontId="2" type="noConversion"/>
  </si>
  <si>
    <t>HANT공법</t>
    <phoneticPr fontId="2" type="noConversion"/>
  </si>
  <si>
    <t>문화마을</t>
    <phoneticPr fontId="2" type="noConversion"/>
  </si>
  <si>
    <t>북  면</t>
    <phoneticPr fontId="2" type="noConversion"/>
  </si>
  <si>
    <t>운용지구</t>
    <phoneticPr fontId="2" type="noConversion"/>
  </si>
  <si>
    <t>동남구 북면 운용리</t>
    <phoneticPr fontId="2" type="noConversion"/>
  </si>
  <si>
    <t>대평지구</t>
    <phoneticPr fontId="2" type="noConversion"/>
  </si>
  <si>
    <t>동남구 북면 대평리</t>
    <phoneticPr fontId="2" type="noConversion"/>
  </si>
  <si>
    <t>SNR공법</t>
    <phoneticPr fontId="2" type="noConversion"/>
  </si>
  <si>
    <t>평리지구</t>
    <phoneticPr fontId="2" type="noConversion"/>
  </si>
  <si>
    <t>오총 미반영</t>
    <phoneticPr fontId="2" type="noConversion"/>
  </si>
  <si>
    <t>납안지구</t>
    <phoneticPr fontId="2" type="noConversion"/>
  </si>
  <si>
    <t>동남구 북면 납안리</t>
    <phoneticPr fontId="2" type="noConversion"/>
  </si>
  <si>
    <t>도촌지구</t>
    <phoneticPr fontId="2" type="noConversion"/>
  </si>
  <si>
    <t>전곡지구</t>
    <phoneticPr fontId="2" type="noConversion"/>
  </si>
  <si>
    <t>동남구 북면 전곡리</t>
    <phoneticPr fontId="2" type="noConversion"/>
  </si>
  <si>
    <t>YM공법</t>
    <phoneticPr fontId="2" type="noConversion"/>
  </si>
  <si>
    <t>양곡지구</t>
    <phoneticPr fontId="2" type="noConversion"/>
  </si>
  <si>
    <t>동남구 북면 양곡리</t>
    <phoneticPr fontId="2" type="noConversion"/>
  </si>
  <si>
    <t>성남면</t>
    <phoneticPr fontId="2" type="noConversion"/>
  </si>
  <si>
    <t>공달원지구</t>
    <phoneticPr fontId="2" type="noConversion"/>
  </si>
  <si>
    <t>동남구 성남면 화성리</t>
    <phoneticPr fontId="2" type="noConversion"/>
  </si>
  <si>
    <t>HBC공법</t>
    <phoneticPr fontId="2" type="noConversion"/>
  </si>
  <si>
    <t>풍세면</t>
    <phoneticPr fontId="2" type="noConversion"/>
  </si>
  <si>
    <t>미죽지구</t>
    <phoneticPr fontId="2" type="noConversion"/>
  </si>
  <si>
    <t>동남구 풍세면 미죽리</t>
    <phoneticPr fontId="2" type="noConversion"/>
  </si>
  <si>
    <t>광덕면</t>
    <phoneticPr fontId="2" type="noConversion"/>
  </si>
  <si>
    <t>학교말지구</t>
    <phoneticPr fontId="2" type="noConversion"/>
  </si>
  <si>
    <t>동남구 광덕면 신흥리</t>
    <phoneticPr fontId="2" type="noConversion"/>
  </si>
  <si>
    <t>대덕지구</t>
    <phoneticPr fontId="2" type="noConversion"/>
  </si>
  <si>
    <t>동남구 광덕면 대덕리</t>
    <phoneticPr fontId="2" type="noConversion"/>
  </si>
  <si>
    <t>변형활성슬러지법</t>
    <phoneticPr fontId="2" type="noConversion"/>
  </si>
  <si>
    <t>댓거리지구</t>
    <phoneticPr fontId="2" type="noConversion"/>
  </si>
  <si>
    <t>동남구 광덕면 광덕리</t>
    <phoneticPr fontId="2" type="noConversion"/>
  </si>
  <si>
    <t>상사지구</t>
    <phoneticPr fontId="2" type="noConversion"/>
  </si>
  <si>
    <t>해수지구</t>
    <phoneticPr fontId="2" type="noConversion"/>
  </si>
  <si>
    <t>2개소</t>
    <phoneticPr fontId="2" type="noConversion"/>
  </si>
  <si>
    <t>구   분</t>
    <phoneticPr fontId="2" type="noConversion"/>
  </si>
  <si>
    <t>시설용량
(㎥/일)</t>
    <phoneticPr fontId="2" type="noConversion"/>
  </si>
  <si>
    <t>기
존</t>
    <phoneticPr fontId="2" type="noConversion"/>
  </si>
  <si>
    <t>소       계</t>
    <phoneticPr fontId="2" type="noConversion"/>
  </si>
  <si>
    <t>개량</t>
    <phoneticPr fontId="2" type="noConversion"/>
  </si>
  <si>
    <t>신
설</t>
    <phoneticPr fontId="2" type="noConversion"/>
  </si>
  <si>
    <t>성환읍</t>
    <phoneticPr fontId="2" type="noConversion"/>
  </si>
  <si>
    <t>신방지구</t>
    <phoneticPr fontId="2" type="noConversion"/>
  </si>
  <si>
    <t>석천지구</t>
    <phoneticPr fontId="2" type="noConversion"/>
  </si>
  <si>
    <t>교천지구</t>
    <phoneticPr fontId="2" type="noConversion"/>
  </si>
  <si>
    <t>도장지구</t>
    <phoneticPr fontId="2" type="noConversion"/>
  </si>
  <si>
    <t>오곡지구</t>
    <phoneticPr fontId="2" type="noConversion"/>
  </si>
  <si>
    <t>병천면</t>
    <phoneticPr fontId="2" type="noConversion"/>
  </si>
  <si>
    <t>매성지구</t>
    <phoneticPr fontId="2" type="noConversion"/>
  </si>
  <si>
    <t>봉항지구</t>
    <phoneticPr fontId="2" type="noConversion"/>
  </si>
  <si>
    <t>용두지구</t>
    <phoneticPr fontId="2" type="noConversion"/>
  </si>
  <si>
    <t>동  면</t>
    <phoneticPr fontId="2" type="noConversion"/>
  </si>
  <si>
    <t>화계지구</t>
    <phoneticPr fontId="2" type="noConversion"/>
  </si>
  <si>
    <t>수남지구</t>
    <phoneticPr fontId="2" type="noConversion"/>
  </si>
  <si>
    <t>장송지구</t>
    <phoneticPr fontId="2" type="noConversion"/>
  </si>
  <si>
    <t>수신면</t>
    <phoneticPr fontId="2" type="noConversion"/>
  </si>
  <si>
    <t>백자지구</t>
    <phoneticPr fontId="2" type="noConversion"/>
  </si>
  <si>
    <t>용정지구</t>
    <phoneticPr fontId="2" type="noConversion"/>
  </si>
  <si>
    <t>지장지구</t>
    <phoneticPr fontId="2" type="noConversion"/>
  </si>
  <si>
    <t>행정지구</t>
    <phoneticPr fontId="2" type="noConversion"/>
  </si>
  <si>
    <t>원덕지구</t>
    <phoneticPr fontId="2" type="noConversion"/>
  </si>
  <si>
    <t>합         계</t>
    <phoneticPr fontId="2" type="noConversion"/>
  </si>
  <si>
    <t>성  환</t>
    <phoneticPr fontId="2" type="noConversion"/>
  </si>
  <si>
    <t>입장밸리산업단지</t>
    <phoneticPr fontId="2" type="noConversion"/>
  </si>
  <si>
    <t>북부BIT산업단지</t>
    <phoneticPr fontId="2" type="noConversion"/>
  </si>
  <si>
    <t>북부광역클러스터</t>
    <phoneticPr fontId="2" type="noConversion"/>
  </si>
  <si>
    <t>병  천</t>
    <phoneticPr fontId="2" type="noConversion"/>
  </si>
  <si>
    <t>동부바이오산업단지</t>
    <phoneticPr fontId="2" type="noConversion"/>
  </si>
  <si>
    <t>수신일반산업단지</t>
    <phoneticPr fontId="2" type="noConversion"/>
  </si>
  <si>
    <t>풍 세</t>
    <phoneticPr fontId="2" type="noConversion"/>
  </si>
  <si>
    <t>풍세일반산업단지</t>
    <phoneticPr fontId="2" type="noConversion"/>
  </si>
  <si>
    <t>공공
하수
처리
시설</t>
    <phoneticPr fontId="2" type="noConversion"/>
  </si>
  <si>
    <t>천 안</t>
    <phoneticPr fontId="2" type="noConversion"/>
  </si>
  <si>
    <t>성 환</t>
    <phoneticPr fontId="2" type="noConversion"/>
  </si>
  <si>
    <t>병 천</t>
    <phoneticPr fontId="2" type="noConversion"/>
  </si>
  <si>
    <t>소규모하수도</t>
    <phoneticPr fontId="2" type="noConversion"/>
  </si>
  <si>
    <t>폐수
처리
시설</t>
    <phoneticPr fontId="2" type="noConversion"/>
  </si>
  <si>
    <t>처    리    인    구</t>
    <phoneticPr fontId="2" type="noConversion"/>
  </si>
  <si>
    <t>하수도 보급율(%)</t>
    <phoneticPr fontId="2" type="noConversion"/>
  </si>
  <si>
    <t>천안 공공하수처리시설 증설계획</t>
    <phoneticPr fontId="2" type="noConversion"/>
  </si>
  <si>
    <t>성환 공공하수처리시설 증설계획</t>
    <phoneticPr fontId="2" type="noConversion"/>
  </si>
  <si>
    <t>병천 공공하수처리시설 증설계획</t>
    <phoneticPr fontId="2" type="noConversion"/>
  </si>
  <si>
    <t>일최대 하수량</t>
    <phoneticPr fontId="2" type="noConversion"/>
  </si>
  <si>
    <t>천안</t>
    <phoneticPr fontId="2" type="noConversion"/>
  </si>
  <si>
    <t>동지역</t>
    <phoneticPr fontId="2" type="noConversion"/>
  </si>
  <si>
    <t>성거읍</t>
    <phoneticPr fontId="2" type="noConversion"/>
  </si>
  <si>
    <t>직산읍</t>
    <phoneticPr fontId="2" type="noConversion"/>
  </si>
  <si>
    <t>병천면 일원</t>
    <phoneticPr fontId="2" type="noConversion"/>
  </si>
  <si>
    <t>성환읍 일원</t>
    <phoneticPr fontId="2" type="noConversion"/>
  </si>
  <si>
    <t>풍세면 일원</t>
    <phoneticPr fontId="2" type="noConversion"/>
  </si>
  <si>
    <t>동    면</t>
    <phoneticPr fontId="2" type="noConversion"/>
  </si>
  <si>
    <t>배방지구
(아산신도시 1단계)</t>
    <phoneticPr fontId="2" type="noConversion"/>
  </si>
  <si>
    <t>탕정지구
(아산신도시 2단계)</t>
    <phoneticPr fontId="2" type="noConversion"/>
  </si>
  <si>
    <t>백석지구</t>
    <phoneticPr fontId="2" type="noConversion"/>
  </si>
  <si>
    <t>기준년도</t>
    <phoneticPr fontId="2" type="noConversion"/>
  </si>
  <si>
    <t>매주 지구</t>
    <phoneticPr fontId="2" type="noConversion"/>
  </si>
  <si>
    <t>청당지구</t>
    <phoneticPr fontId="2" type="noConversion"/>
  </si>
  <si>
    <t>2006~2013년</t>
    <phoneticPr fontId="2" type="noConversion"/>
  </si>
  <si>
    <t>성환 국민임대주택</t>
    <phoneticPr fontId="2" type="noConversion"/>
  </si>
  <si>
    <t>성환읍 성환리, 성월리 일원</t>
    <phoneticPr fontId="2" type="noConversion"/>
  </si>
  <si>
    <t>2009~2014년</t>
    <phoneticPr fontId="2" type="noConversion"/>
  </si>
  <si>
    <t>지구지정
(2009. 4)</t>
    <phoneticPr fontId="2" type="noConversion"/>
  </si>
  <si>
    <t>부대, 성성, 업성동 일원</t>
    <phoneticPr fontId="2" type="noConversion"/>
  </si>
  <si>
    <t>천안헤르메카
개발</t>
    <phoneticPr fontId="2" type="noConversion"/>
  </si>
  <si>
    <t>2007~2017년</t>
    <phoneticPr fontId="2" type="noConversion"/>
  </si>
  <si>
    <t>도시개발구역 지정 
신청예정(2008.12)</t>
    <phoneticPr fontId="2" type="noConversion"/>
  </si>
  <si>
    <t>합                        계</t>
    <phoneticPr fontId="2" type="noConversion"/>
  </si>
  <si>
    <t xml:space="preserve">    라) 도시·주거환경정비사업</t>
    <phoneticPr fontId="2" type="noConversion"/>
  </si>
  <si>
    <t>구 역 명</t>
    <phoneticPr fontId="2" type="noConversion"/>
  </si>
  <si>
    <t>사업유형</t>
    <phoneticPr fontId="2" type="noConversion"/>
  </si>
  <si>
    <t>위 치</t>
    <phoneticPr fontId="2" type="noConversion"/>
  </si>
  <si>
    <t>면적(㎡)</t>
    <phoneticPr fontId="2" type="noConversion"/>
  </si>
  <si>
    <t>현  황</t>
    <phoneticPr fontId="2" type="noConversion"/>
  </si>
  <si>
    <t>계   획</t>
    <phoneticPr fontId="2" type="noConversion"/>
  </si>
  <si>
    <t xml:space="preserve">    2) 외부유입율 산정</t>
    <phoneticPr fontId="2" type="noConversion"/>
  </si>
  <si>
    <t>세대수(가구)</t>
    <phoneticPr fontId="2" type="noConversion"/>
  </si>
  <si>
    <t>인구(인)</t>
    <phoneticPr fontId="2" type="noConversion"/>
  </si>
  <si>
    <t>계획인구(인)</t>
    <phoneticPr fontId="2" type="noConversion"/>
  </si>
  <si>
    <t>구  분</t>
    <phoneticPr fontId="2" type="noConversion"/>
  </si>
  <si>
    <t>인구</t>
    <phoneticPr fontId="2" type="noConversion"/>
  </si>
  <si>
    <t>증가인구</t>
    <phoneticPr fontId="2" type="noConversion"/>
  </si>
  <si>
    <t>자연증가 인구</t>
    <phoneticPr fontId="2" type="noConversion"/>
  </si>
  <si>
    <t>사회적 유입인구</t>
    <phoneticPr fontId="2" type="noConversion"/>
  </si>
  <si>
    <t>외부유입율
(%)</t>
    <phoneticPr fontId="2" type="noConversion"/>
  </si>
  <si>
    <t>1. 신부구역</t>
    <phoneticPr fontId="2" type="noConversion"/>
  </si>
  <si>
    <t>주거환경개선</t>
    <phoneticPr fontId="2" type="noConversion"/>
  </si>
  <si>
    <t>신부동 328-4번지</t>
    <phoneticPr fontId="2" type="noConversion"/>
  </si>
  <si>
    <t>자연적 증가</t>
    <phoneticPr fontId="2" type="noConversion"/>
  </si>
  <si>
    <t>출생</t>
    <phoneticPr fontId="2" type="noConversion"/>
  </si>
  <si>
    <t>사망</t>
    <phoneticPr fontId="2" type="noConversion"/>
  </si>
  <si>
    <t>2. 신부2구역</t>
    <phoneticPr fontId="2" type="noConversion"/>
  </si>
  <si>
    <t>주택재개발</t>
    <phoneticPr fontId="2" type="noConversion"/>
  </si>
  <si>
    <t>신부동 298-12번지</t>
    <phoneticPr fontId="2" type="noConversion"/>
  </si>
  <si>
    <t>1998년</t>
    <phoneticPr fontId="2" type="noConversion"/>
  </si>
  <si>
    <t>3. 신부3구역</t>
    <phoneticPr fontId="2" type="noConversion"/>
  </si>
  <si>
    <t>신부동 387-49번지</t>
    <phoneticPr fontId="2" type="noConversion"/>
  </si>
  <si>
    <t>1999년</t>
    <phoneticPr fontId="2" type="noConversion"/>
  </si>
  <si>
    <t>4. 신부주공2단지APT구역</t>
    <phoneticPr fontId="2" type="noConversion"/>
  </si>
  <si>
    <t>주택재건축</t>
    <phoneticPr fontId="2" type="noConversion"/>
  </si>
  <si>
    <t>신부동 515번지</t>
    <phoneticPr fontId="2" type="noConversion"/>
  </si>
  <si>
    <t>2000년</t>
    <phoneticPr fontId="2" type="noConversion"/>
  </si>
  <si>
    <t>5. 신부4구역</t>
    <phoneticPr fontId="2" type="noConversion"/>
  </si>
  <si>
    <t>신부동 77-76번지</t>
    <phoneticPr fontId="2" type="noConversion"/>
  </si>
  <si>
    <t>2001년</t>
    <phoneticPr fontId="2" type="noConversion"/>
  </si>
  <si>
    <t>6. 성말구역</t>
    <phoneticPr fontId="2" type="noConversion"/>
  </si>
  <si>
    <t>원성동 230-43번지</t>
    <phoneticPr fontId="2" type="noConversion"/>
  </si>
  <si>
    <t>2002년</t>
    <phoneticPr fontId="2" type="noConversion"/>
  </si>
  <si>
    <t>7. 원성1동5/6통구역</t>
    <phoneticPr fontId="2" type="noConversion"/>
  </si>
  <si>
    <t>원성동 136-8번지</t>
    <phoneticPr fontId="2" type="noConversion"/>
  </si>
  <si>
    <t>2003년</t>
    <phoneticPr fontId="2" type="noConversion"/>
  </si>
  <si>
    <t>8. 원성2구역</t>
    <phoneticPr fontId="2" type="noConversion"/>
  </si>
  <si>
    <t>원성동 457-8번지</t>
    <phoneticPr fontId="2" type="noConversion"/>
  </si>
  <si>
    <t>2004년</t>
    <phoneticPr fontId="2" type="noConversion"/>
  </si>
  <si>
    <t>9. 원성3구역</t>
    <phoneticPr fontId="2" type="noConversion"/>
  </si>
  <si>
    <t>원성동 445-19번지</t>
    <phoneticPr fontId="2" type="noConversion"/>
  </si>
  <si>
    <t>2005년</t>
    <phoneticPr fontId="2" type="noConversion"/>
  </si>
  <si>
    <t>10. 원성4구역</t>
    <phoneticPr fontId="2" type="noConversion"/>
  </si>
  <si>
    <t>원성동 468-2번지</t>
    <phoneticPr fontId="2" type="noConversion"/>
  </si>
  <si>
    <t>2006년</t>
    <phoneticPr fontId="2" type="noConversion"/>
  </si>
  <si>
    <t>11. 원성5구역</t>
    <phoneticPr fontId="2" type="noConversion"/>
  </si>
  <si>
    <t>원성동 499-6번지</t>
    <phoneticPr fontId="2" type="noConversion"/>
  </si>
  <si>
    <t>2007년</t>
    <phoneticPr fontId="2" type="noConversion"/>
  </si>
  <si>
    <t>12. 원성6구역</t>
    <phoneticPr fontId="2" type="noConversion"/>
  </si>
  <si>
    <t>원성동 482-31번지</t>
    <phoneticPr fontId="2" type="noConversion"/>
  </si>
  <si>
    <t>과거 10년 평균</t>
    <phoneticPr fontId="2" type="noConversion"/>
  </si>
  <si>
    <t>13. 원성7구역</t>
    <phoneticPr fontId="2" type="noConversion"/>
  </si>
  <si>
    <t>원성동 508-12번지</t>
    <phoneticPr fontId="2" type="noConversion"/>
  </si>
  <si>
    <t>최근 5년 평균</t>
    <phoneticPr fontId="2" type="noConversion"/>
  </si>
  <si>
    <t>14. 원성8구역</t>
    <phoneticPr fontId="2" type="noConversion"/>
  </si>
  <si>
    <t>원성동 125-14번지</t>
    <phoneticPr fontId="2" type="noConversion"/>
  </si>
  <si>
    <t>외부유입율 적용 :</t>
    <phoneticPr fontId="2" type="noConversion"/>
  </si>
  <si>
    <t>산업단지조성사업</t>
    <phoneticPr fontId="2" type="noConversion"/>
  </si>
  <si>
    <t>15. 원성9구역</t>
    <phoneticPr fontId="2" type="noConversion"/>
  </si>
  <si>
    <t>주택재개발</t>
    <phoneticPr fontId="2" type="noConversion"/>
  </si>
  <si>
    <t>원성동 515-10번지</t>
    <phoneticPr fontId="2" type="noConversion"/>
  </si>
  <si>
    <t>택지개발사업</t>
    <phoneticPr fontId="2" type="noConversion"/>
  </si>
  <si>
    <t>16. 원성10구역</t>
    <phoneticPr fontId="2" type="noConversion"/>
  </si>
  <si>
    <t>원성동 523-14번지</t>
    <phoneticPr fontId="2" type="noConversion"/>
  </si>
  <si>
    <t>도시개발사업</t>
    <phoneticPr fontId="2" type="noConversion"/>
  </si>
  <si>
    <t>17. 원성11구역</t>
    <phoneticPr fontId="2" type="noConversion"/>
  </si>
  <si>
    <t>원성동 553-1번지</t>
    <phoneticPr fontId="2" type="noConversion"/>
  </si>
  <si>
    <t>도시·주거환경정비사업</t>
    <phoneticPr fontId="2" type="noConversion"/>
  </si>
  <si>
    <t>18. 원성12구역</t>
    <phoneticPr fontId="2" type="noConversion"/>
  </si>
  <si>
    <t>원성동 550-20번지</t>
    <phoneticPr fontId="2" type="noConversion"/>
  </si>
  <si>
    <t>공동주택개발사업</t>
    <phoneticPr fontId="2" type="noConversion"/>
  </si>
  <si>
    <t>19. 원성13구역</t>
    <phoneticPr fontId="2" type="noConversion"/>
  </si>
  <si>
    <t>원성동 541-4번지</t>
    <phoneticPr fontId="2" type="noConversion"/>
  </si>
  <si>
    <t>20. 원성14구역</t>
    <phoneticPr fontId="2" type="noConversion"/>
  </si>
  <si>
    <t>원성동 633-5번지</t>
    <phoneticPr fontId="2" type="noConversion"/>
  </si>
  <si>
    <t>21. 원성15구역</t>
    <phoneticPr fontId="2" type="noConversion"/>
  </si>
  <si>
    <t>원성동 592-1번지</t>
    <phoneticPr fontId="2" type="noConversion"/>
  </si>
  <si>
    <t>22. 원성16구역</t>
    <phoneticPr fontId="2" type="noConversion"/>
  </si>
  <si>
    <t>원성동 561-18번지</t>
    <phoneticPr fontId="2" type="noConversion"/>
  </si>
  <si>
    <t>23. 원성17구역</t>
    <phoneticPr fontId="2" type="noConversion"/>
  </si>
  <si>
    <t>원성동 575번지</t>
    <phoneticPr fontId="2" type="noConversion"/>
  </si>
  <si>
    <t>24. 원성18구역</t>
    <phoneticPr fontId="2" type="noConversion"/>
  </si>
  <si>
    <t>원성동 645-13번지</t>
    <phoneticPr fontId="2" type="noConversion"/>
  </si>
  <si>
    <t>25. 구성1구역</t>
    <phoneticPr fontId="2" type="noConversion"/>
  </si>
  <si>
    <t>구성동 474-17번지</t>
    <phoneticPr fontId="2" type="noConversion"/>
  </si>
  <si>
    <t>26. 구성2구역</t>
    <phoneticPr fontId="2" type="noConversion"/>
  </si>
  <si>
    <t>구성동 429-12번지</t>
    <phoneticPr fontId="2" type="noConversion"/>
  </si>
  <si>
    <t>27. 구성3구역</t>
    <phoneticPr fontId="2" type="noConversion"/>
  </si>
  <si>
    <t>구성동 466-6번지</t>
    <phoneticPr fontId="2" type="noConversion"/>
  </si>
  <si>
    <t>28. 구성4구역</t>
    <phoneticPr fontId="2" type="noConversion"/>
  </si>
  <si>
    <t>구성동 450-11번지</t>
    <phoneticPr fontId="2" type="noConversion"/>
  </si>
  <si>
    <t>29. 문성A구역</t>
    <phoneticPr fontId="2" type="noConversion"/>
  </si>
  <si>
    <t>성황동  8-6번지</t>
    <phoneticPr fontId="2" type="noConversion"/>
  </si>
  <si>
    <t>30. 성황·원성구역</t>
    <phoneticPr fontId="2" type="noConversion"/>
  </si>
  <si>
    <t>성황동 2-61번지</t>
    <phoneticPr fontId="2" type="noConversion"/>
  </si>
  <si>
    <t>31. 성황구역</t>
    <phoneticPr fontId="2" type="noConversion"/>
  </si>
  <si>
    <t>성황동 23-28번지</t>
    <phoneticPr fontId="2" type="noConversion"/>
  </si>
  <si>
    <t>32. 성황·자유시장구역</t>
    <phoneticPr fontId="2" type="noConversion"/>
  </si>
  <si>
    <t>도시환경정비</t>
    <phoneticPr fontId="2" type="noConversion"/>
  </si>
  <si>
    <t>성황동 86-36번지</t>
    <phoneticPr fontId="2" type="noConversion"/>
  </si>
  <si>
    <t>33. 대흥1구역</t>
    <phoneticPr fontId="2" type="noConversion"/>
  </si>
  <si>
    <t>대흥동 42-9번지</t>
    <phoneticPr fontId="2" type="noConversion"/>
  </si>
  <si>
    <t>34. 대흥2구역</t>
    <phoneticPr fontId="2" type="noConversion"/>
  </si>
  <si>
    <t>대흥동 20-10번지</t>
    <phoneticPr fontId="2" type="noConversion"/>
  </si>
  <si>
    <t>35. 대흥3구역</t>
    <phoneticPr fontId="2" type="noConversion"/>
  </si>
  <si>
    <t>대흥동 79-7번지</t>
    <phoneticPr fontId="2" type="noConversion"/>
  </si>
  <si>
    <t>36. 대흥4구역</t>
    <phoneticPr fontId="2" type="noConversion"/>
  </si>
  <si>
    <t>대흥동 216-12번지</t>
    <phoneticPr fontId="2" type="noConversion"/>
  </si>
  <si>
    <t>37. 문화1구역</t>
    <phoneticPr fontId="2" type="noConversion"/>
  </si>
  <si>
    <t>문화동 81-1번지</t>
    <phoneticPr fontId="2" type="noConversion"/>
  </si>
  <si>
    <t>38. 문화3구역</t>
    <phoneticPr fontId="2" type="noConversion"/>
  </si>
  <si>
    <t>문화동 43-6번지</t>
    <phoneticPr fontId="2" type="noConversion"/>
  </si>
  <si>
    <t>39. 문화4구역</t>
    <phoneticPr fontId="2" type="noConversion"/>
  </si>
  <si>
    <t>문화동 156-1번지</t>
    <phoneticPr fontId="2" type="noConversion"/>
  </si>
  <si>
    <t>40. 오룡1구역</t>
    <phoneticPr fontId="2" type="noConversion"/>
  </si>
  <si>
    <t>오룡동 115-1번지</t>
    <phoneticPr fontId="2" type="noConversion"/>
  </si>
  <si>
    <t>위 치</t>
    <phoneticPr fontId="2" type="noConversion"/>
  </si>
  <si>
    <t>면적(㎡)</t>
    <phoneticPr fontId="2" type="noConversion"/>
  </si>
  <si>
    <t>현  황</t>
    <phoneticPr fontId="2" type="noConversion"/>
  </si>
  <si>
    <t>계   획</t>
    <phoneticPr fontId="2" type="noConversion"/>
  </si>
  <si>
    <t>41. 오룡2구역</t>
    <phoneticPr fontId="2" type="noConversion"/>
  </si>
  <si>
    <t>오룡동 67-4번지</t>
    <phoneticPr fontId="2" type="noConversion"/>
  </si>
  <si>
    <t xml:space="preserve">    3) 사회적 유입인구 산정</t>
    <phoneticPr fontId="2" type="noConversion"/>
  </si>
  <si>
    <t>42. 사직구역</t>
    <phoneticPr fontId="2" type="noConversion"/>
  </si>
  <si>
    <t>사직동 117-4번지</t>
    <phoneticPr fontId="2" type="noConversion"/>
  </si>
  <si>
    <t>유발인구
(인)</t>
    <phoneticPr fontId="2" type="noConversion"/>
  </si>
  <si>
    <t>사회적 유입인구(인)</t>
    <phoneticPr fontId="2" type="noConversion"/>
  </si>
  <si>
    <t>비  고</t>
    <phoneticPr fontId="2" type="noConversion"/>
  </si>
  <si>
    <t>43. 사직2구역</t>
    <phoneticPr fontId="2" type="noConversion"/>
  </si>
  <si>
    <t>도시환경정비</t>
    <phoneticPr fontId="2" type="noConversion"/>
  </si>
  <si>
    <t>사직동 142-1번지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</si>
  <si>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</si>
  <si>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</si>
  <si>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</si>
  <si>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</si>
  <si>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44. 사직3구역</t>
    <phoneticPr fontId="2" type="noConversion"/>
  </si>
  <si>
    <t>사직동 202-34번지</t>
    <phoneticPr fontId="2" type="noConversion"/>
  </si>
  <si>
    <t>합           계</t>
    <phoneticPr fontId="2" type="noConversion"/>
  </si>
  <si>
    <t>45. 사직4구역</t>
    <phoneticPr fontId="2" type="noConversion"/>
  </si>
  <si>
    <t>사직동 176-16번지</t>
    <phoneticPr fontId="2" type="noConversion"/>
  </si>
  <si>
    <t>산업
단지
조성
사업</t>
    <phoneticPr fontId="2" type="noConversion"/>
  </si>
  <si>
    <t>소   계</t>
    <phoneticPr fontId="2" type="noConversion"/>
  </si>
  <si>
    <t>46. 천일·중앙시장구역</t>
    <phoneticPr fontId="2" type="noConversion"/>
  </si>
  <si>
    <t>사직동 33-1번지</t>
    <phoneticPr fontId="2" type="noConversion"/>
  </si>
  <si>
    <t>47. 영성1구역</t>
    <phoneticPr fontId="2" type="noConversion"/>
  </si>
  <si>
    <t>영성동 47-34번지</t>
    <phoneticPr fontId="2" type="noConversion"/>
  </si>
  <si>
    <t>48. 영성2구역</t>
    <phoneticPr fontId="2" type="noConversion"/>
  </si>
  <si>
    <t>영성동 55-25번지</t>
    <phoneticPr fontId="2" type="noConversion"/>
  </si>
  <si>
    <t>49. 영성3구역</t>
    <phoneticPr fontId="2" type="noConversion"/>
  </si>
  <si>
    <t>영성동 94-15번지</t>
    <phoneticPr fontId="2" type="noConversion"/>
  </si>
  <si>
    <t>50. 영성4구역</t>
    <phoneticPr fontId="2" type="noConversion"/>
  </si>
  <si>
    <t>영성동 69-4번지</t>
    <phoneticPr fontId="2" type="noConversion"/>
  </si>
  <si>
    <t>51. 영성5구역</t>
    <phoneticPr fontId="2" type="noConversion"/>
  </si>
  <si>
    <t>영성동 144-6번지</t>
    <phoneticPr fontId="2" type="noConversion"/>
  </si>
  <si>
    <t>52. 영성6구역</t>
    <phoneticPr fontId="2" type="noConversion"/>
  </si>
  <si>
    <t>영성동 157-10번지</t>
    <phoneticPr fontId="2" type="noConversion"/>
  </si>
  <si>
    <t>53. 용곡구역</t>
    <phoneticPr fontId="2" type="noConversion"/>
  </si>
  <si>
    <t>용곡동 342-12번지</t>
    <phoneticPr fontId="2" type="noConversion"/>
  </si>
  <si>
    <t>54. 청수1구역</t>
    <phoneticPr fontId="2" type="noConversion"/>
  </si>
  <si>
    <t>청수동 213-60번지</t>
    <phoneticPr fontId="2" type="noConversion"/>
  </si>
  <si>
    <t>55. 청수2구역</t>
    <phoneticPr fontId="2" type="noConversion"/>
  </si>
  <si>
    <t>청수동 230-14번지</t>
    <phoneticPr fontId="2" type="noConversion"/>
  </si>
  <si>
    <t>택지
개발
사업</t>
    <phoneticPr fontId="2" type="noConversion"/>
  </si>
  <si>
    <t>56. 성정1구역</t>
    <phoneticPr fontId="2" type="noConversion"/>
  </si>
  <si>
    <t>성정동 686-20번지</t>
    <phoneticPr fontId="2" type="noConversion"/>
  </si>
  <si>
    <t>57. 성정2구역(하릿벌)</t>
    <phoneticPr fontId="2" type="noConversion"/>
  </si>
  <si>
    <t>사업유형유보</t>
    <phoneticPr fontId="2" type="noConversion"/>
  </si>
  <si>
    <t>성정동 129-22번지</t>
    <phoneticPr fontId="2" type="noConversion"/>
  </si>
  <si>
    <t>58. 성정3구역(하릿벌)</t>
    <phoneticPr fontId="2" type="noConversion"/>
  </si>
  <si>
    <t>성정동 137-22번지</t>
    <phoneticPr fontId="2" type="noConversion"/>
  </si>
  <si>
    <t>59. 성정4구역</t>
    <phoneticPr fontId="2" type="noConversion"/>
  </si>
  <si>
    <t>성정동 183-49번지</t>
    <phoneticPr fontId="2" type="noConversion"/>
  </si>
  <si>
    <t>60. 성정5구역</t>
    <phoneticPr fontId="2" type="noConversion"/>
  </si>
  <si>
    <t>성정동 197-1번지</t>
    <phoneticPr fontId="2" type="noConversion"/>
  </si>
  <si>
    <t>도시
개발
사업</t>
    <phoneticPr fontId="2" type="noConversion"/>
  </si>
  <si>
    <t>61. 성정6구역</t>
    <phoneticPr fontId="2" type="noConversion"/>
  </si>
  <si>
    <t>성정동 201-17번지</t>
    <phoneticPr fontId="2" type="noConversion"/>
  </si>
  <si>
    <t>62. 성정7구역</t>
    <phoneticPr fontId="2" type="noConversion"/>
  </si>
  <si>
    <t>성정동 243-8번지</t>
    <phoneticPr fontId="2" type="noConversion"/>
  </si>
  <si>
    <t>63. 봉명2구역</t>
    <phoneticPr fontId="2" type="noConversion"/>
  </si>
  <si>
    <t>봉명동 62-109번지</t>
    <phoneticPr fontId="2" type="noConversion"/>
  </si>
  <si>
    <t>64. 봉명3구역</t>
    <phoneticPr fontId="2" type="noConversion"/>
  </si>
  <si>
    <t>봉명동 118-59번지</t>
    <phoneticPr fontId="2" type="noConversion"/>
  </si>
  <si>
    <t>65. 봉명4구역</t>
    <phoneticPr fontId="2" type="noConversion"/>
  </si>
  <si>
    <t>봉명동 110-71번지</t>
    <phoneticPr fontId="2" type="noConversion"/>
  </si>
  <si>
    <t>66. 봉명5구역</t>
    <phoneticPr fontId="2" type="noConversion"/>
  </si>
  <si>
    <t>봉명동 50-1번지</t>
    <phoneticPr fontId="2" type="noConversion"/>
  </si>
  <si>
    <t>67. 봉명6구역</t>
    <phoneticPr fontId="2" type="noConversion"/>
  </si>
  <si>
    <t>봉명동 1-13번지</t>
    <phoneticPr fontId="2" type="noConversion"/>
  </si>
  <si>
    <t>68. 봉명7구역</t>
    <phoneticPr fontId="2" type="noConversion"/>
  </si>
  <si>
    <t>봉명동 42-25번지</t>
    <phoneticPr fontId="2" type="noConversion"/>
  </si>
  <si>
    <t>69. 봉명8구역</t>
    <phoneticPr fontId="2" type="noConversion"/>
  </si>
  <si>
    <t>봉명동 35-1번지</t>
    <phoneticPr fontId="2" type="noConversion"/>
  </si>
  <si>
    <t>70. 부창구역</t>
    <phoneticPr fontId="2" type="noConversion"/>
  </si>
  <si>
    <t>봉명동 62-53번지</t>
    <phoneticPr fontId="2" type="noConversion"/>
  </si>
  <si>
    <t>71. 성정D구역</t>
    <phoneticPr fontId="2" type="noConversion"/>
  </si>
  <si>
    <t>주거환경개선</t>
    <phoneticPr fontId="2" type="noConversion"/>
  </si>
  <si>
    <t>와촌동 126-32번지</t>
    <phoneticPr fontId="2" type="noConversion"/>
  </si>
  <si>
    <t>72. 와촌구역</t>
    <phoneticPr fontId="2" type="noConversion"/>
  </si>
  <si>
    <t>와촌동 133-6번지</t>
    <phoneticPr fontId="2" type="noConversion"/>
  </si>
  <si>
    <t>73. 다가1구역</t>
    <phoneticPr fontId="2" type="noConversion"/>
  </si>
  <si>
    <t>다가동 392-5번지</t>
    <phoneticPr fontId="2" type="noConversion"/>
  </si>
  <si>
    <t>74. 다가2구역</t>
    <phoneticPr fontId="2" type="noConversion"/>
  </si>
  <si>
    <t>다가동 382-33번지</t>
    <phoneticPr fontId="2" type="noConversion"/>
  </si>
  <si>
    <t>75. 다가3구역</t>
    <phoneticPr fontId="2" type="noConversion"/>
  </si>
  <si>
    <t>다가동 7-1번지</t>
    <phoneticPr fontId="2" type="noConversion"/>
  </si>
  <si>
    <t>76. 신선구역</t>
    <phoneticPr fontId="2" type="noConversion"/>
  </si>
  <si>
    <t>성환읍 성환리 356-22</t>
    <phoneticPr fontId="2" type="noConversion"/>
  </si>
  <si>
    <t>77. 문화2구역</t>
    <phoneticPr fontId="2" type="noConversion"/>
  </si>
  <si>
    <t>문화동 24-6번지</t>
    <phoneticPr fontId="2" type="noConversion"/>
  </si>
  <si>
    <t>공동주택건설사업</t>
    <phoneticPr fontId="2" type="noConversion"/>
  </si>
  <si>
    <t>78. 다가4구역</t>
    <phoneticPr fontId="2" type="noConversion"/>
  </si>
  <si>
    <t>다가동 367-5번지</t>
    <phoneticPr fontId="2" type="noConversion"/>
  </si>
  <si>
    <t>79. 청수3구역</t>
    <phoneticPr fontId="2" type="noConversion"/>
  </si>
  <si>
    <t>청수동 242-12번지</t>
    <phoneticPr fontId="2" type="noConversion"/>
  </si>
  <si>
    <t>80. 성정C구역</t>
    <phoneticPr fontId="2" type="noConversion"/>
  </si>
  <si>
    <t>성정동 172-1번지</t>
    <phoneticPr fontId="2" type="noConversion"/>
  </si>
  <si>
    <t>합        계</t>
    <phoneticPr fontId="2" type="noConversion"/>
  </si>
  <si>
    <t>80개소</t>
    <phoneticPr fontId="2" type="noConversion"/>
  </si>
  <si>
    <t>(2008년 6월 기준)</t>
    <phoneticPr fontId="2" type="noConversion"/>
  </si>
  <si>
    <t>공동주택명</t>
    <phoneticPr fontId="2" type="noConversion"/>
  </si>
  <si>
    <t>준공일 및
 입주예정일</t>
    <phoneticPr fontId="2" type="noConversion"/>
  </si>
  <si>
    <t>세대수
(가구)</t>
    <phoneticPr fontId="2" type="noConversion"/>
  </si>
  <si>
    <t>계획인구
(인)</t>
    <phoneticPr fontId="2" type="noConversion"/>
  </si>
  <si>
    <t>추진 상황</t>
    <phoneticPr fontId="2" type="noConversion"/>
  </si>
  <si>
    <t>청수지구 우미린</t>
    <phoneticPr fontId="2" type="noConversion"/>
  </si>
  <si>
    <t>청수택지개발지구 공동3블럭</t>
    <phoneticPr fontId="2" type="noConversion"/>
  </si>
  <si>
    <t>2010년 6월</t>
    <phoneticPr fontId="2" type="noConversion"/>
  </si>
  <si>
    <t>용곡 삼성쉐르빌</t>
    <phoneticPr fontId="2" type="noConversion"/>
  </si>
  <si>
    <t>용곡동 207-2 일원</t>
    <phoneticPr fontId="2" type="noConversion"/>
  </si>
  <si>
    <t>2009년 7월</t>
    <phoneticPr fontId="2" type="noConversion"/>
  </si>
  <si>
    <t>〃</t>
    <phoneticPr fontId="2" type="noConversion"/>
  </si>
  <si>
    <t>성거 파크자이</t>
    <phoneticPr fontId="2" type="noConversion"/>
  </si>
  <si>
    <t>성거읍 송남리 59-1 일원</t>
    <phoneticPr fontId="2" type="noConversion"/>
  </si>
  <si>
    <t>2010년 8월</t>
    <phoneticPr fontId="2" type="noConversion"/>
  </si>
  <si>
    <t>두정역 iann</t>
    <phoneticPr fontId="2" type="noConversion"/>
  </si>
  <si>
    <t>두정동 55 일원</t>
    <phoneticPr fontId="2" type="noConversion"/>
  </si>
  <si>
    <t>2010년 10월</t>
    <phoneticPr fontId="2" type="noConversion"/>
  </si>
  <si>
    <t>백석 대우푸르지오</t>
    <phoneticPr fontId="2" type="noConversion"/>
  </si>
  <si>
    <t>백석3지구 내</t>
    <phoneticPr fontId="2" type="noConversion"/>
  </si>
  <si>
    <t>2010년 2월</t>
    <phoneticPr fontId="2" type="noConversion"/>
  </si>
  <si>
    <t>백석 계룡리슈빌</t>
    <phoneticPr fontId="2" type="noConversion"/>
  </si>
  <si>
    <t>백석2지구 내</t>
    <phoneticPr fontId="2" type="noConversion"/>
  </si>
  <si>
    <t>용곡 한라비발디</t>
    <phoneticPr fontId="2" type="noConversion"/>
  </si>
  <si>
    <t>용곡동 476-2 일원</t>
    <phoneticPr fontId="2" type="noConversion"/>
  </si>
  <si>
    <t>2009년 10월</t>
    <phoneticPr fontId="2" type="noConversion"/>
  </si>
  <si>
    <t>펜타포트주상복합</t>
    <phoneticPr fontId="2" type="noConversion"/>
  </si>
  <si>
    <t>배방택지개발지구 일반상업지역내 상업용지 1블럭</t>
    <phoneticPr fontId="2" type="noConversion"/>
  </si>
  <si>
    <t>2010년 12월</t>
    <phoneticPr fontId="2" type="noConversion"/>
  </si>
  <si>
    <t>용곡 동훈더쉴</t>
    <phoneticPr fontId="2" type="noConversion"/>
  </si>
  <si>
    <t>용곡동 482-16 일원</t>
    <phoneticPr fontId="2" type="noConversion"/>
  </si>
  <si>
    <t>2009년 9월</t>
    <phoneticPr fontId="2" type="noConversion"/>
  </si>
  <si>
    <t>성환 부자마을</t>
    <phoneticPr fontId="2" type="noConversion"/>
  </si>
  <si>
    <t>성환읍 성월리 111-13</t>
    <phoneticPr fontId="2" type="noConversion"/>
  </si>
  <si>
    <t>2010년 이전</t>
    <phoneticPr fontId="2" type="noConversion"/>
  </si>
  <si>
    <t>성환 e-편한세상</t>
    <phoneticPr fontId="2" type="noConversion"/>
  </si>
  <si>
    <t>성환읍 매주리 182-10</t>
    <phoneticPr fontId="2" type="noConversion"/>
  </si>
  <si>
    <t>신방 한성필하우스</t>
    <phoneticPr fontId="2" type="noConversion"/>
  </si>
  <si>
    <t>신방통정지구 A-1블럭</t>
    <phoneticPr fontId="2" type="noConversion"/>
  </si>
  <si>
    <t>두정 대우푸르지오</t>
    <phoneticPr fontId="2" type="noConversion"/>
  </si>
  <si>
    <t>두정동 80-5 일원</t>
    <phoneticPr fontId="2" type="noConversion"/>
  </si>
  <si>
    <t>2009년 11월</t>
    <phoneticPr fontId="2" type="noConversion"/>
  </si>
  <si>
    <t>신방 한라비발디</t>
    <phoneticPr fontId="2" type="noConversion"/>
  </si>
  <si>
    <t>신방통정지구 135블럭 1롯트</t>
    <phoneticPr fontId="2" type="noConversion"/>
  </si>
  <si>
    <t>안서 금호어울림</t>
    <phoneticPr fontId="2" type="noConversion"/>
  </si>
  <si>
    <t>안서동 365-3 일원</t>
    <phoneticPr fontId="2" type="noConversion"/>
  </si>
  <si>
    <t>2008년 9월</t>
    <phoneticPr fontId="2" type="noConversion"/>
  </si>
  <si>
    <t>용곡 우림필유</t>
    <phoneticPr fontId="2" type="noConversion"/>
  </si>
  <si>
    <t>용곡동 464-4 일원</t>
    <phoneticPr fontId="2" type="noConversion"/>
  </si>
  <si>
    <t>2009년 4월</t>
    <phoneticPr fontId="2" type="noConversion"/>
  </si>
  <si>
    <t>신방 대우푸르지오</t>
    <phoneticPr fontId="2" type="noConversion"/>
  </si>
  <si>
    <t>신방통정지구 136블럭</t>
    <phoneticPr fontId="2" type="noConversion"/>
  </si>
  <si>
    <t>2008년 12월</t>
    <phoneticPr fontId="2" type="noConversion"/>
  </si>
  <si>
    <t>백석 현대 아이파크</t>
    <phoneticPr fontId="2" type="noConversion"/>
  </si>
  <si>
    <t>백석지구 1블럭</t>
    <phoneticPr fontId="2" type="noConversion"/>
  </si>
  <si>
    <t>불당 한화꿈에그린</t>
    <phoneticPr fontId="2" type="noConversion"/>
  </si>
  <si>
    <t>불당동 453-2 일원</t>
    <phoneticPr fontId="2" type="noConversion"/>
  </si>
  <si>
    <t>2008년 4월</t>
    <phoneticPr fontId="2" type="noConversion"/>
  </si>
  <si>
    <t>성환3차 부영사랑으로</t>
    <phoneticPr fontId="2" type="noConversion"/>
  </si>
  <si>
    <t>성환읍 매주리 244-5 일원</t>
    <phoneticPr fontId="2" type="noConversion"/>
  </si>
  <si>
    <t>청수 경남아너스빌</t>
    <phoneticPr fontId="2" type="noConversion"/>
  </si>
  <si>
    <t>청수동 235-1 일원</t>
    <phoneticPr fontId="2" type="noConversion"/>
  </si>
  <si>
    <t>다가 서해그랑블</t>
    <phoneticPr fontId="2" type="noConversion"/>
  </si>
  <si>
    <t>다가동 522</t>
    <phoneticPr fontId="2" type="noConversion"/>
  </si>
  <si>
    <t>2008년 7월</t>
    <phoneticPr fontId="2" type="noConversion"/>
  </si>
  <si>
    <t>용곡 세광2차엔리치</t>
    <phoneticPr fontId="2" type="noConversion"/>
  </si>
  <si>
    <t>용곡동 583(용곡2지구 내)</t>
    <phoneticPr fontId="2" type="noConversion"/>
  </si>
  <si>
    <t>쌍용 범양2차마더빌</t>
    <phoneticPr fontId="2" type="noConversion"/>
  </si>
  <si>
    <t>쌍용동 2047</t>
    <phoneticPr fontId="2" type="noConversion"/>
  </si>
  <si>
    <t>병천 모드니에APT</t>
    <phoneticPr fontId="2" type="noConversion"/>
  </si>
  <si>
    <t>병천면 병천리 302 일원</t>
    <phoneticPr fontId="2" type="noConversion"/>
  </si>
  <si>
    <t>다가 웰스빌APT</t>
    <phoneticPr fontId="2" type="noConversion"/>
  </si>
  <si>
    <t>다가동 26-1</t>
    <phoneticPr fontId="2" type="noConversion"/>
  </si>
  <si>
    <t>신당 코아루APT</t>
    <phoneticPr fontId="2" type="noConversion"/>
  </si>
  <si>
    <t>신당동 284-1</t>
    <phoneticPr fontId="2" type="noConversion"/>
  </si>
  <si>
    <t>청광 플러스원APT</t>
    <phoneticPr fontId="2" type="noConversion"/>
  </si>
  <si>
    <t>신부동 889-1 일원</t>
    <phoneticPr fontId="2" type="noConversion"/>
  </si>
  <si>
    <t>청당 신도브레뉴</t>
    <phoneticPr fontId="2" type="noConversion"/>
  </si>
  <si>
    <t>청당동 436</t>
    <phoneticPr fontId="2" type="noConversion"/>
  </si>
  <si>
    <t>직산 코아루APT</t>
    <phoneticPr fontId="2" type="noConversion"/>
  </si>
  <si>
    <t>직산읍 삼은리 395</t>
    <phoneticPr fontId="2" type="noConversion"/>
  </si>
  <si>
    <t>성거 삼환나우빌</t>
    <phoneticPr fontId="2" type="noConversion"/>
  </si>
  <si>
    <t>성거읍 신월리 2-26 일원</t>
    <phoneticPr fontId="2" type="noConversion"/>
  </si>
  <si>
    <t>안서 고운여의주APT</t>
    <phoneticPr fontId="2" type="noConversion"/>
  </si>
  <si>
    <t>안서동 223-3</t>
    <phoneticPr fontId="2" type="noConversion"/>
  </si>
  <si>
    <t>입장 주성레이크빌</t>
    <phoneticPr fontId="2" type="noConversion"/>
  </si>
  <si>
    <t>입장면 기로리 86-1</t>
    <phoneticPr fontId="2" type="noConversion"/>
  </si>
  <si>
    <t>중흥S-클래스</t>
    <phoneticPr fontId="2" type="noConversion"/>
  </si>
  <si>
    <t>청수택지개발지구 공동6블럭</t>
    <phoneticPr fontId="2" type="noConversion"/>
  </si>
  <si>
    <t>2010년 4월 예정</t>
    <phoneticPr fontId="2" type="noConversion"/>
  </si>
  <si>
    <t>주공아파트</t>
    <phoneticPr fontId="2" type="noConversion"/>
  </si>
  <si>
    <t>청수택지개발지구 공동5블럭</t>
    <phoneticPr fontId="2" type="noConversion"/>
  </si>
  <si>
    <t>2010년 2월 예정</t>
    <phoneticPr fontId="2" type="noConversion"/>
  </si>
  <si>
    <t>청수택지개발지구 공동2블럭</t>
    <phoneticPr fontId="2" type="noConversion"/>
  </si>
  <si>
    <t>다가 금호어울림</t>
    <phoneticPr fontId="2" type="noConversion"/>
  </si>
  <si>
    <t>다가동 457-1 일원</t>
    <phoneticPr fontId="2" type="noConversion"/>
  </si>
  <si>
    <t>2010년 1월 예정</t>
    <phoneticPr fontId="2" type="noConversion"/>
  </si>
  <si>
    <t>삼정위례성아파트</t>
    <phoneticPr fontId="2" type="noConversion"/>
  </si>
  <si>
    <t>입장면 하장리 213 일원</t>
    <phoneticPr fontId="2" type="noConversion"/>
  </si>
  <si>
    <t>2009년 10월 예정</t>
    <phoneticPr fontId="2" type="noConversion"/>
  </si>
  <si>
    <t>용곡 e-편한세상</t>
    <phoneticPr fontId="2" type="noConversion"/>
  </si>
  <si>
    <t>용곡동 18-9 일원</t>
    <phoneticPr fontId="2" type="noConversion"/>
  </si>
  <si>
    <t>2010년 5월 예정</t>
    <phoneticPr fontId="2" type="noConversion"/>
  </si>
  <si>
    <t>용곡 동일하이빌3차</t>
    <phoneticPr fontId="2" type="noConversion"/>
  </si>
  <si>
    <t>용곡동 253 일원</t>
    <phoneticPr fontId="2" type="noConversion"/>
  </si>
  <si>
    <t>용곡 동일하이빌2차</t>
    <phoneticPr fontId="2" type="noConversion"/>
  </si>
  <si>
    <t>용곡동 226-8 일원</t>
    <phoneticPr fontId="2" type="noConversion"/>
  </si>
  <si>
    <t>호반베르디움아파트</t>
    <phoneticPr fontId="2" type="noConversion"/>
  </si>
  <si>
    <t>청수택지개발지구 B-2블럭</t>
    <phoneticPr fontId="2" type="noConversion"/>
  </si>
  <si>
    <t>2010년 7월 예정</t>
    <phoneticPr fontId="2" type="noConversion"/>
  </si>
  <si>
    <t>한화꿈에그린</t>
    <phoneticPr fontId="2" type="noConversion"/>
  </si>
  <si>
    <t>청수택지개발지구 C-1블럭</t>
    <phoneticPr fontId="2" type="noConversion"/>
  </si>
  <si>
    <t>한양수자인아파트</t>
    <phoneticPr fontId="2" type="noConversion"/>
  </si>
  <si>
    <t>청수택지개발지구 B-1블럭</t>
    <phoneticPr fontId="2" type="noConversion"/>
  </si>
  <si>
    <t>2010년 6월 예정</t>
    <phoneticPr fontId="2" type="noConversion"/>
  </si>
  <si>
    <t>합                        계</t>
    <phoneticPr fontId="2" type="noConversion"/>
  </si>
  <si>
    <t>주) 택지개발지구 및 도시개발사업지구내 공동주택은 수용인구에서 제외하였음.</t>
    <phoneticPr fontId="2" type="noConversion"/>
  </si>
  <si>
    <t>3. 계획인구</t>
    <phoneticPr fontId="2" type="noConversion"/>
  </si>
  <si>
    <t xml:space="preserve"> 3.1 계획인구 결정</t>
    <phoneticPr fontId="2" type="noConversion"/>
  </si>
  <si>
    <t>(단위 : 인)</t>
    <phoneticPr fontId="2" type="noConversion"/>
  </si>
  <si>
    <t>구    분</t>
    <phoneticPr fontId="2" type="noConversion"/>
  </si>
  <si>
    <t>2007년</t>
    <phoneticPr fontId="2" type="noConversion"/>
  </si>
  <si>
    <t>수
학
적
방
법</t>
    <phoneticPr fontId="2" type="noConversion"/>
  </si>
  <si>
    <t>등차급수법</t>
    <phoneticPr fontId="2" type="noConversion"/>
  </si>
  <si>
    <t>등비급수법</t>
    <phoneticPr fontId="2" type="noConversion"/>
  </si>
  <si>
    <t>제  외</t>
    <phoneticPr fontId="2" type="noConversion"/>
  </si>
  <si>
    <t>최소자승법</t>
    <phoneticPr fontId="2" type="noConversion"/>
  </si>
  <si>
    <t>지수곡선식</t>
    <phoneticPr fontId="2" type="noConversion"/>
  </si>
  <si>
    <t>로지스틱곡선</t>
    <phoneticPr fontId="2" type="noConversion"/>
  </si>
  <si>
    <t>평   균</t>
    <phoneticPr fontId="2" type="noConversion"/>
  </si>
  <si>
    <t>자
연
적
·
사
회
적
증
가
에
의
한
방
법</t>
    <phoneticPr fontId="2" type="noConversion"/>
  </si>
  <si>
    <t>자연적 증가</t>
    <phoneticPr fontId="2" type="noConversion"/>
  </si>
  <si>
    <t>사
회
적
유
입</t>
    <phoneticPr fontId="2" type="noConversion"/>
  </si>
  <si>
    <t>합    계</t>
    <phoneticPr fontId="2" type="noConversion"/>
  </si>
  <si>
    <t>상위
및
관련
계획</t>
    <phoneticPr fontId="2" type="noConversion"/>
  </si>
  <si>
    <t>2020년 천안도시
기본계획</t>
    <phoneticPr fontId="2" type="noConversion"/>
  </si>
  <si>
    <t>-</t>
    <phoneticPr fontId="2" type="noConversion"/>
  </si>
  <si>
    <t>2007년 1월</t>
    <phoneticPr fontId="2" type="noConversion"/>
  </si>
  <si>
    <t>2020년 천안도시
기본계획 일부변경</t>
    <phoneticPr fontId="2" type="noConversion"/>
  </si>
  <si>
    <t>2008년 6월</t>
    <phoneticPr fontId="2" type="noConversion"/>
  </si>
  <si>
    <t>하수도정비 기본계획
(당초)</t>
    <phoneticPr fontId="2" type="noConversion"/>
  </si>
  <si>
    <t>620,000
(2011년)</t>
    <phoneticPr fontId="2" type="noConversion"/>
  </si>
  <si>
    <t>740,000
(2016년)</t>
    <phoneticPr fontId="2" type="noConversion"/>
  </si>
  <si>
    <t>840,000
(2021년)</t>
    <phoneticPr fontId="2" type="noConversion"/>
  </si>
  <si>
    <t>2002년12월</t>
    <phoneticPr fontId="2" type="noConversion"/>
  </si>
  <si>
    <t>천안시 수도정비기본계획</t>
    <phoneticPr fontId="2" type="noConversion"/>
  </si>
  <si>
    <t>2008년12월</t>
    <phoneticPr fontId="2" type="noConversion"/>
  </si>
  <si>
    <t>금강북부권 급수체계구축
(1차)사업 실시설계</t>
    <phoneticPr fontId="2" type="noConversion"/>
  </si>
  <si>
    <t>549,800
(2011년)</t>
    <phoneticPr fontId="2" type="noConversion"/>
  </si>
  <si>
    <t>596,500
(2016년)</t>
    <phoneticPr fontId="2" type="noConversion"/>
  </si>
  <si>
    <t>625,500
(2021년)</t>
    <phoneticPr fontId="2" type="noConversion"/>
  </si>
  <si>
    <t>2007년 3월</t>
    <phoneticPr fontId="2" type="noConversion"/>
  </si>
  <si>
    <t>계 획 인 구</t>
    <phoneticPr fontId="2" type="noConversion"/>
  </si>
  <si>
    <t xml:space="preserve"> ▣ 처리구역별 계획인구</t>
    <phoneticPr fontId="2" type="noConversion"/>
  </si>
  <si>
    <t>(단위 : 인)</t>
    <phoneticPr fontId="2" type="noConversion"/>
  </si>
  <si>
    <t>계획인구</t>
    <phoneticPr fontId="2" type="noConversion"/>
  </si>
  <si>
    <t>하수처리구역내 총 인구</t>
    <phoneticPr fontId="2" type="noConversion"/>
  </si>
  <si>
    <t>폐수처리구역 인구</t>
    <phoneticPr fontId="2" type="noConversion"/>
  </si>
  <si>
    <t>기존 시가지 인구(내부이동 미고려)</t>
    <phoneticPr fontId="2" type="noConversion"/>
  </si>
  <si>
    <t>내부이동+사회적유입</t>
    <phoneticPr fontId="2" type="noConversion"/>
  </si>
  <si>
    <t>기존 시가지 인구(내부이동 고려)</t>
    <phoneticPr fontId="2" type="noConversion"/>
  </si>
  <si>
    <t>사업완료 후 15년내</t>
    <phoneticPr fontId="2" type="noConversion"/>
  </si>
  <si>
    <t>읍면동</t>
    <phoneticPr fontId="2" type="noConversion"/>
  </si>
  <si>
    <t>처리분구</t>
    <phoneticPr fontId="2" type="noConversion"/>
  </si>
  <si>
    <t>사회적 유입인구(인)</t>
    <phoneticPr fontId="2" type="noConversion"/>
  </si>
  <si>
    <t>배수분구</t>
    <phoneticPr fontId="2" type="noConversion"/>
  </si>
  <si>
    <t>유발인구
(인)</t>
    <phoneticPr fontId="2" type="noConversion"/>
  </si>
  <si>
    <t>제5지방산업단지</t>
    <phoneticPr fontId="2" type="noConversion"/>
  </si>
  <si>
    <t>공동주택개발사업</t>
    <phoneticPr fontId="2" type="noConversion"/>
  </si>
  <si>
    <t>제3지방산업단지 확장</t>
    <phoneticPr fontId="2" type="noConversion"/>
  </si>
  <si>
    <t>풍세 일반산업단지</t>
    <phoneticPr fontId="2" type="noConversion"/>
  </si>
  <si>
    <t>합               계</t>
    <phoneticPr fontId="2" type="noConversion"/>
  </si>
  <si>
    <t xml:space="preserve">   나. 택지개발사업</t>
    <phoneticPr fontId="2" type="noConversion"/>
  </si>
  <si>
    <t>신방동</t>
    <phoneticPr fontId="2" type="noConversion"/>
  </si>
  <si>
    <t>업성</t>
    <phoneticPr fontId="2" type="noConversion"/>
  </si>
  <si>
    <t>신안동</t>
    <phoneticPr fontId="2" type="noConversion"/>
  </si>
  <si>
    <t>천안상류</t>
    <phoneticPr fontId="2" type="noConversion"/>
  </si>
  <si>
    <t>1. 신부구역</t>
    <phoneticPr fontId="2" type="noConversion"/>
  </si>
  <si>
    <t>신안동</t>
    <phoneticPr fontId="2" type="noConversion"/>
  </si>
  <si>
    <t>2. 신부2구역</t>
    <phoneticPr fontId="2" type="noConversion"/>
  </si>
  <si>
    <t>3. 신부3구역</t>
    <phoneticPr fontId="2" type="noConversion"/>
  </si>
  <si>
    <t>4. 신부주공2단지APT구역</t>
    <phoneticPr fontId="2" type="noConversion"/>
  </si>
  <si>
    <t>5. 신부4구역</t>
    <phoneticPr fontId="2" type="noConversion"/>
  </si>
  <si>
    <t>6. 성말구역</t>
    <phoneticPr fontId="2" type="noConversion"/>
  </si>
  <si>
    <t>원성1동</t>
    <phoneticPr fontId="2" type="noConversion"/>
  </si>
  <si>
    <t>원성</t>
    <phoneticPr fontId="2" type="noConversion"/>
  </si>
  <si>
    <t>7. 원성1동5/6통구역</t>
    <phoneticPr fontId="2" type="noConversion"/>
  </si>
  <si>
    <t>8. 원성2구역</t>
    <phoneticPr fontId="2" type="noConversion"/>
  </si>
  <si>
    <t>9. 원성3구역</t>
    <phoneticPr fontId="2" type="noConversion"/>
  </si>
  <si>
    <t>10. 원성4구역</t>
    <phoneticPr fontId="2" type="noConversion"/>
  </si>
  <si>
    <t>11. 원성5구역</t>
    <phoneticPr fontId="2" type="noConversion"/>
  </si>
  <si>
    <t>12. 원성6구역</t>
    <phoneticPr fontId="2" type="noConversion"/>
  </si>
  <si>
    <t>13. 원성7구역</t>
    <phoneticPr fontId="2" type="noConversion"/>
  </si>
  <si>
    <t>원성2동</t>
    <phoneticPr fontId="2" type="noConversion"/>
  </si>
  <si>
    <t>14. 원성8구역</t>
    <phoneticPr fontId="2" type="noConversion"/>
  </si>
  <si>
    <t>삼룡</t>
    <phoneticPr fontId="2" type="noConversion"/>
  </si>
  <si>
    <t>청룡동</t>
    <phoneticPr fontId="2" type="noConversion"/>
  </si>
  <si>
    <t>문성동</t>
    <phoneticPr fontId="2" type="noConversion"/>
  </si>
  <si>
    <t>30. 성황·원성구역</t>
    <phoneticPr fontId="2" type="noConversion"/>
  </si>
  <si>
    <t>31. 성황구역</t>
    <phoneticPr fontId="2" type="noConversion"/>
  </si>
  <si>
    <t>32. 성황·자유시장구역</t>
    <phoneticPr fontId="2" type="noConversion"/>
  </si>
  <si>
    <t>33. 대흥1구역</t>
    <phoneticPr fontId="2" type="noConversion"/>
  </si>
  <si>
    <t>중앙동</t>
    <phoneticPr fontId="2" type="noConversion"/>
  </si>
  <si>
    <t>34. 대흥2구역</t>
    <phoneticPr fontId="2" type="noConversion"/>
  </si>
  <si>
    <t>35. 대흥3구역</t>
    <phoneticPr fontId="2" type="noConversion"/>
  </si>
  <si>
    <t>36. 대흥4구역</t>
    <phoneticPr fontId="2" type="noConversion"/>
  </si>
  <si>
    <t>37. 문화1구역</t>
    <phoneticPr fontId="2" type="noConversion"/>
  </si>
  <si>
    <t>38. 문화3구역</t>
    <phoneticPr fontId="2" type="noConversion"/>
  </si>
  <si>
    <t>39. 문화4구역</t>
    <phoneticPr fontId="2" type="noConversion"/>
  </si>
  <si>
    <t>40. 오룡1구역</t>
    <phoneticPr fontId="2" type="noConversion"/>
  </si>
  <si>
    <t>구 역 명</t>
    <phoneticPr fontId="2" type="noConversion"/>
  </si>
  <si>
    <t>읍면동</t>
    <phoneticPr fontId="2" type="noConversion"/>
  </si>
  <si>
    <t>처리분구</t>
    <phoneticPr fontId="2" type="noConversion"/>
  </si>
  <si>
    <t>배수분구</t>
    <phoneticPr fontId="2" type="noConversion"/>
  </si>
  <si>
    <t>유발인구
(인)</t>
    <phoneticPr fontId="2" type="noConversion"/>
  </si>
  <si>
    <t>개발지구 계획인구(인)</t>
    <phoneticPr fontId="2" type="noConversion"/>
  </si>
  <si>
    <t>41. 오룡2구역</t>
    <phoneticPr fontId="2" type="noConversion"/>
  </si>
  <si>
    <t>42. 사직구역</t>
    <phoneticPr fontId="2" type="noConversion"/>
  </si>
  <si>
    <t>일봉동</t>
    <phoneticPr fontId="2" type="noConversion"/>
  </si>
  <si>
    <t>천안하류</t>
    <phoneticPr fontId="2" type="noConversion"/>
  </si>
  <si>
    <t>청당</t>
    <phoneticPr fontId="2" type="noConversion"/>
  </si>
  <si>
    <t>성정2동</t>
    <phoneticPr fontId="2" type="noConversion"/>
  </si>
  <si>
    <t>성정</t>
    <phoneticPr fontId="2" type="noConversion"/>
  </si>
  <si>
    <t>성정1동</t>
    <phoneticPr fontId="2" type="noConversion"/>
  </si>
  <si>
    <t>봉명동</t>
    <phoneticPr fontId="2" type="noConversion"/>
  </si>
  <si>
    <t>성환읍</t>
    <phoneticPr fontId="2" type="noConversion"/>
  </si>
  <si>
    <t>성환</t>
    <phoneticPr fontId="2" type="noConversion"/>
  </si>
  <si>
    <t>합               계</t>
    <phoneticPr fontId="2" type="noConversion"/>
  </si>
  <si>
    <t xml:space="preserve">   마. 공동주택건설사업</t>
    <phoneticPr fontId="2" type="noConversion"/>
  </si>
  <si>
    <t>구  분</t>
    <phoneticPr fontId="2" type="noConversion"/>
  </si>
  <si>
    <t>수용인구
(인)</t>
    <phoneticPr fontId="2" type="noConversion"/>
  </si>
  <si>
    <t>성거읍</t>
    <phoneticPr fontId="2" type="noConversion"/>
  </si>
  <si>
    <t>입장</t>
    <phoneticPr fontId="2" type="noConversion"/>
  </si>
  <si>
    <t>부성동</t>
    <phoneticPr fontId="2" type="noConversion"/>
  </si>
  <si>
    <t>신방동</t>
    <phoneticPr fontId="2" type="noConversion"/>
  </si>
  <si>
    <t>백석동</t>
    <phoneticPr fontId="2" type="noConversion"/>
  </si>
  <si>
    <t>쌍용2동</t>
    <phoneticPr fontId="2" type="noConversion"/>
  </si>
  <si>
    <t>병천면</t>
    <phoneticPr fontId="2" type="noConversion"/>
  </si>
  <si>
    <t>광기</t>
    <phoneticPr fontId="2" type="noConversion"/>
  </si>
  <si>
    <t>업성</t>
    <phoneticPr fontId="2" type="noConversion"/>
  </si>
  <si>
    <t>직산읍</t>
    <phoneticPr fontId="2" type="noConversion"/>
  </si>
  <si>
    <t>입장면</t>
    <phoneticPr fontId="2" type="noConversion"/>
  </si>
  <si>
    <t xml:space="preserve">   바. 읍면동별 사회적 유입인구</t>
    <phoneticPr fontId="2" type="noConversion"/>
  </si>
  <si>
    <t xml:space="preserve">   바. 읍면동별 개발지구내 계획인구</t>
    <phoneticPr fontId="2" type="noConversion"/>
  </si>
  <si>
    <t>단계별 사회적 유입인구(인)</t>
    <phoneticPr fontId="2" type="noConversion"/>
  </si>
  <si>
    <t>합     계</t>
    <phoneticPr fontId="2" type="noConversion"/>
  </si>
  <si>
    <t>천
안
시</t>
    <phoneticPr fontId="2" type="noConversion"/>
  </si>
  <si>
    <t>소     계</t>
    <phoneticPr fontId="2" type="noConversion"/>
  </si>
  <si>
    <t>쌍용1동</t>
    <phoneticPr fontId="2" type="noConversion"/>
  </si>
  <si>
    <t>쌍용3동</t>
    <phoneticPr fontId="2" type="noConversion"/>
  </si>
  <si>
    <t>목천읍</t>
    <phoneticPr fontId="2" type="noConversion"/>
  </si>
  <si>
    <t>풍세면</t>
    <phoneticPr fontId="2" type="noConversion"/>
  </si>
  <si>
    <t>광덕면</t>
    <phoneticPr fontId="2" type="noConversion"/>
  </si>
  <si>
    <t>북면</t>
    <phoneticPr fontId="2" type="noConversion"/>
  </si>
  <si>
    <t>성남면</t>
    <phoneticPr fontId="2" type="noConversion"/>
  </si>
  <si>
    <t>수신면</t>
    <phoneticPr fontId="2" type="noConversion"/>
  </si>
  <si>
    <t>동면</t>
    <phoneticPr fontId="2" type="noConversion"/>
  </si>
  <si>
    <t xml:space="preserve">   사. 처리구역·분구별 사회적 유입인구</t>
    <phoneticPr fontId="2" type="noConversion"/>
  </si>
  <si>
    <t xml:space="preserve">   사. 처리구역·분구별 개발지구내 계획인구</t>
    <phoneticPr fontId="2" type="noConversion"/>
  </si>
  <si>
    <t>처 리
구 역</t>
    <phoneticPr fontId="2" type="noConversion"/>
  </si>
  <si>
    <t>하
수
처
리
구
역</t>
    <phoneticPr fontId="2" type="noConversion"/>
  </si>
  <si>
    <t>계</t>
    <phoneticPr fontId="2" type="noConversion"/>
  </si>
  <si>
    <t>천
안</t>
    <phoneticPr fontId="2" type="noConversion"/>
  </si>
  <si>
    <t>소  계</t>
    <phoneticPr fontId="2" type="noConversion"/>
  </si>
  <si>
    <t>장재</t>
    <phoneticPr fontId="2" type="noConversion"/>
  </si>
  <si>
    <t>풍세</t>
    <phoneticPr fontId="2" type="noConversion"/>
  </si>
  <si>
    <t>매곡</t>
    <phoneticPr fontId="2" type="noConversion"/>
  </si>
  <si>
    <t>성
환</t>
    <phoneticPr fontId="2" type="noConversion"/>
  </si>
  <si>
    <t>병
천</t>
    <phoneticPr fontId="2" type="noConversion"/>
  </si>
  <si>
    <t>병천</t>
    <phoneticPr fontId="2" type="noConversion"/>
  </si>
  <si>
    <t>승천</t>
    <phoneticPr fontId="2" type="noConversion"/>
  </si>
  <si>
    <t>폐수처리구역</t>
    <phoneticPr fontId="2" type="noConversion"/>
  </si>
  <si>
    <t xml:space="preserve"> 3.4 처리구역별 하수처리인구</t>
    <phoneticPr fontId="2" type="noConversion"/>
  </si>
  <si>
    <t xml:space="preserve">  가. 공공하수처리시설 처리인구</t>
    <phoneticPr fontId="2" type="noConversion"/>
  </si>
  <si>
    <t>서
북
구</t>
    <phoneticPr fontId="2" type="noConversion"/>
  </si>
  <si>
    <t>동
남
구</t>
    <phoneticPr fontId="2" type="noConversion"/>
  </si>
  <si>
    <t xml:space="preserve">    마) 공동주택 건설사업</t>
    <phoneticPr fontId="2" type="noConversion"/>
  </si>
  <si>
    <r>
      <rPr>
        <b/>
        <sz val="10"/>
        <rFont val="가는으뜸체"/>
        <family val="1"/>
        <charset val="129"/>
      </rPr>
      <t xml:space="preserve">1. </t>
    </r>
    <r>
      <rPr>
        <sz val="10"/>
        <rFont val="가는으뜸체"/>
        <family val="1"/>
        <charset val="129"/>
      </rPr>
      <t xml:space="preserve">수도권 인근의 신도시 개발 등으로 인하여 외부유입율은 향후 하향안정추세를 보일 것으로 판단되어 60%를 적용하였음.
</t>
    </r>
    <r>
      <rPr>
        <b/>
        <sz val="10"/>
        <rFont val="가는으뜸체"/>
        <family val="1"/>
        <charset val="129"/>
      </rPr>
      <t xml:space="preserve">2. </t>
    </r>
    <r>
      <rPr>
        <sz val="10"/>
        <rFont val="가는으뜸체"/>
        <family val="1"/>
        <charset val="129"/>
      </rPr>
      <t>도시·주거환경정비사업의 경우 기존 도심내에 동시다발적으로 소규모로 이루어지는 점을 감안하여 30%를 적용하였음.</t>
    </r>
    <phoneticPr fontId="2" type="noConversion"/>
  </si>
  <si>
    <t>1. 배수구역 면적</t>
    <phoneticPr fontId="2" type="noConversion"/>
  </si>
  <si>
    <t>면적 보정</t>
    <phoneticPr fontId="2" type="noConversion"/>
  </si>
  <si>
    <t>비  고</t>
    <phoneticPr fontId="2" type="noConversion"/>
  </si>
  <si>
    <t>합     계</t>
    <phoneticPr fontId="2" type="noConversion"/>
  </si>
  <si>
    <t>천   안</t>
    <phoneticPr fontId="2" type="noConversion"/>
  </si>
  <si>
    <t>소     계</t>
    <phoneticPr fontId="2" type="noConversion"/>
  </si>
  <si>
    <t>천안상류</t>
    <phoneticPr fontId="2" type="noConversion"/>
  </si>
  <si>
    <t>천안하류</t>
    <phoneticPr fontId="2" type="noConversion"/>
  </si>
  <si>
    <t>원     성</t>
    <phoneticPr fontId="2" type="noConversion"/>
  </si>
  <si>
    <t>삼     룡</t>
    <phoneticPr fontId="2" type="noConversion"/>
  </si>
  <si>
    <t>성     정</t>
    <phoneticPr fontId="2" type="noConversion"/>
  </si>
  <si>
    <t>장     재</t>
    <phoneticPr fontId="2" type="noConversion"/>
  </si>
  <si>
    <t>성   환</t>
    <phoneticPr fontId="2" type="noConversion"/>
  </si>
  <si>
    <t>성     환</t>
    <phoneticPr fontId="2" type="noConversion"/>
  </si>
  <si>
    <t>입    장</t>
    <phoneticPr fontId="2" type="noConversion"/>
  </si>
  <si>
    <t>신    방</t>
    <phoneticPr fontId="2" type="noConversion"/>
  </si>
  <si>
    <t>병   천</t>
    <phoneticPr fontId="2" type="noConversion"/>
  </si>
  <si>
    <t>병     천</t>
    <phoneticPr fontId="2" type="noConversion"/>
  </si>
  <si>
    <t>승     천</t>
    <phoneticPr fontId="2" type="noConversion"/>
  </si>
  <si>
    <t>광     기</t>
    <phoneticPr fontId="2" type="noConversion"/>
  </si>
  <si>
    <t>녹     동</t>
    <phoneticPr fontId="2" type="noConversion"/>
  </si>
  <si>
    <t>용     두</t>
    <phoneticPr fontId="2" type="noConversion"/>
  </si>
  <si>
    <t>풍   세</t>
    <phoneticPr fontId="2" type="noConversion"/>
  </si>
  <si>
    <t>풍     세</t>
    <phoneticPr fontId="2" type="noConversion"/>
  </si>
  <si>
    <t>주거용지</t>
    <phoneticPr fontId="2" type="noConversion"/>
  </si>
  <si>
    <t>상업용지</t>
    <phoneticPr fontId="2" type="noConversion"/>
  </si>
  <si>
    <t>공업용지</t>
    <phoneticPr fontId="2" type="noConversion"/>
  </si>
  <si>
    <t>관리용지</t>
    <phoneticPr fontId="2" type="noConversion"/>
  </si>
  <si>
    <t>용도지역별 면적</t>
    <phoneticPr fontId="2" type="noConversion"/>
  </si>
  <si>
    <t>시가화예정
및 보전용지</t>
    <phoneticPr fontId="2" type="noConversion"/>
  </si>
  <si>
    <t>배수
구역</t>
    <phoneticPr fontId="2" type="noConversion"/>
  </si>
  <si>
    <t>배수
분구</t>
    <phoneticPr fontId="2" type="noConversion"/>
  </si>
  <si>
    <t>양곡지구</t>
    <phoneticPr fontId="2" type="noConversion"/>
  </si>
  <si>
    <t>공달원지구</t>
    <phoneticPr fontId="2" type="noConversion"/>
  </si>
  <si>
    <t>학교말지구</t>
    <phoneticPr fontId="2" type="noConversion"/>
  </si>
  <si>
    <t>상사지구</t>
    <phoneticPr fontId="2" type="noConversion"/>
  </si>
  <si>
    <t>해수지구</t>
    <phoneticPr fontId="2" type="noConversion"/>
  </si>
  <si>
    <t>세대당 인구</t>
    <phoneticPr fontId="2" type="noConversion"/>
  </si>
  <si>
    <t>㈜청암프로젝트 외
1개사</t>
    <phoneticPr fontId="2" type="noConversion"/>
  </si>
  <si>
    <t>백석3지구
도시개발사업조합</t>
    <phoneticPr fontId="2" type="noConversion"/>
  </si>
  <si>
    <t>백석2지구
도시개발사업조합</t>
    <phoneticPr fontId="2" type="noConversion"/>
  </si>
  <si>
    <t>백석지구
도시개발사업조합</t>
    <phoneticPr fontId="2" type="noConversion"/>
  </si>
  <si>
    <t>쌍용·신방지구
도시개발조합</t>
    <phoneticPr fontId="2" type="noConversion"/>
  </si>
  <si>
    <t>공사 중</t>
    <phoneticPr fontId="2" type="noConversion"/>
  </si>
  <si>
    <t>북부지구</t>
    <phoneticPr fontId="2" type="noConversion"/>
  </si>
  <si>
    <t>청당지구</t>
    <phoneticPr fontId="2" type="noConversion"/>
  </si>
  <si>
    <t>백석3지구 내</t>
    <phoneticPr fontId="2" type="noConversion"/>
  </si>
  <si>
    <t>청수택지개발지구 내</t>
    <phoneticPr fontId="2" type="noConversion"/>
  </si>
  <si>
    <t>배방택지개발지구 내</t>
    <phoneticPr fontId="2" type="noConversion"/>
  </si>
  <si>
    <t>백석지구 내</t>
    <phoneticPr fontId="2" type="noConversion"/>
  </si>
  <si>
    <t>신방통정지구 내</t>
    <phoneticPr fontId="2" type="noConversion"/>
  </si>
  <si>
    <t>공사 완료</t>
    <phoneticPr fontId="2" type="noConversion"/>
  </si>
  <si>
    <t>공사 중(용곡지구)</t>
    <phoneticPr fontId="2" type="noConversion"/>
  </si>
  <si>
    <t xml:space="preserve">  가. 처리구역별 하수처리인구</t>
    <phoneticPr fontId="2" type="noConversion"/>
  </si>
  <si>
    <t>용곡2지구 내</t>
    <phoneticPr fontId="2" type="noConversion"/>
  </si>
  <si>
    <t>동
지
역</t>
    <phoneticPr fontId="2" type="noConversion"/>
  </si>
  <si>
    <t>성
환</t>
    <phoneticPr fontId="2" type="noConversion"/>
  </si>
  <si>
    <t>병
천</t>
    <phoneticPr fontId="2" type="noConversion"/>
  </si>
  <si>
    <t>풍
세</t>
    <phoneticPr fontId="2" type="noConversion"/>
  </si>
  <si>
    <t>통합</t>
    <phoneticPr fontId="2" type="noConversion"/>
  </si>
  <si>
    <t>폐쇄(2015년)</t>
    <phoneticPr fontId="2" type="noConversion"/>
  </si>
  <si>
    <t>2단계</t>
    <phoneticPr fontId="2" type="noConversion"/>
  </si>
  <si>
    <t>1단계</t>
    <phoneticPr fontId="2" type="noConversion"/>
  </si>
  <si>
    <t>천안하류(청당)</t>
    <phoneticPr fontId="2" type="noConversion"/>
  </si>
  <si>
    <t>성환(업성)</t>
    <phoneticPr fontId="2" type="noConversion"/>
  </si>
  <si>
    <t>4. 하수처리인구</t>
    <phoneticPr fontId="2" type="noConversion"/>
  </si>
  <si>
    <t>청     당</t>
    <phoneticPr fontId="2" type="noConversion"/>
  </si>
  <si>
    <t>청당</t>
    <phoneticPr fontId="2" type="noConversion"/>
  </si>
  <si>
    <t xml:space="preserve"> 3.4 처리구역별 계획인구</t>
    <phoneticPr fontId="2" type="noConversion"/>
  </si>
  <si>
    <t>▣ 배수구역·분구별 사회적 유입인구</t>
    <phoneticPr fontId="2" type="noConversion"/>
  </si>
  <si>
    <t>(단위 : 인)</t>
    <phoneticPr fontId="2" type="noConversion"/>
  </si>
  <si>
    <t>처리구역</t>
    <phoneticPr fontId="2" type="noConversion"/>
  </si>
  <si>
    <t>2007년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</si>
  <si>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</si>
  <si>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</si>
  <si>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</si>
  <si>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</si>
  <si>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비  고</t>
    <phoneticPr fontId="2" type="noConversion"/>
  </si>
  <si>
    <t>배수구역</t>
    <phoneticPr fontId="2" type="noConversion"/>
  </si>
  <si>
    <t>유입인구(인)</t>
    <phoneticPr fontId="2" type="noConversion"/>
  </si>
  <si>
    <t>계</t>
    <phoneticPr fontId="2" type="noConversion"/>
  </si>
  <si>
    <t>기  존</t>
    <phoneticPr fontId="2" type="noConversion"/>
  </si>
  <si>
    <t>개발지구</t>
    <phoneticPr fontId="2" type="noConversion"/>
  </si>
  <si>
    <t>합     계</t>
    <phoneticPr fontId="2" type="noConversion"/>
  </si>
  <si>
    <t>하
수
처
리
구
역</t>
    <phoneticPr fontId="2" type="noConversion"/>
  </si>
  <si>
    <t>천
안</t>
    <phoneticPr fontId="2" type="noConversion"/>
  </si>
  <si>
    <t>소  계</t>
    <phoneticPr fontId="2" type="noConversion"/>
  </si>
  <si>
    <t>천안상류</t>
    <phoneticPr fontId="2" type="noConversion"/>
  </si>
  <si>
    <t>천안하류</t>
    <phoneticPr fontId="2" type="noConversion"/>
  </si>
  <si>
    <t>원성</t>
    <phoneticPr fontId="2" type="noConversion"/>
  </si>
  <si>
    <t>삼룡</t>
    <phoneticPr fontId="2" type="noConversion"/>
  </si>
  <si>
    <t>성정</t>
    <phoneticPr fontId="2" type="noConversion"/>
  </si>
  <si>
    <t>장재</t>
    <phoneticPr fontId="2" type="noConversion"/>
  </si>
  <si>
    <t>매곡</t>
    <phoneticPr fontId="2" type="noConversion"/>
  </si>
  <si>
    <t>풍    세</t>
    <phoneticPr fontId="2" type="noConversion"/>
  </si>
  <si>
    <t>풍세</t>
    <phoneticPr fontId="2" type="noConversion"/>
  </si>
  <si>
    <t>성
환</t>
    <phoneticPr fontId="2" type="noConversion"/>
  </si>
  <si>
    <t>성환</t>
    <phoneticPr fontId="2" type="noConversion"/>
  </si>
  <si>
    <t>입    장</t>
    <phoneticPr fontId="2" type="noConversion"/>
  </si>
  <si>
    <t>입장</t>
    <phoneticPr fontId="2" type="noConversion"/>
  </si>
  <si>
    <t>업성</t>
    <phoneticPr fontId="2" type="noConversion"/>
  </si>
  <si>
    <t>신    방</t>
    <phoneticPr fontId="2" type="noConversion"/>
  </si>
  <si>
    <t>신방</t>
    <phoneticPr fontId="2" type="noConversion"/>
  </si>
  <si>
    <t>병
천</t>
    <phoneticPr fontId="2" type="noConversion"/>
  </si>
  <si>
    <t>병천</t>
    <phoneticPr fontId="2" type="noConversion"/>
  </si>
  <si>
    <t>승천</t>
    <phoneticPr fontId="2" type="noConversion"/>
  </si>
  <si>
    <t>광기</t>
    <phoneticPr fontId="2" type="noConversion"/>
  </si>
  <si>
    <t>녹    동</t>
    <phoneticPr fontId="2" type="noConversion"/>
  </si>
  <si>
    <t>녹동</t>
    <phoneticPr fontId="2" type="noConversion"/>
  </si>
  <si>
    <t>용    두</t>
    <phoneticPr fontId="2" type="noConversion"/>
  </si>
  <si>
    <t>용두</t>
    <phoneticPr fontId="2" type="noConversion"/>
  </si>
  <si>
    <t>폐수처리구역</t>
    <phoneticPr fontId="2" type="noConversion"/>
  </si>
  <si>
    <t>동지역</t>
    <phoneticPr fontId="2" type="noConversion"/>
  </si>
  <si>
    <t>성환지역</t>
    <phoneticPr fontId="2" type="noConversion"/>
  </si>
  <si>
    <t>병천지역</t>
    <phoneticPr fontId="2" type="noConversion"/>
  </si>
  <si>
    <t>풍세지역</t>
    <phoneticPr fontId="2" type="noConversion"/>
  </si>
  <si>
    <t>소계</t>
    <phoneticPr fontId="2" type="noConversion"/>
  </si>
  <si>
    <t xml:space="preserve">  나. 처리구역별 기시가지내 자연적 증가인구</t>
    <phoneticPr fontId="2" type="noConversion"/>
  </si>
  <si>
    <t xml:space="preserve"> 4.1 공공하수처리시설 하수처리인구</t>
    <phoneticPr fontId="2" type="noConversion"/>
  </si>
  <si>
    <t>5. 하수도 보급율</t>
    <phoneticPr fontId="2" type="noConversion"/>
  </si>
  <si>
    <t xml:space="preserve"> 4.2 소규모하수도 처리인구</t>
    <phoneticPr fontId="2" type="noConversion"/>
  </si>
  <si>
    <t xml:space="preserve"> 4.3 폐수처리인구</t>
    <phoneticPr fontId="2" type="noConversion"/>
  </si>
  <si>
    <t>비  고</t>
  </si>
  <si>
    <t>SMMIAR공법</t>
    <phoneticPr fontId="2" type="noConversion"/>
  </si>
  <si>
    <t>합    계</t>
    <phoneticPr fontId="2" type="noConversion"/>
  </si>
  <si>
    <t>사회적 유입인구(인)</t>
    <phoneticPr fontId="2" type="noConversion"/>
  </si>
  <si>
    <t>외부유입률
(%)</t>
    <phoneticPr fontId="2" type="noConversion"/>
  </si>
  <si>
    <t>수용인구
(인)</t>
    <phoneticPr fontId="2" type="noConversion"/>
  </si>
  <si>
    <t>목표년도</t>
    <phoneticPr fontId="2" type="noConversion"/>
  </si>
  <si>
    <t>개발사업</t>
    <phoneticPr fontId="2" type="noConversion"/>
  </si>
  <si>
    <t>처리분구</t>
    <phoneticPr fontId="2" type="noConversion"/>
  </si>
  <si>
    <t>공동주택개발사업</t>
    <phoneticPr fontId="2" type="noConversion"/>
  </si>
  <si>
    <t>소계</t>
    <phoneticPr fontId="2" type="noConversion"/>
  </si>
  <si>
    <t>광기</t>
    <phoneticPr fontId="2" type="noConversion"/>
  </si>
  <si>
    <t>입장</t>
    <phoneticPr fontId="2" type="noConversion"/>
  </si>
  <si>
    <t>도시주거환경정비사업</t>
    <phoneticPr fontId="2" type="noConversion"/>
  </si>
  <si>
    <t>청당</t>
    <phoneticPr fontId="2" type="noConversion"/>
  </si>
  <si>
    <t>장재</t>
    <phoneticPr fontId="2" type="noConversion"/>
  </si>
  <si>
    <t>성정</t>
    <phoneticPr fontId="2" type="noConversion"/>
  </si>
  <si>
    <t>삼룡</t>
    <phoneticPr fontId="2" type="noConversion"/>
  </si>
  <si>
    <t>원성</t>
    <phoneticPr fontId="2" type="noConversion"/>
  </si>
  <si>
    <t>4. 하수처리인구</t>
    <phoneticPr fontId="2" type="noConversion"/>
  </si>
  <si>
    <t>행정구역</t>
    <phoneticPr fontId="2" type="noConversion"/>
  </si>
  <si>
    <t>2007년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</si>
  <si>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</si>
  <si>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</si>
  <si>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</si>
  <si>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</si>
  <si>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비  고</t>
    <phoneticPr fontId="2" type="noConversion"/>
  </si>
  <si>
    <t>합     계</t>
    <phoneticPr fontId="2" type="noConversion"/>
  </si>
  <si>
    <t>자연적 증가인구</t>
    <phoneticPr fontId="2" type="noConversion"/>
  </si>
  <si>
    <t>사회적 유입인구</t>
    <phoneticPr fontId="2" type="noConversion"/>
  </si>
  <si>
    <t>계</t>
    <phoneticPr fontId="2" type="noConversion"/>
  </si>
  <si>
    <t>천안상류</t>
    <phoneticPr fontId="2" type="noConversion"/>
  </si>
  <si>
    <t>소  계</t>
    <phoneticPr fontId="2" type="noConversion"/>
  </si>
  <si>
    <t>자연증가인구</t>
    <phoneticPr fontId="2" type="noConversion"/>
  </si>
  <si>
    <t>사회적유입인구</t>
    <phoneticPr fontId="2" type="noConversion"/>
  </si>
  <si>
    <t>천안하류</t>
    <phoneticPr fontId="2" type="noConversion"/>
  </si>
  <si>
    <t>원     성</t>
    <phoneticPr fontId="2" type="noConversion"/>
  </si>
  <si>
    <t>삼     룡</t>
    <phoneticPr fontId="2" type="noConversion"/>
  </si>
  <si>
    <t>성     정</t>
    <phoneticPr fontId="2" type="noConversion"/>
  </si>
  <si>
    <t>장     재</t>
    <phoneticPr fontId="2" type="noConversion"/>
  </si>
  <si>
    <t>청     당</t>
    <phoneticPr fontId="2" type="noConversion"/>
  </si>
  <si>
    <t>매     곡</t>
    <phoneticPr fontId="2" type="noConversion"/>
  </si>
  <si>
    <t>풍     세</t>
    <phoneticPr fontId="2" type="noConversion"/>
  </si>
  <si>
    <t>성     환</t>
    <phoneticPr fontId="2" type="noConversion"/>
  </si>
  <si>
    <t>입    장</t>
    <phoneticPr fontId="2" type="noConversion"/>
  </si>
  <si>
    <t>업    성</t>
    <phoneticPr fontId="2" type="noConversion"/>
  </si>
  <si>
    <t>병     천</t>
    <phoneticPr fontId="2" type="noConversion"/>
  </si>
  <si>
    <t>승     천</t>
    <phoneticPr fontId="2" type="noConversion"/>
  </si>
  <si>
    <t>광     기</t>
    <phoneticPr fontId="2" type="noConversion"/>
  </si>
  <si>
    <t>배수구역별</t>
    <phoneticPr fontId="2" type="noConversion"/>
  </si>
  <si>
    <t>구   분</t>
    <phoneticPr fontId="2" type="noConversion"/>
  </si>
  <si>
    <t>2007년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</si>
  <si>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</si>
  <si>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</si>
  <si>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</si>
  <si>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</si>
  <si>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비  고</t>
    <phoneticPr fontId="2" type="noConversion"/>
  </si>
  <si>
    <t>천안</t>
    <phoneticPr fontId="2" type="noConversion"/>
  </si>
  <si>
    <t>소  계</t>
    <phoneticPr fontId="2" type="noConversion"/>
  </si>
  <si>
    <t>성환</t>
    <phoneticPr fontId="2" type="noConversion"/>
  </si>
  <si>
    <t>병천</t>
    <phoneticPr fontId="2" type="noConversion"/>
  </si>
  <si>
    <t>합     계</t>
    <phoneticPr fontId="2" type="noConversion"/>
  </si>
  <si>
    <t xml:space="preserve">  다. 처리구역별 개발지구내 유입인구(사회적유입인구+천안시 내부인구이동)</t>
    <phoneticPr fontId="2" type="noConversion"/>
  </si>
  <si>
    <t>성환
지역</t>
    <phoneticPr fontId="2" type="noConversion"/>
  </si>
  <si>
    <t>병천
지역</t>
    <phoneticPr fontId="2" type="noConversion"/>
  </si>
  <si>
    <t>소   계</t>
    <phoneticPr fontId="2" type="noConversion"/>
  </si>
  <si>
    <t>풍세
지역</t>
    <phoneticPr fontId="2" type="noConversion"/>
  </si>
  <si>
    <t>읍면동</t>
    <phoneticPr fontId="2" type="noConversion"/>
  </si>
  <si>
    <t>처리분구</t>
    <phoneticPr fontId="2" type="noConversion"/>
  </si>
  <si>
    <t>폐수
처리
구역</t>
    <phoneticPr fontId="2" type="noConversion"/>
  </si>
  <si>
    <t>천 안</t>
    <phoneticPr fontId="2" type="noConversion"/>
  </si>
  <si>
    <t>성 환</t>
    <phoneticPr fontId="2" type="noConversion"/>
  </si>
  <si>
    <t>병 천</t>
    <phoneticPr fontId="2" type="noConversion"/>
  </si>
  <si>
    <t>소  계</t>
    <phoneticPr fontId="2" type="noConversion"/>
  </si>
  <si>
    <t>자연증가인구</t>
    <phoneticPr fontId="2" type="noConversion"/>
  </si>
  <si>
    <t>사회적유입인구</t>
    <phoneticPr fontId="2" type="noConversion"/>
  </si>
  <si>
    <t xml:space="preserve">   - 폐수처리구역 단계별 사회적 유입인구</t>
    <phoneticPr fontId="2" type="noConversion"/>
  </si>
  <si>
    <t xml:space="preserve"> 4.1 공공하수처리시설 하수처리인구</t>
    <phoneticPr fontId="2" type="noConversion"/>
  </si>
  <si>
    <t xml:space="preserve">  4.1.1 천안처리구역</t>
    <phoneticPr fontId="2" type="noConversion"/>
  </si>
  <si>
    <t xml:space="preserve">   가. 천안처리구역 단계별 사회적 유입인구</t>
    <phoneticPr fontId="2" type="noConversion"/>
  </si>
  <si>
    <t xml:space="preserve">   나. 천안처리구역 하수처리인구</t>
    <phoneticPr fontId="2" type="noConversion"/>
  </si>
  <si>
    <t xml:space="preserve">  4.1.2 성환처리구역</t>
    <phoneticPr fontId="2" type="noConversion"/>
  </si>
  <si>
    <t xml:space="preserve">  4.1.3 병천처리구역</t>
    <phoneticPr fontId="2" type="noConversion"/>
  </si>
  <si>
    <t xml:space="preserve">   나. 성환처리구역 하수처리인구</t>
    <phoneticPr fontId="2" type="noConversion"/>
  </si>
  <si>
    <t xml:space="preserve">   가. 성환처리구역 단계별 사회적 유입인구</t>
    <phoneticPr fontId="2" type="noConversion"/>
  </si>
  <si>
    <t xml:space="preserve">   가. 병천처리구역 단계별 사회적 유입인구</t>
    <phoneticPr fontId="2" type="noConversion"/>
  </si>
  <si>
    <t xml:space="preserve">   나. 병천처리구역 하수처리인구</t>
    <phoneticPr fontId="2" type="noConversion"/>
  </si>
  <si>
    <t xml:space="preserve">  4.1.4 공공하수처리시설별 하수처리인구 총괄</t>
    <phoneticPr fontId="2" type="noConversion"/>
  </si>
  <si>
    <t>자연적 증가인구</t>
    <phoneticPr fontId="2" type="noConversion"/>
  </si>
  <si>
    <t xml:space="preserve"> 3.5 단계별 하수처리구역 면적</t>
    <phoneticPr fontId="2" type="noConversion"/>
  </si>
  <si>
    <t xml:space="preserve">  가. 공공하수처리구역</t>
    <phoneticPr fontId="2" type="noConversion"/>
  </si>
  <si>
    <t>(단위 : ㎢)</t>
    <phoneticPr fontId="2" type="noConversion"/>
  </si>
  <si>
    <t>하수처리구역</t>
    <phoneticPr fontId="2" type="noConversion"/>
  </si>
  <si>
    <t>2007년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</si>
  <si>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</si>
  <si>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</si>
  <si>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</si>
  <si>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</si>
  <si>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비  고</t>
    <phoneticPr fontId="2" type="noConversion"/>
  </si>
  <si>
    <t>계</t>
    <phoneticPr fontId="2" type="noConversion"/>
  </si>
  <si>
    <t>기  존</t>
    <phoneticPr fontId="2" type="noConversion"/>
  </si>
  <si>
    <t>추  가</t>
    <phoneticPr fontId="2" type="noConversion"/>
  </si>
  <si>
    <t>합     계</t>
    <phoneticPr fontId="2" type="noConversion"/>
  </si>
  <si>
    <t>공공
하수
처리
구역</t>
    <phoneticPr fontId="2" type="noConversion"/>
  </si>
  <si>
    <t>천
안</t>
    <phoneticPr fontId="2" type="noConversion"/>
  </si>
  <si>
    <t>소     계</t>
    <phoneticPr fontId="2" type="noConversion"/>
  </si>
  <si>
    <t>천안상류</t>
    <phoneticPr fontId="2" type="noConversion"/>
  </si>
  <si>
    <t>천안하류</t>
    <phoneticPr fontId="2" type="noConversion"/>
  </si>
  <si>
    <t>원     성</t>
    <phoneticPr fontId="2" type="noConversion"/>
  </si>
  <si>
    <t>삼     룡</t>
    <phoneticPr fontId="2" type="noConversion"/>
  </si>
  <si>
    <t>성     정</t>
    <phoneticPr fontId="2" type="noConversion"/>
  </si>
  <si>
    <t>장     재</t>
    <phoneticPr fontId="2" type="noConversion"/>
  </si>
  <si>
    <t>청     당</t>
    <phoneticPr fontId="2" type="noConversion"/>
  </si>
  <si>
    <t>매     곡</t>
    <phoneticPr fontId="2" type="noConversion"/>
  </si>
  <si>
    <t>풍     세</t>
    <phoneticPr fontId="2" type="noConversion"/>
  </si>
  <si>
    <t>성
환</t>
    <phoneticPr fontId="2" type="noConversion"/>
  </si>
  <si>
    <t>성     환</t>
    <phoneticPr fontId="2" type="noConversion"/>
  </si>
  <si>
    <t>입    장</t>
    <phoneticPr fontId="2" type="noConversion"/>
  </si>
  <si>
    <t>업    성</t>
    <phoneticPr fontId="2" type="noConversion"/>
  </si>
  <si>
    <t>병
천</t>
    <phoneticPr fontId="2" type="noConversion"/>
  </si>
  <si>
    <t>병     천</t>
    <phoneticPr fontId="2" type="noConversion"/>
  </si>
  <si>
    <t>승     천</t>
    <phoneticPr fontId="2" type="noConversion"/>
  </si>
  <si>
    <t>광     기</t>
    <phoneticPr fontId="2" type="noConversion"/>
  </si>
  <si>
    <t>소규모하수도 처리구역</t>
    <phoneticPr fontId="2" type="noConversion"/>
  </si>
  <si>
    <t xml:space="preserve">  나. 소규모하수도 처리구역</t>
    <phoneticPr fontId="2" type="noConversion"/>
  </si>
  <si>
    <t>양대지구</t>
    <phoneticPr fontId="2" type="noConversion"/>
  </si>
  <si>
    <t>신방지구</t>
    <phoneticPr fontId="2" type="noConversion"/>
  </si>
  <si>
    <t>신 설</t>
    <phoneticPr fontId="2" type="noConversion"/>
  </si>
  <si>
    <t>운용지구</t>
    <phoneticPr fontId="2" type="noConversion"/>
  </si>
  <si>
    <t>대평지구</t>
    <phoneticPr fontId="2" type="noConversion"/>
  </si>
  <si>
    <t>납안지구</t>
    <phoneticPr fontId="2" type="noConversion"/>
  </si>
  <si>
    <t>전곡지구</t>
    <phoneticPr fontId="2" type="noConversion"/>
  </si>
  <si>
    <t>양곡지구</t>
    <phoneticPr fontId="2" type="noConversion"/>
  </si>
  <si>
    <t>서흥지구</t>
    <phoneticPr fontId="2" type="noConversion"/>
  </si>
  <si>
    <t>공달원지구</t>
    <phoneticPr fontId="2" type="noConversion"/>
  </si>
  <si>
    <t>2015년 폐쇄</t>
    <phoneticPr fontId="2" type="noConversion"/>
  </si>
  <si>
    <t>오곡지구</t>
    <phoneticPr fontId="2" type="noConversion"/>
  </si>
  <si>
    <t>석촌지구</t>
    <phoneticPr fontId="2" type="noConversion"/>
  </si>
  <si>
    <t>교천지구</t>
    <phoneticPr fontId="2" type="noConversion"/>
  </si>
  <si>
    <t>매성지구</t>
    <phoneticPr fontId="2" type="noConversion"/>
  </si>
  <si>
    <t>공사중</t>
    <phoneticPr fontId="2" type="noConversion"/>
  </si>
  <si>
    <t>봉항지구</t>
    <phoneticPr fontId="2" type="noConversion"/>
  </si>
  <si>
    <t>용두지구</t>
    <phoneticPr fontId="2" type="noConversion"/>
  </si>
  <si>
    <t>화계지구</t>
    <phoneticPr fontId="2" type="noConversion"/>
  </si>
  <si>
    <t>수남지구</t>
    <phoneticPr fontId="2" type="noConversion"/>
  </si>
  <si>
    <t>백자지구</t>
    <phoneticPr fontId="2" type="noConversion"/>
  </si>
  <si>
    <t>풍
세</t>
    <phoneticPr fontId="2" type="noConversion"/>
  </si>
  <si>
    <t>미죽지구</t>
    <phoneticPr fontId="2" type="noConversion"/>
  </si>
  <si>
    <t>대덕지구</t>
    <phoneticPr fontId="2" type="noConversion"/>
  </si>
  <si>
    <t>댓거리지구</t>
    <phoneticPr fontId="2" type="noConversion"/>
  </si>
  <si>
    <t>학교말지구</t>
    <phoneticPr fontId="2" type="noConversion"/>
  </si>
  <si>
    <t>개량</t>
    <phoneticPr fontId="2" type="noConversion"/>
  </si>
  <si>
    <t>해사/상사지구</t>
    <phoneticPr fontId="2" type="noConversion"/>
  </si>
  <si>
    <t>개량
(통합처리)</t>
    <phoneticPr fontId="2" type="noConversion"/>
  </si>
  <si>
    <t>해수지구</t>
    <phoneticPr fontId="2" type="noConversion"/>
  </si>
  <si>
    <t>도장지구</t>
    <phoneticPr fontId="2" type="noConversion"/>
  </si>
  <si>
    <t>용정지구</t>
    <phoneticPr fontId="2" type="noConversion"/>
  </si>
  <si>
    <t>지장지구</t>
    <phoneticPr fontId="2" type="noConversion"/>
  </si>
  <si>
    <t>행정지구</t>
    <phoneticPr fontId="2" type="noConversion"/>
  </si>
  <si>
    <t>원덕지구</t>
    <phoneticPr fontId="2" type="noConversion"/>
  </si>
  <si>
    <t>공공하수
처리시설
(㎥/일)</t>
    <phoneticPr fontId="2" type="noConversion"/>
  </si>
  <si>
    <t>일  평  균</t>
    <phoneticPr fontId="2" type="noConversion"/>
  </si>
  <si>
    <t>일  최  대</t>
    <phoneticPr fontId="2" type="noConversion"/>
  </si>
  <si>
    <t>시 간 최 대</t>
    <phoneticPr fontId="2" type="noConversion"/>
  </si>
  <si>
    <t>목표연도(년)</t>
    <phoneticPr fontId="2" type="noConversion"/>
  </si>
  <si>
    <t>하수처리구역
(㎢)</t>
    <phoneticPr fontId="2" type="noConversion"/>
  </si>
  <si>
    <t>하수처리인구
(인)</t>
    <phoneticPr fontId="2" type="noConversion"/>
  </si>
  <si>
    <t>계획하수량
(㎥/일)</t>
    <phoneticPr fontId="2" type="noConversion"/>
  </si>
  <si>
    <t>공공처리시설
(㎥/일)</t>
    <phoneticPr fontId="2" type="noConversion"/>
  </si>
  <si>
    <t>합  계</t>
    <phoneticPr fontId="2" type="noConversion"/>
  </si>
  <si>
    <t>천안하수
처리구역</t>
    <phoneticPr fontId="2" type="noConversion"/>
  </si>
  <si>
    <t>성환하수
처리구역</t>
    <phoneticPr fontId="2" type="noConversion"/>
  </si>
  <si>
    <t>병천하수
처리구역</t>
    <phoneticPr fontId="2" type="noConversion"/>
  </si>
  <si>
    <t>소규모
하수도</t>
    <phoneticPr fontId="2" type="noConversion"/>
  </si>
  <si>
    <t>당초(2002년)</t>
    <phoneticPr fontId="2" type="noConversion"/>
  </si>
  <si>
    <t>변경(2008년)</t>
    <phoneticPr fontId="2" type="noConversion"/>
  </si>
  <si>
    <t>주요 계획지표 변경 개요</t>
    <phoneticPr fontId="2" type="noConversion"/>
  </si>
</sst>
</file>

<file path=xl/styles.xml><?xml version="1.0" encoding="utf-8"?>
<styleSheet xmlns="http://schemas.openxmlformats.org/spreadsheetml/2006/main">
  <numFmts count="55">
    <numFmt numFmtId="41" formatCode="_-* #,##0_-;\-* #,##0_-;_-* &quot;-&quot;_-;_-@_-"/>
    <numFmt numFmtId="43" formatCode="_-* #,##0.00_-;\-* #,##0.00_-;_-* &quot;-&quot;??_-;_-@_-"/>
    <numFmt numFmtId="176" formatCode="&quot;(&quot;#,###&quot;)&quot;"/>
    <numFmt numFmtId="177" formatCode="&quot;( &quot;#.0&quot;인/가구 기준 )&quot;"/>
    <numFmt numFmtId="178" formatCode="_-* #,##0.0_-;\-* #,##0.0_-;_-* &quot;-&quot;_-;_-@_-"/>
    <numFmt numFmtId="179" formatCode="_-* #,##0.00_-;\-* #,##0.00_-;_-* &quot;-&quot;_-;_-@_-"/>
    <numFmt numFmtId="180" formatCode="0.0%"/>
    <numFmt numFmtId="181" formatCode="[Blue]#,##0.00;[Red]\-#,##0.00"/>
    <numFmt numFmtId="182" formatCode="0.00_ "/>
    <numFmt numFmtId="183" formatCode="#,##0_ "/>
    <numFmt numFmtId="184" formatCode="####&quot;년&quot;"/>
    <numFmt numFmtId="185" formatCode="#,##0.00_ "/>
    <numFmt numFmtId="186" formatCode="0.00\ &quot;)&quot;"/>
    <numFmt numFmtId="187" formatCode="#,000"/>
    <numFmt numFmtId="188" formatCode="_-&quot;₩&quot;* #,##0.00_-;&quot;₩&quot;&quot;₩&quot;\-&quot;₩&quot;* #,##0.00_-;_-&quot;₩&quot;* &quot;-&quot;??_-;_-@_-"/>
    <numFmt numFmtId="189" formatCode="_-* #,##0.00_-;&quot;₩&quot;&quot;₩&quot;\-* #,##0.00_-;_-* &quot;-&quot;??_-;_-@_-"/>
    <numFmt numFmtId="190" formatCode="&quot;₩&quot;#,##0;&quot;₩&quot;&quot;₩&quot;&quot;₩&quot;&quot;₩&quot;\-#,##0"/>
    <numFmt numFmtId="191" formatCode="&quot;₩&quot;#,##0;[Red]&quot;₩&quot;&quot;₩&quot;&quot;₩&quot;&quot;₩&quot;\-#,##0"/>
    <numFmt numFmtId="192" formatCode="&quot;₩&quot;#,##0.00;&quot;₩&quot;&quot;₩&quot;&quot;₩&quot;&quot;₩&quot;\-#,##0.00"/>
    <numFmt numFmtId="193" formatCode="#,##0;[Red]&quot;-&quot;#,##0"/>
    <numFmt numFmtId="194" formatCode="0\ &quot;EA&quot;"/>
    <numFmt numFmtId="195" formatCode="_ * #,##0_ ;_ * &quot;₩&quot;&quot;₩&quot;&quot;₩&quot;&quot;₩&quot;\-#,##0_ ;_ * &quot;-&quot;_ ;_ @_ "/>
    <numFmt numFmtId="196" formatCode="&quot;₩&quot;\!\$#,##0&quot;₩&quot;\!\ ;&quot;₩&quot;\!\(&quot;₩&quot;\!\$#,##0&quot;₩&quot;\!\)"/>
    <numFmt numFmtId="197" formatCode="0\ &quot;t&quot;"/>
    <numFmt numFmtId="198" formatCode="&quot;(&quot;\ 0.00"/>
    <numFmt numFmtId="199" formatCode="&quot;[(&quot;\ 0.00"/>
    <numFmt numFmtId="200" formatCode="0.00\ &quot;)]&quot;"/>
    <numFmt numFmtId="201" formatCode="0.000\ &quot;²&quot;"/>
    <numFmt numFmtId="202" formatCode="yyyy&quot;年&quot;&quot;₩&quot;&quot;₩&quot;&quot;₩&quot;&quot;₩&quot;\ mm&quot;月&quot;&quot;₩&quot;&quot;₩&quot;&quot;₩&quot;&quot;₩&quot;\ dd&quot;日&quot;"/>
    <numFmt numFmtId="203" formatCode="#,##0.0000000;[Red]&quot;-&quot;#,##0.0000000"/>
    <numFmt numFmtId="204" formatCode="#,##0.000000000;[Red]&quot;-&quot;#,##0.000000000"/>
    <numFmt numFmtId="205" formatCode="#&quot;년&quot;"/>
    <numFmt numFmtId="206" formatCode="0_ "/>
    <numFmt numFmtId="207" formatCode="General&quot;년&quot;"/>
    <numFmt numFmtId="208" formatCode="0_ ;[Red]\-0\ "/>
    <numFmt numFmtId="209" formatCode="0.00_ ;[Red]\-0.00\ "/>
    <numFmt numFmtId="210" formatCode="#,##0_);\(#,##0\)"/>
    <numFmt numFmtId="211" formatCode="General\ &quot;%&quot;"/>
    <numFmt numFmtId="212" formatCode="&quot;avr=&quot;\ General\ &quot;%&quot;"/>
    <numFmt numFmtId="213" formatCode="#,##0.000000"/>
    <numFmt numFmtId="214" formatCode="0.000000_ "/>
    <numFmt numFmtId="215" formatCode="0.00000_ "/>
    <numFmt numFmtId="216" formatCode="&quot;= &quot;#,###.00000"/>
    <numFmt numFmtId="217" formatCode="&quot;(≒ &quot;#,###&quot;인)&quot;"/>
    <numFmt numFmtId="218" formatCode="#,##0.00000"/>
    <numFmt numFmtId="219" formatCode="#&quot;% 적용&quot;"/>
    <numFmt numFmtId="220" formatCode="_-* #,##0.000_-;\-* #,##0.000_-;_-* &quot;-&quot;_-;_-@_-"/>
    <numFmt numFmtId="221" formatCode="_-* #,##0_-;\-* #,##0_-;_-* &quot;-&quot;??_-;_-@_-"/>
    <numFmt numFmtId="222" formatCode="_-* #,##0_-;\-* #,##0_-;_-* &quot;-&quot;?_-;_-@_-"/>
    <numFmt numFmtId="223" formatCode="#,##0_);[Red]\(#,##0\)"/>
    <numFmt numFmtId="224" formatCode="_ * #,##0_ ;_ * \-#,##0_ ;_ * &quot;-&quot;_ ;_ @_ "/>
    <numFmt numFmtId="225" formatCode="0;_㰀"/>
    <numFmt numFmtId="226" formatCode="0;_Ѐ"/>
    <numFmt numFmtId="227" formatCode="&quot;( &quot;#.00&quot;인/세대 기준 )&quot;"/>
    <numFmt numFmtId="228" formatCode="0.00&quot;인/세대&quot;"/>
  </numFmts>
  <fonts count="7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0"/>
      <color indexed="36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1"/>
      <color indexed="62"/>
      <name val="맑은 고딕"/>
      <family val="3"/>
      <charset val="129"/>
    </font>
    <font>
      <sz val="9"/>
      <name val="Arial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b/>
      <sz val="12"/>
      <name val="가는으뜸체"/>
      <family val="1"/>
      <charset val="129"/>
    </font>
    <font>
      <sz val="10"/>
      <name val="가는으뜸체"/>
      <family val="1"/>
      <charset val="129"/>
    </font>
    <font>
      <b/>
      <sz val="11"/>
      <name val="가는으뜸체"/>
      <family val="1"/>
      <charset val="129"/>
    </font>
    <font>
      <sz val="10"/>
      <color indexed="9"/>
      <name val="가는으뜸체"/>
      <family val="1"/>
      <charset val="129"/>
    </font>
    <font>
      <sz val="9"/>
      <color indexed="10"/>
      <name val="가는으뜸체"/>
      <family val="1"/>
      <charset val="129"/>
    </font>
    <font>
      <sz val="10"/>
      <color indexed="10"/>
      <name val="가는으뜸체"/>
      <family val="1"/>
      <charset val="129"/>
    </font>
    <font>
      <sz val="9.5"/>
      <name val="가는으뜸체"/>
      <family val="1"/>
      <charset val="129"/>
    </font>
    <font>
      <sz val="9"/>
      <name val="가는으뜸체"/>
      <family val="1"/>
      <charset val="129"/>
    </font>
    <font>
      <b/>
      <sz val="13"/>
      <name val="가는으뜸체"/>
      <family val="1"/>
      <charset val="129"/>
    </font>
    <font>
      <b/>
      <sz val="10"/>
      <name val="가는으뜸체"/>
      <family val="1"/>
      <charset val="129"/>
    </font>
    <font>
      <b/>
      <sz val="9"/>
      <name val="가는으뜸체"/>
      <family val="1"/>
      <charset val="129"/>
    </font>
    <font>
      <sz val="8"/>
      <name val="가는으뜸체"/>
      <family val="1"/>
      <charset val="129"/>
    </font>
    <font>
      <sz val="11"/>
      <name val="가는으뜸체"/>
      <family val="1"/>
      <charset val="129"/>
    </font>
    <font>
      <sz val="7"/>
      <name val="가는으뜸체"/>
      <family val="1"/>
      <charset val="129"/>
    </font>
    <font>
      <sz val="8"/>
      <color indexed="9"/>
      <name val="가는으뜸체"/>
      <family val="1"/>
      <charset val="129"/>
    </font>
    <font>
      <b/>
      <sz val="8"/>
      <name val="가는으뜸체"/>
      <family val="1"/>
      <charset val="129"/>
    </font>
    <font>
      <vertAlign val="subscript"/>
      <sz val="8"/>
      <name val="가는으뜸체"/>
      <family val="1"/>
      <charset val="129"/>
    </font>
    <font>
      <vertAlign val="superscript"/>
      <sz val="8"/>
      <name val="가는으뜸체"/>
      <family val="1"/>
      <charset val="129"/>
    </font>
    <font>
      <b/>
      <sz val="10"/>
      <color indexed="10"/>
      <name val="가는으뜸체"/>
      <family val="1"/>
      <charset val="129"/>
    </font>
    <font>
      <sz val="8.5"/>
      <name val="가는으뜸체"/>
      <family val="1"/>
      <charset val="129"/>
    </font>
    <font>
      <b/>
      <sz val="10.5"/>
      <name val="가는으뜸체"/>
      <family val="1"/>
      <charset val="129"/>
    </font>
    <font>
      <b/>
      <sz val="9"/>
      <color rgb="FFFF0000"/>
      <name val="가는으뜸체"/>
      <family val="1"/>
      <charset val="129"/>
    </font>
    <font>
      <sz val="9"/>
      <color rgb="FFFF0000"/>
      <name val="가는으뜸체"/>
      <family val="1"/>
      <charset val="129"/>
    </font>
    <font>
      <sz val="10.5"/>
      <name val="가는으뜸체"/>
      <family val="1"/>
      <charset val="129"/>
    </font>
    <font>
      <sz val="12"/>
      <name val="가는으뜸체"/>
      <family val="1"/>
      <charset val="129"/>
    </font>
    <font>
      <sz val="10"/>
      <color rgb="FFFF0000"/>
      <name val="가는으뜸체"/>
      <family val="1"/>
      <charset val="129"/>
    </font>
    <font>
      <sz val="6"/>
      <name val="가는으뜸체"/>
      <family val="1"/>
      <charset val="129"/>
    </font>
    <font>
      <sz val="9"/>
      <color indexed="81"/>
      <name val="돋움"/>
      <family val="3"/>
      <charset val="129"/>
    </font>
    <font>
      <sz val="10.5"/>
      <color theme="1"/>
      <name val="가는으뜸체"/>
      <family val="1"/>
      <charset val="129"/>
    </font>
    <font>
      <b/>
      <sz val="11"/>
      <name val="돋움"/>
      <family val="3"/>
      <charset val="129"/>
    </font>
    <font>
      <sz val="10.5"/>
      <name val="가는둥근제목체"/>
      <family val="1"/>
      <charset val="129"/>
    </font>
    <font>
      <b/>
      <sz val="12"/>
      <name val="가는둥근제목체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36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36"/>
      </bottom>
      <diagonal/>
    </border>
    <border>
      <left/>
      <right/>
      <top style="medium">
        <color indexed="36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1">
    <xf numFmtId="0" fontId="0" fillId="0" borderId="0">
      <alignment vertical="center"/>
    </xf>
    <xf numFmtId="0" fontId="3" fillId="0" borderId="0" applyFont="0" applyFill="0" applyBorder="0" applyAlignment="0" applyProtection="0"/>
    <xf numFmtId="0" fontId="4" fillId="0" borderId="0"/>
    <xf numFmtId="0" fontId="4" fillId="0" borderId="1">
      <alignment horizont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2" applyNumberFormat="0" applyAlignment="0" applyProtection="0">
      <alignment vertical="center"/>
    </xf>
    <xf numFmtId="190" fontId="4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3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21" borderId="3" applyNumberFormat="0" applyFont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3" fillId="22" borderId="0" applyFill="0" applyBorder="0" applyProtection="0">
      <alignment horizontal="right"/>
    </xf>
    <xf numFmtId="10" fontId="13" fillId="0" borderId="0" applyFill="0" applyBorder="0" applyProtection="0">
      <alignment horizontal="right"/>
    </xf>
    <xf numFmtId="0" fontId="14" fillId="23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6" fillId="24" borderId="4" applyNumberFormat="0" applyAlignment="0" applyProtection="0">
      <alignment vertical="center"/>
    </xf>
    <xf numFmtId="193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86" fontId="20" fillId="0" borderId="0" applyFill="0" applyBorder="0">
      <alignment horizontal="centerContinuous"/>
    </xf>
    <xf numFmtId="200" fontId="20" fillId="0" borderId="0" applyFill="0" applyBorder="0">
      <alignment horizontal="centerContinuous"/>
    </xf>
    <xf numFmtId="2" fontId="20" fillId="0" borderId="0" applyFill="0" applyBorder="0" applyProtection="0">
      <alignment horizontal="centerContinuous"/>
    </xf>
    <xf numFmtId="0" fontId="21" fillId="7" borderId="2" applyNumberFormat="0" applyAlignment="0" applyProtection="0">
      <alignment vertical="center"/>
    </xf>
    <xf numFmtId="4" fontId="11" fillId="0" borderId="0">
      <protection locked="0"/>
    </xf>
    <xf numFmtId="191" fontId="4" fillId="0" borderId="0">
      <protection locked="0"/>
    </xf>
    <xf numFmtId="201" fontId="22" fillId="0" borderId="0" applyFill="0" applyBorder="0">
      <alignment horizontal="centerContinuous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98" fontId="20" fillId="0" borderId="0" applyFill="0" applyBorder="0">
      <alignment horizontal="centerContinuous"/>
    </xf>
    <xf numFmtId="199" fontId="20" fillId="0" borderId="0" applyFill="0" applyBorder="0">
      <alignment horizontal="centerContinuous"/>
    </xf>
    <xf numFmtId="0" fontId="4" fillId="0" borderId="0"/>
    <xf numFmtId="0" fontId="28" fillId="20" borderId="10" applyNumberFormat="0" applyAlignment="0" applyProtection="0">
      <alignment vertical="center"/>
    </xf>
    <xf numFmtId="41" fontId="1" fillId="0" borderId="0" applyFont="0" applyFill="0" applyBorder="0" applyAlignment="0" applyProtection="0"/>
    <xf numFmtId="195" fontId="3" fillId="0" borderId="11"/>
    <xf numFmtId="185" fontId="13" fillId="22" borderId="0" applyFill="0" applyBorder="0" applyProtection="0">
      <alignment horizontal="right"/>
    </xf>
    <xf numFmtId="43" fontId="1" fillId="0" borderId="0" applyFont="0" applyFill="0" applyBorder="0" applyAlignment="0" applyProtection="0"/>
    <xf numFmtId="189" fontId="4" fillId="0" borderId="0">
      <protection locked="0"/>
    </xf>
    <xf numFmtId="0" fontId="1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40" fillId="0" borderId="0"/>
    <xf numFmtId="0" fontId="1" fillId="0" borderId="0"/>
    <xf numFmtId="0" fontId="11" fillId="0" borderId="12">
      <protection locked="0"/>
    </xf>
    <xf numFmtId="188" fontId="4" fillId="0" borderId="0">
      <protection locked="0"/>
    </xf>
    <xf numFmtId="192" fontId="4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31" fillId="0" borderId="0"/>
    <xf numFmtId="0" fontId="3" fillId="0" borderId="0" applyFont="0" applyFill="0" applyBorder="0" applyAlignment="0" applyProtection="0"/>
    <xf numFmtId="202" fontId="4" fillId="0" borderId="0"/>
    <xf numFmtId="0" fontId="3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32" fillId="0" borderId="0" applyFont="0" applyFill="0" applyBorder="0" applyAlignment="0" applyProtection="0"/>
    <xf numFmtId="203" fontId="4" fillId="0" borderId="0"/>
    <xf numFmtId="0" fontId="32" fillId="0" borderId="0" applyFont="0" applyFill="0" applyBorder="0" applyAlignment="0" applyProtection="0"/>
    <xf numFmtId="204" fontId="4" fillId="0" borderId="0"/>
    <xf numFmtId="194" fontId="22" fillId="0" borderId="0" applyFill="0" applyBorder="0">
      <alignment horizontal="centerContinuous"/>
    </xf>
    <xf numFmtId="2" fontId="32" fillId="0" borderId="0" applyFont="0" applyFill="0" applyBorder="0" applyAlignment="0" applyProtection="0"/>
    <xf numFmtId="38" fontId="33" fillId="25" borderId="0" applyNumberFormat="0" applyBorder="0" applyAlignment="0" applyProtection="0"/>
    <xf numFmtId="0" fontId="34" fillId="0" borderId="0">
      <alignment horizontal="left"/>
    </xf>
    <xf numFmtId="0" fontId="35" fillId="0" borderId="13" applyNumberFormat="0" applyAlignment="0" applyProtection="0">
      <alignment horizontal="left" vertical="center"/>
    </xf>
    <xf numFmtId="0" fontId="35" fillId="0" borderId="14">
      <alignment horizontal="left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33" fillId="26" borderId="11" applyNumberFormat="0" applyBorder="0" applyAlignment="0" applyProtection="0"/>
    <xf numFmtId="0" fontId="38" fillId="0" borderId="15"/>
    <xf numFmtId="187" fontId="4" fillId="0" borderId="0"/>
    <xf numFmtId="0" fontId="3" fillId="0" borderId="0"/>
    <xf numFmtId="10" fontId="3" fillId="0" borderId="0" applyFont="0" applyFill="0" applyBorder="0" applyAlignment="0" applyProtection="0"/>
    <xf numFmtId="0" fontId="38" fillId="0" borderId="0"/>
    <xf numFmtId="0" fontId="39" fillId="0" borderId="0" applyFill="0" applyBorder="0" applyProtection="0">
      <alignment horizontal="centerContinuous" vertical="center"/>
    </xf>
    <xf numFmtId="0" fontId="40" fillId="22" borderId="0" applyFill="0" applyBorder="0" applyProtection="0">
      <alignment horizontal="center" vertical="center"/>
    </xf>
    <xf numFmtId="197" fontId="22" fillId="0" borderId="0" applyFill="0" applyBorder="0">
      <alignment horizontal="centerContinuous"/>
    </xf>
    <xf numFmtId="0" fontId="32" fillId="0" borderId="12" applyNumberFormat="0" applyFont="0" applyFill="0" applyAlignment="0" applyProtection="0"/>
  </cellStyleXfs>
  <cellXfs count="1057">
    <xf numFmtId="0" fontId="0" fillId="0" borderId="0" xfId="0">
      <alignment vertical="center"/>
    </xf>
    <xf numFmtId="0" fontId="44" fillId="0" borderId="0" xfId="0" applyFont="1" applyFill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Fill="1">
      <alignment vertical="center"/>
    </xf>
    <xf numFmtId="41" fontId="4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80" fontId="48" fillId="0" borderId="0" xfId="42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50" fillId="0" borderId="4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1" fontId="51" fillId="0" borderId="17" xfId="50" applyNumberFormat="1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41" fontId="51" fillId="0" borderId="17" xfId="50" applyNumberFormat="1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41" fontId="45" fillId="0" borderId="0" xfId="0" applyNumberFormat="1" applyFont="1">
      <alignment vertical="center"/>
    </xf>
    <xf numFmtId="0" fontId="45" fillId="0" borderId="2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184" fontId="54" fillId="0" borderId="26" xfId="0" applyNumberFormat="1" applyFont="1" applyBorder="1" applyAlignment="1">
      <alignment horizontal="center" vertical="center"/>
    </xf>
    <xf numFmtId="184" fontId="54" fillId="0" borderId="25" xfId="0" applyNumberFormat="1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41" fontId="45" fillId="0" borderId="40" xfId="50" applyFont="1" applyFill="1" applyBorder="1">
      <alignment vertical="center"/>
    </xf>
    <xf numFmtId="179" fontId="45" fillId="0" borderId="40" xfId="50" applyNumberFormat="1" applyFont="1" applyFill="1" applyBorder="1">
      <alignment vertical="center"/>
    </xf>
    <xf numFmtId="179" fontId="45" fillId="0" borderId="27" xfId="50" applyNumberFormat="1" applyFont="1" applyFill="1" applyBorder="1">
      <alignment vertical="center"/>
    </xf>
    <xf numFmtId="180" fontId="45" fillId="0" borderId="16" xfId="0" applyNumberFormat="1" applyFont="1" applyBorder="1">
      <alignment vertical="center"/>
    </xf>
    <xf numFmtId="180" fontId="45" fillId="0" borderId="23" xfId="0" applyNumberFormat="1" applyFont="1" applyBorder="1">
      <alignment vertical="center"/>
    </xf>
    <xf numFmtId="41" fontId="45" fillId="0" borderId="17" xfId="50" applyFont="1" applyFill="1" applyBorder="1">
      <alignment vertical="center"/>
    </xf>
    <xf numFmtId="179" fontId="45" fillId="0" borderId="17" xfId="50" applyNumberFormat="1" applyFont="1" applyFill="1" applyBorder="1">
      <alignment vertical="center"/>
    </xf>
    <xf numFmtId="179" fontId="45" fillId="0" borderId="24" xfId="50" applyNumberFormat="1" applyFont="1" applyFill="1" applyBorder="1">
      <alignment vertical="center"/>
    </xf>
    <xf numFmtId="0" fontId="53" fillId="0" borderId="18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179" fontId="45" fillId="0" borderId="16" xfId="50" applyNumberFormat="1" applyFont="1" applyFill="1" applyBorder="1">
      <alignment vertical="center"/>
    </xf>
    <xf numFmtId="179" fontId="45" fillId="0" borderId="44" xfId="50" applyNumberFormat="1" applyFont="1" applyFill="1" applyBorder="1">
      <alignment vertical="center"/>
    </xf>
    <xf numFmtId="179" fontId="45" fillId="0" borderId="28" xfId="50" applyNumberFormat="1" applyFont="1" applyFill="1" applyBorder="1">
      <alignment vertical="center"/>
    </xf>
    <xf numFmtId="0" fontId="45" fillId="0" borderId="47" xfId="0" applyFont="1" applyFill="1" applyBorder="1" applyAlignment="1">
      <alignment horizontal="centerContinuous" vertical="center"/>
    </xf>
    <xf numFmtId="0" fontId="45" fillId="0" borderId="40" xfId="0" applyFont="1" applyFill="1" applyBorder="1" applyAlignment="1">
      <alignment horizontal="centerContinuous" vertical="center"/>
    </xf>
    <xf numFmtId="0" fontId="53" fillId="0" borderId="1" xfId="0" applyFont="1" applyFill="1" applyBorder="1" applyAlignment="1">
      <alignment horizontal="centerContinuous" vertical="center"/>
    </xf>
    <xf numFmtId="0" fontId="53" fillId="0" borderId="17" xfId="0" applyFont="1" applyFill="1" applyBorder="1" applyAlignment="1">
      <alignment horizontal="centerContinuous" vertical="center"/>
    </xf>
    <xf numFmtId="180" fontId="45" fillId="0" borderId="17" xfId="42" applyNumberFormat="1" applyFont="1" applyBorder="1">
      <alignment vertical="center"/>
    </xf>
    <xf numFmtId="180" fontId="45" fillId="0" borderId="24" xfId="42" applyNumberFormat="1" applyFont="1" applyBorder="1">
      <alignment vertical="center"/>
    </xf>
    <xf numFmtId="0" fontId="45" fillId="0" borderId="1" xfId="0" applyFont="1" applyFill="1" applyBorder="1" applyAlignment="1">
      <alignment horizontal="centerContinuous" vertical="center"/>
    </xf>
    <xf numFmtId="0" fontId="45" fillId="0" borderId="17" xfId="0" applyFont="1" applyFill="1" applyBorder="1" applyAlignment="1">
      <alignment horizontal="centerContinuous" vertical="center"/>
    </xf>
    <xf numFmtId="0" fontId="45" fillId="0" borderId="29" xfId="0" applyFont="1" applyFill="1" applyBorder="1" applyAlignment="1">
      <alignment horizontal="centerContinuous" vertical="center"/>
    </xf>
    <xf numFmtId="0" fontId="45" fillId="0" borderId="26" xfId="0" applyFont="1" applyFill="1" applyBorder="1" applyAlignment="1">
      <alignment horizontal="centerContinuous" vertical="center"/>
    </xf>
    <xf numFmtId="41" fontId="45" fillId="0" borderId="26" xfId="50" applyFont="1" applyFill="1" applyBorder="1">
      <alignment vertical="center"/>
    </xf>
    <xf numFmtId="179" fontId="45" fillId="0" borderId="26" xfId="50" applyNumberFormat="1" applyFont="1" applyFill="1" applyBorder="1">
      <alignment vertical="center"/>
    </xf>
    <xf numFmtId="179" fontId="45" fillId="0" borderId="25" xfId="50" applyNumberFormat="1" applyFont="1" applyFill="1" applyBorder="1">
      <alignment vertical="center"/>
    </xf>
    <xf numFmtId="0" fontId="45" fillId="0" borderId="16" xfId="0" applyFont="1" applyBorder="1" applyAlignment="1">
      <alignment horizontal="center" vertical="center"/>
    </xf>
    <xf numFmtId="41" fontId="45" fillId="0" borderId="16" xfId="50" applyFont="1" applyFill="1" applyBorder="1">
      <alignment vertical="center"/>
    </xf>
    <xf numFmtId="179" fontId="45" fillId="0" borderId="23" xfId="50" applyNumberFormat="1" applyFont="1" applyFill="1" applyBorder="1">
      <alignment vertical="center"/>
    </xf>
    <xf numFmtId="0" fontId="53" fillId="0" borderId="17" xfId="0" applyFont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45" fillId="0" borderId="17" xfId="0" applyFont="1" applyBorder="1">
      <alignment vertical="center"/>
    </xf>
    <xf numFmtId="0" fontId="45" fillId="0" borderId="24" xfId="0" applyFont="1" applyBorder="1">
      <alignment vertical="center"/>
    </xf>
    <xf numFmtId="0" fontId="53" fillId="0" borderId="26" xfId="0" applyFont="1" applyFill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5" xfId="0" applyFont="1" applyBorder="1">
      <alignment vertical="center"/>
    </xf>
    <xf numFmtId="0" fontId="51" fillId="0" borderId="0" xfId="78" applyFont="1" applyAlignment="1">
      <alignment horizontal="center" vertical="center"/>
    </xf>
    <xf numFmtId="41" fontId="55" fillId="0" borderId="0" xfId="50" applyFont="1" applyAlignment="1">
      <alignment vertical="center"/>
    </xf>
    <xf numFmtId="41" fontId="45" fillId="0" borderId="0" xfId="50" applyFont="1">
      <alignment vertical="center"/>
    </xf>
    <xf numFmtId="41" fontId="45" fillId="0" borderId="0" xfId="50" applyFont="1" applyFill="1" applyAlignment="1">
      <alignment horizontal="center" vertical="center"/>
    </xf>
    <xf numFmtId="41" fontId="45" fillId="0" borderId="26" xfId="50" applyFont="1" applyFill="1" applyBorder="1" applyAlignment="1">
      <alignment horizontal="center" vertical="center"/>
    </xf>
    <xf numFmtId="41" fontId="45" fillId="0" borderId="26" xfId="50" applyFont="1" applyFill="1" applyBorder="1" applyAlignment="1">
      <alignment horizontal="center" vertical="center" wrapText="1"/>
    </xf>
    <xf numFmtId="205" fontId="51" fillId="0" borderId="18" xfId="50" applyNumberFormat="1" applyFont="1" applyFill="1" applyBorder="1" applyAlignment="1">
      <alignment horizontal="center" vertical="center"/>
    </xf>
    <xf numFmtId="41" fontId="51" fillId="0" borderId="35" xfId="50" applyFont="1" applyFill="1" applyBorder="1">
      <alignment vertical="center"/>
    </xf>
    <xf numFmtId="41" fontId="51" fillId="0" borderId="16" xfId="50" applyNumberFormat="1" applyFont="1" applyFill="1" applyBorder="1">
      <alignment vertical="center"/>
    </xf>
    <xf numFmtId="41" fontId="51" fillId="0" borderId="16" xfId="50" applyFont="1" applyFill="1" applyBorder="1">
      <alignment vertical="center"/>
    </xf>
    <xf numFmtId="181" fontId="51" fillId="0" borderId="16" xfId="50" applyNumberFormat="1" applyFont="1" applyFill="1" applyBorder="1" applyAlignment="1">
      <alignment horizontal="center" vertical="center"/>
    </xf>
    <xf numFmtId="41" fontId="45" fillId="0" borderId="33" xfId="50" applyFont="1" applyFill="1" applyBorder="1">
      <alignment vertical="center"/>
    </xf>
    <xf numFmtId="41" fontId="45" fillId="0" borderId="0" xfId="50" applyFont="1" applyFill="1" applyBorder="1">
      <alignment vertical="center"/>
    </xf>
    <xf numFmtId="41" fontId="45" fillId="0" borderId="34" xfId="50" applyFont="1" applyFill="1" applyBorder="1">
      <alignment vertical="center"/>
    </xf>
    <xf numFmtId="41" fontId="45" fillId="0" borderId="0" xfId="50" applyFont="1" applyFill="1">
      <alignment vertical="center"/>
    </xf>
    <xf numFmtId="205" fontId="51" fillId="0" borderId="1" xfId="50" applyNumberFormat="1" applyFont="1" applyFill="1" applyBorder="1" applyAlignment="1">
      <alignment horizontal="center" vertical="center"/>
    </xf>
    <xf numFmtId="41" fontId="51" fillId="0" borderId="32" xfId="50" applyFont="1" applyFill="1" applyBorder="1">
      <alignment vertical="center"/>
    </xf>
    <xf numFmtId="41" fontId="51" fillId="0" borderId="17" xfId="50" applyNumberFormat="1" applyFont="1" applyFill="1" applyBorder="1">
      <alignment vertical="center"/>
    </xf>
    <xf numFmtId="41" fontId="51" fillId="0" borderId="17" xfId="50" applyFont="1" applyFill="1" applyBorder="1">
      <alignment vertical="center"/>
    </xf>
    <xf numFmtId="181" fontId="51" fillId="0" borderId="17" xfId="50" applyNumberFormat="1" applyFont="1" applyFill="1" applyBorder="1" applyAlignment="1">
      <alignment horizontal="center" vertical="center"/>
    </xf>
    <xf numFmtId="41" fontId="51" fillId="0" borderId="29" xfId="50" applyFont="1" applyFill="1" applyBorder="1" applyAlignment="1">
      <alignment vertical="center"/>
    </xf>
    <xf numFmtId="41" fontId="51" fillId="0" borderId="26" xfId="50" applyFont="1" applyFill="1" applyBorder="1" applyAlignment="1">
      <alignment vertical="center"/>
    </xf>
    <xf numFmtId="41" fontId="51" fillId="0" borderId="26" xfId="50" applyNumberFormat="1" applyFont="1" applyFill="1" applyBorder="1" applyAlignment="1">
      <alignment vertical="center"/>
    </xf>
    <xf numFmtId="182" fontId="51" fillId="0" borderId="26" xfId="50" applyNumberFormat="1" applyFont="1" applyFill="1" applyBorder="1" applyAlignment="1">
      <alignment horizontal="center" vertical="center"/>
    </xf>
    <xf numFmtId="179" fontId="45" fillId="0" borderId="0" xfId="50" applyNumberFormat="1" applyFont="1" applyFill="1">
      <alignment vertical="center"/>
    </xf>
    <xf numFmtId="41" fontId="45" fillId="0" borderId="0" xfId="50" applyFont="1" applyFill="1" applyBorder="1" applyAlignment="1">
      <alignment horizontal="center" vertical="center"/>
    </xf>
    <xf numFmtId="41" fontId="45" fillId="0" borderId="0" xfId="50" applyFont="1" applyFill="1" applyBorder="1" applyAlignment="1">
      <alignment horizontal="left" vertical="center" wrapText="1"/>
    </xf>
    <xf numFmtId="181" fontId="45" fillId="0" borderId="0" xfId="50" applyNumberFormat="1" applyFont="1" applyFill="1" applyAlignment="1">
      <alignment horizontal="center" vertical="center"/>
    </xf>
    <xf numFmtId="0" fontId="45" fillId="0" borderId="0" xfId="79" applyFont="1" applyBorder="1" applyAlignment="1">
      <alignment horizontal="centerContinuous" vertical="center"/>
    </xf>
    <xf numFmtId="0" fontId="45" fillId="0" borderId="0" xfId="79" applyFont="1" applyBorder="1">
      <alignment vertical="center"/>
    </xf>
    <xf numFmtId="0" fontId="56" fillId="0" borderId="0" xfId="79" applyFont="1">
      <alignment vertical="center"/>
    </xf>
    <xf numFmtId="0" fontId="46" fillId="0" borderId="0" xfId="0" applyFont="1" applyAlignment="1">
      <alignment horizontal="left" vertical="center"/>
    </xf>
    <xf numFmtId="0" fontId="45" fillId="0" borderId="0" xfId="79" applyFont="1">
      <alignment vertical="center"/>
    </xf>
    <xf numFmtId="0" fontId="47" fillId="27" borderId="0" xfId="79" applyFont="1" applyFill="1">
      <alignment vertical="center"/>
    </xf>
    <xf numFmtId="0" fontId="45" fillId="0" borderId="0" xfId="79" applyFont="1" applyAlignment="1">
      <alignment horizontal="center" vertical="center"/>
    </xf>
    <xf numFmtId="0" fontId="57" fillId="0" borderId="0" xfId="79" applyFont="1">
      <alignment vertical="center"/>
    </xf>
    <xf numFmtId="0" fontId="45" fillId="0" borderId="0" xfId="79" applyFont="1" applyAlignment="1">
      <alignment horizontal="centerContinuous" vertical="center"/>
    </xf>
    <xf numFmtId="0" fontId="55" fillId="0" borderId="0" xfId="79" applyFont="1" applyAlignment="1">
      <alignment horizontal="center" vertical="center"/>
    </xf>
    <xf numFmtId="0" fontId="55" fillId="0" borderId="36" xfId="79" applyFont="1" applyFill="1" applyBorder="1" applyAlignment="1">
      <alignment horizontal="centerContinuous" vertical="center"/>
    </xf>
    <xf numFmtId="0" fontId="55" fillId="0" borderId="0" xfId="79" applyFont="1">
      <alignment vertical="center"/>
    </xf>
    <xf numFmtId="207" fontId="55" fillId="0" borderId="0" xfId="79" applyNumberFormat="1" applyFont="1" applyAlignment="1">
      <alignment horizontal="centerContinuous" vertical="center"/>
    </xf>
    <xf numFmtId="183" fontId="55" fillId="0" borderId="0" xfId="79" applyNumberFormat="1" applyFont="1" applyAlignment="1">
      <alignment horizontal="centerContinuous" vertical="center"/>
    </xf>
    <xf numFmtId="208" fontId="55" fillId="0" borderId="0" xfId="79" applyNumberFormat="1" applyFont="1" applyAlignment="1">
      <alignment horizontal="centerContinuous" vertical="center"/>
    </xf>
    <xf numFmtId="209" fontId="55" fillId="0" borderId="0" xfId="79" applyNumberFormat="1" applyFont="1" applyAlignment="1">
      <alignment horizontal="centerContinuous" vertical="center"/>
    </xf>
    <xf numFmtId="0" fontId="55" fillId="0" borderId="0" xfId="79" applyFont="1" applyAlignment="1">
      <alignment horizontal="centerContinuous" vertical="center"/>
    </xf>
    <xf numFmtId="0" fontId="58" fillId="27" borderId="0" xfId="79" applyFont="1" applyFill="1" applyAlignment="1">
      <alignment horizontal="centerContinuous" vertical="center"/>
    </xf>
    <xf numFmtId="0" fontId="58" fillId="0" borderId="0" xfId="79" applyFont="1" applyAlignment="1">
      <alignment horizontal="centerContinuous" vertical="center"/>
    </xf>
    <xf numFmtId="3" fontId="55" fillId="0" borderId="37" xfId="79" applyNumberFormat="1" applyFont="1" applyFill="1" applyBorder="1" applyAlignment="1">
      <alignment horizontal="centerContinuous" vertical="center"/>
    </xf>
    <xf numFmtId="0" fontId="55" fillId="0" borderId="37" xfId="79" applyFont="1" applyFill="1" applyBorder="1" applyAlignment="1">
      <alignment horizontal="centerContinuous" vertical="center"/>
    </xf>
    <xf numFmtId="210" fontId="58" fillId="0" borderId="37" xfId="79" applyNumberFormat="1" applyFont="1" applyFill="1" applyBorder="1" applyAlignment="1">
      <alignment horizontal="centerContinuous" vertical="center"/>
    </xf>
    <xf numFmtId="0" fontId="58" fillId="0" borderId="37" xfId="79" applyFont="1" applyFill="1" applyBorder="1" applyAlignment="1">
      <alignment horizontal="centerContinuous" vertical="center"/>
    </xf>
    <xf numFmtId="0" fontId="55" fillId="0" borderId="37" xfId="79" applyFont="1" applyFill="1" applyBorder="1">
      <alignment vertical="center"/>
    </xf>
    <xf numFmtId="211" fontId="55" fillId="0" borderId="37" xfId="79" applyNumberFormat="1" applyFont="1" applyFill="1" applyBorder="1" applyAlignment="1">
      <alignment horizontal="centerContinuous" vertical="center"/>
    </xf>
    <xf numFmtId="212" fontId="55" fillId="0" borderId="37" xfId="79" applyNumberFormat="1" applyFont="1" applyFill="1" applyBorder="1" applyAlignment="1">
      <alignment horizontal="centerContinuous" vertical="center"/>
    </xf>
    <xf numFmtId="0" fontId="59" fillId="0" borderId="0" xfId="79" applyFont="1" applyAlignment="1">
      <alignment horizontal="left" vertical="center"/>
    </xf>
    <xf numFmtId="0" fontId="55" fillId="0" borderId="0" xfId="79" applyFont="1" applyAlignment="1">
      <alignment vertical="center"/>
    </xf>
    <xf numFmtId="0" fontId="55" fillId="0" borderId="38" xfId="79" applyFont="1" applyBorder="1" applyAlignment="1">
      <alignment horizontal="centerContinuous" vertical="center"/>
    </xf>
    <xf numFmtId="0" fontId="55" fillId="0" borderId="38" xfId="79" applyFont="1" applyBorder="1" applyAlignment="1">
      <alignment horizontal="center" vertical="center"/>
    </xf>
    <xf numFmtId="210" fontId="55" fillId="0" borderId="38" xfId="79" applyNumberFormat="1" applyFont="1" applyBorder="1" applyAlignment="1">
      <alignment horizontal="center" vertical="center"/>
    </xf>
    <xf numFmtId="0" fontId="55" fillId="0" borderId="38" xfId="79" applyFont="1" applyBorder="1">
      <alignment vertical="center"/>
    </xf>
    <xf numFmtId="0" fontId="55" fillId="0" borderId="38" xfId="79" applyFont="1" applyBorder="1" applyAlignment="1">
      <alignment horizontal="left" vertical="center"/>
    </xf>
    <xf numFmtId="0" fontId="55" fillId="0" borderId="0" xfId="79" applyFont="1" applyAlignment="1">
      <alignment horizontal="right" vertical="center"/>
    </xf>
    <xf numFmtId="0" fontId="55" fillId="0" borderId="0" xfId="79" applyNumberFormat="1" applyFont="1" applyAlignment="1">
      <alignment horizontal="centerContinuous" vertical="center"/>
    </xf>
    <xf numFmtId="3" fontId="55" fillId="0" borderId="0" xfId="50" applyNumberFormat="1" applyFont="1" applyAlignment="1">
      <alignment horizontal="centerContinuous" vertical="center"/>
    </xf>
    <xf numFmtId="41" fontId="55" fillId="0" borderId="0" xfId="50" applyFont="1" applyAlignment="1">
      <alignment horizontal="centerContinuous" vertical="center"/>
    </xf>
    <xf numFmtId="210" fontId="55" fillId="0" borderId="37" xfId="79" applyNumberFormat="1" applyFont="1" applyFill="1" applyBorder="1" applyAlignment="1">
      <alignment horizontal="center" vertical="center"/>
    </xf>
    <xf numFmtId="208" fontId="55" fillId="0" borderId="37" xfId="79" applyNumberFormat="1" applyFont="1" applyFill="1" applyBorder="1" applyAlignment="1">
      <alignment horizontal="centerContinuous" vertical="center"/>
    </xf>
    <xf numFmtId="0" fontId="55" fillId="0" borderId="37" xfId="79" applyNumberFormat="1" applyFont="1" applyFill="1" applyBorder="1" applyAlignment="1">
      <alignment horizontal="centerContinuous" vertical="center"/>
    </xf>
    <xf numFmtId="212" fontId="55" fillId="0" borderId="37" xfId="79" applyNumberFormat="1" applyFont="1" applyFill="1" applyBorder="1" applyAlignment="1">
      <alignment vertical="center"/>
    </xf>
    <xf numFmtId="0" fontId="55" fillId="0" borderId="0" xfId="79" applyFont="1" applyAlignment="1">
      <alignment horizontal="left" vertical="center"/>
    </xf>
    <xf numFmtId="0" fontId="55" fillId="0" borderId="0" xfId="79" applyFont="1" applyBorder="1" applyAlignment="1">
      <alignment horizontal="centerContinuous" vertical="center"/>
    </xf>
    <xf numFmtId="0" fontId="55" fillId="0" borderId="0" xfId="79" applyFont="1" applyAlignment="1">
      <alignment horizontal="left" vertical="center" indent="2"/>
    </xf>
    <xf numFmtId="0" fontId="55" fillId="0" borderId="0" xfId="79" applyFont="1" applyBorder="1">
      <alignment vertical="center"/>
    </xf>
    <xf numFmtId="0" fontId="55" fillId="0" borderId="0" xfId="79" applyFont="1" applyBorder="1" applyAlignment="1">
      <alignment horizontal="center" vertical="center"/>
    </xf>
    <xf numFmtId="0" fontId="55" fillId="0" borderId="0" xfId="79" applyFont="1" applyBorder="1" applyAlignment="1">
      <alignment horizontal="left" vertical="center"/>
    </xf>
    <xf numFmtId="0" fontId="58" fillId="0" borderId="0" xfId="79" applyFont="1">
      <alignment vertical="center"/>
    </xf>
    <xf numFmtId="0" fontId="58" fillId="0" borderId="0" xfId="79" applyFont="1" applyAlignment="1">
      <alignment vertical="center"/>
    </xf>
    <xf numFmtId="206" fontId="55" fillId="0" borderId="0" xfId="79" applyNumberFormat="1" applyFont="1" applyAlignment="1">
      <alignment horizontal="center" vertical="center"/>
    </xf>
    <xf numFmtId="213" fontId="55" fillId="0" borderId="0" xfId="50" applyNumberFormat="1" applyFont="1" applyAlignment="1">
      <alignment horizontal="centerContinuous" vertical="center"/>
    </xf>
    <xf numFmtId="214" fontId="55" fillId="0" borderId="0" xfId="79" applyNumberFormat="1" applyFont="1" applyAlignment="1">
      <alignment horizontal="centerContinuous" vertical="center"/>
    </xf>
    <xf numFmtId="213" fontId="55" fillId="0" borderId="0" xfId="79" applyNumberFormat="1" applyFont="1" applyAlignment="1">
      <alignment horizontal="centerContinuous" vertical="center"/>
    </xf>
    <xf numFmtId="210" fontId="55" fillId="0" borderId="37" xfId="79" applyNumberFormat="1" applyFont="1" applyFill="1" applyBorder="1" applyAlignment="1">
      <alignment vertical="center"/>
    </xf>
    <xf numFmtId="0" fontId="55" fillId="0" borderId="37" xfId="79" applyFont="1" applyFill="1" applyBorder="1" applyAlignment="1">
      <alignment vertical="center"/>
    </xf>
    <xf numFmtId="0" fontId="55" fillId="0" borderId="37" xfId="79" applyFont="1" applyFill="1" applyBorder="1" applyAlignment="1">
      <alignment horizontal="center" vertical="center"/>
    </xf>
    <xf numFmtId="0" fontId="55" fillId="0" borderId="37" xfId="79" applyNumberFormat="1" applyFont="1" applyFill="1" applyBorder="1" applyAlignment="1">
      <alignment vertical="center"/>
    </xf>
    <xf numFmtId="211" fontId="55" fillId="0" borderId="37" xfId="79" applyNumberFormat="1" applyFont="1" applyFill="1" applyBorder="1" applyAlignment="1">
      <alignment vertical="center"/>
    </xf>
    <xf numFmtId="215" fontId="55" fillId="0" borderId="37" xfId="79" applyNumberFormat="1" applyFont="1" applyFill="1" applyBorder="1" applyAlignment="1">
      <alignment horizontal="center" vertical="center"/>
    </xf>
    <xf numFmtId="214" fontId="55" fillId="0" borderId="0" xfId="79" applyNumberFormat="1" applyFont="1" applyAlignment="1">
      <alignment horizontal="center" vertical="center"/>
    </xf>
    <xf numFmtId="210" fontId="55" fillId="0" borderId="0" xfId="79" applyNumberFormat="1" applyFont="1" applyAlignment="1">
      <alignment horizontal="center" vertical="center"/>
    </xf>
    <xf numFmtId="216" fontId="55" fillId="0" borderId="0" xfId="79" applyNumberFormat="1" applyFont="1" applyAlignment="1">
      <alignment horizontal="center" vertical="center"/>
    </xf>
    <xf numFmtId="183" fontId="55" fillId="0" borderId="0" xfId="79" applyNumberFormat="1" applyFont="1" applyFill="1" applyBorder="1" applyAlignment="1">
      <alignment horizontal="centerContinuous" vertical="center"/>
    </xf>
    <xf numFmtId="218" fontId="55" fillId="0" borderId="0" xfId="50" applyNumberFormat="1" applyFont="1" applyAlignment="1">
      <alignment horizontal="centerContinuous" vertical="center"/>
    </xf>
    <xf numFmtId="210" fontId="58" fillId="0" borderId="37" xfId="79" applyNumberFormat="1" applyFont="1" applyFill="1" applyBorder="1" applyAlignment="1">
      <alignment horizontal="center" vertical="center"/>
    </xf>
    <xf numFmtId="206" fontId="58" fillId="0" borderId="37" xfId="79" applyNumberFormat="1" applyFont="1" applyFill="1" applyBorder="1" applyAlignment="1">
      <alignment horizontal="center" vertical="center"/>
    </xf>
    <xf numFmtId="208" fontId="55" fillId="0" borderId="37" xfId="79" applyNumberFormat="1" applyFont="1" applyFill="1" applyBorder="1" applyAlignment="1">
      <alignment horizontal="center" vertical="center"/>
    </xf>
    <xf numFmtId="214" fontId="55" fillId="0" borderId="37" xfId="79" applyNumberFormat="1" applyFont="1" applyFill="1" applyBorder="1" applyAlignment="1">
      <alignment horizontal="center" vertical="center"/>
    </xf>
    <xf numFmtId="0" fontId="55" fillId="0" borderId="0" xfId="79" quotePrefix="1" applyFont="1" applyAlignment="1">
      <alignment vertical="center"/>
    </xf>
    <xf numFmtId="0" fontId="55" fillId="0" borderId="0" xfId="79" applyNumberFormat="1" applyFont="1" applyAlignment="1">
      <alignment horizontal="center" vertical="center"/>
    </xf>
    <xf numFmtId="183" fontId="55" fillId="0" borderId="0" xfId="79" applyNumberFormat="1" applyFont="1" applyBorder="1" applyAlignment="1">
      <alignment horizontal="centerContinuous" vertical="center"/>
    </xf>
    <xf numFmtId="183" fontId="59" fillId="0" borderId="0" xfId="79" applyNumberFormat="1" applyFont="1" applyAlignment="1">
      <alignment horizontal="centerContinuous" vertical="center"/>
    </xf>
    <xf numFmtId="207" fontId="55" fillId="28" borderId="0" xfId="79" applyNumberFormat="1" applyFont="1" applyFill="1" applyAlignment="1">
      <alignment horizontal="centerContinuous" vertical="center"/>
    </xf>
    <xf numFmtId="0" fontId="55" fillId="28" borderId="0" xfId="79" applyFont="1" applyFill="1" applyAlignment="1">
      <alignment horizontal="centerContinuous" vertical="center"/>
    </xf>
    <xf numFmtId="183" fontId="55" fillId="28" borderId="0" xfId="79" applyNumberFormat="1" applyFont="1" applyFill="1" applyBorder="1" applyAlignment="1">
      <alignment horizontal="centerContinuous" vertical="center"/>
    </xf>
    <xf numFmtId="183" fontId="59" fillId="28" borderId="0" xfId="79" applyNumberFormat="1" applyFont="1" applyFill="1" applyAlignment="1">
      <alignment horizontal="centerContinuous" vertical="center"/>
    </xf>
    <xf numFmtId="183" fontId="55" fillId="28" borderId="0" xfId="79" applyNumberFormat="1" applyFont="1" applyFill="1" applyAlignment="1">
      <alignment horizontal="centerContinuous" vertical="center"/>
    </xf>
    <xf numFmtId="0" fontId="44" fillId="0" borderId="0" xfId="78" applyFont="1" applyAlignment="1">
      <alignment horizontal="left" vertical="center"/>
    </xf>
    <xf numFmtId="0" fontId="51" fillId="0" borderId="0" xfId="78" applyFont="1" applyAlignment="1">
      <alignment vertical="center"/>
    </xf>
    <xf numFmtId="0" fontId="46" fillId="0" borderId="0" xfId="78" applyFont="1" applyAlignment="1">
      <alignment horizontal="left" vertical="center"/>
    </xf>
    <xf numFmtId="0" fontId="46" fillId="0" borderId="0" xfId="78" applyFont="1" applyBorder="1" applyAlignment="1">
      <alignment horizontal="centerContinuous" vertical="center"/>
    </xf>
    <xf numFmtId="0" fontId="51" fillId="0" borderId="0" xfId="78" applyFont="1" applyAlignment="1">
      <alignment horizontal="centerContinuous" vertical="center"/>
    </xf>
    <xf numFmtId="0" fontId="51" fillId="0" borderId="0" xfId="78" applyFont="1" applyBorder="1" applyAlignment="1">
      <alignment horizontal="centerContinuous" vertical="center"/>
    </xf>
    <xf numFmtId="0" fontId="51" fillId="0" borderId="0" xfId="78" applyFont="1" applyAlignment="1">
      <alignment horizontal="right" vertical="center"/>
    </xf>
    <xf numFmtId="0" fontId="45" fillId="0" borderId="19" xfId="78" applyFont="1" applyBorder="1" applyAlignment="1">
      <alignment horizontal="centerContinuous" vertical="center"/>
    </xf>
    <xf numFmtId="0" fontId="45" fillId="0" borderId="20" xfId="78" applyFont="1" applyBorder="1" applyAlignment="1">
      <alignment horizontal="centerContinuous" vertical="center"/>
    </xf>
    <xf numFmtId="0" fontId="51" fillId="0" borderId="20" xfId="78" applyFont="1" applyBorder="1" applyAlignment="1">
      <alignment horizontal="center" vertical="center"/>
    </xf>
    <xf numFmtId="0" fontId="51" fillId="0" borderId="21" xfId="78" applyFont="1" applyBorder="1" applyAlignment="1">
      <alignment horizontal="center" vertical="center"/>
    </xf>
    <xf numFmtId="0" fontId="51" fillId="0" borderId="40" xfId="78" applyFont="1" applyBorder="1" applyAlignment="1">
      <alignment horizontal="center" vertical="center"/>
    </xf>
    <xf numFmtId="41" fontId="45" fillId="0" borderId="40" xfId="78" applyNumberFormat="1" applyFont="1" applyBorder="1" applyAlignment="1">
      <alignment vertical="center"/>
    </xf>
    <xf numFmtId="41" fontId="45" fillId="0" borderId="40" xfId="50" applyFont="1" applyBorder="1">
      <alignment vertical="center"/>
    </xf>
    <xf numFmtId="0" fontId="51" fillId="0" borderId="27" xfId="78" applyFont="1" applyBorder="1" applyAlignment="1">
      <alignment vertical="center"/>
    </xf>
    <xf numFmtId="0" fontId="51" fillId="0" borderId="17" xfId="78" applyFont="1" applyBorder="1" applyAlignment="1">
      <alignment horizontal="center" vertical="center"/>
    </xf>
    <xf numFmtId="41" fontId="45" fillId="0" borderId="17" xfId="78" applyNumberFormat="1" applyFont="1" applyBorder="1" applyAlignment="1">
      <alignment vertical="center"/>
    </xf>
    <xf numFmtId="41" fontId="45" fillId="0" borderId="17" xfId="50" applyFont="1" applyBorder="1">
      <alignment vertical="center"/>
    </xf>
    <xf numFmtId="0" fontId="51" fillId="0" borderId="24" xfId="78" applyFont="1" applyBorder="1" applyAlignment="1">
      <alignment vertical="center"/>
    </xf>
    <xf numFmtId="223" fontId="45" fillId="0" borderId="17" xfId="78" applyNumberFormat="1" applyFont="1" applyBorder="1" applyAlignment="1">
      <alignment vertical="center"/>
    </xf>
    <xf numFmtId="0" fontId="51" fillId="0" borderId="24" xfId="78" applyFont="1" applyBorder="1" applyAlignment="1">
      <alignment horizontal="center" vertical="center"/>
    </xf>
    <xf numFmtId="0" fontId="51" fillId="0" borderId="26" xfId="78" applyFont="1" applyBorder="1" applyAlignment="1">
      <alignment horizontal="center" vertical="center"/>
    </xf>
    <xf numFmtId="223" fontId="45" fillId="0" borderId="26" xfId="78" applyNumberFormat="1" applyFont="1" applyBorder="1" applyAlignment="1">
      <alignment vertical="center"/>
    </xf>
    <xf numFmtId="41" fontId="45" fillId="0" borderId="26" xfId="50" applyFont="1" applyBorder="1">
      <alignment vertical="center"/>
    </xf>
    <xf numFmtId="0" fontId="51" fillId="0" borderId="25" xfId="78" applyFont="1" applyBorder="1" applyAlignment="1">
      <alignment horizontal="center" vertical="center"/>
    </xf>
    <xf numFmtId="0" fontId="51" fillId="0" borderId="0" xfId="78" applyFont="1" applyBorder="1" applyAlignment="1">
      <alignment horizontal="center" vertical="center"/>
    </xf>
    <xf numFmtId="205" fontId="45" fillId="0" borderId="0" xfId="78" applyNumberFormat="1" applyFont="1" applyBorder="1" applyAlignment="1">
      <alignment horizontal="center" vertical="center"/>
    </xf>
    <xf numFmtId="41" fontId="51" fillId="0" borderId="0" xfId="78" applyNumberFormat="1" applyFont="1" applyBorder="1" applyAlignment="1">
      <alignment horizontal="center" vertical="center"/>
    </xf>
    <xf numFmtId="41" fontId="51" fillId="0" borderId="0" xfId="78" applyNumberFormat="1" applyFont="1" applyAlignment="1">
      <alignment horizontal="center" vertical="center"/>
    </xf>
    <xf numFmtId="0" fontId="45" fillId="0" borderId="0" xfId="0" applyFont="1" applyFill="1">
      <alignment vertical="center"/>
    </xf>
    <xf numFmtId="41" fontId="45" fillId="0" borderId="40" xfId="50" applyNumberFormat="1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41" fontId="45" fillId="0" borderId="17" xfId="5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41" fontId="45" fillId="0" borderId="17" xfId="0" applyNumberFormat="1" applyFont="1" applyFill="1" applyBorder="1" applyAlignment="1">
      <alignment horizontal="center" vertical="center"/>
    </xf>
    <xf numFmtId="41" fontId="51" fillId="0" borderId="17" xfId="0" applyNumberFormat="1" applyFont="1" applyFill="1" applyBorder="1" applyAlignment="1">
      <alignment horizontal="center" vertical="center"/>
    </xf>
    <xf numFmtId="41" fontId="51" fillId="0" borderId="17" xfId="0" applyNumberFormat="1" applyFont="1" applyFill="1" applyBorder="1">
      <alignment vertical="center"/>
    </xf>
    <xf numFmtId="41" fontId="48" fillId="0" borderId="17" xfId="50" applyFont="1" applyFill="1" applyBorder="1">
      <alignment vertical="center"/>
    </xf>
    <xf numFmtId="0" fontId="45" fillId="0" borderId="26" xfId="0" applyFont="1" applyBorder="1" applyAlignment="1">
      <alignment horizontal="center" vertical="center"/>
    </xf>
    <xf numFmtId="41" fontId="45" fillId="0" borderId="26" xfId="0" applyNumberFormat="1" applyFont="1" applyFill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41" fontId="51" fillId="0" borderId="26" xfId="0" applyNumberFormat="1" applyFont="1" applyFill="1" applyBorder="1" applyAlignment="1">
      <alignment horizontal="center" vertical="center"/>
    </xf>
    <xf numFmtId="41" fontId="51" fillId="0" borderId="26" xfId="0" applyNumberFormat="1" applyFont="1" applyFill="1" applyBorder="1">
      <alignment vertical="center"/>
    </xf>
    <xf numFmtId="0" fontId="45" fillId="0" borderId="52" xfId="0" applyFont="1" applyBorder="1" applyAlignment="1">
      <alignment horizontal="center" vertical="center"/>
    </xf>
    <xf numFmtId="225" fontId="45" fillId="0" borderId="0" xfId="0" applyNumberFormat="1" applyFont="1" applyFill="1">
      <alignment vertical="center"/>
    </xf>
    <xf numFmtId="0" fontId="45" fillId="0" borderId="18" xfId="0" applyFont="1" applyBorder="1" applyAlignment="1">
      <alignment horizontal="center" vertical="center"/>
    </xf>
    <xf numFmtId="41" fontId="45" fillId="0" borderId="16" xfId="5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226" fontId="45" fillId="0" borderId="0" xfId="0" applyNumberFormat="1" applyFont="1" applyFill="1">
      <alignment vertical="center"/>
    </xf>
    <xf numFmtId="0" fontId="45" fillId="0" borderId="29" xfId="0" applyFont="1" applyBorder="1" applyAlignment="1">
      <alignment horizontal="center" vertical="center"/>
    </xf>
    <xf numFmtId="41" fontId="51" fillId="0" borderId="26" xfId="50" applyFont="1" applyFill="1" applyBorder="1">
      <alignment vertical="center"/>
    </xf>
    <xf numFmtId="41" fontId="45" fillId="0" borderId="20" xfId="50" applyNumberFormat="1" applyFont="1" applyBorder="1" applyAlignment="1">
      <alignment horizontal="center" vertical="center"/>
    </xf>
    <xf numFmtId="0" fontId="52" fillId="0" borderId="0" xfId="0" applyFont="1" applyFill="1">
      <alignment vertical="center"/>
    </xf>
    <xf numFmtId="0" fontId="56" fillId="0" borderId="0" xfId="0" applyFont="1">
      <alignment vertical="center"/>
    </xf>
    <xf numFmtId="43" fontId="45" fillId="0" borderId="0" xfId="0" applyNumberFormat="1" applyFont="1" applyFill="1">
      <alignment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Continuous" vertical="center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Continuous" vertical="center" wrapText="1"/>
    </xf>
    <xf numFmtId="41" fontId="45" fillId="0" borderId="17" xfId="50" applyFont="1" applyFill="1" applyBorder="1" applyAlignment="1">
      <alignment horizontal="center" vertical="center"/>
    </xf>
    <xf numFmtId="41" fontId="45" fillId="0" borderId="17" xfId="50" quotePrefix="1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 wrapText="1"/>
    </xf>
    <xf numFmtId="41" fontId="45" fillId="0" borderId="16" xfId="5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41" fontId="45" fillId="0" borderId="30" xfId="50" applyFont="1" applyFill="1" applyBorder="1" applyAlignment="1">
      <alignment horizontal="right" vertical="center"/>
    </xf>
    <xf numFmtId="41" fontId="45" fillId="0" borderId="30" xfId="50" applyFont="1" applyFill="1" applyBorder="1" applyAlignment="1">
      <alignment horizontal="center" vertical="center"/>
    </xf>
    <xf numFmtId="41" fontId="45" fillId="0" borderId="20" xfId="50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41" fontId="45" fillId="0" borderId="0" xfId="0" applyNumberFormat="1" applyFont="1" applyFill="1">
      <alignment vertical="center"/>
    </xf>
    <xf numFmtId="0" fontId="45" fillId="0" borderId="40" xfId="0" applyFont="1" applyFill="1" applyBorder="1" applyAlignment="1">
      <alignment horizontal="centerContinuous" vertical="center" wrapText="1"/>
    </xf>
    <xf numFmtId="41" fontId="45" fillId="0" borderId="40" xfId="50" applyFont="1" applyFill="1" applyBorder="1" applyAlignment="1">
      <alignment horizontal="right" vertical="center"/>
    </xf>
    <xf numFmtId="0" fontId="51" fillId="0" borderId="40" xfId="0" applyFont="1" applyFill="1" applyBorder="1" applyAlignment="1">
      <alignment horizontal="center" vertical="center"/>
    </xf>
    <xf numFmtId="41" fontId="45" fillId="0" borderId="40" xfId="50" applyFont="1" applyFill="1" applyBorder="1" applyAlignment="1">
      <alignment horizontal="center" vertical="center"/>
    </xf>
    <xf numFmtId="176" fontId="45" fillId="0" borderId="16" xfId="50" applyNumberFormat="1" applyFont="1" applyFill="1" applyBorder="1" applyAlignment="1">
      <alignment horizontal="right" vertical="center" wrapText="1"/>
    </xf>
    <xf numFmtId="176" fontId="45" fillId="0" borderId="16" xfId="50" applyNumberFormat="1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Continuous" vertical="center" wrapText="1"/>
    </xf>
    <xf numFmtId="41" fontId="45" fillId="0" borderId="16" xfId="50" applyFont="1" applyFill="1" applyBorder="1" applyAlignment="1">
      <alignment horizontal="right" vertical="center"/>
    </xf>
    <xf numFmtId="0" fontId="45" fillId="0" borderId="16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Continuous" vertical="center"/>
    </xf>
    <xf numFmtId="0" fontId="45" fillId="0" borderId="16" xfId="0" applyFont="1" applyFill="1" applyBorder="1" applyAlignment="1">
      <alignment horizontal="centerContinuous" vertical="center"/>
    </xf>
    <xf numFmtId="0" fontId="45" fillId="0" borderId="71" xfId="0" applyFont="1" applyFill="1" applyBorder="1" applyAlignment="1">
      <alignment horizontal="centerContinuous" vertical="center"/>
    </xf>
    <xf numFmtId="0" fontId="45" fillId="0" borderId="32" xfId="0" applyFont="1" applyFill="1" applyBorder="1" applyAlignment="1">
      <alignment horizontal="centerContinuous" vertical="center"/>
    </xf>
    <xf numFmtId="0" fontId="45" fillId="0" borderId="65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Continuous" vertical="center"/>
    </xf>
    <xf numFmtId="0" fontId="45" fillId="0" borderId="62" xfId="0" applyFont="1" applyFill="1" applyBorder="1" applyAlignment="1">
      <alignment horizontal="centerContinuous" vertical="center"/>
    </xf>
    <xf numFmtId="41" fontId="45" fillId="0" borderId="44" xfId="5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 vertical="center" wrapText="1"/>
    </xf>
    <xf numFmtId="41" fontId="45" fillId="0" borderId="0" xfId="50" applyFont="1" applyFill="1" applyBorder="1" applyAlignment="1">
      <alignment horizontal="centerContinuous" vertical="center" wrapText="1"/>
    </xf>
    <xf numFmtId="41" fontId="51" fillId="0" borderId="0" xfId="50" applyFont="1" applyFill="1" applyBorder="1" applyAlignment="1">
      <alignment horizontal="center" vertical="center"/>
    </xf>
    <xf numFmtId="41" fontId="45" fillId="0" borderId="0" xfId="50" applyFont="1" applyFill="1" applyBorder="1" applyAlignment="1">
      <alignment horizontal="centerContinuous" vertical="center"/>
    </xf>
    <xf numFmtId="0" fontId="45" fillId="0" borderId="47" xfId="0" applyFont="1" applyFill="1" applyBorder="1" applyAlignment="1">
      <alignment horizontal="left" vertical="center" shrinkToFit="1"/>
    </xf>
    <xf numFmtId="0" fontId="45" fillId="0" borderId="54" xfId="0" applyFont="1" applyFill="1" applyBorder="1" applyAlignment="1">
      <alignment horizontal="centerContinuous" vertical="center" wrapText="1"/>
    </xf>
    <xf numFmtId="41" fontId="45" fillId="0" borderId="55" xfId="50" applyFont="1" applyFill="1" applyBorder="1" applyAlignment="1">
      <alignment horizontal="centerContinuous" vertical="center" wrapText="1"/>
    </xf>
    <xf numFmtId="41" fontId="45" fillId="0" borderId="56" xfId="50" applyFont="1" applyFill="1" applyBorder="1" applyAlignment="1">
      <alignment horizontal="center" vertical="center"/>
    </xf>
    <xf numFmtId="41" fontId="45" fillId="0" borderId="57" xfId="5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left" vertical="center" shrinkToFit="1"/>
    </xf>
    <xf numFmtId="0" fontId="45" fillId="0" borderId="45" xfId="0" applyFont="1" applyFill="1" applyBorder="1" applyAlignment="1">
      <alignment horizontal="centerContinuous" vertical="center" wrapText="1"/>
    </xf>
    <xf numFmtId="41" fontId="45" fillId="0" borderId="35" xfId="50" applyFont="1" applyFill="1" applyBorder="1" applyAlignment="1">
      <alignment horizontal="centerContinuous" vertical="center" wrapText="1"/>
    </xf>
    <xf numFmtId="41" fontId="45" fillId="0" borderId="31" xfId="50" applyFont="1" applyFill="1" applyBorder="1" applyAlignment="1">
      <alignment horizontal="center" vertical="center"/>
    </xf>
    <xf numFmtId="41" fontId="45" fillId="0" borderId="1" xfId="50" applyFont="1" applyFill="1" applyBorder="1" applyAlignment="1">
      <alignment horizontal="center" vertical="center"/>
    </xf>
    <xf numFmtId="41" fontId="45" fillId="0" borderId="17" xfId="50" applyFont="1" applyFill="1" applyBorder="1" applyAlignment="1">
      <alignment vertical="center" wrapText="1"/>
    </xf>
    <xf numFmtId="41" fontId="45" fillId="0" borderId="30" xfId="50" applyFont="1" applyFill="1" applyBorder="1" applyAlignment="1">
      <alignment vertical="center"/>
    </xf>
    <xf numFmtId="41" fontId="45" fillId="0" borderId="17" xfId="50" applyFont="1" applyFill="1" applyBorder="1" applyAlignment="1">
      <alignment vertical="center"/>
    </xf>
    <xf numFmtId="0" fontId="45" fillId="0" borderId="41" xfId="0" applyFont="1" applyFill="1" applyBorder="1" applyAlignment="1">
      <alignment horizontal="centerContinuous" vertical="center" wrapText="1"/>
    </xf>
    <xf numFmtId="41" fontId="45" fillId="0" borderId="22" xfId="50" applyFont="1" applyFill="1" applyBorder="1" applyAlignment="1">
      <alignment horizontal="center" vertical="center"/>
    </xf>
    <xf numFmtId="41" fontId="45" fillId="0" borderId="30" xfId="50" applyFont="1" applyFill="1" applyBorder="1" applyAlignment="1">
      <alignment vertical="center" wrapText="1"/>
    </xf>
    <xf numFmtId="178" fontId="45" fillId="0" borderId="21" xfId="0" applyNumberFormat="1" applyFont="1" applyFill="1" applyBorder="1" applyAlignment="1">
      <alignment horizontal="center" vertical="center"/>
    </xf>
    <xf numFmtId="178" fontId="45" fillId="0" borderId="25" xfId="0" applyNumberFormat="1" applyFont="1" applyFill="1" applyBorder="1" applyAlignment="1">
      <alignment horizontal="center" vertical="center"/>
    </xf>
    <xf numFmtId="41" fontId="45" fillId="0" borderId="17" xfId="0" applyNumberFormat="1" applyFont="1" applyFill="1" applyBorder="1" applyAlignment="1">
      <alignment horizontal="centerContinuous" vertical="center"/>
    </xf>
    <xf numFmtId="41" fontId="45" fillId="0" borderId="26" xfId="0" applyNumberFormat="1" applyFont="1" applyFill="1" applyBorder="1" applyAlignment="1">
      <alignment horizontal="centerContinuous" vertical="center"/>
    </xf>
    <xf numFmtId="41" fontId="45" fillId="0" borderId="32" xfId="5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left" vertical="center" shrinkToFit="1"/>
    </xf>
    <xf numFmtId="222" fontId="45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41" fontId="45" fillId="0" borderId="0" xfId="0" applyNumberFormat="1" applyFont="1" applyFill="1" applyBorder="1" applyAlignment="1">
      <alignment horizontal="centerContinuous" vertical="center"/>
    </xf>
    <xf numFmtId="219" fontId="53" fillId="0" borderId="0" xfId="42" applyNumberFormat="1" applyFont="1" applyFill="1" applyBorder="1" applyAlignment="1">
      <alignment vertical="center"/>
    </xf>
    <xf numFmtId="0" fontId="45" fillId="0" borderId="42" xfId="0" applyFont="1" applyFill="1" applyBorder="1" applyAlignment="1">
      <alignment horizontal="centerContinuous" vertical="center" wrapText="1"/>
    </xf>
    <xf numFmtId="41" fontId="45" fillId="0" borderId="49" xfId="50" applyFont="1" applyFill="1" applyBorder="1" applyAlignment="1">
      <alignment horizontal="centerContinuous" vertical="center" wrapText="1"/>
    </xf>
    <xf numFmtId="0" fontId="45" fillId="0" borderId="29" xfId="0" applyFont="1" applyFill="1" applyBorder="1" applyAlignment="1">
      <alignment horizontal="left" vertical="center" shrinkToFit="1"/>
    </xf>
    <xf numFmtId="0" fontId="45" fillId="0" borderId="50" xfId="0" applyFont="1" applyFill="1" applyBorder="1" applyAlignment="1">
      <alignment horizontal="centerContinuous" vertical="center" wrapText="1"/>
    </xf>
    <xf numFmtId="41" fontId="45" fillId="0" borderId="51" xfId="50" applyFont="1" applyFill="1" applyBorder="1" applyAlignment="1">
      <alignment horizontal="centerContinuous" vertical="center" wrapText="1"/>
    </xf>
    <xf numFmtId="41" fontId="45" fillId="0" borderId="25" xfId="50" applyFont="1" applyFill="1" applyBorder="1" applyAlignment="1">
      <alignment horizontal="center" vertical="center"/>
    </xf>
    <xf numFmtId="0" fontId="45" fillId="0" borderId="58" xfId="0" applyFont="1" applyFill="1" applyBorder="1" applyAlignment="1">
      <alignment horizontal="left" vertical="center" shrinkToFit="1"/>
    </xf>
    <xf numFmtId="0" fontId="45" fillId="0" borderId="59" xfId="0" applyFont="1" applyFill="1" applyBorder="1" applyAlignment="1">
      <alignment horizontal="centerContinuous" vertical="center" wrapText="1"/>
    </xf>
    <xf numFmtId="41" fontId="45" fillId="0" borderId="60" xfId="50" applyFont="1" applyFill="1" applyBorder="1" applyAlignment="1">
      <alignment horizontal="centerContinuous" vertical="center" wrapText="1"/>
    </xf>
    <xf numFmtId="0" fontId="45" fillId="0" borderId="57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left" vertical="center" shrinkToFit="1"/>
    </xf>
    <xf numFmtId="0" fontId="45" fillId="0" borderId="63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Continuous" vertical="center" wrapText="1"/>
    </xf>
    <xf numFmtId="41" fontId="45" fillId="0" borderId="53" xfId="50" applyFont="1" applyFill="1" applyBorder="1" applyAlignment="1">
      <alignment horizontal="centerContinuous" vertical="center" wrapText="1"/>
    </xf>
    <xf numFmtId="41" fontId="45" fillId="0" borderId="21" xfId="5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Continuous" vertical="center" wrapText="1"/>
    </xf>
    <xf numFmtId="0" fontId="45" fillId="0" borderId="0" xfId="0" applyFont="1" applyFill="1" applyAlignment="1">
      <alignment horizontal="right" vertical="center"/>
    </xf>
    <xf numFmtId="0" fontId="45" fillId="0" borderId="19" xfId="0" applyFont="1" applyFill="1" applyBorder="1" applyAlignment="1">
      <alignment horizontal="centerContinuous" vertical="center"/>
    </xf>
    <xf numFmtId="0" fontId="45" fillId="0" borderId="20" xfId="0" applyFont="1" applyFill="1" applyBorder="1" applyAlignment="1">
      <alignment horizontal="centerContinuous" vertical="center" wrapText="1"/>
    </xf>
    <xf numFmtId="0" fontId="45" fillId="0" borderId="18" xfId="0" applyFont="1" applyFill="1" applyBorder="1" applyAlignment="1">
      <alignment horizontal="centerContinuous" vertical="center"/>
    </xf>
    <xf numFmtId="41" fontId="45" fillId="0" borderId="16" xfId="50" applyFont="1" applyFill="1" applyBorder="1" applyAlignment="1">
      <alignment horizontal="centerContinuous" vertical="center" wrapText="1"/>
    </xf>
    <xf numFmtId="0" fontId="51" fillId="0" borderId="23" xfId="0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vertical="center" wrapText="1"/>
    </xf>
    <xf numFmtId="41" fontId="45" fillId="0" borderId="17" xfId="50" applyFont="1" applyFill="1" applyBorder="1" applyAlignment="1">
      <alignment horizontal="centerContinuous" vertical="center" wrapText="1"/>
    </xf>
    <xf numFmtId="0" fontId="45" fillId="0" borderId="22" xfId="0" applyFont="1" applyFill="1" applyBorder="1" applyAlignment="1">
      <alignment horizontal="centerContinuous" vertical="center"/>
    </xf>
    <xf numFmtId="0" fontId="45" fillId="0" borderId="30" xfId="0" applyFont="1" applyFill="1" applyBorder="1" applyAlignment="1">
      <alignment horizontal="centerContinuous" vertical="center" wrapText="1"/>
    </xf>
    <xf numFmtId="41" fontId="45" fillId="0" borderId="30" xfId="50" applyFont="1" applyFill="1" applyBorder="1" applyAlignment="1">
      <alignment horizontal="centerContinuous" vertical="center" wrapText="1"/>
    </xf>
    <xf numFmtId="41" fontId="45" fillId="0" borderId="0" xfId="0" applyNumberFormat="1" applyFont="1" applyFill="1" applyBorder="1" applyAlignment="1">
      <alignment horizontal="centerContinuous" vertical="center" wrapText="1"/>
    </xf>
    <xf numFmtId="41" fontId="45" fillId="0" borderId="0" xfId="0" applyNumberFormat="1" applyFont="1" applyFill="1" applyBorder="1" applyAlignment="1">
      <alignment horizontal="center" vertical="center"/>
    </xf>
    <xf numFmtId="41" fontId="45" fillId="0" borderId="0" xfId="0" applyNumberFormat="1" applyFont="1" applyFill="1" applyBorder="1">
      <alignment vertical="center"/>
    </xf>
    <xf numFmtId="0" fontId="51" fillId="0" borderId="30" xfId="0" applyFont="1" applyFill="1" applyBorder="1" applyAlignment="1">
      <alignment horizontal="center" vertical="center"/>
    </xf>
    <xf numFmtId="180" fontId="45" fillId="0" borderId="0" xfId="42" applyNumberFormat="1" applyFont="1" applyFill="1">
      <alignment vertical="center"/>
    </xf>
    <xf numFmtId="0" fontId="45" fillId="0" borderId="39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Continuous" vertical="center"/>
    </xf>
    <xf numFmtId="0" fontId="45" fillId="0" borderId="17" xfId="0" applyFont="1" applyBorder="1" applyAlignment="1">
      <alignment horizontal="centerContinuous" vertical="center"/>
    </xf>
    <xf numFmtId="0" fontId="51" fillId="0" borderId="17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Continuous" vertical="center" wrapText="1"/>
    </xf>
    <xf numFmtId="41" fontId="45" fillId="0" borderId="17" xfId="50" applyNumberFormat="1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Continuous" vertical="center" wrapText="1"/>
    </xf>
    <xf numFmtId="41" fontId="45" fillId="0" borderId="30" xfId="50" applyNumberFormat="1" applyFont="1" applyBorder="1" applyAlignment="1">
      <alignment horizontal="center" vertical="center"/>
    </xf>
    <xf numFmtId="41" fontId="45" fillId="0" borderId="30" xfId="50" applyNumberFormat="1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41" fontId="45" fillId="0" borderId="16" xfId="0" applyNumberFormat="1" applyFont="1" applyBorder="1" applyAlignment="1">
      <alignment horizontal="center" vertical="center"/>
    </xf>
    <xf numFmtId="41" fontId="45" fillId="0" borderId="17" xfId="0" applyNumberFormat="1" applyFont="1" applyBorder="1" applyAlignment="1">
      <alignment horizontal="center" vertical="center"/>
    </xf>
    <xf numFmtId="41" fontId="45" fillId="0" borderId="26" xfId="50" applyFont="1" applyBorder="1" applyAlignment="1">
      <alignment horizontal="center" vertical="center"/>
    </xf>
    <xf numFmtId="0" fontId="56" fillId="0" borderId="0" xfId="0" applyFont="1" applyFill="1">
      <alignment vertical="center"/>
    </xf>
    <xf numFmtId="0" fontId="46" fillId="0" borderId="0" xfId="0" applyFont="1">
      <alignment vertical="center"/>
    </xf>
    <xf numFmtId="0" fontId="45" fillId="0" borderId="11" xfId="0" applyFont="1" applyFill="1" applyBorder="1" applyAlignment="1">
      <alignment horizontal="center" vertical="center"/>
    </xf>
    <xf numFmtId="41" fontId="45" fillId="0" borderId="11" xfId="0" applyNumberFormat="1" applyFont="1" applyFill="1" applyBorder="1" applyAlignment="1">
      <alignment horizontal="center" vertical="center"/>
    </xf>
    <xf numFmtId="41" fontId="51" fillId="0" borderId="17" xfId="5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 wrapText="1"/>
    </xf>
    <xf numFmtId="41" fontId="51" fillId="0" borderId="46" xfId="50" applyFont="1" applyFill="1" applyBorder="1" applyAlignment="1">
      <alignment horizontal="center" vertical="center"/>
    </xf>
    <xf numFmtId="41" fontId="51" fillId="0" borderId="20" xfId="50" applyFont="1" applyFill="1" applyBorder="1" applyAlignment="1">
      <alignment horizontal="center" vertical="center"/>
    </xf>
    <xf numFmtId="41" fontId="45" fillId="0" borderId="16" xfId="50" applyFont="1" applyFill="1" applyBorder="1" applyAlignment="1">
      <alignment horizontal="center" vertical="center" wrapText="1"/>
    </xf>
    <xf numFmtId="41" fontId="51" fillId="0" borderId="56" xfId="50" applyFont="1" applyFill="1" applyBorder="1" applyAlignment="1">
      <alignment horizontal="center" vertical="center"/>
    </xf>
    <xf numFmtId="41" fontId="51" fillId="0" borderId="16" xfId="50" applyFont="1" applyFill="1" applyBorder="1" applyAlignment="1">
      <alignment horizontal="center" vertical="center" wrapText="1"/>
    </xf>
    <xf numFmtId="41" fontId="51" fillId="0" borderId="26" xfId="5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Continuous" vertical="center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Continuous" vertical="center"/>
    </xf>
    <xf numFmtId="0" fontId="51" fillId="0" borderId="17" xfId="0" applyFont="1" applyFill="1" applyBorder="1" applyAlignment="1">
      <alignment horizontal="centerContinuous" vertical="center" wrapText="1"/>
    </xf>
    <xf numFmtId="0" fontId="51" fillId="0" borderId="16" xfId="0" applyFont="1" applyFill="1" applyBorder="1" applyAlignment="1">
      <alignment horizontal="centerContinuous" vertical="center"/>
    </xf>
    <xf numFmtId="0" fontId="51" fillId="0" borderId="0" xfId="0" applyFont="1" applyFill="1" applyBorder="1" applyAlignment="1">
      <alignment horizontal="centerContinuous" vertical="center"/>
    </xf>
    <xf numFmtId="41" fontId="51" fillId="0" borderId="44" xfId="5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vertical="center"/>
    </xf>
    <xf numFmtId="0" fontId="51" fillId="0" borderId="14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23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left" vertical="center" shrinkToFit="1"/>
    </xf>
    <xf numFmtId="0" fontId="51" fillId="0" borderId="1" xfId="0" applyFont="1" applyFill="1" applyBorder="1" applyAlignment="1">
      <alignment horizontal="left" vertical="center" shrinkToFit="1"/>
    </xf>
    <xf numFmtId="0" fontId="45" fillId="0" borderId="26" xfId="0" applyFont="1" applyFill="1" applyBorder="1" applyAlignment="1">
      <alignment horizontal="centerContinuous" vertical="center" wrapText="1"/>
    </xf>
    <xf numFmtId="0" fontId="51" fillId="0" borderId="29" xfId="0" applyFont="1" applyFill="1" applyBorder="1" applyAlignment="1">
      <alignment horizontal="left" vertical="center" shrinkToFit="1"/>
    </xf>
    <xf numFmtId="0" fontId="51" fillId="0" borderId="26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Continuous" vertical="center" wrapText="1"/>
    </xf>
    <xf numFmtId="0" fontId="51" fillId="0" borderId="25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Continuous" vertical="center" wrapText="1"/>
    </xf>
    <xf numFmtId="0" fontId="45" fillId="0" borderId="31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left" vertical="center" shrinkToFit="1"/>
    </xf>
    <xf numFmtId="0" fontId="51" fillId="0" borderId="30" xfId="0" applyFont="1" applyFill="1" applyBorder="1" applyAlignment="1">
      <alignment horizontal="centerContinuous" vertical="center" wrapText="1"/>
    </xf>
    <xf numFmtId="0" fontId="51" fillId="0" borderId="31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vertical="center" shrinkToFit="1"/>
    </xf>
    <xf numFmtId="0" fontId="51" fillId="0" borderId="53" xfId="0" applyFont="1" applyFill="1" applyBorder="1" applyAlignment="1">
      <alignment vertical="center" shrinkToFit="1"/>
    </xf>
    <xf numFmtId="0" fontId="51" fillId="0" borderId="20" xfId="0" applyFont="1" applyFill="1" applyBorder="1" applyAlignment="1">
      <alignment horizontal="centerContinuous" vertical="center" wrapText="1"/>
    </xf>
    <xf numFmtId="0" fontId="51" fillId="0" borderId="18" xfId="0" applyFont="1" applyFill="1" applyBorder="1" applyAlignment="1">
      <alignment horizontal="centerContinuous" vertical="center"/>
    </xf>
    <xf numFmtId="0" fontId="51" fillId="0" borderId="16" xfId="0" applyFont="1" applyFill="1" applyBorder="1" applyAlignment="1">
      <alignment horizontal="center" vertical="center" wrapText="1"/>
    </xf>
    <xf numFmtId="41" fontId="51" fillId="0" borderId="41" xfId="5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Continuous" vertical="center"/>
    </xf>
    <xf numFmtId="0" fontId="51" fillId="0" borderId="1" xfId="0" applyFont="1" applyFill="1" applyBorder="1" applyAlignment="1">
      <alignment horizontal="centerContinuous" vertical="center" wrapText="1"/>
    </xf>
    <xf numFmtId="0" fontId="51" fillId="0" borderId="1" xfId="0" applyFont="1" applyFill="1" applyBorder="1" applyAlignment="1">
      <alignment horizontal="centerContinuous" vertical="center"/>
    </xf>
    <xf numFmtId="0" fontId="51" fillId="0" borderId="22" xfId="0" applyFont="1" applyFill="1" applyBorder="1" applyAlignment="1">
      <alignment horizontal="centerContinuous" vertical="center"/>
    </xf>
    <xf numFmtId="0" fontId="50" fillId="0" borderId="46" xfId="0" applyFont="1" applyBorder="1" applyAlignment="1">
      <alignment horizontal="center" vertical="center" wrapText="1"/>
    </xf>
    <xf numFmtId="41" fontId="51" fillId="29" borderId="40" xfId="50" applyNumberFormat="1" applyFont="1" applyFill="1" applyBorder="1" applyAlignment="1">
      <alignment horizontal="center" vertical="center"/>
    </xf>
    <xf numFmtId="41" fontId="51" fillId="0" borderId="40" xfId="50" applyNumberFormat="1" applyFont="1" applyBorder="1" applyAlignment="1">
      <alignment horizontal="center" vertical="center"/>
    </xf>
    <xf numFmtId="41" fontId="51" fillId="29" borderId="17" xfId="50" applyNumberFormat="1" applyFont="1" applyFill="1" applyBorder="1" applyAlignment="1">
      <alignment horizontal="center" vertical="center"/>
    </xf>
    <xf numFmtId="41" fontId="65" fillId="0" borderId="17" xfId="50" applyNumberFormat="1" applyFont="1" applyBorder="1" applyAlignment="1">
      <alignment horizontal="center" vertical="center"/>
    </xf>
    <xf numFmtId="41" fontId="51" fillId="29" borderId="26" xfId="50" applyNumberFormat="1" applyFont="1" applyFill="1" applyBorder="1" applyAlignment="1">
      <alignment horizontal="center" vertical="center"/>
    </xf>
    <xf numFmtId="41" fontId="51" fillId="0" borderId="26" xfId="50" applyNumberFormat="1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41" fontId="51" fillId="0" borderId="0" xfId="50" applyNumberFormat="1" applyFont="1" applyFill="1" applyBorder="1" applyAlignment="1">
      <alignment horizontal="center" vertical="center"/>
    </xf>
    <xf numFmtId="41" fontId="45" fillId="0" borderId="0" xfId="0" applyNumberFormat="1" applyFont="1" applyFill="1" applyAlignment="1">
      <alignment horizontal="center" vertical="center"/>
    </xf>
    <xf numFmtId="10" fontId="45" fillId="0" borderId="0" xfId="42" applyNumberFormat="1" applyFont="1" applyFill="1" applyAlignment="1">
      <alignment horizontal="center" vertical="center"/>
    </xf>
    <xf numFmtId="41" fontId="51" fillId="0" borderId="26" xfId="50" applyNumberFormat="1" applyFont="1" applyFill="1" applyBorder="1" applyAlignment="1">
      <alignment horizontal="center" vertical="center"/>
    </xf>
    <xf numFmtId="180" fontId="51" fillId="0" borderId="0" xfId="42" applyNumberFormat="1" applyFont="1" applyFill="1" applyBorder="1" applyAlignment="1">
      <alignment horizontal="center" vertical="center"/>
    </xf>
    <xf numFmtId="41" fontId="51" fillId="0" borderId="48" xfId="50" applyNumberFormat="1" applyFont="1" applyFill="1" applyBorder="1" applyAlignment="1">
      <alignment horizontal="center" vertical="center"/>
    </xf>
    <xf numFmtId="0" fontId="50" fillId="0" borderId="46" xfId="0" applyFont="1" applyFill="1" applyBorder="1" applyAlignment="1">
      <alignment horizontal="center" vertical="center"/>
    </xf>
    <xf numFmtId="0" fontId="50" fillId="0" borderId="46" xfId="0" applyFont="1" applyFill="1" applyBorder="1" applyAlignment="1">
      <alignment horizontal="center" vertical="center" wrapText="1"/>
    </xf>
    <xf numFmtId="0" fontId="45" fillId="0" borderId="27" xfId="0" applyFont="1" applyFill="1" applyBorder="1">
      <alignment vertical="center"/>
    </xf>
    <xf numFmtId="0" fontId="45" fillId="0" borderId="24" xfId="0" applyFont="1" applyFill="1" applyBorder="1">
      <alignment vertical="center"/>
    </xf>
    <xf numFmtId="41" fontId="45" fillId="0" borderId="24" xfId="50" applyFont="1" applyFill="1" applyBorder="1">
      <alignment vertical="center"/>
    </xf>
    <xf numFmtId="41" fontId="45" fillId="0" borderId="30" xfId="50" applyFont="1" applyFill="1" applyBorder="1">
      <alignment vertical="center"/>
    </xf>
    <xf numFmtId="0" fontId="45" fillId="0" borderId="31" xfId="0" applyFont="1" applyFill="1" applyBorder="1">
      <alignment vertical="center"/>
    </xf>
    <xf numFmtId="41" fontId="45" fillId="0" borderId="34" xfId="0" applyNumberFormat="1" applyFont="1" applyFill="1" applyBorder="1" applyAlignment="1">
      <alignment horizontal="center" vertical="center"/>
    </xf>
    <xf numFmtId="0" fontId="45" fillId="0" borderId="25" xfId="0" applyFont="1" applyFill="1" applyBorder="1">
      <alignment vertical="center"/>
    </xf>
    <xf numFmtId="0" fontId="46" fillId="22" borderId="0" xfId="0" applyFont="1" applyFill="1" applyAlignment="1">
      <alignment horizontal="left" vertical="center"/>
    </xf>
    <xf numFmtId="0" fontId="67" fillId="22" borderId="0" xfId="0" applyFont="1" applyFill="1" applyAlignment="1">
      <alignment horizontal="center" vertical="center"/>
    </xf>
    <xf numFmtId="0" fontId="51" fillId="22" borderId="40" xfId="0" applyFont="1" applyFill="1" applyBorder="1" applyAlignment="1">
      <alignment horizontal="center" vertical="center"/>
    </xf>
    <xf numFmtId="178" fontId="51" fillId="22" borderId="40" xfId="0" applyNumberFormat="1" applyFont="1" applyFill="1" applyBorder="1" applyAlignment="1">
      <alignment horizontal="center" vertical="center" wrapText="1"/>
    </xf>
    <xf numFmtId="41" fontId="51" fillId="22" borderId="40" xfId="0" applyNumberFormat="1" applyFont="1" applyFill="1" applyBorder="1" applyAlignment="1">
      <alignment horizontal="center" vertical="center" wrapText="1"/>
    </xf>
    <xf numFmtId="0" fontId="51" fillId="22" borderId="27" xfId="0" applyFont="1" applyFill="1" applyBorder="1" applyAlignment="1">
      <alignment horizontal="center" vertical="center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17" xfId="0" applyFont="1" applyFill="1" applyBorder="1" applyAlignment="1">
      <alignment horizontal="center" vertical="center"/>
    </xf>
    <xf numFmtId="0" fontId="51" fillId="22" borderId="17" xfId="0" applyFont="1" applyFill="1" applyBorder="1" applyAlignment="1">
      <alignment horizontal="center" vertical="center" wrapText="1"/>
    </xf>
    <xf numFmtId="178" fontId="51" fillId="22" borderId="17" xfId="0" applyNumberFormat="1" applyFont="1" applyFill="1" applyBorder="1" applyAlignment="1">
      <alignment horizontal="center" vertical="center" wrapText="1"/>
    </xf>
    <xf numFmtId="41" fontId="51" fillId="22" borderId="17" xfId="50" applyNumberFormat="1" applyFont="1" applyFill="1" applyBorder="1" applyAlignment="1">
      <alignment horizontal="center" vertical="center" wrapText="1"/>
    </xf>
    <xf numFmtId="205" fontId="51" fillId="22" borderId="17" xfId="0" applyNumberFormat="1" applyFont="1" applyFill="1" applyBorder="1" applyAlignment="1">
      <alignment horizontal="center" vertical="center"/>
    </xf>
    <xf numFmtId="0" fontId="51" fillId="22" borderId="24" xfId="0" applyFont="1" applyFill="1" applyBorder="1" applyAlignment="1">
      <alignment horizontal="center" vertical="center"/>
    </xf>
    <xf numFmtId="0" fontId="45" fillId="22" borderId="0" xfId="0" applyFont="1" applyFill="1">
      <alignment vertical="center"/>
    </xf>
    <xf numFmtId="0" fontId="51" fillId="22" borderId="26" xfId="0" applyFont="1" applyFill="1" applyBorder="1" applyAlignment="1">
      <alignment horizontal="center" vertical="center"/>
    </xf>
    <xf numFmtId="0" fontId="51" fillId="22" borderId="26" xfId="0" applyFont="1" applyFill="1" applyBorder="1" applyAlignment="1">
      <alignment horizontal="center" vertical="center" wrapText="1"/>
    </xf>
    <xf numFmtId="178" fontId="51" fillId="22" borderId="26" xfId="0" applyNumberFormat="1" applyFont="1" applyFill="1" applyBorder="1" applyAlignment="1">
      <alignment horizontal="center" vertical="center" wrapText="1"/>
    </xf>
    <xf numFmtId="41" fontId="51" fillId="22" borderId="26" xfId="50" applyNumberFormat="1" applyFont="1" applyFill="1" applyBorder="1" applyAlignment="1">
      <alignment horizontal="center" vertical="center" wrapText="1"/>
    </xf>
    <xf numFmtId="205" fontId="51" fillId="22" borderId="26" xfId="0" applyNumberFormat="1" applyFont="1" applyFill="1" applyBorder="1" applyAlignment="1">
      <alignment horizontal="center" vertical="center"/>
    </xf>
    <xf numFmtId="0" fontId="51" fillId="22" borderId="25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50" fillId="0" borderId="27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1" fillId="0" borderId="27" xfId="0" applyFont="1" applyFill="1" applyBorder="1">
      <alignment vertical="center"/>
    </xf>
    <xf numFmtId="0" fontId="56" fillId="0" borderId="17" xfId="0" applyFont="1" applyFill="1" applyBorder="1" applyAlignment="1">
      <alignment horizontal="centerContinuous" vertical="center"/>
    </xf>
    <xf numFmtId="0" fontId="51" fillId="0" borderId="24" xfId="0" applyFont="1" applyFill="1" applyBorder="1">
      <alignment vertical="center"/>
    </xf>
    <xf numFmtId="0" fontId="56" fillId="0" borderId="24" xfId="0" applyFont="1" applyFill="1" applyBorder="1">
      <alignment vertical="center"/>
    </xf>
    <xf numFmtId="0" fontId="56" fillId="0" borderId="26" xfId="0" applyFont="1" applyFill="1" applyBorder="1" applyAlignment="1">
      <alignment horizontal="centerContinuous" vertical="center"/>
    </xf>
    <xf numFmtId="0" fontId="51" fillId="0" borderId="25" xfId="0" applyFont="1" applyFill="1" applyBorder="1">
      <alignment vertical="center"/>
    </xf>
    <xf numFmtId="0" fontId="50" fillId="0" borderId="23" xfId="0" applyFont="1" applyFill="1" applyBorder="1" applyAlignment="1">
      <alignment horizontal="center" vertical="center" wrapText="1"/>
    </xf>
    <xf numFmtId="0" fontId="44" fillId="0" borderId="0" xfId="80" applyFont="1" applyFill="1" applyAlignment="1">
      <alignment horizontal="left" vertical="center"/>
    </xf>
    <xf numFmtId="0" fontId="44" fillId="0" borderId="0" xfId="81" applyFont="1" applyFill="1" applyAlignment="1">
      <alignment horizontal="left" vertical="center"/>
    </xf>
    <xf numFmtId="0" fontId="68" fillId="0" borderId="0" xfId="81" applyFont="1" applyFill="1" applyAlignment="1">
      <alignment horizontal="centerContinuous" vertical="center"/>
    </xf>
    <xf numFmtId="0" fontId="56" fillId="0" borderId="0" xfId="81" applyFont="1" applyFill="1" applyAlignment="1">
      <alignment vertical="center"/>
    </xf>
    <xf numFmtId="0" fontId="45" fillId="0" borderId="0" xfId="80" applyFont="1" applyFill="1" applyAlignment="1">
      <alignment vertical="center"/>
    </xf>
    <xf numFmtId="0" fontId="68" fillId="0" borderId="0" xfId="81" applyFont="1" applyFill="1"/>
    <xf numFmtId="0" fontId="51" fillId="0" borderId="0" xfId="81" applyFont="1" applyFill="1" applyAlignment="1">
      <alignment horizontal="right" vertical="center"/>
    </xf>
    <xf numFmtId="0" fontId="45" fillId="0" borderId="20" xfId="81" applyFont="1" applyFill="1" applyBorder="1" applyAlignment="1">
      <alignment horizontal="center" vertical="center"/>
    </xf>
    <xf numFmtId="0" fontId="45" fillId="0" borderId="21" xfId="81" applyFont="1" applyFill="1" applyBorder="1" applyAlignment="1">
      <alignment horizontal="center" vertical="center"/>
    </xf>
    <xf numFmtId="41" fontId="45" fillId="0" borderId="40" xfId="50" applyFont="1" applyFill="1" applyBorder="1" applyAlignment="1">
      <alignment vertical="center"/>
    </xf>
    <xf numFmtId="41" fontId="45" fillId="0" borderId="27" xfId="50" applyFont="1" applyFill="1" applyBorder="1" applyAlignment="1">
      <alignment vertical="center"/>
    </xf>
    <xf numFmtId="0" fontId="45" fillId="0" borderId="17" xfId="80" applyFont="1" applyFill="1" applyBorder="1" applyAlignment="1">
      <alignment horizontal="center" vertical="center"/>
    </xf>
    <xf numFmtId="41" fontId="45" fillId="0" borderId="24" xfId="50" applyFont="1" applyFill="1" applyBorder="1" applyAlignment="1">
      <alignment vertical="center"/>
    </xf>
    <xf numFmtId="41" fontId="62" fillId="0" borderId="17" xfId="50" applyFont="1" applyFill="1" applyBorder="1" applyAlignment="1">
      <alignment vertical="center"/>
    </xf>
    <xf numFmtId="41" fontId="62" fillId="0" borderId="24" xfId="50" applyFont="1" applyFill="1" applyBorder="1" applyAlignment="1">
      <alignment vertical="center"/>
    </xf>
    <xf numFmtId="0" fontId="45" fillId="0" borderId="26" xfId="80" applyFont="1" applyFill="1" applyBorder="1" applyAlignment="1">
      <alignment horizontal="center" vertical="center"/>
    </xf>
    <xf numFmtId="41" fontId="45" fillId="0" borderId="26" xfId="50" applyFont="1" applyFill="1" applyBorder="1" applyAlignment="1">
      <alignment vertical="center"/>
    </xf>
    <xf numFmtId="41" fontId="45" fillId="0" borderId="25" xfId="50" applyFont="1" applyFill="1" applyBorder="1" applyAlignment="1">
      <alignment vertical="center"/>
    </xf>
    <xf numFmtId="0" fontId="55" fillId="0" borderId="0" xfId="81" applyFont="1" applyFill="1" applyAlignment="1">
      <alignment horizontal="center" vertical="center"/>
    </xf>
    <xf numFmtId="205" fontId="55" fillId="0" borderId="0" xfId="81" applyNumberFormat="1" applyFont="1" applyFill="1" applyBorder="1" applyAlignment="1">
      <alignment horizontal="center" vertical="center"/>
    </xf>
    <xf numFmtId="205" fontId="55" fillId="0" borderId="0" xfId="81" applyNumberFormat="1" applyFont="1" applyFill="1" applyAlignment="1">
      <alignment horizontal="center" vertical="center"/>
    </xf>
    <xf numFmtId="41" fontId="56" fillId="0" borderId="0" xfId="50" applyFont="1" applyFill="1" applyAlignment="1">
      <alignment vertical="center"/>
    </xf>
    <xf numFmtId="224" fontId="55" fillId="0" borderId="0" xfId="81" applyNumberFormat="1" applyFont="1" applyFill="1" applyBorder="1" applyAlignment="1">
      <alignment horizontal="right" vertical="center"/>
    </xf>
    <xf numFmtId="224" fontId="56" fillId="0" borderId="0" xfId="81" applyNumberFormat="1" applyFont="1" applyFill="1" applyAlignment="1">
      <alignment vertical="center"/>
    </xf>
    <xf numFmtId="224" fontId="45" fillId="0" borderId="0" xfId="81" applyNumberFormat="1" applyFont="1" applyFill="1" applyAlignment="1">
      <alignment horizontal="center" vertical="center"/>
    </xf>
    <xf numFmtId="221" fontId="56" fillId="0" borderId="0" xfId="81" applyNumberFormat="1" applyFont="1" applyFill="1" applyAlignment="1">
      <alignment vertical="center"/>
    </xf>
    <xf numFmtId="0" fontId="45" fillId="0" borderId="0" xfId="81" applyFont="1" applyFill="1" applyAlignment="1">
      <alignment vertical="center"/>
    </xf>
    <xf numFmtId="41" fontId="56" fillId="0" borderId="0" xfId="81" applyNumberFormat="1" applyFont="1" applyFill="1" applyAlignment="1">
      <alignment vertical="center"/>
    </xf>
    <xf numFmtId="41" fontId="54" fillId="30" borderId="40" xfId="50" applyNumberFormat="1" applyFont="1" applyFill="1" applyBorder="1" applyAlignment="1">
      <alignment horizontal="center" vertical="center"/>
    </xf>
    <xf numFmtId="0" fontId="51" fillId="30" borderId="27" xfId="0" applyFont="1" applyFill="1" applyBorder="1" applyAlignment="1">
      <alignment horizontal="center" vertical="center"/>
    </xf>
    <xf numFmtId="0" fontId="51" fillId="31" borderId="24" xfId="0" applyFont="1" applyFill="1" applyBorder="1" applyAlignment="1">
      <alignment horizontal="center" vertical="center"/>
    </xf>
    <xf numFmtId="41" fontId="54" fillId="32" borderId="17" xfId="50" applyNumberFormat="1" applyFont="1" applyFill="1" applyBorder="1" applyAlignment="1">
      <alignment horizontal="center" vertical="center"/>
    </xf>
    <xf numFmtId="0" fontId="51" fillId="32" borderId="24" xfId="0" applyFont="1" applyFill="1" applyBorder="1" applyAlignment="1">
      <alignment horizontal="center" vertical="center"/>
    </xf>
    <xf numFmtId="0" fontId="45" fillId="31" borderId="17" xfId="0" applyFont="1" applyFill="1" applyBorder="1" applyAlignment="1">
      <alignment horizontal="center" vertical="center"/>
    </xf>
    <xf numFmtId="41" fontId="51" fillId="31" borderId="17" xfId="50" applyNumberFormat="1" applyFont="1" applyFill="1" applyBorder="1" applyAlignment="1">
      <alignment horizontal="center" vertical="center"/>
    </xf>
    <xf numFmtId="41" fontId="54" fillId="32" borderId="40" xfId="50" applyNumberFormat="1" applyFont="1" applyFill="1" applyBorder="1" applyAlignment="1">
      <alignment horizontal="center" vertical="center"/>
    </xf>
    <xf numFmtId="0" fontId="51" fillId="32" borderId="27" xfId="0" applyFont="1" applyFill="1" applyBorder="1" applyAlignment="1">
      <alignment horizontal="center" vertical="center"/>
    </xf>
    <xf numFmtId="0" fontId="45" fillId="31" borderId="16" xfId="0" applyFont="1" applyFill="1" applyBorder="1" applyAlignment="1">
      <alignment horizontal="center" vertical="center"/>
    </xf>
    <xf numFmtId="41" fontId="51" fillId="31" borderId="16" xfId="50" applyNumberFormat="1" applyFont="1" applyFill="1" applyBorder="1" applyAlignment="1">
      <alignment horizontal="center" vertical="center"/>
    </xf>
    <xf numFmtId="0" fontId="51" fillId="31" borderId="23" xfId="0" applyFont="1" applyFill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41" fontId="45" fillId="0" borderId="17" xfId="5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/>
    </xf>
    <xf numFmtId="41" fontId="53" fillId="0" borderId="40" xfId="0" applyNumberFormat="1" applyFont="1" applyFill="1" applyBorder="1" applyAlignment="1">
      <alignment horizontal="center" vertical="center"/>
    </xf>
    <xf numFmtId="41" fontId="45" fillId="0" borderId="40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45" fillId="0" borderId="61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/>
    </xf>
    <xf numFmtId="205" fontId="47" fillId="27" borderId="0" xfId="79" applyNumberFormat="1" applyFont="1" applyFill="1">
      <alignment vertical="center"/>
    </xf>
    <xf numFmtId="206" fontId="45" fillId="0" borderId="0" xfId="0" applyNumberFormat="1" applyFont="1" applyFill="1">
      <alignment vertical="center"/>
    </xf>
    <xf numFmtId="9" fontId="45" fillId="0" borderId="0" xfId="42" applyFont="1" applyFill="1" applyAlignment="1">
      <alignment horizontal="center" vertical="center"/>
    </xf>
    <xf numFmtId="41" fontId="53" fillId="0" borderId="20" xfId="50" applyNumberFormat="1" applyFont="1" applyBorder="1" applyAlignment="1">
      <alignment horizontal="center" vertical="center"/>
    </xf>
    <xf numFmtId="41" fontId="53" fillId="0" borderId="0" xfId="50" applyNumberFormat="1" applyFont="1" applyBorder="1" applyAlignment="1">
      <alignment horizontal="center" vertical="center"/>
    </xf>
    <xf numFmtId="9" fontId="53" fillId="0" borderId="11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0" fontId="44" fillId="0" borderId="0" xfId="0" applyFont="1" applyFill="1">
      <alignment vertical="center"/>
    </xf>
    <xf numFmtId="178" fontId="45" fillId="0" borderId="24" xfId="0" applyNumberFormat="1" applyFont="1" applyFill="1" applyBorder="1" applyAlignment="1">
      <alignment horizontal="center" vertical="center"/>
    </xf>
    <xf numFmtId="178" fontId="45" fillId="0" borderId="31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9" fontId="45" fillId="0" borderId="0" xfId="0" applyNumberFormat="1" applyFont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66" fillId="22" borderId="17" xfId="0" applyFont="1" applyFill="1" applyBorder="1" applyAlignment="1">
      <alignment horizontal="center" vertical="center"/>
    </xf>
    <xf numFmtId="0" fontId="66" fillId="22" borderId="26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227" fontId="45" fillId="0" borderId="21" xfId="0" applyNumberFormat="1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179" fontId="45" fillId="0" borderId="0" xfId="0" applyNumberFormat="1" applyFont="1" applyFill="1">
      <alignment vertical="center"/>
    </xf>
    <xf numFmtId="183" fontId="45" fillId="0" borderId="0" xfId="50" applyNumberFormat="1" applyFont="1" applyFill="1">
      <alignment vertical="center"/>
    </xf>
    <xf numFmtId="0" fontId="69" fillId="0" borderId="18" xfId="0" applyFont="1" applyFill="1" applyBorder="1" applyAlignment="1">
      <alignment horizontal="center" vertical="center"/>
    </xf>
    <xf numFmtId="41" fontId="45" fillId="31" borderId="17" xfId="50" applyFont="1" applyFill="1" applyBorder="1" applyAlignment="1">
      <alignment horizontal="center" vertical="center"/>
    </xf>
    <xf numFmtId="41" fontId="45" fillId="32" borderId="17" xfId="50" applyFont="1" applyFill="1" applyBorder="1" applyAlignment="1">
      <alignment vertical="center"/>
    </xf>
    <xf numFmtId="41" fontId="45" fillId="30" borderId="40" xfId="50" applyFont="1" applyFill="1" applyBorder="1" applyAlignment="1">
      <alignment vertical="center"/>
    </xf>
    <xf numFmtId="41" fontId="45" fillId="32" borderId="40" xfId="50" applyFont="1" applyFill="1" applyBorder="1" applyAlignment="1">
      <alignment vertical="center"/>
    </xf>
    <xf numFmtId="41" fontId="45" fillId="32" borderId="27" xfId="50" applyFont="1" applyFill="1" applyBorder="1" applyAlignment="1">
      <alignment vertical="center"/>
    </xf>
    <xf numFmtId="41" fontId="45" fillId="31" borderId="24" xfId="50" applyFont="1" applyFill="1" applyBorder="1" applyAlignment="1">
      <alignment horizontal="center" vertical="center"/>
    </xf>
    <xf numFmtId="41" fontId="45" fillId="0" borderId="24" xfId="50" applyFont="1" applyFill="1" applyBorder="1" applyAlignment="1">
      <alignment horizontal="center" vertical="center"/>
    </xf>
    <xf numFmtId="41" fontId="45" fillId="32" borderId="24" xfId="50" applyFont="1" applyFill="1" applyBorder="1" applyAlignment="1">
      <alignment vertical="center"/>
    </xf>
    <xf numFmtId="41" fontId="45" fillId="30" borderId="27" xfId="50" applyFont="1" applyFill="1" applyBorder="1" applyAlignment="1">
      <alignment vertical="center"/>
    </xf>
    <xf numFmtId="0" fontId="53" fillId="0" borderId="56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228" fontId="53" fillId="0" borderId="0" xfId="0" applyNumberFormat="1" applyFont="1" applyFill="1" applyAlignment="1">
      <alignment horizontal="center" vertical="center"/>
    </xf>
    <xf numFmtId="182" fontId="45" fillId="0" borderId="0" xfId="0" applyNumberFormat="1" applyFont="1" applyFill="1">
      <alignment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41" fontId="45" fillId="0" borderId="17" xfId="5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/>
    </xf>
    <xf numFmtId="41" fontId="51" fillId="0" borderId="40" xfId="50" applyNumberFormat="1" applyFont="1" applyFill="1" applyBorder="1" applyAlignment="1">
      <alignment horizontal="center" vertical="center"/>
    </xf>
    <xf numFmtId="178" fontId="53" fillId="0" borderId="26" xfId="50" applyNumberFormat="1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distributed" vertical="center"/>
    </xf>
    <xf numFmtId="41" fontId="70" fillId="0" borderId="16" xfId="50" applyFont="1" applyFill="1" applyBorder="1" applyAlignment="1">
      <alignment horizontal="center" vertical="center" wrapText="1"/>
    </xf>
    <xf numFmtId="41" fontId="70" fillId="0" borderId="17" xfId="5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distributed" vertical="center" wrapText="1"/>
    </xf>
    <xf numFmtId="180" fontId="45" fillId="0" borderId="0" xfId="42" applyNumberFormat="1" applyFont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41" fontId="45" fillId="0" borderId="17" xfId="5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41" fontId="45" fillId="0" borderId="46" xfId="50" applyFont="1" applyFill="1" applyBorder="1" applyAlignment="1">
      <alignment horizontal="center" vertical="center"/>
    </xf>
    <xf numFmtId="41" fontId="45" fillId="0" borderId="41" xfId="5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 wrapText="1"/>
    </xf>
    <xf numFmtId="0" fontId="45" fillId="0" borderId="58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41" fontId="51" fillId="0" borderId="16" xfId="5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53" fillId="0" borderId="40" xfId="0" applyFont="1" applyFill="1" applyBorder="1" applyAlignment="1">
      <alignment horizontal="center" vertical="center"/>
    </xf>
    <xf numFmtId="41" fontId="45" fillId="0" borderId="16" xfId="5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/>
    </xf>
    <xf numFmtId="0" fontId="64" fillId="0" borderId="0" xfId="0" applyFont="1" applyFill="1">
      <alignment vertical="center"/>
    </xf>
    <xf numFmtId="0" fontId="45" fillId="0" borderId="64" xfId="0" applyFont="1" applyFill="1" applyBorder="1" applyAlignment="1">
      <alignment horizontal="centerContinuous" vertical="center" wrapText="1"/>
    </xf>
    <xf numFmtId="0" fontId="45" fillId="0" borderId="55" xfId="0" applyFont="1" applyFill="1" applyBorder="1" applyAlignment="1">
      <alignment horizontal="centerContinuous" vertical="center" wrapText="1"/>
    </xf>
    <xf numFmtId="0" fontId="51" fillId="0" borderId="54" xfId="0" applyFont="1" applyFill="1" applyBorder="1" applyAlignment="1">
      <alignment horizontal="centerContinuous" vertical="center" wrapText="1"/>
    </xf>
    <xf numFmtId="0" fontId="51" fillId="0" borderId="64" xfId="0" applyFont="1" applyFill="1" applyBorder="1" applyAlignment="1">
      <alignment horizontal="centerContinuous" vertical="center" wrapText="1"/>
    </xf>
    <xf numFmtId="0" fontId="51" fillId="0" borderId="55" xfId="0" applyFont="1" applyFill="1" applyBorder="1" applyAlignment="1">
      <alignment horizontal="centerContinuous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41" fontId="51" fillId="0" borderId="17" xfId="50" applyFont="1" applyFill="1" applyBorder="1" applyAlignment="1">
      <alignment vertical="center"/>
    </xf>
    <xf numFmtId="41" fontId="45" fillId="0" borderId="16" xfId="0" applyNumberFormat="1" applyFont="1" applyFill="1" applyBorder="1" applyAlignment="1">
      <alignment horizontal="center" vertical="center"/>
    </xf>
    <xf numFmtId="41" fontId="45" fillId="0" borderId="23" xfId="0" applyNumberFormat="1" applyFont="1" applyFill="1" applyBorder="1" applyAlignment="1">
      <alignment horizontal="center" vertical="center"/>
    </xf>
    <xf numFmtId="41" fontId="45" fillId="0" borderId="24" xfId="0" applyNumberFormat="1" applyFont="1" applyFill="1" applyBorder="1" applyAlignment="1">
      <alignment horizontal="center" vertical="center"/>
    </xf>
    <xf numFmtId="9" fontId="51" fillId="0" borderId="24" xfId="42" applyFont="1" applyFill="1" applyBorder="1" applyAlignment="1">
      <alignment horizontal="center" vertical="center" wrapText="1"/>
    </xf>
    <xf numFmtId="180" fontId="45" fillId="0" borderId="26" xfId="42" applyNumberFormat="1" applyFont="1" applyFill="1" applyBorder="1" applyAlignment="1">
      <alignment horizontal="center" vertical="center"/>
    </xf>
    <xf numFmtId="180" fontId="45" fillId="0" borderId="25" xfId="42" applyNumberFormat="1" applyFont="1" applyFill="1" applyBorder="1" applyAlignment="1">
      <alignment horizontal="center" vertical="center"/>
    </xf>
    <xf numFmtId="41" fontId="56" fillId="0" borderId="0" xfId="50" applyFont="1" applyFill="1">
      <alignment vertical="center"/>
    </xf>
    <xf numFmtId="0" fontId="51" fillId="0" borderId="19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 wrapText="1"/>
    </xf>
    <xf numFmtId="9" fontId="51" fillId="0" borderId="23" xfId="42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/>
    </xf>
    <xf numFmtId="41" fontId="45" fillId="0" borderId="39" xfId="50" applyFont="1" applyFill="1" applyBorder="1" applyAlignment="1">
      <alignment horizontal="center" vertical="center"/>
    </xf>
    <xf numFmtId="41" fontId="51" fillId="0" borderId="39" xfId="5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41" fontId="51" fillId="0" borderId="0" xfId="0" applyNumberFormat="1" applyFont="1" applyFill="1" applyBorder="1">
      <alignment vertical="center"/>
    </xf>
    <xf numFmtId="0" fontId="51" fillId="0" borderId="1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51" fillId="0" borderId="65" xfId="0" applyFont="1" applyFill="1" applyBorder="1" applyAlignment="1">
      <alignment horizontal="center" vertical="center" wrapText="1"/>
    </xf>
    <xf numFmtId="41" fontId="55" fillId="0" borderId="20" xfId="50" applyFont="1" applyFill="1" applyBorder="1" applyAlignment="1">
      <alignment horizontal="center" vertical="center"/>
    </xf>
    <xf numFmtId="41" fontId="55" fillId="0" borderId="39" xfId="50" applyFont="1" applyFill="1" applyBorder="1" applyAlignment="1">
      <alignment horizontal="center" vertical="center"/>
    </xf>
    <xf numFmtId="0" fontId="56" fillId="0" borderId="21" xfId="0" applyFont="1" applyFill="1" applyBorder="1">
      <alignment vertical="center"/>
    </xf>
    <xf numFmtId="0" fontId="51" fillId="0" borderId="21" xfId="0" applyFont="1" applyFill="1" applyBorder="1">
      <alignment vertical="center"/>
    </xf>
    <xf numFmtId="177" fontId="45" fillId="0" borderId="21" xfId="0" applyNumberFormat="1" applyFont="1" applyFill="1" applyBorder="1" applyAlignment="1">
      <alignment horizontal="center" vertical="center"/>
    </xf>
    <xf numFmtId="177" fontId="51" fillId="0" borderId="21" xfId="0" applyNumberFormat="1" applyFont="1" applyFill="1" applyBorder="1" applyAlignment="1">
      <alignment horizontal="center" vertical="center"/>
    </xf>
    <xf numFmtId="177" fontId="45" fillId="0" borderId="0" xfId="0" applyNumberFormat="1" applyFont="1" applyFill="1" applyBorder="1" applyAlignment="1">
      <alignment horizontal="center" vertical="center"/>
    </xf>
    <xf numFmtId="41" fontId="51" fillId="0" borderId="0" xfId="0" applyNumberFormat="1" applyFont="1" applyFill="1">
      <alignment vertical="center"/>
    </xf>
    <xf numFmtId="0" fontId="51" fillId="0" borderId="40" xfId="0" applyFont="1" applyFill="1" applyBorder="1" applyAlignment="1">
      <alignment horizontal="centerContinuous" vertical="center" wrapText="1"/>
    </xf>
    <xf numFmtId="0" fontId="45" fillId="0" borderId="23" xfId="0" applyFont="1" applyFill="1" applyBorder="1">
      <alignment vertical="center"/>
    </xf>
    <xf numFmtId="41" fontId="55" fillId="0" borderId="16" xfId="50" applyFont="1" applyFill="1" applyBorder="1">
      <alignment vertical="center"/>
    </xf>
    <xf numFmtId="41" fontId="55" fillId="0" borderId="17" xfId="50" applyFont="1" applyFill="1" applyBorder="1">
      <alignment vertical="center"/>
    </xf>
    <xf numFmtId="41" fontId="55" fillId="0" borderId="26" xfId="50" applyFont="1" applyFill="1" applyBorder="1">
      <alignment vertical="center"/>
    </xf>
    <xf numFmtId="0" fontId="55" fillId="0" borderId="23" xfId="0" applyFont="1" applyFill="1" applyBorder="1" applyAlignment="1">
      <alignment horizontal="center" vertical="center"/>
    </xf>
    <xf numFmtId="0" fontId="55" fillId="0" borderId="24" xfId="0" applyFont="1" applyFill="1" applyBorder="1">
      <alignment vertical="center"/>
    </xf>
    <xf numFmtId="0" fontId="55" fillId="0" borderId="25" xfId="0" applyFont="1" applyFill="1" applyBorder="1">
      <alignment vertical="center"/>
    </xf>
    <xf numFmtId="41" fontId="56" fillId="0" borderId="0" xfId="0" applyNumberFormat="1" applyFont="1" applyFill="1">
      <alignment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distributed" vertical="center"/>
    </xf>
    <xf numFmtId="0" fontId="0" fillId="0" borderId="0" xfId="0" applyFont="1">
      <alignment vertical="center"/>
    </xf>
    <xf numFmtId="41" fontId="0" fillId="0" borderId="0" xfId="0" applyNumberFormat="1" applyFont="1">
      <alignment vertical="center"/>
    </xf>
    <xf numFmtId="0" fontId="45" fillId="0" borderId="69" xfId="0" applyFont="1" applyFill="1" applyBorder="1">
      <alignment vertical="center"/>
    </xf>
    <xf numFmtId="0" fontId="45" fillId="0" borderId="83" xfId="0" applyFont="1" applyFill="1" applyBorder="1">
      <alignment vertical="center"/>
    </xf>
    <xf numFmtId="0" fontId="45" fillId="0" borderId="81" xfId="0" applyFont="1" applyFill="1" applyBorder="1" applyAlignment="1">
      <alignment horizontal="center" vertical="center"/>
    </xf>
    <xf numFmtId="0" fontId="56" fillId="0" borderId="83" xfId="0" applyFont="1" applyFill="1" applyBorder="1">
      <alignment vertical="center"/>
    </xf>
    <xf numFmtId="41" fontId="45" fillId="0" borderId="26" xfId="0" applyNumberFormat="1" applyFont="1" applyBorder="1" applyAlignment="1">
      <alignment horizontal="center" vertical="center"/>
    </xf>
    <xf numFmtId="41" fontId="45" fillId="0" borderId="17" xfId="5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1" fontId="45" fillId="0" borderId="16" xfId="5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220" fontId="49" fillId="0" borderId="40" xfId="50" applyNumberFormat="1" applyFont="1" applyBorder="1" applyAlignment="1">
      <alignment horizontal="center" vertical="center"/>
    </xf>
    <xf numFmtId="220" fontId="45" fillId="0" borderId="27" xfId="0" applyNumberFormat="1" applyFont="1" applyBorder="1" applyAlignment="1">
      <alignment horizontal="center" vertical="center"/>
    </xf>
    <xf numFmtId="220" fontId="49" fillId="0" borderId="17" xfId="50" applyNumberFormat="1" applyFont="1" applyBorder="1" applyAlignment="1">
      <alignment horizontal="center" vertical="center"/>
    </xf>
    <xf numFmtId="220" fontId="49" fillId="0" borderId="41" xfId="50" applyNumberFormat="1" applyFont="1" applyBorder="1" applyAlignment="1">
      <alignment horizontal="center" vertical="center"/>
    </xf>
    <xf numFmtId="220" fontId="45" fillId="0" borderId="24" xfId="0" applyNumberFormat="1" applyFont="1" applyBorder="1" applyAlignment="1">
      <alignment horizontal="center" vertical="center"/>
    </xf>
    <xf numFmtId="220" fontId="45" fillId="0" borderId="17" xfId="50" applyNumberFormat="1" applyFont="1" applyBorder="1" applyAlignment="1">
      <alignment horizontal="center" vertical="center"/>
    </xf>
    <xf numFmtId="220" fontId="45" fillId="0" borderId="41" xfId="50" applyNumberFormat="1" applyFont="1" applyBorder="1" applyAlignment="1">
      <alignment horizontal="center" vertical="center"/>
    </xf>
    <xf numFmtId="220" fontId="45" fillId="0" borderId="24" xfId="0" applyNumberFormat="1" applyFont="1" applyFill="1" applyBorder="1" applyAlignment="1">
      <alignment horizontal="center" vertical="center"/>
    </xf>
    <xf numFmtId="220" fontId="45" fillId="0" borderId="26" xfId="50" applyNumberFormat="1" applyFont="1" applyBorder="1" applyAlignment="1">
      <alignment horizontal="center" vertical="center"/>
    </xf>
    <xf numFmtId="220" fontId="45" fillId="0" borderId="50" xfId="50" applyNumberFormat="1" applyFont="1" applyBorder="1" applyAlignment="1">
      <alignment horizontal="center" vertical="center"/>
    </xf>
    <xf numFmtId="220" fontId="45" fillId="0" borderId="25" xfId="0" applyNumberFormat="1" applyFont="1" applyFill="1" applyBorder="1" applyAlignment="1">
      <alignment horizontal="center" vertical="center"/>
    </xf>
    <xf numFmtId="220" fontId="51" fillId="0" borderId="0" xfId="50" applyNumberFormat="1" applyFont="1" applyFill="1" applyBorder="1" applyAlignment="1">
      <alignment horizontal="center" vertical="center"/>
    </xf>
    <xf numFmtId="220" fontId="51" fillId="0" borderId="0" xfId="0" applyNumberFormat="1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wrapText="1"/>
    </xf>
    <xf numFmtId="0" fontId="45" fillId="33" borderId="17" xfId="0" applyFont="1" applyFill="1" applyBorder="1" applyAlignment="1">
      <alignment horizontal="distributed" vertical="center"/>
    </xf>
    <xf numFmtId="41" fontId="51" fillId="33" borderId="17" xfId="50" applyNumberFormat="1" applyFont="1" applyFill="1" applyBorder="1" applyAlignment="1">
      <alignment horizontal="center" vertical="center"/>
    </xf>
    <xf numFmtId="0" fontId="51" fillId="33" borderId="24" xfId="0" applyFont="1" applyFill="1" applyBorder="1" applyAlignment="1">
      <alignment horizontal="center" vertical="center"/>
    </xf>
    <xf numFmtId="41" fontId="51" fillId="34" borderId="17" xfId="50" applyNumberFormat="1" applyFont="1" applyFill="1" applyBorder="1" applyAlignment="1">
      <alignment horizontal="center" vertical="center"/>
    </xf>
    <xf numFmtId="0" fontId="51" fillId="34" borderId="24" xfId="0" applyFont="1" applyFill="1" applyBorder="1" applyAlignment="1">
      <alignment horizontal="center" vertical="center"/>
    </xf>
    <xf numFmtId="41" fontId="51" fillId="34" borderId="26" xfId="50" applyNumberFormat="1" applyFont="1" applyFill="1" applyBorder="1" applyAlignment="1">
      <alignment horizontal="center" vertical="center"/>
    </xf>
    <xf numFmtId="41" fontId="51" fillId="34" borderId="26" xfId="50" applyFont="1" applyFill="1" applyBorder="1" applyAlignment="1">
      <alignment horizontal="center" vertical="center"/>
    </xf>
    <xf numFmtId="0" fontId="51" fillId="34" borderId="25" xfId="0" applyFont="1" applyFill="1" applyBorder="1" applyAlignment="1">
      <alignment horizontal="center" vertical="center"/>
    </xf>
    <xf numFmtId="41" fontId="51" fillId="35" borderId="40" xfId="50" applyNumberFormat="1" applyFont="1" applyFill="1" applyBorder="1" applyAlignment="1">
      <alignment horizontal="center" vertical="center"/>
    </xf>
    <xf numFmtId="0" fontId="51" fillId="35" borderId="27" xfId="0" applyFont="1" applyFill="1" applyBorder="1" applyAlignment="1">
      <alignment horizontal="center" vertical="center"/>
    </xf>
    <xf numFmtId="41" fontId="45" fillId="0" borderId="17" xfId="5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wrapText="1"/>
    </xf>
    <xf numFmtId="0" fontId="53" fillId="0" borderId="40" xfId="0" applyFont="1" applyFill="1" applyBorder="1" applyAlignment="1">
      <alignment horizontal="center" vertical="center"/>
    </xf>
    <xf numFmtId="0" fontId="53" fillId="0" borderId="19" xfId="0" applyFont="1" applyFill="1" applyBorder="1" applyAlignment="1">
      <alignment horizontal="center" vertical="center"/>
    </xf>
    <xf numFmtId="41" fontId="51" fillId="0" borderId="40" xfId="50" applyFont="1" applyFill="1" applyBorder="1">
      <alignment vertical="center"/>
    </xf>
    <xf numFmtId="0" fontId="45" fillId="0" borderId="70" xfId="0" applyFont="1" applyFill="1" applyBorder="1">
      <alignment vertical="center"/>
    </xf>
    <xf numFmtId="0" fontId="45" fillId="32" borderId="16" xfId="0" applyFont="1" applyFill="1" applyBorder="1" applyAlignment="1">
      <alignment horizontal="center" vertical="center" wrapText="1"/>
    </xf>
    <xf numFmtId="41" fontId="45" fillId="32" borderId="16" xfId="0" applyNumberFormat="1" applyFont="1" applyFill="1" applyBorder="1" applyAlignment="1">
      <alignment horizontal="center" vertical="center" wrapText="1"/>
    </xf>
    <xf numFmtId="0" fontId="45" fillId="32" borderId="23" xfId="0" applyFont="1" applyFill="1" applyBorder="1" applyAlignment="1">
      <alignment horizontal="center" vertical="center" wrapText="1"/>
    </xf>
    <xf numFmtId="41" fontId="45" fillId="31" borderId="17" xfId="0" applyNumberFormat="1" applyFont="1" applyFill="1" applyBorder="1" applyAlignment="1">
      <alignment horizontal="center" vertical="center"/>
    </xf>
    <xf numFmtId="0" fontId="45" fillId="31" borderId="24" xfId="0" applyFont="1" applyFill="1" applyBorder="1" applyAlignment="1">
      <alignment horizontal="center" vertical="center"/>
    </xf>
    <xf numFmtId="41" fontId="45" fillId="32" borderId="40" xfId="0" applyNumberFormat="1" applyFont="1" applyFill="1" applyBorder="1" applyAlignment="1">
      <alignment horizontal="center" vertical="center" wrapText="1"/>
    </xf>
    <xf numFmtId="0" fontId="45" fillId="32" borderId="27" xfId="0" applyFont="1" applyFill="1" applyBorder="1" applyAlignment="1">
      <alignment horizontal="center" vertical="center" wrapText="1"/>
    </xf>
    <xf numFmtId="41" fontId="73" fillId="0" borderId="0" xfId="0" applyNumberFormat="1" applyFont="1">
      <alignment vertical="center"/>
    </xf>
    <xf numFmtId="0" fontId="73" fillId="0" borderId="0" xfId="0" applyFont="1">
      <alignment vertical="center"/>
    </xf>
    <xf numFmtId="41" fontId="45" fillId="0" borderId="0" xfId="50" applyFont="1" applyFill="1" applyBorder="1" applyAlignment="1">
      <alignment vertical="center"/>
    </xf>
    <xf numFmtId="0" fontId="45" fillId="0" borderId="0" xfId="0" applyFont="1" applyFill="1" applyAlignment="1">
      <alignment horizontal="center" vertical="center" shrinkToFit="1"/>
    </xf>
    <xf numFmtId="0" fontId="53" fillId="0" borderId="56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5" fillId="31" borderId="17" xfId="0" applyFont="1" applyFill="1" applyBorder="1" applyAlignment="1">
      <alignment horizontal="center" vertical="center" shrinkToFit="1"/>
    </xf>
    <xf numFmtId="0" fontId="45" fillId="0" borderId="17" xfId="0" applyFont="1" applyFill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45" fillId="0" borderId="26" xfId="0" applyFont="1" applyBorder="1" applyAlignment="1">
      <alignment horizontal="center" vertical="center" shrinkToFit="1"/>
    </xf>
    <xf numFmtId="0" fontId="45" fillId="0" borderId="26" xfId="0" applyFont="1" applyFill="1" applyBorder="1" applyAlignment="1">
      <alignment horizontal="center" vertical="center" shrinkToFit="1"/>
    </xf>
    <xf numFmtId="41" fontId="45" fillId="32" borderId="16" xfId="50" applyFont="1" applyFill="1" applyBorder="1" applyAlignment="1">
      <alignment vertical="center"/>
    </xf>
    <xf numFmtId="41" fontId="45" fillId="32" borderId="23" xfId="5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45" fillId="32" borderId="35" xfId="0" applyFont="1" applyFill="1" applyBorder="1" applyAlignment="1">
      <alignment horizontal="center" vertical="center" wrapText="1"/>
    </xf>
    <xf numFmtId="0" fontId="45" fillId="31" borderId="32" xfId="0" applyFont="1" applyFill="1" applyBorder="1" applyAlignment="1">
      <alignment horizontal="center" vertical="center"/>
    </xf>
    <xf numFmtId="205" fontId="51" fillId="0" borderId="32" xfId="0" applyNumberFormat="1" applyFont="1" applyFill="1" applyBorder="1" applyAlignment="1">
      <alignment horizontal="center" vertical="center" wrapText="1"/>
    </xf>
    <xf numFmtId="205" fontId="51" fillId="31" borderId="32" xfId="0" applyNumberFormat="1" applyFont="1" applyFill="1" applyBorder="1" applyAlignment="1">
      <alignment horizontal="center" vertical="center" wrapText="1"/>
    </xf>
    <xf numFmtId="205" fontId="51" fillId="0" borderId="51" xfId="0" applyNumberFormat="1" applyFont="1" applyFill="1" applyBorder="1" applyAlignment="1">
      <alignment horizontal="center" vertical="center" wrapText="1"/>
    </xf>
    <xf numFmtId="9" fontId="45" fillId="0" borderId="24" xfId="42" applyFont="1" applyBorder="1" applyAlignment="1">
      <alignment horizontal="center" vertical="center"/>
    </xf>
    <xf numFmtId="9" fontId="45" fillId="0" borderId="25" xfId="42" applyFont="1" applyBorder="1" applyAlignment="1">
      <alignment horizontal="center" vertical="center"/>
    </xf>
    <xf numFmtId="0" fontId="45" fillId="32" borderId="55" xfId="0" applyFont="1" applyFill="1" applyBorder="1" applyAlignment="1">
      <alignment horizontal="center" vertical="center" wrapText="1"/>
    </xf>
    <xf numFmtId="205" fontId="51" fillId="0" borderId="49" xfId="0" applyNumberFormat="1" applyFont="1" applyFill="1" applyBorder="1" applyAlignment="1">
      <alignment horizontal="center" vertical="center" wrapText="1"/>
    </xf>
    <xf numFmtId="9" fontId="45" fillId="0" borderId="31" xfId="42" applyFont="1" applyBorder="1" applyAlignment="1">
      <alignment horizontal="center" vertical="center"/>
    </xf>
    <xf numFmtId="0" fontId="53" fillId="0" borderId="0" xfId="0" applyFont="1" applyFill="1">
      <alignment vertical="center"/>
    </xf>
    <xf numFmtId="0" fontId="45" fillId="0" borderId="0" xfId="0" applyFont="1" applyBorder="1" applyAlignment="1">
      <alignment horizontal="center" vertical="center" shrinkToFit="1"/>
    </xf>
    <xf numFmtId="9" fontId="45" fillId="0" borderId="0" xfId="42" applyFont="1" applyBorder="1" applyAlignment="1">
      <alignment horizontal="center" vertical="center"/>
    </xf>
    <xf numFmtId="205" fontId="51" fillId="0" borderId="0" xfId="0" applyNumberFormat="1" applyFont="1" applyFill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220" fontId="45" fillId="0" borderId="40" xfId="0" applyNumberFormat="1" applyFont="1" applyFill="1" applyBorder="1" applyAlignment="1">
      <alignment horizontal="center" vertical="center"/>
    </xf>
    <xf numFmtId="220" fontId="45" fillId="0" borderId="16" xfId="50" applyNumberFormat="1" applyFont="1" applyFill="1" applyBorder="1" applyAlignment="1">
      <alignment horizontal="center" vertical="center"/>
    </xf>
    <xf numFmtId="220" fontId="45" fillId="0" borderId="23" xfId="0" applyNumberFormat="1" applyFont="1" applyFill="1" applyBorder="1" applyAlignment="1">
      <alignment horizontal="center" vertical="center"/>
    </xf>
    <xf numFmtId="220" fontId="45" fillId="0" borderId="17" xfId="50" applyNumberFormat="1" applyFont="1" applyFill="1" applyBorder="1" applyAlignment="1">
      <alignment horizontal="center" vertical="center"/>
    </xf>
    <xf numFmtId="220" fontId="45" fillId="0" borderId="30" xfId="50" applyNumberFormat="1" applyFont="1" applyFill="1" applyBorder="1" applyAlignment="1">
      <alignment horizontal="center" vertical="center"/>
    </xf>
    <xf numFmtId="220" fontId="45" fillId="0" borderId="31" xfId="0" applyNumberFormat="1" applyFont="1" applyFill="1" applyBorder="1" applyAlignment="1">
      <alignment horizontal="center" vertical="center"/>
    </xf>
    <xf numFmtId="220" fontId="45" fillId="0" borderId="26" xfId="50" applyNumberFormat="1" applyFont="1" applyFill="1" applyBorder="1" applyAlignment="1">
      <alignment horizontal="center" vertical="center"/>
    </xf>
    <xf numFmtId="220" fontId="45" fillId="0" borderId="40" xfId="50" applyNumberFormat="1" applyFont="1" applyFill="1" applyBorder="1" applyAlignment="1">
      <alignment horizontal="center" vertical="center"/>
    </xf>
    <xf numFmtId="220" fontId="45" fillId="0" borderId="27" xfId="0" applyNumberFormat="1" applyFont="1" applyFill="1" applyBorder="1" applyAlignment="1">
      <alignment horizontal="center" vertical="center"/>
    </xf>
    <xf numFmtId="220" fontId="45" fillId="0" borderId="30" xfId="50" applyNumberFormat="1" applyFont="1" applyFill="1" applyBorder="1" applyAlignment="1">
      <alignment horizontal="center" vertical="center"/>
    </xf>
    <xf numFmtId="220" fontId="45" fillId="0" borderId="16" xfId="50" applyNumberFormat="1" applyFont="1" applyFill="1" applyBorder="1" applyAlignment="1">
      <alignment horizontal="center" vertical="center"/>
    </xf>
    <xf numFmtId="179" fontId="45" fillId="0" borderId="17" xfId="50" applyNumberFormat="1" applyFont="1" applyFill="1" applyBorder="1" applyAlignment="1">
      <alignment horizontal="center" vertical="center"/>
    </xf>
    <xf numFmtId="179" fontId="45" fillId="0" borderId="16" xfId="50" applyNumberFormat="1" applyFont="1" applyFill="1" applyBorder="1" applyAlignment="1">
      <alignment horizontal="center" vertical="center"/>
    </xf>
    <xf numFmtId="179" fontId="45" fillId="0" borderId="26" xfId="50" applyNumberFormat="1" applyFont="1" applyFill="1" applyBorder="1" applyAlignment="1">
      <alignment horizontal="center" vertical="center"/>
    </xf>
    <xf numFmtId="179" fontId="45" fillId="0" borderId="40" xfId="5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 wrapText="1"/>
    </xf>
    <xf numFmtId="0" fontId="56" fillId="0" borderId="65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/>
    </xf>
    <xf numFmtId="0" fontId="56" fillId="0" borderId="63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/>
    </xf>
    <xf numFmtId="0" fontId="56" fillId="0" borderId="64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47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/>
    </xf>
    <xf numFmtId="0" fontId="45" fillId="0" borderId="32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/>
    </xf>
    <xf numFmtId="0" fontId="45" fillId="0" borderId="64" xfId="0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 wrapText="1"/>
    </xf>
    <xf numFmtId="0" fontId="45" fillId="0" borderId="62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/>
    </xf>
    <xf numFmtId="0" fontId="45" fillId="0" borderId="84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0" fontId="45" fillId="0" borderId="77" xfId="0" applyFont="1" applyFill="1" applyBorder="1" applyAlignment="1">
      <alignment horizontal="center" vertical="center"/>
    </xf>
    <xf numFmtId="0" fontId="45" fillId="0" borderId="73" xfId="0" applyFont="1" applyFill="1" applyBorder="1" applyAlignment="1">
      <alignment horizontal="center" vertical="center"/>
    </xf>
    <xf numFmtId="0" fontId="45" fillId="0" borderId="60" xfId="0" applyFont="1" applyFill="1" applyBorder="1" applyAlignment="1">
      <alignment horizontal="center" vertical="center"/>
    </xf>
    <xf numFmtId="0" fontId="45" fillId="0" borderId="75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72" xfId="0" applyFont="1" applyFill="1" applyBorder="1" applyAlignment="1">
      <alignment horizontal="center" vertical="center"/>
    </xf>
    <xf numFmtId="0" fontId="45" fillId="0" borderId="80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45" fillId="0" borderId="78" xfId="0" applyFont="1" applyFill="1" applyBorder="1" applyAlignment="1">
      <alignment horizontal="center" vertical="center"/>
    </xf>
    <xf numFmtId="0" fontId="45" fillId="0" borderId="82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" vertical="center"/>
    </xf>
    <xf numFmtId="220" fontId="45" fillId="0" borderId="31" xfId="0" applyNumberFormat="1" applyFont="1" applyFill="1" applyBorder="1" applyAlignment="1">
      <alignment horizontal="center" vertical="center" wrapText="1"/>
    </xf>
    <xf numFmtId="220" fontId="45" fillId="0" borderId="23" xfId="0" applyNumberFormat="1" applyFont="1" applyFill="1" applyBorder="1" applyAlignment="1">
      <alignment horizontal="center" vertical="center"/>
    </xf>
    <xf numFmtId="220" fontId="45" fillId="0" borderId="30" xfId="50" applyNumberFormat="1" applyFont="1" applyFill="1" applyBorder="1" applyAlignment="1">
      <alignment horizontal="center" vertical="center"/>
    </xf>
    <xf numFmtId="220" fontId="45" fillId="0" borderId="16" xfId="50" applyNumberFormat="1" applyFont="1" applyFill="1" applyBorder="1" applyAlignment="1">
      <alignment horizontal="center" vertical="center"/>
    </xf>
    <xf numFmtId="179" fontId="45" fillId="0" borderId="30" xfId="50" applyNumberFormat="1" applyFont="1" applyFill="1" applyBorder="1" applyAlignment="1">
      <alignment horizontal="center" vertical="center"/>
    </xf>
    <xf numFmtId="179" fontId="45" fillId="0" borderId="16" xfId="50" applyNumberFormat="1" applyFont="1" applyFill="1" applyBorder="1" applyAlignment="1">
      <alignment horizontal="center" vertical="center"/>
    </xf>
    <xf numFmtId="0" fontId="45" fillId="0" borderId="65" xfId="0" applyFont="1" applyFill="1" applyBorder="1" applyAlignment="1">
      <alignment horizontal="center" vertical="center" wrapText="1"/>
    </xf>
    <xf numFmtId="184" fontId="53" fillId="0" borderId="40" xfId="0" applyNumberFormat="1" applyFont="1" applyBorder="1" applyAlignment="1">
      <alignment horizontal="center" vertical="center"/>
    </xf>
    <xf numFmtId="184" fontId="53" fillId="0" borderId="26" xfId="0" applyNumberFormat="1" applyFont="1" applyBorder="1" applyAlignment="1">
      <alignment horizontal="center" vertical="center"/>
    </xf>
    <xf numFmtId="41" fontId="45" fillId="0" borderId="17" xfId="50" applyFont="1" applyFill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29" xfId="0" applyFont="1" applyFill="1" applyBorder="1" applyAlignment="1">
      <alignment horizontal="center" vertical="center" wrapText="1"/>
    </xf>
    <xf numFmtId="179" fontId="45" fillId="0" borderId="24" xfId="50" applyNumberFormat="1" applyFont="1" applyFill="1" applyBorder="1" applyAlignment="1">
      <alignment horizontal="center" vertical="center"/>
    </xf>
    <xf numFmtId="184" fontId="53" fillId="0" borderId="27" xfId="0" applyNumberFormat="1" applyFont="1" applyBorder="1" applyAlignment="1">
      <alignment horizontal="center" vertical="center"/>
    </xf>
    <xf numFmtId="179" fontId="45" fillId="0" borderId="17" xfId="50" applyNumberFormat="1" applyFont="1" applyFill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45" fillId="0" borderId="76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1" fontId="45" fillId="0" borderId="46" xfId="50" applyFont="1" applyFill="1" applyBorder="1" applyAlignment="1">
      <alignment horizontal="center" vertical="center"/>
    </xf>
    <xf numFmtId="41" fontId="45" fillId="0" borderId="63" xfId="50" applyFont="1" applyFill="1" applyBorder="1" applyAlignment="1">
      <alignment horizontal="center" vertical="center"/>
    </xf>
    <xf numFmtId="41" fontId="53" fillId="0" borderId="77" xfId="50" applyFont="1" applyFill="1" applyBorder="1" applyAlignment="1">
      <alignment horizontal="center" vertical="center"/>
    </xf>
    <xf numFmtId="41" fontId="53" fillId="0" borderId="73" xfId="50" applyFont="1" applyFill="1" applyBorder="1" applyAlignment="1">
      <alignment horizontal="center" vertical="center"/>
    </xf>
    <xf numFmtId="41" fontId="53" fillId="0" borderId="60" xfId="50" applyFont="1" applyFill="1" applyBorder="1" applyAlignment="1">
      <alignment horizontal="center" vertical="center"/>
    </xf>
    <xf numFmtId="41" fontId="53" fillId="0" borderId="75" xfId="50" applyFont="1" applyFill="1" applyBorder="1" applyAlignment="1">
      <alignment horizontal="center" vertical="center"/>
    </xf>
    <xf numFmtId="41" fontId="53" fillId="0" borderId="48" xfId="50" applyFont="1" applyFill="1" applyBorder="1" applyAlignment="1">
      <alignment horizontal="center" vertical="center"/>
    </xf>
    <xf numFmtId="41" fontId="53" fillId="0" borderId="72" xfId="50" applyFont="1" applyFill="1" applyBorder="1" applyAlignment="1">
      <alignment horizontal="center" vertical="center"/>
    </xf>
    <xf numFmtId="41" fontId="45" fillId="0" borderId="73" xfId="50" applyFont="1" applyFill="1" applyBorder="1" applyAlignment="1">
      <alignment horizontal="left" vertical="center" wrapText="1"/>
    </xf>
    <xf numFmtId="41" fontId="45" fillId="0" borderId="74" xfId="50" applyFont="1" applyFill="1" applyBorder="1" applyAlignment="1">
      <alignment horizontal="left" vertical="center" wrapText="1"/>
    </xf>
    <xf numFmtId="41" fontId="45" fillId="0" borderId="48" xfId="50" applyFont="1" applyFill="1" applyBorder="1" applyAlignment="1">
      <alignment horizontal="left" vertical="center" wrapText="1"/>
    </xf>
    <xf numFmtId="41" fontId="45" fillId="0" borderId="68" xfId="50" applyFont="1" applyFill="1" applyBorder="1" applyAlignment="1">
      <alignment horizontal="left" vertical="center" wrapText="1"/>
    </xf>
    <xf numFmtId="41" fontId="45" fillId="0" borderId="47" xfId="50" applyFont="1" applyFill="1" applyBorder="1" applyAlignment="1">
      <alignment horizontal="center" vertical="center"/>
    </xf>
    <xf numFmtId="41" fontId="45" fillId="0" borderId="18" xfId="50" applyFont="1" applyFill="1" applyBorder="1" applyAlignment="1">
      <alignment horizontal="center" vertical="center"/>
    </xf>
    <xf numFmtId="41" fontId="45" fillId="0" borderId="29" xfId="50" applyFont="1" applyFill="1" applyBorder="1" applyAlignment="1">
      <alignment horizontal="center" vertical="center"/>
    </xf>
    <xf numFmtId="41" fontId="53" fillId="0" borderId="54" xfId="50" applyFont="1" applyFill="1" applyBorder="1" applyAlignment="1">
      <alignment horizontal="center" vertical="center"/>
    </xf>
    <xf numFmtId="41" fontId="53" fillId="0" borderId="64" xfId="50" applyFont="1" applyFill="1" applyBorder="1" applyAlignment="1">
      <alignment horizontal="center" vertical="center"/>
    </xf>
    <xf numFmtId="41" fontId="53" fillId="0" borderId="70" xfId="50" applyFont="1" applyFill="1" applyBorder="1" applyAlignment="1">
      <alignment horizontal="center" vertical="center"/>
    </xf>
    <xf numFmtId="41" fontId="45" fillId="0" borderId="41" xfId="50" applyFont="1" applyFill="1" applyBorder="1" applyAlignment="1">
      <alignment horizontal="center" vertical="center"/>
    </xf>
    <xf numFmtId="41" fontId="45" fillId="0" borderId="71" xfId="50" applyFont="1" applyFill="1" applyBorder="1" applyAlignment="1">
      <alignment horizontal="center" vertical="center"/>
    </xf>
    <xf numFmtId="41" fontId="45" fillId="0" borderId="32" xfId="50" applyFont="1" applyFill="1" applyBorder="1" applyAlignment="1">
      <alignment horizontal="center" vertical="center"/>
    </xf>
    <xf numFmtId="41" fontId="45" fillId="0" borderId="42" xfId="50" applyFont="1" applyFill="1" applyBorder="1" applyAlignment="1">
      <alignment horizontal="center" vertical="center"/>
    </xf>
    <xf numFmtId="41" fontId="45" fillId="0" borderId="66" xfId="50" applyFont="1" applyFill="1" applyBorder="1" applyAlignment="1">
      <alignment horizontal="center" vertical="center"/>
    </xf>
    <xf numFmtId="41" fontId="45" fillId="0" borderId="67" xfId="50" applyFont="1" applyFill="1" applyBorder="1" applyAlignment="1">
      <alignment horizontal="center" vertical="center"/>
    </xf>
    <xf numFmtId="41" fontId="45" fillId="0" borderId="61" xfId="50" applyFont="1" applyFill="1" applyBorder="1" applyAlignment="1">
      <alignment horizontal="center" vertical="center"/>
    </xf>
    <xf numFmtId="41" fontId="45" fillId="0" borderId="48" xfId="50" applyFont="1" applyFill="1" applyBorder="1" applyAlignment="1">
      <alignment horizontal="center" vertical="center"/>
    </xf>
    <xf numFmtId="41" fontId="45" fillId="0" borderId="68" xfId="50" applyFont="1" applyFill="1" applyBorder="1" applyAlignment="1">
      <alignment horizontal="center" vertical="center"/>
    </xf>
    <xf numFmtId="217" fontId="59" fillId="0" borderId="0" xfId="79" applyNumberFormat="1" applyFont="1" applyAlignment="1">
      <alignment horizontal="left" vertical="center"/>
    </xf>
    <xf numFmtId="0" fontId="51" fillId="0" borderId="58" xfId="78" applyFont="1" applyBorder="1" applyAlignment="1">
      <alignment horizontal="center" vertical="center"/>
    </xf>
    <xf numFmtId="0" fontId="51" fillId="0" borderId="43" xfId="78" applyFont="1" applyBorder="1" applyAlignment="1">
      <alignment horizontal="center" vertical="center"/>
    </xf>
    <xf numFmtId="0" fontId="51" fillId="0" borderId="18" xfId="78" applyFont="1" applyBorder="1" applyAlignment="1">
      <alignment horizontal="center" vertical="center"/>
    </xf>
    <xf numFmtId="0" fontId="51" fillId="0" borderId="22" xfId="78" applyFont="1" applyBorder="1" applyAlignment="1">
      <alignment horizontal="center" vertical="center"/>
    </xf>
    <xf numFmtId="0" fontId="51" fillId="0" borderId="65" xfId="78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41" fontId="45" fillId="0" borderId="59" xfId="0" applyNumberFormat="1" applyFont="1" applyFill="1" applyBorder="1" applyAlignment="1">
      <alignment horizontal="left" vertical="center" wrapText="1" shrinkToFit="1"/>
    </xf>
    <xf numFmtId="41" fontId="45" fillId="0" borderId="74" xfId="0" applyNumberFormat="1" applyFont="1" applyFill="1" applyBorder="1" applyAlignment="1">
      <alignment horizontal="left" vertical="center" wrapText="1" shrinkToFit="1"/>
    </xf>
    <xf numFmtId="41" fontId="45" fillId="0" borderId="33" xfId="0" applyNumberFormat="1" applyFont="1" applyFill="1" applyBorder="1" applyAlignment="1">
      <alignment horizontal="left" vertical="center" wrapText="1" shrinkToFit="1"/>
    </xf>
    <xf numFmtId="41" fontId="45" fillId="0" borderId="34" xfId="0" applyNumberFormat="1" applyFont="1" applyFill="1" applyBorder="1" applyAlignment="1">
      <alignment horizontal="left" vertical="center" wrapText="1" shrinkToFit="1"/>
    </xf>
    <xf numFmtId="41" fontId="45" fillId="0" borderId="61" xfId="0" applyNumberFormat="1" applyFont="1" applyFill="1" applyBorder="1" applyAlignment="1">
      <alignment horizontal="left" vertical="center" wrapText="1" shrinkToFit="1"/>
    </xf>
    <xf numFmtId="41" fontId="45" fillId="0" borderId="68" xfId="0" applyNumberFormat="1" applyFont="1" applyFill="1" applyBorder="1" applyAlignment="1">
      <alignment horizontal="left" vertical="center" wrapText="1" shrinkToFit="1"/>
    </xf>
    <xf numFmtId="219" fontId="53" fillId="0" borderId="26" xfId="42" applyNumberFormat="1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219" fontId="53" fillId="0" borderId="40" xfId="42" applyNumberFormat="1" applyFont="1" applyFill="1" applyBorder="1" applyAlignment="1">
      <alignment horizontal="center" vertical="center"/>
    </xf>
    <xf numFmtId="41" fontId="45" fillId="0" borderId="40" xfId="0" applyNumberFormat="1" applyFont="1" applyFill="1" applyBorder="1" applyAlignment="1">
      <alignment horizontal="center" vertical="center"/>
    </xf>
    <xf numFmtId="219" fontId="53" fillId="0" borderId="17" xfId="42" applyNumberFormat="1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56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41" fontId="45" fillId="0" borderId="78" xfId="50" applyFont="1" applyFill="1" applyBorder="1" applyAlignment="1">
      <alignment horizontal="center" vertical="center"/>
    </xf>
    <xf numFmtId="41" fontId="45" fillId="0" borderId="51" xfId="50" applyFont="1" applyFill="1" applyBorder="1" applyAlignment="1">
      <alignment horizontal="center" vertical="center"/>
    </xf>
    <xf numFmtId="0" fontId="45" fillId="0" borderId="58" xfId="0" applyFont="1" applyFill="1" applyBorder="1" applyAlignment="1">
      <alignment horizontal="center" vertical="center"/>
    </xf>
    <xf numFmtId="0" fontId="45" fillId="0" borderId="65" xfId="0" applyFont="1" applyFill="1" applyBorder="1" applyAlignment="1">
      <alignment horizontal="center" vertical="center"/>
    </xf>
    <xf numFmtId="0" fontId="53" fillId="0" borderId="77" xfId="0" applyFont="1" applyFill="1" applyBorder="1" applyAlignment="1">
      <alignment horizontal="center" vertical="center"/>
    </xf>
    <xf numFmtId="0" fontId="53" fillId="0" borderId="60" xfId="0" applyFont="1" applyFill="1" applyBorder="1" applyAlignment="1">
      <alignment horizontal="center" vertical="center"/>
    </xf>
    <xf numFmtId="0" fontId="53" fillId="0" borderId="79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53" fillId="0" borderId="75" xfId="0" applyFont="1" applyFill="1" applyBorder="1" applyAlignment="1">
      <alignment horizontal="center" vertical="center"/>
    </xf>
    <xf numFmtId="0" fontId="53" fillId="0" borderId="72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45" fillId="0" borderId="70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 shrinkToFit="1"/>
    </xf>
    <xf numFmtId="0" fontId="45" fillId="0" borderId="53" xfId="0" applyFont="1" applyFill="1" applyBorder="1" applyAlignment="1">
      <alignment horizontal="center" vertical="center" shrinkToFit="1"/>
    </xf>
    <xf numFmtId="0" fontId="45" fillId="0" borderId="56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45" fillId="0" borderId="59" xfId="0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wrapText="1"/>
    </xf>
    <xf numFmtId="0" fontId="45" fillId="0" borderId="61" xfId="0" applyFont="1" applyFill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 wrapText="1"/>
    </xf>
    <xf numFmtId="0" fontId="45" fillId="0" borderId="78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41" fontId="45" fillId="0" borderId="52" xfId="50" applyFont="1" applyFill="1" applyBorder="1" applyAlignment="1">
      <alignment horizontal="center" vertical="center"/>
    </xf>
    <xf numFmtId="41" fontId="45" fillId="0" borderId="53" xfId="5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/>
    </xf>
    <xf numFmtId="0" fontId="45" fillId="0" borderId="63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/>
    </xf>
    <xf numFmtId="0" fontId="51" fillId="0" borderId="47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/>
    </xf>
    <xf numFmtId="0" fontId="51" fillId="0" borderId="40" xfId="0" applyFont="1" applyFill="1" applyBorder="1" applyAlignment="1">
      <alignment horizontal="center" vertical="center" wrapText="1"/>
    </xf>
    <xf numFmtId="0" fontId="51" fillId="0" borderId="26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41" fontId="51" fillId="0" borderId="30" xfId="50" applyFont="1" applyFill="1" applyBorder="1" applyAlignment="1">
      <alignment horizontal="center" vertical="center"/>
    </xf>
    <xf numFmtId="41" fontId="51" fillId="0" borderId="16" xfId="50" applyFont="1" applyFill="1" applyBorder="1" applyAlignment="1">
      <alignment horizontal="center" vertical="center"/>
    </xf>
    <xf numFmtId="41" fontId="51" fillId="0" borderId="46" xfId="5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5" xfId="0" applyFont="1" applyFill="1" applyBorder="1" applyAlignment="1">
      <alignment horizontal="center" vertical="center" wrapText="1"/>
    </xf>
    <xf numFmtId="0" fontId="45" fillId="0" borderId="82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/>
    </xf>
    <xf numFmtId="0" fontId="45" fillId="0" borderId="50" xfId="0" applyFont="1" applyFill="1" applyBorder="1" applyAlignment="1">
      <alignment horizontal="center" vertical="center"/>
    </xf>
    <xf numFmtId="0" fontId="45" fillId="0" borderId="59" xfId="0" applyFont="1" applyFill="1" applyBorder="1" applyAlignment="1">
      <alignment horizontal="center" vertical="center"/>
    </xf>
    <xf numFmtId="0" fontId="45" fillId="0" borderId="61" xfId="0" applyFont="1" applyFill="1" applyBorder="1" applyAlignment="1">
      <alignment horizontal="center" vertical="center"/>
    </xf>
    <xf numFmtId="0" fontId="45" fillId="0" borderId="71" xfId="0" applyFont="1" applyFill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56" fillId="0" borderId="17" xfId="0" applyFont="1" applyBorder="1">
      <alignment vertical="center"/>
    </xf>
    <xf numFmtId="0" fontId="56" fillId="0" borderId="40" xfId="0" applyFont="1" applyBorder="1">
      <alignment vertical="center"/>
    </xf>
    <xf numFmtId="0" fontId="56" fillId="0" borderId="1" xfId="0" applyFont="1" applyBorder="1">
      <alignment vertical="center"/>
    </xf>
    <xf numFmtId="0" fontId="45" fillId="0" borderId="54" xfId="0" applyFont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35" borderId="47" xfId="0" applyFont="1" applyFill="1" applyBorder="1" applyAlignment="1">
      <alignment horizontal="center" vertical="center"/>
    </xf>
    <xf numFmtId="0" fontId="45" fillId="35" borderId="40" xfId="0" applyFont="1" applyFill="1" applyBorder="1" applyAlignment="1">
      <alignment horizontal="center" vertical="center"/>
    </xf>
    <xf numFmtId="0" fontId="45" fillId="34" borderId="29" xfId="0" applyFont="1" applyFill="1" applyBorder="1" applyAlignment="1">
      <alignment horizontal="center" vertical="center" wrapText="1"/>
    </xf>
    <xf numFmtId="0" fontId="45" fillId="34" borderId="26" xfId="0" applyFont="1" applyFill="1" applyBorder="1" applyAlignment="1">
      <alignment horizontal="center" vertical="center" wrapText="1"/>
    </xf>
    <xf numFmtId="0" fontId="45" fillId="34" borderId="17" xfId="0" applyFont="1" applyFill="1" applyBorder="1" applyAlignment="1">
      <alignment horizontal="center" vertical="center"/>
    </xf>
    <xf numFmtId="0" fontId="45" fillId="32" borderId="47" xfId="0" applyFont="1" applyFill="1" applyBorder="1" applyAlignment="1">
      <alignment horizontal="center" vertical="center"/>
    </xf>
    <xf numFmtId="0" fontId="45" fillId="32" borderId="40" xfId="0" applyFont="1" applyFill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 shrinkToFit="1"/>
    </xf>
    <xf numFmtId="0" fontId="45" fillId="0" borderId="26" xfId="0" applyFont="1" applyBorder="1" applyAlignment="1">
      <alignment horizontal="center" vertical="center" shrinkToFit="1"/>
    </xf>
    <xf numFmtId="0" fontId="45" fillId="30" borderId="47" xfId="0" applyFont="1" applyFill="1" applyBorder="1" applyAlignment="1">
      <alignment horizontal="center" vertical="center"/>
    </xf>
    <xf numFmtId="0" fontId="45" fillId="30" borderId="40" xfId="0" applyFont="1" applyFill="1" applyBorder="1" applyAlignment="1">
      <alignment horizontal="center" vertical="center"/>
    </xf>
    <xf numFmtId="0" fontId="45" fillId="32" borderId="18" xfId="0" applyFont="1" applyFill="1" applyBorder="1" applyAlignment="1">
      <alignment horizontal="center" vertical="center"/>
    </xf>
    <xf numFmtId="0" fontId="45" fillId="32" borderId="16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0" fontId="45" fillId="32" borderId="17" xfId="0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41" fontId="45" fillId="0" borderId="30" xfId="50" applyFont="1" applyFill="1" applyBorder="1" applyAlignment="1">
      <alignment horizontal="center" vertical="center"/>
    </xf>
    <xf numFmtId="41" fontId="45" fillId="0" borderId="16" xfId="5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56" fillId="0" borderId="46" xfId="0" applyFont="1" applyBorder="1">
      <alignment vertical="center"/>
    </xf>
    <xf numFmtId="0" fontId="45" fillId="0" borderId="44" xfId="0" applyFont="1" applyFill="1" applyBorder="1" applyAlignment="1">
      <alignment horizontal="center" vertical="center" wrapText="1"/>
    </xf>
    <xf numFmtId="0" fontId="45" fillId="0" borderId="1" xfId="80" applyFont="1" applyFill="1" applyBorder="1" applyAlignment="1">
      <alignment horizontal="center" vertical="center" wrapText="1"/>
    </xf>
    <xf numFmtId="0" fontId="45" fillId="0" borderId="29" xfId="80" applyFont="1" applyFill="1" applyBorder="1" applyAlignment="1">
      <alignment horizontal="center" vertical="center" wrapText="1"/>
    </xf>
    <xf numFmtId="0" fontId="45" fillId="0" borderId="19" xfId="80" applyFont="1" applyFill="1" applyBorder="1" applyAlignment="1">
      <alignment horizontal="center" vertical="center"/>
    </xf>
    <xf numFmtId="0" fontId="45" fillId="0" borderId="20" xfId="80" applyFont="1" applyFill="1" applyBorder="1" applyAlignment="1">
      <alignment horizontal="center" vertical="center"/>
    </xf>
    <xf numFmtId="0" fontId="45" fillId="0" borderId="22" xfId="80" applyFont="1" applyFill="1" applyBorder="1" applyAlignment="1">
      <alignment horizontal="center" vertical="center" wrapText="1"/>
    </xf>
    <xf numFmtId="0" fontId="45" fillId="0" borderId="43" xfId="80" applyFont="1" applyFill="1" applyBorder="1" applyAlignment="1">
      <alignment horizontal="center" vertical="center" wrapText="1"/>
    </xf>
    <xf numFmtId="0" fontId="45" fillId="0" borderId="18" xfId="80" applyFont="1" applyFill="1" applyBorder="1" applyAlignment="1">
      <alignment horizontal="center" vertical="center" wrapText="1"/>
    </xf>
    <xf numFmtId="0" fontId="45" fillId="0" borderId="47" xfId="80" applyFont="1" applyFill="1" applyBorder="1" applyAlignment="1">
      <alignment horizontal="center" vertical="center"/>
    </xf>
    <xf numFmtId="0" fontId="45" fillId="0" borderId="40" xfId="80" applyFont="1" applyFill="1" applyBorder="1" applyAlignment="1">
      <alignment horizontal="center" vertical="center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22" xfId="0" applyFont="1" applyFill="1" applyBorder="1" applyAlignment="1">
      <alignment horizontal="center" vertical="center" wrapText="1"/>
    </xf>
    <xf numFmtId="0" fontId="51" fillId="22" borderId="43" xfId="0" applyFont="1" applyFill="1" applyBorder="1" applyAlignment="1">
      <alignment horizontal="center" vertical="center" wrapText="1"/>
    </xf>
    <xf numFmtId="0" fontId="51" fillId="22" borderId="65" xfId="0" applyFont="1" applyFill="1" applyBorder="1" applyAlignment="1">
      <alignment horizontal="center" vertical="center" wrapText="1"/>
    </xf>
    <xf numFmtId="0" fontId="45" fillId="22" borderId="60" xfId="0" applyFont="1" applyFill="1" applyBorder="1" applyAlignment="1">
      <alignment horizontal="center" vertical="center" wrapText="1"/>
    </xf>
    <xf numFmtId="0" fontId="45" fillId="22" borderId="72" xfId="0" applyFont="1" applyFill="1" applyBorder="1" applyAlignment="1">
      <alignment horizontal="center" vertical="center" wrapText="1"/>
    </xf>
    <xf numFmtId="0" fontId="45" fillId="22" borderId="27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5" fillId="22" borderId="40" xfId="0" applyFont="1" applyFill="1" applyBorder="1" applyAlignment="1">
      <alignment horizontal="center" vertical="center" wrapText="1"/>
    </xf>
    <xf numFmtId="0" fontId="45" fillId="22" borderId="26" xfId="0" applyFont="1" applyFill="1" applyBorder="1" applyAlignment="1">
      <alignment horizontal="center" vertical="center"/>
    </xf>
    <xf numFmtId="0" fontId="45" fillId="22" borderId="40" xfId="0" applyFont="1" applyFill="1" applyBorder="1" applyAlignment="1">
      <alignment horizontal="center" vertical="center"/>
    </xf>
    <xf numFmtId="0" fontId="45" fillId="22" borderId="56" xfId="0" applyFont="1" applyFill="1" applyBorder="1" applyAlignment="1">
      <alignment horizontal="center" vertical="center"/>
    </xf>
    <xf numFmtId="0" fontId="56" fillId="22" borderId="46" xfId="0" applyFont="1" applyFill="1" applyBorder="1">
      <alignment vertical="center"/>
    </xf>
    <xf numFmtId="0" fontId="45" fillId="22" borderId="56" xfId="0" applyFont="1" applyFill="1" applyBorder="1" applyAlignment="1">
      <alignment horizontal="center" vertical="center" wrapText="1"/>
    </xf>
    <xf numFmtId="0" fontId="45" fillId="22" borderId="46" xfId="0" applyFont="1" applyFill="1" applyBorder="1" applyAlignment="1">
      <alignment horizontal="center" vertical="center"/>
    </xf>
    <xf numFmtId="0" fontId="45" fillId="22" borderId="46" xfId="0" applyFont="1" applyFill="1" applyBorder="1" applyAlignment="1">
      <alignment horizontal="center" vertical="center" wrapText="1"/>
    </xf>
    <xf numFmtId="0" fontId="51" fillId="22" borderId="47" xfId="0" applyFont="1" applyFill="1" applyBorder="1" applyAlignment="1">
      <alignment horizontal="center" vertical="center"/>
    </xf>
    <xf numFmtId="0" fontId="51" fillId="22" borderId="40" xfId="0" applyFont="1" applyFill="1" applyBorder="1" applyAlignment="1">
      <alignment horizontal="center" vertical="center"/>
    </xf>
    <xf numFmtId="0" fontId="45" fillId="22" borderId="58" xfId="0" applyFont="1" applyFill="1" applyBorder="1" applyAlignment="1">
      <alignment horizontal="center" vertical="center" wrapText="1"/>
    </xf>
    <xf numFmtId="0" fontId="56" fillId="22" borderId="65" xfId="0" applyFont="1" applyFill="1" applyBorder="1">
      <alignment vertical="center"/>
    </xf>
    <xf numFmtId="0" fontId="53" fillId="0" borderId="47" xfId="0" applyFont="1" applyFill="1" applyBorder="1" applyAlignment="1">
      <alignment horizontal="center" vertical="center"/>
    </xf>
    <xf numFmtId="0" fontId="53" fillId="0" borderId="40" xfId="0" applyFont="1" applyFill="1" applyBorder="1" applyAlignment="1">
      <alignment horizontal="center" vertical="center"/>
    </xf>
    <xf numFmtId="0" fontId="45" fillId="30" borderId="54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41" fontId="74" fillId="0" borderId="17" xfId="50" applyFont="1" applyBorder="1" applyAlignment="1">
      <alignment horizontal="center" vertical="center"/>
    </xf>
    <xf numFmtId="41" fontId="74" fillId="0" borderId="24" xfId="5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 wrapText="1"/>
    </xf>
    <xf numFmtId="179" fontId="74" fillId="0" borderId="17" xfId="50" applyNumberFormat="1" applyFont="1" applyBorder="1" applyAlignment="1">
      <alignment horizontal="center" vertical="center"/>
    </xf>
    <xf numFmtId="179" fontId="74" fillId="0" borderId="24" xfId="5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0" fontId="74" fillId="0" borderId="29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center" wrapText="1"/>
    </xf>
    <xf numFmtId="41" fontId="74" fillId="0" borderId="26" xfId="50" applyFont="1" applyBorder="1" applyAlignment="1">
      <alignment horizontal="center" vertical="center"/>
    </xf>
    <xf numFmtId="41" fontId="74" fillId="0" borderId="25" xfId="50" applyFont="1" applyBorder="1" applyAlignment="1">
      <alignment horizontal="center" vertical="center"/>
    </xf>
    <xf numFmtId="0" fontId="74" fillId="0" borderId="76" xfId="0" applyFont="1" applyBorder="1" applyAlignment="1">
      <alignment horizontal="center" vertical="center"/>
    </xf>
    <xf numFmtId="0" fontId="74" fillId="0" borderId="32" xfId="0" applyFont="1" applyBorder="1" applyAlignment="1">
      <alignment horizontal="center" vertical="center"/>
    </xf>
    <xf numFmtId="0" fontId="74" fillId="0" borderId="85" xfId="0" applyFont="1" applyBorder="1" applyAlignment="1">
      <alignment horizontal="center" vertical="center"/>
    </xf>
    <xf numFmtId="0" fontId="74" fillId="0" borderId="35" xfId="0" applyFont="1" applyBorder="1" applyAlignment="1">
      <alignment horizontal="center" vertical="center"/>
    </xf>
    <xf numFmtId="205" fontId="74" fillId="0" borderId="16" xfId="0" applyNumberFormat="1" applyFont="1" applyBorder="1" applyAlignment="1">
      <alignment horizontal="center" vertical="center"/>
    </xf>
    <xf numFmtId="205" fontId="74" fillId="0" borderId="23" xfId="0" applyNumberFormat="1" applyFont="1" applyBorder="1" applyAlignment="1">
      <alignment horizontal="center" vertical="center"/>
    </xf>
    <xf numFmtId="0" fontId="74" fillId="0" borderId="52" xfId="0" applyFont="1" applyBorder="1" applyAlignment="1">
      <alignment horizontal="center" vertical="center"/>
    </xf>
    <xf numFmtId="0" fontId="74" fillId="0" borderId="53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5" fillId="0" borderId="0" xfId="0" applyFont="1" applyAlignment="1">
      <alignment horizontal="left" vertical="center"/>
    </xf>
  </cellXfs>
  <cellStyles count="121">
    <cellStyle name="??&amp;쏗?뷐9_x0008__x0011__x0007_?_x0007__x0001__x0001_" xfId="1"/>
    <cellStyle name="??&amp;O?&amp;H?_x0008_??_x0007__x0001__x0001_" xfId="2"/>
    <cellStyle name="2)" xfId="3"/>
    <cellStyle name="20% - 강조색1" xfId="4" builtinId="30" customBuiltin="1"/>
    <cellStyle name="20% - 강조색2" xfId="5" builtinId="34" customBuiltin="1"/>
    <cellStyle name="20% - 강조색3" xfId="6" builtinId="38" customBuiltin="1"/>
    <cellStyle name="20% - 강조색4" xfId="7" builtinId="42" customBuiltin="1"/>
    <cellStyle name="20% - 강조색5" xfId="8" builtinId="46" customBuiltin="1"/>
    <cellStyle name="20% - 강조색6" xfId="9" builtinId="50" customBuiltin="1"/>
    <cellStyle name="40% - 강조색1" xfId="10" builtinId="31" customBuiltin="1"/>
    <cellStyle name="40% - 강조색2" xfId="11" builtinId="35" customBuiltin="1"/>
    <cellStyle name="40% - 강조색3" xfId="12" builtinId="39" customBuiltin="1"/>
    <cellStyle name="40% - 강조색4" xfId="13" builtinId="43" customBuiltin="1"/>
    <cellStyle name="40% - 강조색5" xfId="14" builtinId="47" customBuiltin="1"/>
    <cellStyle name="40% - 강조색6" xfId="15" builtinId="51" customBuiltin="1"/>
    <cellStyle name="60% - 강조색1" xfId="16" builtinId="32" customBuiltin="1"/>
    <cellStyle name="60% - 강조색2" xfId="17" builtinId="36" customBuiltin="1"/>
    <cellStyle name="60% - 강조색3" xfId="18" builtinId="40" customBuiltin="1"/>
    <cellStyle name="60% - 강조색4" xfId="19" builtinId="44" customBuiltin="1"/>
    <cellStyle name="60% - 강조색5" xfId="20" builtinId="48" customBuiltin="1"/>
    <cellStyle name="60% - 강조색6" xfId="21" builtinId="52" customBuiltin="1"/>
    <cellStyle name="강조색1" xfId="22" builtinId="29" customBuiltin="1"/>
    <cellStyle name="강조색2" xfId="23" builtinId="33" customBuiltin="1"/>
    <cellStyle name="강조색3" xfId="24" builtinId="37" customBuiltin="1"/>
    <cellStyle name="강조색4" xfId="25" builtinId="41" customBuiltin="1"/>
    <cellStyle name="강조색5" xfId="26" builtinId="45" customBuiltin="1"/>
    <cellStyle name="강조색6" xfId="27" builtinId="49" customBuiltin="1"/>
    <cellStyle name="경고문" xfId="28" builtinId="11" customBuiltin="1"/>
    <cellStyle name="계산" xfId="29" builtinId="22" customBuiltin="1"/>
    <cellStyle name="고정소숫점" xfId="30"/>
    <cellStyle name="고정출력1" xfId="31"/>
    <cellStyle name="고정출력2" xfId="32"/>
    <cellStyle name="나쁨" xfId="33" builtinId="27" customBuiltin="1"/>
    <cellStyle name="날짜" xfId="34"/>
    <cellStyle name="달러" xfId="35"/>
    <cellStyle name="뒤에 오는 하이퍼링크_단위수량1" xfId="36"/>
    <cellStyle name="똿뗦먛귟 [0.00]_PRODUCT DETAIL Q1" xfId="37"/>
    <cellStyle name="똿뗦먛귟_PRODUCT DETAIL Q1" xfId="38"/>
    <cellStyle name="메모" xfId="39" builtinId="10" customBuiltin="1"/>
    <cellStyle name="믅됞 [0.00]_PRODUCT DETAIL Q1" xfId="40"/>
    <cellStyle name="믅됞_PRODUCT DETAIL Q1" xfId="41"/>
    <cellStyle name="백분율" xfId="42" builtinId="5"/>
    <cellStyle name="백분율 [0]" xfId="43"/>
    <cellStyle name="백분율 [2]" xfId="44"/>
    <cellStyle name="보통" xfId="45" builtinId="28" customBuiltin="1"/>
    <cellStyle name="뷭?_BOOKSHIP" xfId="46"/>
    <cellStyle name="설명 텍스트" xfId="47" builtinId="53" customBuiltin="1"/>
    <cellStyle name="셀 확인" xfId="48" builtinId="23" customBuiltin="1"/>
    <cellStyle name="숫자(R)" xfId="49"/>
    <cellStyle name="쉼표 [0]" xfId="50" builtinId="6"/>
    <cellStyle name="쉼표 [0] 2" xfId="51"/>
    <cellStyle name="스타일 1" xfId="52"/>
    <cellStyle name="연결된 셀" xfId="53" builtinId="24" customBuiltin="1"/>
    <cellStyle name="요약" xfId="54" builtinId="25" customBuiltin="1"/>
    <cellStyle name="우괄호_박심배수구조물공" xfId="55"/>
    <cellStyle name="우측양괄호" xfId="56"/>
    <cellStyle name="일반" xfId="57"/>
    <cellStyle name="입력" xfId="58" builtinId="20" customBuiltin="1"/>
    <cellStyle name="자리수" xfId="59"/>
    <cellStyle name="자리수0" xfId="60"/>
    <cellStyle name="제곱" xfId="61"/>
    <cellStyle name="제목" xfId="62" builtinId="15" customBuiltin="1"/>
    <cellStyle name="제목 1" xfId="63" builtinId="16" customBuiltin="1"/>
    <cellStyle name="제목 2" xfId="64" builtinId="17" customBuiltin="1"/>
    <cellStyle name="제목 3" xfId="65" builtinId="18" customBuiltin="1"/>
    <cellStyle name="제목 4" xfId="66" builtinId="19" customBuiltin="1"/>
    <cellStyle name="좋음" xfId="67" builtinId="26" customBuiltin="1"/>
    <cellStyle name="좌괄호_박심배수구조물공" xfId="68"/>
    <cellStyle name="좌측양괄호" xfId="69"/>
    <cellStyle name="지정되지 않음" xfId="70"/>
    <cellStyle name="출력" xfId="71" builtinId="21" customBuiltin="1"/>
    <cellStyle name="콤마 [0]_(90)비탈면보호공" xfId="72"/>
    <cellStyle name="콤마 [1]" xfId="73"/>
    <cellStyle name="콤마 [2]" xfId="74"/>
    <cellStyle name="콤마_(90)비탈면보호공" xfId="75"/>
    <cellStyle name="퍼센트" xfId="76"/>
    <cellStyle name="표준" xfId="0" builtinId="0"/>
    <cellStyle name="표준 2" xfId="77"/>
    <cellStyle name="표준_1. 계획인구 및 하수처리인구" xfId="78"/>
    <cellStyle name="표준_1.POPULATION(080325)" xfId="79"/>
    <cellStyle name="표준_처리장 신증설계획(최종)" xfId="80"/>
    <cellStyle name="표준_하수량수질(마을)" xfId="81"/>
    <cellStyle name="標準_Akia(F）-8" xfId="82"/>
    <cellStyle name="합산" xfId="83"/>
    <cellStyle name="화폐기호" xfId="84"/>
    <cellStyle name="화폐기호0" xfId="85"/>
    <cellStyle name="AeE­ [0]_INQUIRY ¿μ¾÷AßAø " xfId="86"/>
    <cellStyle name="AeE­_INQUIRY ¿μ¾÷AßAø " xfId="87"/>
    <cellStyle name="ALIGNMENT" xfId="88"/>
    <cellStyle name="AÞ¸¶ [0]_INQUIRY ¿μ¾÷AßAø " xfId="89"/>
    <cellStyle name="AÞ¸¶_INQUIRY ¿μ¾÷AßAø " xfId="90"/>
    <cellStyle name="C￥AØ_¿μ¾÷CoE² " xfId="91"/>
    <cellStyle name="category" xfId="92"/>
    <cellStyle name="Comma [0]_ SG&amp;A Bridge " xfId="93"/>
    <cellStyle name="comma zerodec" xfId="94"/>
    <cellStyle name="Comma_ SG&amp;A Bridge " xfId="95"/>
    <cellStyle name="Comma0" xfId="96"/>
    <cellStyle name="Currency [0]_ SG&amp;A Bridge " xfId="97"/>
    <cellStyle name="Currency_ SG&amp;A Bridge " xfId="98"/>
    <cellStyle name="Currency0" xfId="99"/>
    <cellStyle name="Currency1" xfId="100"/>
    <cellStyle name="Date" xfId="101"/>
    <cellStyle name="Dollar (zero dec)" xfId="102"/>
    <cellStyle name="EA" xfId="103"/>
    <cellStyle name="Fixed" xfId="104"/>
    <cellStyle name="Grey" xfId="105"/>
    <cellStyle name="HEADER" xfId="106"/>
    <cellStyle name="Header1" xfId="107"/>
    <cellStyle name="Header2" xfId="108"/>
    <cellStyle name="Heading 1" xfId="109"/>
    <cellStyle name="Heading 2" xfId="110"/>
    <cellStyle name="Input [yellow]" xfId="111"/>
    <cellStyle name="Model" xfId="112"/>
    <cellStyle name="Normal - Style1" xfId="113"/>
    <cellStyle name="Normal_ SG&amp;A Bridge " xfId="114"/>
    <cellStyle name="Percent [2]" xfId="115"/>
    <cellStyle name="subhead" xfId="116"/>
    <cellStyle name="title [1]" xfId="117"/>
    <cellStyle name="title [2]" xfId="118"/>
    <cellStyle name="ton" xfId="119"/>
    <cellStyle name="Total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5332197614991483"/>
          <c:y val="9.5652444668378245E-2"/>
          <c:w val="0.75468483816015486"/>
          <c:h val="0.73043685019490001"/>
        </c:manualLayout>
      </c:layout>
      <c:barChart>
        <c:barDir val="col"/>
        <c:grouping val="clustered"/>
        <c:ser>
          <c:idx val="1"/>
          <c:order val="0"/>
          <c:tx>
            <c:strRef>
              <c:f>'1.과거인구'!$A$6:$B$6</c:f>
              <c:strCache>
                <c:ptCount val="1"/>
                <c:pt idx="0">
                  <c:v>총   인   구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'1.과거인구'!$C$6:$L$6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ser>
          <c:idx val="0"/>
          <c:order val="1"/>
          <c:tx>
            <c:strRef>
              <c:f>'1.과거인구'!$A$7:$B$7</c:f>
              <c:strCache>
                <c:ptCount val="1"/>
                <c:pt idx="0">
                  <c:v>세대(가구)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'1.과거인구'!$C$7:$L$7</c:f>
              <c:numCache>
                <c:formatCode>_-* #,##0_-;\-* #,##0_-;_-* "-"_-;_-@_-</c:formatCode>
                <c:ptCount val="10"/>
                <c:pt idx="0">
                  <c:v>124047</c:v>
                </c:pt>
                <c:pt idx="1">
                  <c:v>132292</c:v>
                </c:pt>
                <c:pt idx="2">
                  <c:v>140891</c:v>
                </c:pt>
                <c:pt idx="3">
                  <c:v>146412</c:v>
                </c:pt>
                <c:pt idx="4">
                  <c:v>151536</c:v>
                </c:pt>
                <c:pt idx="5">
                  <c:v>162102</c:v>
                </c:pt>
                <c:pt idx="6">
                  <c:v>187837</c:v>
                </c:pt>
                <c:pt idx="7">
                  <c:v>194101</c:v>
                </c:pt>
                <c:pt idx="8">
                  <c:v>200280</c:v>
                </c:pt>
                <c:pt idx="9">
                  <c:v>204645</c:v>
                </c:pt>
              </c:numCache>
            </c:numRef>
          </c:val>
        </c:ser>
        <c:axId val="115063424"/>
        <c:axId val="115073792"/>
      </c:barChart>
      <c:lineChart>
        <c:grouping val="standard"/>
        <c:ser>
          <c:idx val="2"/>
          <c:order val="2"/>
          <c:tx>
            <c:strRef>
              <c:f>'1.과거인구'!$A$9:$B$9</c:f>
              <c:strCache>
                <c:ptCount val="1"/>
                <c:pt idx="0">
                  <c:v>인구증감율(%)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'1.과거인구'!$C$9:$L$9</c:f>
              <c:numCache>
                <c:formatCode>_-* #,##0.00_-;\-* #,##0.00_-;_-* "-"_-;_-@_-</c:formatCode>
                <c:ptCount val="10"/>
                <c:pt idx="0">
                  <c:v>3.5150726314436302</c:v>
                </c:pt>
                <c:pt idx="1">
                  <c:v>5.0541114621090406</c:v>
                </c:pt>
                <c:pt idx="2">
                  <c:v>4.6996443805226917</c:v>
                </c:pt>
                <c:pt idx="3">
                  <c:v>2.7221941265715595</c:v>
                </c:pt>
                <c:pt idx="4">
                  <c:v>2.0098097584656109</c:v>
                </c:pt>
                <c:pt idx="5">
                  <c:v>3.8674702851947877</c:v>
                </c:pt>
                <c:pt idx="6">
                  <c:v>10.163945763473766</c:v>
                </c:pt>
                <c:pt idx="7">
                  <c:v>1.7801092313004176</c:v>
                </c:pt>
                <c:pt idx="8">
                  <c:v>2.3852295024459442</c:v>
                </c:pt>
                <c:pt idx="9">
                  <c:v>1.7976517009825055</c:v>
                </c:pt>
              </c:numCache>
            </c:numRef>
          </c:val>
        </c:ser>
        <c:marker val="1"/>
        <c:axId val="115076096"/>
        <c:axId val="132977408"/>
      </c:lineChart>
      <c:catAx>
        <c:axId val="1150634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15073792"/>
        <c:crosses val="autoZero"/>
        <c:lblAlgn val="ctr"/>
        <c:lblOffset val="100"/>
        <c:tickLblSkip val="1"/>
        <c:tickMarkSkip val="1"/>
      </c:catAx>
      <c:valAx>
        <c:axId val="115073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인구 및 세대</a:t>
                </a:r>
              </a:p>
            </c:rich>
          </c:tx>
          <c:layout>
            <c:manualLayout>
              <c:xMode val="edge"/>
              <c:yMode val="edge"/>
              <c:x val="1.0221465076661001E-2"/>
              <c:y val="0.3362328358039963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15063424"/>
        <c:crosses val="autoZero"/>
        <c:crossBetween val="between"/>
      </c:valAx>
      <c:catAx>
        <c:axId val="115076096"/>
        <c:scaling>
          <c:orientation val="minMax"/>
        </c:scaling>
        <c:delete val="1"/>
        <c:axPos val="b"/>
        <c:tickLblPos val="nextTo"/>
        <c:crossAx val="132977408"/>
        <c:crosses val="autoZero"/>
        <c:lblAlgn val="ctr"/>
        <c:lblOffset val="100"/>
      </c:catAx>
      <c:valAx>
        <c:axId val="132977408"/>
        <c:scaling>
          <c:orientation val="minMax"/>
          <c:max val="15"/>
        </c:scaling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인구증감율</a:t>
                </a:r>
                <a:r>
                  <a:rPr lang="en-US" altLang="ko-KR"/>
                  <a:t>(%)</a:t>
                </a:r>
              </a:p>
            </c:rich>
          </c:tx>
          <c:layout>
            <c:manualLayout>
              <c:xMode val="edge"/>
              <c:yMode val="edge"/>
              <c:x val="0.94926568758344465"/>
              <c:y val="0.38415883163119457"/>
            </c:manualLayout>
          </c:layout>
          <c:spPr>
            <a:noFill/>
            <a:ln w="25400">
              <a:noFill/>
            </a:ln>
          </c:spPr>
        </c:title>
        <c:numFmt formatCode="0.0_);[Red]\(0.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115076096"/>
        <c:crosses val="max"/>
        <c:crossBetween val="between"/>
        <c:majorUnit val="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02896081771721"/>
          <c:y val="0.91304606274361055"/>
          <c:w val="0.78875638841567286"/>
          <c:h val="6.37682964455855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066" r="0.750000000000010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5194346289753421"/>
          <c:y val="8.0691642651298745E-2"/>
          <c:w val="0.8109540636042406"/>
          <c:h val="0.73487031700289773"/>
        </c:manualLayout>
      </c:layout>
      <c:barChart>
        <c:barDir val="col"/>
        <c:grouping val="clustered"/>
        <c:ser>
          <c:idx val="2"/>
          <c:order val="0"/>
          <c:tx>
            <c:strRef>
              <c:f>'1.과거인구'!$A$10</c:f>
              <c:strCache>
                <c:ptCount val="1"/>
                <c:pt idx="0">
                  <c:v>읍지역</c:v>
                </c:pt>
              </c:strCache>
            </c:strRef>
          </c:tx>
          <c:spPr>
            <a:gradFill rotWithShape="0">
              <a:gsLst>
                <a:gs pos="0">
                  <a:srgbClr val="C0C0C0">
                    <a:gamma/>
                    <a:tint val="0"/>
                    <a:invGamma/>
                  </a:srgbClr>
                </a:gs>
                <a:gs pos="50000">
                  <a:srgbClr val="C0C0C0"/>
                </a:gs>
                <a:gs pos="100000">
                  <a:srgbClr val="C0C0C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'1.과거인구'!$C$10:$L$10</c:f>
              <c:numCache>
                <c:formatCode>_-* #,##0_-;\-* #,##0_-;_-* "-"_-;_-@_-</c:formatCode>
                <c:ptCount val="10"/>
                <c:pt idx="0">
                  <c:v>75467</c:v>
                </c:pt>
                <c:pt idx="1">
                  <c:v>80873</c:v>
                </c:pt>
                <c:pt idx="2">
                  <c:v>89741</c:v>
                </c:pt>
                <c:pt idx="3">
                  <c:v>94397</c:v>
                </c:pt>
                <c:pt idx="4">
                  <c:v>94952</c:v>
                </c:pt>
                <c:pt idx="5">
                  <c:v>96232</c:v>
                </c:pt>
                <c:pt idx="6">
                  <c:v>100443</c:v>
                </c:pt>
                <c:pt idx="7">
                  <c:v>103174</c:v>
                </c:pt>
                <c:pt idx="8">
                  <c:v>105781</c:v>
                </c:pt>
                <c:pt idx="9">
                  <c:v>105303</c:v>
                </c:pt>
              </c:numCache>
            </c:numRef>
          </c:val>
        </c:ser>
        <c:ser>
          <c:idx val="3"/>
          <c:order val="1"/>
          <c:tx>
            <c:strRef>
              <c:f>'1.과거인구'!$A$11</c:f>
              <c:strCache>
                <c:ptCount val="1"/>
                <c:pt idx="0">
                  <c:v>면지역</c:v>
                </c:pt>
              </c:strCache>
            </c:strRef>
          </c:tx>
          <c:spPr>
            <a:gradFill rotWithShape="0">
              <a:gsLst>
                <a:gs pos="0">
                  <a:srgbClr val="C0C0C0">
                    <a:gamma/>
                    <a:shade val="47451"/>
                    <a:invGamma/>
                  </a:srgbClr>
                </a:gs>
                <a:gs pos="50000">
                  <a:srgbClr val="C0C0C0"/>
                </a:gs>
                <a:gs pos="100000">
                  <a:srgbClr val="C0C0C0">
                    <a:gamma/>
                    <a:shade val="47451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'1.과거인구'!$C$11:$L$11</c:f>
              <c:numCache>
                <c:formatCode>_-* #,##0_-;\-* #,##0_-;_-* "-"_-;_-@_-</c:formatCode>
                <c:ptCount val="10"/>
                <c:pt idx="0">
                  <c:v>45922</c:v>
                </c:pt>
                <c:pt idx="1">
                  <c:v>46044</c:v>
                </c:pt>
                <c:pt idx="2">
                  <c:v>46424</c:v>
                </c:pt>
                <c:pt idx="3">
                  <c:v>46060</c:v>
                </c:pt>
                <c:pt idx="4">
                  <c:v>45421</c:v>
                </c:pt>
                <c:pt idx="5">
                  <c:v>45707</c:v>
                </c:pt>
                <c:pt idx="6">
                  <c:v>49074</c:v>
                </c:pt>
                <c:pt idx="7">
                  <c:v>46575</c:v>
                </c:pt>
                <c:pt idx="8">
                  <c:v>45664</c:v>
                </c:pt>
                <c:pt idx="9">
                  <c:v>44974</c:v>
                </c:pt>
              </c:numCache>
            </c:numRef>
          </c:val>
        </c:ser>
        <c:ser>
          <c:idx val="4"/>
          <c:order val="2"/>
          <c:tx>
            <c:strRef>
              <c:f>'1.과거인구'!$A$12</c:f>
              <c:strCache>
                <c:ptCount val="1"/>
                <c:pt idx="0">
                  <c:v>동지역</c:v>
                </c:pt>
              </c:strCache>
            </c:strRef>
          </c:tx>
          <c:spPr>
            <a:gradFill rotWithShape="0">
              <a:gsLst>
                <a:gs pos="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'1.과거인구'!$C$12:$L$12</c:f>
              <c:numCache>
                <c:formatCode>_-* #,##0_-;\-* #,##0_-;_-* "-"_-;_-@_-</c:formatCode>
                <c:ptCount val="10"/>
                <c:pt idx="0">
                  <c:v>265128</c:v>
                </c:pt>
                <c:pt idx="1">
                  <c:v>279135</c:v>
                </c:pt>
                <c:pt idx="2">
                  <c:v>288970</c:v>
                </c:pt>
                <c:pt idx="3">
                  <c:v>296251</c:v>
                </c:pt>
                <c:pt idx="4">
                  <c:v>305112</c:v>
                </c:pt>
                <c:pt idx="5">
                  <c:v>320775</c:v>
                </c:pt>
                <c:pt idx="6">
                  <c:v>360227</c:v>
                </c:pt>
                <c:pt idx="7">
                  <c:v>369069</c:v>
                </c:pt>
                <c:pt idx="8">
                  <c:v>379748</c:v>
                </c:pt>
                <c:pt idx="9">
                  <c:v>390465</c:v>
                </c:pt>
              </c:numCache>
            </c:numRef>
          </c:val>
        </c:ser>
        <c:axId val="138743808"/>
        <c:axId val="138745728"/>
      </c:barChart>
      <c:lineChart>
        <c:grouping val="standard"/>
        <c:ser>
          <c:idx val="0"/>
          <c:order val="3"/>
          <c:tx>
            <c:strRef>
              <c:f>'1.과거인구'!$A$13:$A$24</c:f>
              <c:strCache>
                <c:ptCount val="1"/>
                <c:pt idx="0">
                  <c:v>서
북
구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'1.과거인구'!$C$13:$L$13</c:f>
              <c:numCache>
                <c:formatCode>_-* #,##0_-;\-* #,##0_-;_-* "-"_-;_-@_-</c:formatCode>
                <c:ptCount val="10"/>
                <c:pt idx="0">
                  <c:v>193233</c:v>
                </c:pt>
                <c:pt idx="1">
                  <c:v>208809</c:v>
                </c:pt>
                <c:pt idx="2">
                  <c:v>218108</c:v>
                </c:pt>
                <c:pt idx="3">
                  <c:v>222522</c:v>
                </c:pt>
                <c:pt idx="4">
                  <c:v>230462</c:v>
                </c:pt>
                <c:pt idx="5">
                  <c:v>246262</c:v>
                </c:pt>
                <c:pt idx="6">
                  <c:v>286220</c:v>
                </c:pt>
                <c:pt idx="7">
                  <c:v>293599</c:v>
                </c:pt>
                <c:pt idx="8">
                  <c:v>299403</c:v>
                </c:pt>
                <c:pt idx="9">
                  <c:v>304540</c:v>
                </c:pt>
              </c:numCache>
            </c:numRef>
          </c:val>
        </c:ser>
        <c:ser>
          <c:idx val="1"/>
          <c:order val="4"/>
          <c:tx>
            <c:strRef>
              <c:f>'1.과거인구'!$A$25:$A$42</c:f>
              <c:strCache>
                <c:ptCount val="1"/>
                <c:pt idx="0">
                  <c:v>동
남
구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'1.과거인구'!$C$25:$L$25</c:f>
              <c:numCache>
                <c:formatCode>_-* #,##0_-;\-* #,##0_-;_-* "-"_-;_-@_-</c:formatCode>
                <c:ptCount val="10"/>
                <c:pt idx="0">
                  <c:v>193284</c:v>
                </c:pt>
                <c:pt idx="1">
                  <c:v>197243</c:v>
                </c:pt>
                <c:pt idx="2">
                  <c:v>207027</c:v>
                </c:pt>
                <c:pt idx="3">
                  <c:v>214186</c:v>
                </c:pt>
                <c:pt idx="4">
                  <c:v>215023</c:v>
                </c:pt>
                <c:pt idx="5">
                  <c:v>216452</c:v>
                </c:pt>
                <c:pt idx="6">
                  <c:v>223524</c:v>
                </c:pt>
                <c:pt idx="7">
                  <c:v>225219</c:v>
                </c:pt>
                <c:pt idx="8">
                  <c:v>231790</c:v>
                </c:pt>
                <c:pt idx="9">
                  <c:v>236202</c:v>
                </c:pt>
              </c:numCache>
            </c:numRef>
          </c:val>
        </c:ser>
        <c:marker val="1"/>
        <c:axId val="138743808"/>
        <c:axId val="138745728"/>
      </c:lineChart>
      <c:catAx>
        <c:axId val="1387438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38745728"/>
        <c:crosses val="autoZero"/>
        <c:lblAlgn val="ctr"/>
        <c:lblOffset val="100"/>
        <c:tickLblSkip val="1"/>
        <c:tickMarkSkip val="1"/>
      </c:catAx>
      <c:valAx>
        <c:axId val="138745728"/>
        <c:scaling>
          <c:orientation val="minMax"/>
          <c:max val="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인 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1.2367491166077741E-2"/>
              <c:y val="0.36023054755043227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38743808"/>
        <c:crosses val="autoZero"/>
        <c:crossBetween val="between"/>
        <c:majorUnit val="1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37455830388692"/>
          <c:y val="0.91066282420749278"/>
          <c:w val="0.78975265017667862"/>
          <c:h val="6.05187319884740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3775533082770919"/>
          <c:y val="6.9364259737767192E-2"/>
          <c:w val="0.7500012456175158"/>
          <c:h val="0.7514461471591446"/>
        </c:manualLayout>
      </c:layout>
      <c:lineChart>
        <c:grouping val="standard"/>
        <c:ser>
          <c:idx val="1"/>
          <c:order val="0"/>
          <c:tx>
            <c:strRef>
              <c:f>'1.과거인구'!$A$7:$B$7</c:f>
              <c:strCache>
                <c:ptCount val="1"/>
                <c:pt idx="0">
                  <c:v>세대(가구)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'1.과거인구'!$C$7:$L$7</c:f>
              <c:numCache>
                <c:formatCode>_-* #,##0_-;\-* #,##0_-;_-* "-"_-;_-@_-</c:formatCode>
                <c:ptCount val="10"/>
                <c:pt idx="0">
                  <c:v>124047</c:v>
                </c:pt>
                <c:pt idx="1">
                  <c:v>132292</c:v>
                </c:pt>
                <c:pt idx="2">
                  <c:v>140891</c:v>
                </c:pt>
                <c:pt idx="3">
                  <c:v>146412</c:v>
                </c:pt>
                <c:pt idx="4">
                  <c:v>151536</c:v>
                </c:pt>
                <c:pt idx="5">
                  <c:v>162102</c:v>
                </c:pt>
                <c:pt idx="6">
                  <c:v>187837</c:v>
                </c:pt>
                <c:pt idx="7">
                  <c:v>194101</c:v>
                </c:pt>
                <c:pt idx="8">
                  <c:v>200280</c:v>
                </c:pt>
                <c:pt idx="9">
                  <c:v>204645</c:v>
                </c:pt>
              </c:numCache>
            </c:numRef>
          </c:val>
        </c:ser>
        <c:marker val="1"/>
        <c:axId val="138783744"/>
        <c:axId val="138785920"/>
      </c:lineChart>
      <c:lineChart>
        <c:grouping val="standard"/>
        <c:ser>
          <c:idx val="0"/>
          <c:order val="1"/>
          <c:tx>
            <c:strRef>
              <c:f>'1.과거인구'!$A$8:$B$8</c:f>
              <c:strCache>
                <c:ptCount val="1"/>
                <c:pt idx="0">
                  <c:v>세대당 인구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'1.과거인구'!$C$4:$L$5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'1.과거인구'!$C$8:$L$8</c:f>
              <c:numCache>
                <c:formatCode>_-* #,##0.00_-;\-* #,##0.00_-;_-* "-"_-;_-@_-</c:formatCode>
                <c:ptCount val="10"/>
                <c:pt idx="0">
                  <c:v>3.12</c:v>
                </c:pt>
                <c:pt idx="1">
                  <c:v>3.07</c:v>
                </c:pt>
                <c:pt idx="2">
                  <c:v>3.02</c:v>
                </c:pt>
                <c:pt idx="3">
                  <c:v>2.98</c:v>
                </c:pt>
                <c:pt idx="4">
                  <c:v>2.94</c:v>
                </c:pt>
                <c:pt idx="5">
                  <c:v>2.85</c:v>
                </c:pt>
                <c:pt idx="6">
                  <c:v>2.71</c:v>
                </c:pt>
                <c:pt idx="7">
                  <c:v>2.67</c:v>
                </c:pt>
                <c:pt idx="8">
                  <c:v>2.65</c:v>
                </c:pt>
                <c:pt idx="9">
                  <c:v>2.64</c:v>
                </c:pt>
              </c:numCache>
            </c:numRef>
          </c:val>
        </c:ser>
        <c:marker val="1"/>
        <c:axId val="138787840"/>
        <c:axId val="138797824"/>
      </c:lineChart>
      <c:catAx>
        <c:axId val="1387837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38785920"/>
        <c:crosses val="autoZero"/>
        <c:lblAlgn val="ctr"/>
        <c:lblOffset val="100"/>
        <c:tickLblSkip val="1"/>
        <c:tickMarkSkip val="1"/>
      </c:catAx>
      <c:valAx>
        <c:axId val="138785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가구</a:t>
                </a:r>
                <a:r>
                  <a:rPr lang="en-US" altLang="ko-KR"/>
                  <a:t>(</a:t>
                </a:r>
                <a:r>
                  <a:rPr lang="ko-KR" altLang="en-US"/>
                  <a:t>세대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8.5034154831916398E-3"/>
              <c:y val="0.3497114761779098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38783744"/>
        <c:crosses val="autoZero"/>
        <c:crossBetween val="between"/>
      </c:valAx>
      <c:catAx>
        <c:axId val="138787840"/>
        <c:scaling>
          <c:orientation val="minMax"/>
        </c:scaling>
        <c:delete val="1"/>
        <c:axPos val="b"/>
        <c:tickLblPos val="nextTo"/>
        <c:crossAx val="138797824"/>
        <c:crosses val="autoZero"/>
        <c:lblAlgn val="ctr"/>
        <c:lblOffset val="100"/>
      </c:catAx>
      <c:valAx>
        <c:axId val="13879782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세대당 인구</a:t>
                </a:r>
                <a:r>
                  <a:rPr lang="en-US" altLang="ko-KR"/>
                  <a:t>(</a:t>
                </a:r>
                <a:r>
                  <a:rPr lang="ko-KR" altLang="en-US"/>
                  <a:t>인구</a:t>
                </a:r>
                <a:r>
                  <a:rPr lang="en-US" altLang="ko-KR"/>
                  <a:t>/</a:t>
                </a:r>
                <a:r>
                  <a:rPr lang="ko-KR" altLang="en-US"/>
                  <a:t>세대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0.95238253411745288"/>
              <c:y val="0.23988473159311174"/>
            </c:manualLayout>
          </c:layout>
          <c:spPr>
            <a:noFill/>
            <a:ln w="25400">
              <a:noFill/>
            </a:ln>
          </c:spPr>
        </c:title>
        <c:numFmt formatCode="0.00_);[Red]\(0.0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38787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98675327306771"/>
          <c:y val="0.92196661901448895"/>
          <c:w val="0.59693976692005257"/>
          <c:h val="5.78035497814726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천안시 인구변화</a:t>
            </a:r>
          </a:p>
        </c:rich>
      </c:tx>
      <c:layout>
        <c:manualLayout>
          <c:xMode val="edge"/>
          <c:yMode val="edge"/>
          <c:x val="0.36734755094388732"/>
          <c:y val="1.4662756598240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574374735751511"/>
          <c:y val="0.10557184750733142"/>
          <c:w val="0.75510311575129219"/>
          <c:h val="0.68914956011730211"/>
        </c:manualLayout>
      </c:layout>
      <c:lineChart>
        <c:grouping val="standard"/>
        <c:ser>
          <c:idx val="1"/>
          <c:order val="0"/>
          <c:tx>
            <c:strRef>
              <c:f>'1.2인구분석'!$B$2</c:f>
              <c:strCache>
                <c:ptCount val="1"/>
                <c:pt idx="0">
                  <c:v>천안시 전체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14673152"/>
        <c:axId val="114675072"/>
      </c:lineChart>
      <c:catAx>
        <c:axId val="1146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3352830896137959"/>
              <c:y val="0.865102639296199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4675072"/>
        <c:crosses val="autoZero"/>
        <c:auto val="1"/>
        <c:lblAlgn val="ctr"/>
        <c:lblOffset val="100"/>
        <c:tickLblSkip val="4"/>
        <c:tickMarkSkip val="1"/>
      </c:catAx>
      <c:valAx>
        <c:axId val="114675072"/>
        <c:scaling>
          <c:orientation val="minMax"/>
          <c:max val="600000"/>
          <c:min val="30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4673152"/>
        <c:crosses val="autoZero"/>
        <c:crossBetween val="between"/>
        <c:majorUnit val="50000"/>
        <c:minorUnit val="50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부석면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3639552"/>
        <c:axId val="133666304"/>
      </c:lineChart>
      <c:catAx>
        <c:axId val="13363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666304"/>
        <c:crosses val="autoZero"/>
        <c:auto val="1"/>
        <c:lblAlgn val="ctr"/>
        <c:lblOffset val="100"/>
        <c:tickLblSkip val="4"/>
        <c:tickMarkSkip val="1"/>
      </c:catAx>
      <c:valAx>
        <c:axId val="1336663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부석면인구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639552"/>
        <c:crosses val="autoZero"/>
        <c:crossBetween val="between"/>
        <c:maj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3682688"/>
        <c:axId val="135008256"/>
      </c:lineChart>
      <c:catAx>
        <c:axId val="13368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008256"/>
        <c:crosses val="autoZero"/>
        <c:auto val="1"/>
        <c:lblAlgn val="ctr"/>
        <c:lblOffset val="100"/>
        <c:tickLblSkip val="4"/>
        <c:tickMarkSkip val="1"/>
      </c:catAx>
      <c:valAx>
        <c:axId val="1350082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682688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061504"/>
        <c:axId val="135063808"/>
      </c:lineChart>
      <c:catAx>
        <c:axId val="13506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063808"/>
        <c:crosses val="autoZero"/>
        <c:auto val="1"/>
        <c:lblAlgn val="ctr"/>
        <c:lblOffset val="100"/>
        <c:tickLblSkip val="4"/>
        <c:tickMarkSkip val="1"/>
      </c:catAx>
      <c:valAx>
        <c:axId val="1350638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061504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088384"/>
        <c:axId val="135123712"/>
      </c:lineChart>
      <c:catAx>
        <c:axId val="13508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123712"/>
        <c:crosses val="autoZero"/>
        <c:auto val="1"/>
        <c:lblAlgn val="ctr"/>
        <c:lblOffset val="100"/>
        <c:tickLblSkip val="4"/>
        <c:tickMarkSkip val="1"/>
      </c:catAx>
      <c:valAx>
        <c:axId val="1351237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088384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128576"/>
        <c:axId val="135150592"/>
      </c:lineChart>
      <c:catAx>
        <c:axId val="13512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150592"/>
        <c:crosses val="autoZero"/>
        <c:auto val="1"/>
        <c:lblAlgn val="ctr"/>
        <c:lblOffset val="100"/>
        <c:tickLblSkip val="4"/>
        <c:tickMarkSkip val="1"/>
      </c:catAx>
      <c:valAx>
        <c:axId val="1351505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12857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195648"/>
        <c:axId val="135345664"/>
      </c:lineChart>
      <c:catAx>
        <c:axId val="13519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345664"/>
        <c:crosses val="autoZero"/>
        <c:auto val="1"/>
        <c:lblAlgn val="ctr"/>
        <c:lblOffset val="100"/>
        <c:tickLblSkip val="4"/>
        <c:tickMarkSkip val="1"/>
      </c:catAx>
      <c:valAx>
        <c:axId val="1353456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195648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374336"/>
        <c:axId val="135266304"/>
      </c:lineChart>
      <c:catAx>
        <c:axId val="13537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266304"/>
        <c:crosses val="autoZero"/>
        <c:auto val="1"/>
        <c:lblAlgn val="ctr"/>
        <c:lblOffset val="100"/>
        <c:tickLblSkip val="4"/>
        <c:tickMarkSkip val="1"/>
      </c:catAx>
      <c:valAx>
        <c:axId val="1352663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37433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팔봉면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5300224"/>
        <c:axId val="135302144"/>
      </c:lineChart>
      <c:catAx>
        <c:axId val="13530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302144"/>
        <c:crosses val="autoZero"/>
        <c:auto val="1"/>
        <c:lblAlgn val="ctr"/>
        <c:lblOffset val="100"/>
        <c:tickLblSkip val="4"/>
        <c:tickMarkSkip val="1"/>
      </c:catAx>
      <c:valAx>
        <c:axId val="135302144"/>
        <c:scaling>
          <c:orientation val="minMax"/>
          <c:max val="7500"/>
          <c:min val="15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팔봉면인구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300224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지곡면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5475584"/>
        <c:axId val="135477504"/>
      </c:lineChart>
      <c:catAx>
        <c:axId val="13547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477504"/>
        <c:crosses val="autoZero"/>
        <c:auto val="1"/>
        <c:lblAlgn val="ctr"/>
        <c:lblOffset val="100"/>
        <c:tickLblSkip val="4"/>
        <c:tickMarkSkip val="1"/>
      </c:catAx>
      <c:valAx>
        <c:axId val="135477504"/>
        <c:scaling>
          <c:orientation val="minMax"/>
          <c:max val="9000"/>
          <c:min val="15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지곡면인구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475584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497984"/>
        <c:axId val="135398144"/>
      </c:lineChart>
      <c:catAx>
        <c:axId val="13549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398144"/>
        <c:crosses val="autoZero"/>
        <c:auto val="1"/>
        <c:lblAlgn val="ctr"/>
        <c:lblOffset val="100"/>
        <c:tickLblSkip val="4"/>
        <c:tickMarkSkip val="1"/>
      </c:catAx>
      <c:valAx>
        <c:axId val="1353981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497984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439872"/>
        <c:axId val="135441792"/>
      </c:lineChart>
      <c:catAx>
        <c:axId val="1354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441792"/>
        <c:crosses val="autoZero"/>
        <c:auto val="1"/>
        <c:lblAlgn val="ctr"/>
        <c:lblOffset val="100"/>
        <c:tickLblSkip val="4"/>
        <c:tickMarkSkip val="1"/>
      </c:catAx>
      <c:valAx>
        <c:axId val="1354417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439872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539712"/>
        <c:axId val="135579136"/>
      </c:lineChart>
      <c:catAx>
        <c:axId val="13553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579136"/>
        <c:crosses val="autoZero"/>
        <c:auto val="1"/>
        <c:lblAlgn val="ctr"/>
        <c:lblOffset val="100"/>
        <c:tickLblSkip val="4"/>
        <c:tickMarkSkip val="1"/>
      </c:catAx>
      <c:valAx>
        <c:axId val="1355791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539712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665152"/>
        <c:axId val="135696384"/>
      </c:lineChart>
      <c:catAx>
        <c:axId val="135665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696384"/>
        <c:crosses val="autoZero"/>
        <c:auto val="1"/>
        <c:lblAlgn val="ctr"/>
        <c:lblOffset val="100"/>
        <c:tickLblSkip val="4"/>
        <c:tickMarkSkip val="1"/>
      </c:catAx>
      <c:valAx>
        <c:axId val="1356963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665152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593984"/>
        <c:axId val="135596288"/>
      </c:lineChart>
      <c:catAx>
        <c:axId val="13559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596288"/>
        <c:crosses val="autoZero"/>
        <c:auto val="1"/>
        <c:lblAlgn val="ctr"/>
        <c:lblOffset val="100"/>
        <c:tickLblSkip val="4"/>
        <c:tickMarkSkip val="1"/>
      </c:catAx>
      <c:valAx>
        <c:axId val="1355962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593984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638016"/>
        <c:axId val="135656576"/>
      </c:lineChart>
      <c:catAx>
        <c:axId val="13563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656576"/>
        <c:crosses val="autoZero"/>
        <c:auto val="1"/>
        <c:lblAlgn val="ctr"/>
        <c:lblOffset val="100"/>
        <c:tickLblSkip val="4"/>
        <c:tickMarkSkip val="1"/>
      </c:catAx>
      <c:valAx>
        <c:axId val="1356565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63801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성연면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5755648"/>
        <c:axId val="135774208"/>
      </c:lineChart>
      <c:catAx>
        <c:axId val="13575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774208"/>
        <c:crosses val="autoZero"/>
        <c:auto val="1"/>
        <c:lblAlgn val="ctr"/>
        <c:lblOffset val="100"/>
        <c:tickLblSkip val="4"/>
        <c:tickMarkSkip val="1"/>
      </c:catAx>
      <c:valAx>
        <c:axId val="135774208"/>
        <c:scaling>
          <c:orientation val="minMax"/>
          <c:max val="6000"/>
          <c:min val="2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성연면인구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755648"/>
        <c:crosses val="autoZero"/>
        <c:crossBetween val="between"/>
        <c:maj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음암면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5820416"/>
        <c:axId val="135822336"/>
      </c:lineChart>
      <c:catAx>
        <c:axId val="13582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822336"/>
        <c:crosses val="autoZero"/>
        <c:auto val="1"/>
        <c:lblAlgn val="ctr"/>
        <c:lblOffset val="100"/>
        <c:tickLblSkip val="4"/>
        <c:tickMarkSkip val="1"/>
      </c:catAx>
      <c:valAx>
        <c:axId val="135822336"/>
        <c:scaling>
          <c:orientation val="minMax"/>
          <c:max val="15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음암면인구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820416"/>
        <c:crosses val="autoZero"/>
        <c:crossBetween val="between"/>
        <c:maj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838720"/>
        <c:axId val="135857664"/>
      </c:lineChart>
      <c:catAx>
        <c:axId val="13583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857664"/>
        <c:crosses val="autoZero"/>
        <c:auto val="1"/>
        <c:lblAlgn val="ctr"/>
        <c:lblOffset val="100"/>
        <c:tickLblSkip val="4"/>
        <c:tickMarkSkip val="1"/>
      </c:catAx>
      <c:valAx>
        <c:axId val="1358576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838720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898624"/>
        <c:axId val="135909376"/>
      </c:lineChart>
      <c:catAx>
        <c:axId val="13589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909376"/>
        <c:crosses val="autoZero"/>
        <c:auto val="1"/>
        <c:lblAlgn val="ctr"/>
        <c:lblOffset val="100"/>
        <c:tickLblSkip val="4"/>
        <c:tickMarkSkip val="1"/>
      </c:catAx>
      <c:valAx>
        <c:axId val="1359093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898624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5950336"/>
        <c:axId val="135952640"/>
      </c:lineChart>
      <c:catAx>
        <c:axId val="13595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952640"/>
        <c:crosses val="autoZero"/>
        <c:auto val="1"/>
        <c:lblAlgn val="ctr"/>
        <c:lblOffset val="100"/>
        <c:tickLblSkip val="4"/>
        <c:tickMarkSkip val="1"/>
      </c:catAx>
      <c:valAx>
        <c:axId val="13595264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950336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5969792"/>
        <c:axId val="137384704"/>
      </c:lineChart>
      <c:catAx>
        <c:axId val="135969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384704"/>
        <c:crosses val="autoZero"/>
        <c:auto val="1"/>
        <c:lblAlgn val="ctr"/>
        <c:lblOffset val="100"/>
        <c:tickLblSkip val="4"/>
        <c:tickMarkSkip val="1"/>
      </c:catAx>
      <c:valAx>
        <c:axId val="1373847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5969792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7413376"/>
        <c:axId val="137415680"/>
      </c:lineChart>
      <c:catAx>
        <c:axId val="13741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415680"/>
        <c:crosses val="autoZero"/>
        <c:auto val="1"/>
        <c:lblAlgn val="ctr"/>
        <c:lblOffset val="100"/>
        <c:tickLblSkip val="4"/>
        <c:tickMarkSkip val="1"/>
      </c:catAx>
      <c:valAx>
        <c:axId val="1374156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413376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7452544"/>
        <c:axId val="137475584"/>
      </c:lineChart>
      <c:catAx>
        <c:axId val="137452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475584"/>
        <c:crosses val="autoZero"/>
        <c:auto val="1"/>
        <c:lblAlgn val="ctr"/>
        <c:lblOffset val="100"/>
        <c:tickLblSkip val="4"/>
        <c:tickMarkSkip val="1"/>
      </c:catAx>
      <c:valAx>
        <c:axId val="1374755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452544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운산면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6010752"/>
        <c:axId val="136033408"/>
      </c:lineChart>
      <c:catAx>
        <c:axId val="136010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6033408"/>
        <c:crosses val="autoZero"/>
        <c:auto val="1"/>
        <c:lblAlgn val="ctr"/>
        <c:lblOffset val="100"/>
        <c:tickLblSkip val="4"/>
        <c:tickMarkSkip val="1"/>
      </c:catAx>
      <c:valAx>
        <c:axId val="136033408"/>
        <c:scaling>
          <c:orientation val="minMax"/>
          <c:max val="12000"/>
          <c:min val="3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운산면인구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6010752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해미면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36050944"/>
        <c:axId val="137593216"/>
      </c:lineChart>
      <c:catAx>
        <c:axId val="13605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593216"/>
        <c:crosses val="autoZero"/>
        <c:auto val="1"/>
        <c:lblAlgn val="ctr"/>
        <c:lblOffset val="100"/>
        <c:tickLblSkip val="4"/>
        <c:tickMarkSkip val="1"/>
      </c:catAx>
      <c:valAx>
        <c:axId val="137593216"/>
        <c:scaling>
          <c:orientation val="minMax"/>
          <c:max val="16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해미면인구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6050944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7638272"/>
        <c:axId val="137640576"/>
      </c:lineChart>
      <c:catAx>
        <c:axId val="13763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640576"/>
        <c:crosses val="autoZero"/>
        <c:auto val="1"/>
        <c:lblAlgn val="ctr"/>
        <c:lblOffset val="100"/>
        <c:tickLblSkip val="4"/>
        <c:tickMarkSkip val="1"/>
      </c:catAx>
      <c:valAx>
        <c:axId val="1376405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638272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37661056"/>
        <c:axId val="137671808"/>
      </c:lineChart>
      <c:catAx>
        <c:axId val="13766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671808"/>
        <c:crosses val="autoZero"/>
        <c:auto val="1"/>
        <c:lblAlgn val="ctr"/>
        <c:lblOffset val="100"/>
        <c:tickLblSkip val="4"/>
        <c:tickMarkSkip val="1"/>
      </c:catAx>
      <c:valAx>
        <c:axId val="1376718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766105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39920512"/>
        <c:axId val="139922816"/>
      </c:lineChart>
      <c:catAx>
        <c:axId val="13992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9922816"/>
        <c:crosses val="autoZero"/>
        <c:auto val="1"/>
        <c:lblAlgn val="ctr"/>
        <c:lblOffset val="100"/>
        <c:tickLblSkip val="4"/>
        <c:tickMarkSkip val="1"/>
      </c:catAx>
      <c:valAx>
        <c:axId val="13992281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9920512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053888"/>
        <c:axId val="140072832"/>
      </c:lineChart>
      <c:catAx>
        <c:axId val="140053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072832"/>
        <c:crosses val="autoZero"/>
        <c:auto val="1"/>
        <c:lblAlgn val="ctr"/>
        <c:lblOffset val="100"/>
        <c:tickLblSkip val="4"/>
        <c:tickMarkSkip val="1"/>
      </c:catAx>
      <c:valAx>
        <c:axId val="1400728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053888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125696"/>
        <c:axId val="140132352"/>
      </c:lineChart>
      <c:catAx>
        <c:axId val="14012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132352"/>
        <c:crosses val="autoZero"/>
        <c:auto val="1"/>
        <c:lblAlgn val="ctr"/>
        <c:lblOffset val="100"/>
        <c:tickLblSkip val="4"/>
        <c:tickMarkSkip val="1"/>
      </c:catAx>
      <c:valAx>
        <c:axId val="14013235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125696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141312"/>
        <c:axId val="140143616"/>
      </c:lineChart>
      <c:catAx>
        <c:axId val="14014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143616"/>
        <c:crosses val="autoZero"/>
        <c:auto val="1"/>
        <c:lblAlgn val="ctr"/>
        <c:lblOffset val="100"/>
        <c:tickLblSkip val="4"/>
        <c:tickMarkSkip val="1"/>
      </c:catAx>
      <c:valAx>
        <c:axId val="14014361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141312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고북면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40018048"/>
        <c:axId val="140019968"/>
      </c:lineChart>
      <c:catAx>
        <c:axId val="14001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019968"/>
        <c:crosses val="autoZero"/>
        <c:auto val="1"/>
        <c:lblAlgn val="ctr"/>
        <c:lblOffset val="100"/>
        <c:tickLblSkip val="4"/>
        <c:tickMarkSkip val="1"/>
      </c:catAx>
      <c:valAx>
        <c:axId val="140019968"/>
        <c:scaling>
          <c:orientation val="minMax"/>
          <c:max val="12000"/>
          <c:min val="3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고북면인구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018048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해미면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40258688"/>
        <c:axId val="140269056"/>
      </c:lineChart>
      <c:catAx>
        <c:axId val="14025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269056"/>
        <c:crosses val="autoZero"/>
        <c:auto val="1"/>
        <c:lblAlgn val="ctr"/>
        <c:lblOffset val="100"/>
        <c:tickLblSkip val="4"/>
        <c:tickMarkSkip val="1"/>
      </c:catAx>
      <c:valAx>
        <c:axId val="140269056"/>
        <c:scaling>
          <c:orientation val="minMax"/>
          <c:max val="225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해미면인구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258688"/>
        <c:crosses val="autoZero"/>
        <c:crossBetween val="between"/>
        <c:maj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293632"/>
        <c:axId val="140189696"/>
      </c:lineChart>
      <c:catAx>
        <c:axId val="14029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189696"/>
        <c:crosses val="autoZero"/>
        <c:auto val="1"/>
        <c:lblAlgn val="ctr"/>
        <c:lblOffset val="100"/>
        <c:tickLblSkip val="4"/>
        <c:tickMarkSkip val="1"/>
      </c:catAx>
      <c:valAx>
        <c:axId val="1401896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293632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224000"/>
        <c:axId val="140225920"/>
      </c:lineChart>
      <c:catAx>
        <c:axId val="14022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225920"/>
        <c:crosses val="autoZero"/>
        <c:auto val="1"/>
        <c:lblAlgn val="ctr"/>
        <c:lblOffset val="100"/>
        <c:tickLblSkip val="4"/>
        <c:tickMarkSkip val="1"/>
      </c:catAx>
      <c:valAx>
        <c:axId val="1402259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224000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350208"/>
        <c:axId val="140352512"/>
      </c:lineChart>
      <c:catAx>
        <c:axId val="14035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352512"/>
        <c:crosses val="autoZero"/>
        <c:auto val="1"/>
        <c:lblAlgn val="ctr"/>
        <c:lblOffset val="100"/>
        <c:tickLblSkip val="4"/>
        <c:tickMarkSkip val="1"/>
      </c:catAx>
      <c:valAx>
        <c:axId val="1403525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350208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378112"/>
        <c:axId val="140400128"/>
      </c:lineChart>
      <c:catAx>
        <c:axId val="14037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400128"/>
        <c:crosses val="autoZero"/>
        <c:auto val="1"/>
        <c:lblAlgn val="ctr"/>
        <c:lblOffset val="100"/>
        <c:tickLblSkip val="4"/>
        <c:tickMarkSkip val="1"/>
      </c:catAx>
      <c:valAx>
        <c:axId val="14040012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378112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424704"/>
        <c:axId val="140521472"/>
      </c:lineChart>
      <c:catAx>
        <c:axId val="14042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21472"/>
        <c:crosses val="autoZero"/>
        <c:auto val="1"/>
        <c:lblAlgn val="ctr"/>
        <c:lblOffset val="100"/>
        <c:tickLblSkip val="4"/>
        <c:tickMarkSkip val="1"/>
      </c:catAx>
      <c:valAx>
        <c:axId val="14052147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424704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566528"/>
        <c:axId val="140568832"/>
      </c:lineChart>
      <c:catAx>
        <c:axId val="14056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68832"/>
        <c:crosses val="autoZero"/>
        <c:auto val="1"/>
        <c:lblAlgn val="ctr"/>
        <c:lblOffset val="100"/>
        <c:tickLblSkip val="4"/>
        <c:tickMarkSkip val="1"/>
      </c:catAx>
      <c:valAx>
        <c:axId val="1405688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66528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동문동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40454912"/>
        <c:axId val="140485760"/>
      </c:lineChart>
      <c:catAx>
        <c:axId val="14045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485760"/>
        <c:crosses val="autoZero"/>
        <c:auto val="1"/>
        <c:lblAlgn val="ctr"/>
        <c:lblOffset val="100"/>
        <c:tickLblSkip val="4"/>
        <c:tickMarkSkip val="1"/>
      </c:catAx>
      <c:valAx>
        <c:axId val="140485760"/>
        <c:scaling>
          <c:orientation val="minMax"/>
          <c:max val="19000"/>
          <c:min val="13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동문동인구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454912"/>
        <c:crosses val="autoZero"/>
        <c:crossBetween val="between"/>
        <c:maj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활성동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40503296"/>
        <c:axId val="140657024"/>
      </c:lineChart>
      <c:catAx>
        <c:axId val="14050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657024"/>
        <c:crosses val="autoZero"/>
        <c:auto val="1"/>
        <c:lblAlgn val="ctr"/>
        <c:lblOffset val="100"/>
        <c:tickLblSkip val="4"/>
        <c:tickMarkSkip val="1"/>
      </c:catAx>
      <c:valAx>
        <c:axId val="140657024"/>
        <c:scaling>
          <c:orientation val="minMax"/>
          <c:max val="125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활성동인구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03296"/>
        <c:crosses val="autoZero"/>
        <c:crossBetween val="between"/>
        <c:majorUnit val="1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583296"/>
        <c:axId val="140585600"/>
      </c:lineChart>
      <c:catAx>
        <c:axId val="14058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85600"/>
        <c:crosses val="autoZero"/>
        <c:auto val="1"/>
        <c:lblAlgn val="ctr"/>
        <c:lblOffset val="100"/>
        <c:tickLblSkip val="4"/>
        <c:tickMarkSkip val="1"/>
      </c:catAx>
      <c:valAx>
        <c:axId val="1405856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583296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606080"/>
        <c:axId val="140772480"/>
      </c:lineChart>
      <c:catAx>
        <c:axId val="14060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772480"/>
        <c:crosses val="autoZero"/>
        <c:auto val="1"/>
        <c:lblAlgn val="ctr"/>
        <c:lblOffset val="100"/>
        <c:tickLblSkip val="4"/>
        <c:tickMarkSkip val="1"/>
      </c:catAx>
      <c:valAx>
        <c:axId val="1407724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606080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0784768"/>
        <c:axId val="140787072"/>
      </c:lineChart>
      <c:catAx>
        <c:axId val="14078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787072"/>
        <c:crosses val="autoZero"/>
        <c:auto val="1"/>
        <c:lblAlgn val="ctr"/>
        <c:lblOffset val="100"/>
        <c:tickLblSkip val="4"/>
        <c:tickMarkSkip val="1"/>
      </c:catAx>
      <c:valAx>
        <c:axId val="14078707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784768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832128"/>
        <c:axId val="141506432"/>
      </c:lineChart>
      <c:catAx>
        <c:axId val="14083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1506432"/>
        <c:crosses val="autoZero"/>
        <c:auto val="1"/>
        <c:lblAlgn val="ctr"/>
        <c:lblOffset val="100"/>
        <c:tickLblSkip val="4"/>
        <c:tickMarkSkip val="1"/>
      </c:catAx>
      <c:valAx>
        <c:axId val="1415064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832128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41534720"/>
        <c:axId val="140840960"/>
      </c:lineChart>
      <c:catAx>
        <c:axId val="14153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840960"/>
        <c:crosses val="autoZero"/>
        <c:auto val="1"/>
        <c:lblAlgn val="ctr"/>
        <c:lblOffset val="100"/>
        <c:tickLblSkip val="4"/>
        <c:tickMarkSkip val="1"/>
      </c:catAx>
      <c:valAx>
        <c:axId val="14084096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1534720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40881920"/>
        <c:axId val="140884224"/>
      </c:lineChart>
      <c:catAx>
        <c:axId val="14088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884224"/>
        <c:crosses val="autoZero"/>
        <c:auto val="1"/>
        <c:lblAlgn val="ctr"/>
        <c:lblOffset val="100"/>
        <c:tickLblSkip val="4"/>
        <c:tickMarkSkip val="1"/>
      </c:catAx>
      <c:valAx>
        <c:axId val="14088422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0881920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수석동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50089088"/>
        <c:axId val="150111744"/>
      </c:lineChart>
      <c:catAx>
        <c:axId val="15008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111744"/>
        <c:crosses val="autoZero"/>
        <c:auto val="1"/>
        <c:lblAlgn val="ctr"/>
        <c:lblOffset val="100"/>
        <c:tickLblSkip val="4"/>
        <c:tickMarkSkip val="1"/>
      </c:catAx>
      <c:valAx>
        <c:axId val="150111744"/>
        <c:scaling>
          <c:orientation val="minMax"/>
          <c:max val="20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수석동인구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089088"/>
        <c:crosses val="autoZero"/>
        <c:crossBetween val="between"/>
        <c:maj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석남동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</c:ser>
        <c:marker val="1"/>
        <c:axId val="150133376"/>
        <c:axId val="150172416"/>
      </c:lineChart>
      <c:catAx>
        <c:axId val="1501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172416"/>
        <c:crosses val="autoZero"/>
        <c:auto val="1"/>
        <c:lblAlgn val="ctr"/>
        <c:lblOffset val="100"/>
        <c:tickLblSkip val="4"/>
        <c:tickMarkSkip val="1"/>
      </c:catAx>
      <c:valAx>
        <c:axId val="150172416"/>
        <c:scaling>
          <c:orientation val="minMax"/>
          <c:max val="20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석남동인구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133376"/>
        <c:crosses val="autoZero"/>
        <c:crossBetween val="between"/>
        <c:maj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50177280"/>
        <c:axId val="150187008"/>
      </c:lineChart>
      <c:catAx>
        <c:axId val="15017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187008"/>
        <c:crosses val="autoZero"/>
        <c:auto val="1"/>
        <c:lblAlgn val="ctr"/>
        <c:lblOffset val="100"/>
        <c:tickLblSkip val="4"/>
        <c:tickMarkSkip val="1"/>
      </c:catAx>
      <c:valAx>
        <c:axId val="1501870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177280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50043648"/>
        <c:axId val="150214144"/>
      </c:lineChart>
      <c:catAx>
        <c:axId val="15004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214144"/>
        <c:crosses val="autoZero"/>
        <c:auto val="1"/>
        <c:lblAlgn val="ctr"/>
        <c:lblOffset val="100"/>
        <c:tickLblSkip val="4"/>
        <c:tickMarkSkip val="1"/>
      </c:catAx>
      <c:valAx>
        <c:axId val="1502141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043648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50238720"/>
        <c:axId val="150269952"/>
      </c:lineChart>
      <c:catAx>
        <c:axId val="15023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269952"/>
        <c:crosses val="autoZero"/>
        <c:auto val="1"/>
        <c:lblAlgn val="ctr"/>
        <c:lblOffset val="100"/>
        <c:tickLblSkip val="4"/>
        <c:tickMarkSkip val="1"/>
      </c:catAx>
      <c:valAx>
        <c:axId val="15026995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238720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50281216"/>
        <c:axId val="150304256"/>
      </c:lineChart>
      <c:catAx>
        <c:axId val="15028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304256"/>
        <c:crosses val="autoZero"/>
        <c:auto val="1"/>
        <c:lblAlgn val="ctr"/>
        <c:lblOffset val="100"/>
        <c:tickLblSkip val="4"/>
        <c:tickMarkSkip val="1"/>
      </c:catAx>
      <c:valAx>
        <c:axId val="1503042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28121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서산시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'1.2인구분석'!$E$2:$E$4</c:f>
              <c:strCache>
                <c:ptCount val="1"/>
                <c:pt idx="0">
                  <c:v>천안시 전체 10년 인구변화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'1.2인구분석'!$A$5:$A$14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'1.2인구분석'!$E$5:$E$14</c:f>
              <c:numCache>
                <c:formatCode>_-* #,##0_-;\-* #,##0_-;_-* "-"_-;_-@_-</c:formatCode>
                <c:ptCount val="10"/>
                <c:pt idx="0">
                  <c:v>386517</c:v>
                </c:pt>
                <c:pt idx="1">
                  <c:v>406052</c:v>
                </c:pt>
                <c:pt idx="2">
                  <c:v>425135</c:v>
                </c:pt>
                <c:pt idx="3">
                  <c:v>436708</c:v>
                </c:pt>
                <c:pt idx="4">
                  <c:v>445485</c:v>
                </c:pt>
                <c:pt idx="5">
                  <c:v>462714</c:v>
                </c:pt>
                <c:pt idx="6">
                  <c:v>509744</c:v>
                </c:pt>
                <c:pt idx="7">
                  <c:v>518818</c:v>
                </c:pt>
                <c:pt idx="8">
                  <c:v>531193</c:v>
                </c:pt>
                <c:pt idx="9">
                  <c:v>540742</c:v>
                </c:pt>
              </c:numCache>
            </c:numRef>
          </c:val>
        </c:ser>
        <c:marker val="1"/>
        <c:axId val="150341120"/>
        <c:axId val="150347776"/>
      </c:lineChart>
      <c:catAx>
        <c:axId val="15034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347776"/>
        <c:crosses val="autoZero"/>
        <c:auto val="1"/>
        <c:lblAlgn val="ctr"/>
        <c:lblOffset val="100"/>
        <c:tickLblSkip val="4"/>
        <c:tickMarkSkip val="1"/>
      </c:catAx>
      <c:valAx>
        <c:axId val="1503477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서산시인구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341120"/>
        <c:crosses val="autoZero"/>
        <c:crossBetween val="between"/>
        <c:majorUnit val="9441.0918000000001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대산읍 인구변화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'1.2인구분석'!$E$87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'1.2인구분석'!$A$89:$A$98</c:f>
              <c:numCache>
                <c:formatCode>#"년"</c:formatCode>
                <c:ptCount val="10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</c:numCache>
            </c:numRef>
          </c:cat>
          <c:val>
            <c:numRef>
              <c:f>'1.2인구분석'!$E$89:$E$98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11781</c:v>
                </c:pt>
                <c:pt idx="2">
                  <c:v>12113</c:v>
                </c:pt>
                <c:pt idx="3">
                  <c:v>12983</c:v>
                </c:pt>
                <c:pt idx="4">
                  <c:v>13054</c:v>
                </c:pt>
                <c:pt idx="5">
                  <c:v>12916</c:v>
                </c:pt>
                <c:pt idx="6">
                  <c:v>13080</c:v>
                </c:pt>
                <c:pt idx="7">
                  <c:v>13611</c:v>
                </c:pt>
                <c:pt idx="8">
                  <c:v>12899</c:v>
                </c:pt>
                <c:pt idx="9">
                  <c:v>12623</c:v>
                </c:pt>
              </c:numCache>
            </c:numRef>
          </c:val>
        </c:ser>
        <c:marker val="1"/>
        <c:axId val="150367616"/>
        <c:axId val="150382464"/>
      </c:lineChart>
      <c:catAx>
        <c:axId val="15036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382464"/>
        <c:crosses val="autoZero"/>
        <c:auto val="1"/>
        <c:lblAlgn val="ctr"/>
        <c:lblOffset val="100"/>
        <c:tickLblSkip val="4"/>
        <c:tickMarkSkip val="1"/>
      </c:catAx>
      <c:valAx>
        <c:axId val="1503824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대산읍인구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367616"/>
        <c:crosses val="autoZero"/>
        <c:crossBetween val="between"/>
        <c:maj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</c:legendEntry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성환읍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33555503990957"/>
          <c:y val="0.10882368569578024"/>
          <c:w val="0.77551130806890001"/>
          <c:h val="0.68823628250844804"/>
        </c:manualLayout>
      </c:layout>
      <c:lineChart>
        <c:grouping val="standard"/>
        <c:ser>
          <c:idx val="1"/>
          <c:order val="0"/>
          <c:tx>
            <c:strRef>
              <c:f>'1.2인구분석'!$B$19</c:f>
              <c:strCache>
                <c:ptCount val="1"/>
                <c:pt idx="0">
                  <c:v> 성환읍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'1.2인구분석'!$A$22:$A$31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'1.2인구분석'!$E$22:$E$31</c:f>
              <c:numCache>
                <c:formatCode>_-* #,##0_-;\-* #,##0_-;_-* "-"_-;_-@_-</c:formatCode>
                <c:ptCount val="10"/>
                <c:pt idx="0">
                  <c:v>27049</c:v>
                </c:pt>
                <c:pt idx="1">
                  <c:v>28119</c:v>
                </c:pt>
                <c:pt idx="2">
                  <c:v>27899</c:v>
                </c:pt>
                <c:pt idx="3">
                  <c:v>29614</c:v>
                </c:pt>
                <c:pt idx="4">
                  <c:v>29474</c:v>
                </c:pt>
                <c:pt idx="5">
                  <c:v>29563</c:v>
                </c:pt>
                <c:pt idx="6">
                  <c:v>30906</c:v>
                </c:pt>
                <c:pt idx="7">
                  <c:v>30696</c:v>
                </c:pt>
                <c:pt idx="8">
                  <c:v>30656</c:v>
                </c:pt>
                <c:pt idx="9">
                  <c:v>30579</c:v>
                </c:pt>
              </c:numCache>
            </c:numRef>
          </c:val>
        </c:ser>
        <c:marker val="1"/>
        <c:axId val="150480768"/>
        <c:axId val="150495232"/>
      </c:lineChart>
      <c:catAx>
        <c:axId val="15048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764829396326781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95232"/>
        <c:crossesAt val="20000"/>
        <c:auto val="1"/>
        <c:lblAlgn val="ctr"/>
        <c:lblOffset val="100"/>
        <c:tickLblSkip val="4"/>
        <c:tickMarkSkip val="1"/>
      </c:catAx>
      <c:valAx>
        <c:axId val="150495232"/>
        <c:scaling>
          <c:orientation val="minMax"/>
          <c:max val="35000"/>
          <c:min val="2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80768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성거읍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33555503990957"/>
          <c:y val="0.10882368569578024"/>
          <c:w val="0.77551130806890001"/>
          <c:h val="0.68529510181396747"/>
        </c:manualLayout>
      </c:layout>
      <c:lineChart>
        <c:grouping val="standard"/>
        <c:ser>
          <c:idx val="1"/>
          <c:order val="0"/>
          <c:tx>
            <c:strRef>
              <c:f>'1.2인구분석'!$B$36</c:f>
              <c:strCache>
                <c:ptCount val="1"/>
                <c:pt idx="0">
                  <c:v> 성거읍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'1.2인구분석'!$A$39:$A$48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'1.2인구분석'!$E$39:$E$48</c:f>
              <c:numCache>
                <c:formatCode>_-* #,##0_-;\-* #,##0_-;_-* "-"_-;_-@_-</c:formatCode>
                <c:ptCount val="10"/>
                <c:pt idx="0">
                  <c:v>14115</c:v>
                </c:pt>
                <c:pt idx="1">
                  <c:v>15395</c:v>
                </c:pt>
                <c:pt idx="2">
                  <c:v>16666</c:v>
                </c:pt>
                <c:pt idx="3">
                  <c:v>17111</c:v>
                </c:pt>
                <c:pt idx="4">
                  <c:v>17370</c:v>
                </c:pt>
                <c:pt idx="5">
                  <c:v>18437</c:v>
                </c:pt>
                <c:pt idx="6">
                  <c:v>19816</c:v>
                </c:pt>
                <c:pt idx="7">
                  <c:v>20108</c:v>
                </c:pt>
                <c:pt idx="8">
                  <c:v>21841</c:v>
                </c:pt>
                <c:pt idx="9">
                  <c:v>22151</c:v>
                </c:pt>
              </c:numCache>
            </c:numRef>
          </c:val>
        </c:ser>
        <c:marker val="1"/>
        <c:axId val="150417408"/>
        <c:axId val="150419328"/>
      </c:lineChart>
      <c:catAx>
        <c:axId val="15041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19328"/>
        <c:crossesAt val="10000"/>
        <c:auto val="1"/>
        <c:lblAlgn val="ctr"/>
        <c:lblOffset val="100"/>
        <c:tickLblSkip val="4"/>
        <c:tickMarkSkip val="1"/>
      </c:catAx>
      <c:valAx>
        <c:axId val="150419328"/>
        <c:scaling>
          <c:orientation val="minMax"/>
          <c:max val="250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17408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직산읍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33555503990957"/>
          <c:y val="0.10882368569578024"/>
          <c:w val="0.77551130806890001"/>
          <c:h val="0.68529510181396747"/>
        </c:manualLayout>
      </c:layout>
      <c:lineChart>
        <c:grouping val="standard"/>
        <c:ser>
          <c:idx val="1"/>
          <c:order val="0"/>
          <c:tx>
            <c:strRef>
              <c:f>'1.2인구분석'!$B$53</c:f>
              <c:strCache>
                <c:ptCount val="1"/>
                <c:pt idx="0">
                  <c:v> 직산읍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'1.2인구분석'!$A$56:$A$65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'1.2인구분석'!$E$56:$E$65</c:f>
              <c:numCache>
                <c:formatCode>_-* #,##0_-;\-* #,##0_-;_-* "-"_-;_-@_-</c:formatCode>
                <c:ptCount val="10"/>
                <c:pt idx="0">
                  <c:v>21655</c:v>
                </c:pt>
                <c:pt idx="1">
                  <c:v>23083</c:v>
                </c:pt>
                <c:pt idx="2">
                  <c:v>24102</c:v>
                </c:pt>
                <c:pt idx="3">
                  <c:v>24189</c:v>
                </c:pt>
                <c:pt idx="4">
                  <c:v>24101</c:v>
                </c:pt>
                <c:pt idx="5">
                  <c:v>23772</c:v>
                </c:pt>
                <c:pt idx="6">
                  <c:v>24340</c:v>
                </c:pt>
                <c:pt idx="7">
                  <c:v>24381</c:v>
                </c:pt>
                <c:pt idx="8">
                  <c:v>24761</c:v>
                </c:pt>
                <c:pt idx="9">
                  <c:v>24712</c:v>
                </c:pt>
              </c:numCache>
            </c:numRef>
          </c:val>
        </c:ser>
        <c:marker val="1"/>
        <c:axId val="150460288"/>
        <c:axId val="150462464"/>
      </c:lineChart>
      <c:catAx>
        <c:axId val="15046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62464"/>
        <c:crossesAt val="15000"/>
        <c:auto val="1"/>
        <c:lblAlgn val="ctr"/>
        <c:lblOffset val="100"/>
        <c:tickLblSkip val="4"/>
        <c:tickMarkSkip val="1"/>
      </c:catAx>
      <c:valAx>
        <c:axId val="150462464"/>
        <c:scaling>
          <c:orientation val="minMax"/>
          <c:max val="30000"/>
          <c:min val="1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460288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목천읍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90001"/>
          <c:h val="0.68823628250844804"/>
        </c:manualLayout>
      </c:layout>
      <c:lineChart>
        <c:grouping val="standard"/>
        <c:ser>
          <c:idx val="1"/>
          <c:order val="0"/>
          <c:tx>
            <c:strRef>
              <c:f>'1.2인구분석'!$B$70</c:f>
              <c:strCache>
                <c:ptCount val="1"/>
                <c:pt idx="0">
                  <c:v> 목천읍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'1.2인구분석'!$A$73:$A$82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'1.2인구분석'!$E$73:$E$82</c:f>
              <c:numCache>
                <c:formatCode>_-* #,##0_-;\-* #,##0_-;_-* "-"_-;_-@_-</c:formatCode>
                <c:ptCount val="10"/>
                <c:pt idx="0">
                  <c:v>12648</c:v>
                </c:pt>
                <c:pt idx="1">
                  <c:v>14276</c:v>
                </c:pt>
                <c:pt idx="2">
                  <c:v>21074</c:v>
                </c:pt>
                <c:pt idx="3">
                  <c:v>23483</c:v>
                </c:pt>
                <c:pt idx="4">
                  <c:v>24007</c:v>
                </c:pt>
                <c:pt idx="5">
                  <c:v>24460</c:v>
                </c:pt>
                <c:pt idx="6">
                  <c:v>25381</c:v>
                </c:pt>
                <c:pt idx="7">
                  <c:v>27989</c:v>
                </c:pt>
                <c:pt idx="8">
                  <c:v>28523</c:v>
                </c:pt>
                <c:pt idx="9">
                  <c:v>27861</c:v>
                </c:pt>
              </c:numCache>
            </c:numRef>
          </c:val>
        </c:ser>
        <c:marker val="1"/>
        <c:axId val="133582848"/>
        <c:axId val="133584768"/>
      </c:lineChart>
      <c:catAx>
        <c:axId val="1335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584768"/>
        <c:crossesAt val="5000"/>
        <c:auto val="1"/>
        <c:lblAlgn val="ctr"/>
        <c:lblOffset val="100"/>
        <c:tickLblSkip val="4"/>
        <c:tickMarkSkip val="1"/>
      </c:catAx>
      <c:valAx>
        <c:axId val="133584768"/>
        <c:scaling>
          <c:orientation val="minMax"/>
          <c:max val="35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582848"/>
        <c:crosses val="autoZero"/>
        <c:crossBetween val="between"/>
        <c:majorUnit val="50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입장면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90001"/>
          <c:h val="0.68823628250844804"/>
        </c:manualLayout>
      </c:layout>
      <c:lineChart>
        <c:grouping val="standard"/>
        <c:ser>
          <c:idx val="1"/>
          <c:order val="0"/>
          <c:tx>
            <c:strRef>
              <c:f>'1.2인구분석'!$B$87</c:f>
              <c:strCache>
                <c:ptCount val="1"/>
                <c:pt idx="0">
                  <c:v> 입장면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'1.2인구분석'!$A$90:$A$99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'1.2인구분석'!$E$90:$E$99</c:f>
              <c:numCache>
                <c:formatCode>_-* #,##0_-;\-* #,##0_-;_-* "-"_-;_-@_-</c:formatCode>
                <c:ptCount val="10"/>
                <c:pt idx="0">
                  <c:v>11781</c:v>
                </c:pt>
                <c:pt idx="1">
                  <c:v>12113</c:v>
                </c:pt>
                <c:pt idx="2">
                  <c:v>12983</c:v>
                </c:pt>
                <c:pt idx="3">
                  <c:v>13054</c:v>
                </c:pt>
                <c:pt idx="4">
                  <c:v>12916</c:v>
                </c:pt>
                <c:pt idx="5">
                  <c:v>13080</c:v>
                </c:pt>
                <c:pt idx="6">
                  <c:v>13611</c:v>
                </c:pt>
                <c:pt idx="7">
                  <c:v>12899</c:v>
                </c:pt>
                <c:pt idx="8">
                  <c:v>12623</c:v>
                </c:pt>
                <c:pt idx="9">
                  <c:v>12375</c:v>
                </c:pt>
              </c:numCache>
            </c:numRef>
          </c:val>
        </c:ser>
        <c:marker val="1"/>
        <c:axId val="133617536"/>
        <c:axId val="150556672"/>
      </c:lineChart>
      <c:catAx>
        <c:axId val="13361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556672"/>
        <c:crossesAt val="5000"/>
        <c:auto val="1"/>
        <c:lblAlgn val="ctr"/>
        <c:lblOffset val="100"/>
        <c:tickLblSkip val="4"/>
        <c:tickMarkSkip val="1"/>
      </c:catAx>
      <c:valAx>
        <c:axId val="150556672"/>
        <c:scaling>
          <c:orientation val="minMax"/>
          <c:max val="150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minorGridlines/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33617536"/>
        <c:crosses val="autoZero"/>
        <c:crossBetween val="between"/>
        <c:majorUnit val="1000"/>
        <c:min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풍세면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84281876767891"/>
          <c:y val="0.1058825050013"/>
          <c:w val="0.7930040443411257"/>
          <c:h val="0.68823628250844804"/>
        </c:manualLayout>
      </c:layout>
      <c:lineChart>
        <c:grouping val="standard"/>
        <c:ser>
          <c:idx val="1"/>
          <c:order val="0"/>
          <c:tx>
            <c:strRef>
              <c:f>'1.2인구분석'!$B$104:$L$104</c:f>
              <c:strCache>
                <c:ptCount val="1"/>
                <c:pt idx="0">
                  <c:v> 풍세면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'1.2인구분석'!$A$107:$A$116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'1.2인구분석'!$E$107:$E$116</c:f>
              <c:numCache>
                <c:formatCode>_-* #,##0_-;\-* #,##0_-;_-* "-"_-;_-@_-</c:formatCode>
                <c:ptCount val="10"/>
                <c:pt idx="0">
                  <c:v>5805</c:v>
                </c:pt>
                <c:pt idx="1">
                  <c:v>5753</c:v>
                </c:pt>
                <c:pt idx="2">
                  <c:v>5598</c:v>
                </c:pt>
                <c:pt idx="3">
                  <c:v>5489</c:v>
                </c:pt>
                <c:pt idx="4">
                  <c:v>5325</c:v>
                </c:pt>
                <c:pt idx="5">
                  <c:v>5268</c:v>
                </c:pt>
                <c:pt idx="6">
                  <c:v>5582</c:v>
                </c:pt>
                <c:pt idx="7">
                  <c:v>5309</c:v>
                </c:pt>
                <c:pt idx="8">
                  <c:v>5236</c:v>
                </c:pt>
                <c:pt idx="9">
                  <c:v>5181</c:v>
                </c:pt>
              </c:numCache>
            </c:numRef>
          </c:val>
        </c:ser>
        <c:marker val="1"/>
        <c:axId val="150585344"/>
        <c:axId val="150587264"/>
      </c:lineChart>
      <c:catAx>
        <c:axId val="15058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587264"/>
        <c:crossesAt val="4000"/>
        <c:auto val="1"/>
        <c:lblAlgn val="ctr"/>
        <c:lblOffset val="100"/>
        <c:tickLblSkip val="4"/>
        <c:tickMarkSkip val="1"/>
      </c:catAx>
      <c:valAx>
        <c:axId val="150587264"/>
        <c:scaling>
          <c:orientation val="minMax"/>
          <c:max val="7500"/>
          <c:min val="4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585344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광덕면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84281876767891"/>
          <c:y val="0.1058825050013"/>
          <c:w val="0.7930040443411257"/>
          <c:h val="0.68823628250844804"/>
        </c:manualLayout>
      </c:layout>
      <c:lineChart>
        <c:grouping val="standard"/>
        <c:ser>
          <c:idx val="1"/>
          <c:order val="0"/>
          <c:tx>
            <c:strRef>
              <c:f>'1.2인구분석'!$B$121</c:f>
              <c:strCache>
                <c:ptCount val="1"/>
                <c:pt idx="0">
                  <c:v> 광덕면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'1.2인구분석'!$A$124:$A$133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'1.2인구분석'!$E$124:$E$133</c:f>
              <c:numCache>
                <c:formatCode>_-* #,##0_-;\-* #,##0_-;_-* "-"_-;_-@_-</c:formatCode>
                <c:ptCount val="10"/>
                <c:pt idx="0">
                  <c:v>4789</c:v>
                </c:pt>
                <c:pt idx="1">
                  <c:v>4751</c:v>
                </c:pt>
                <c:pt idx="2">
                  <c:v>4674</c:v>
                </c:pt>
                <c:pt idx="3">
                  <c:v>4582</c:v>
                </c:pt>
                <c:pt idx="4">
                  <c:v>4537</c:v>
                </c:pt>
                <c:pt idx="5">
                  <c:v>4560</c:v>
                </c:pt>
                <c:pt idx="6">
                  <c:v>4848</c:v>
                </c:pt>
                <c:pt idx="7">
                  <c:v>4711</c:v>
                </c:pt>
                <c:pt idx="8">
                  <c:v>4691</c:v>
                </c:pt>
                <c:pt idx="9">
                  <c:v>4658</c:v>
                </c:pt>
              </c:numCache>
            </c:numRef>
          </c:val>
        </c:ser>
        <c:marker val="1"/>
        <c:axId val="150689664"/>
        <c:axId val="150708224"/>
      </c:lineChart>
      <c:catAx>
        <c:axId val="15068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4707117492666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708224"/>
        <c:crossesAt val="3500"/>
        <c:auto val="1"/>
        <c:lblAlgn val="ctr"/>
        <c:lblOffset val="100"/>
        <c:tickLblSkip val="4"/>
        <c:tickMarkSkip val="1"/>
      </c:catAx>
      <c:valAx>
        <c:axId val="150708224"/>
        <c:scaling>
          <c:orientation val="minMax"/>
          <c:max val="6000"/>
          <c:min val="35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689664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북면 인구변화</a:t>
            </a:r>
          </a:p>
        </c:rich>
      </c:tx>
      <c:layout>
        <c:manualLayout>
          <c:xMode val="edge"/>
          <c:yMode val="edge"/>
          <c:x val="0.38484026231416107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'1.2인구분석'!$B$138</c:f>
              <c:strCache>
                <c:ptCount val="1"/>
                <c:pt idx="0">
                  <c:v> 북면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'1.2인구분석'!$A$141:$A$150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'1.2인구분석'!$E$141:$E$150</c:f>
              <c:numCache>
                <c:formatCode>_-* #,##0_-;\-* #,##0_-;_-* "-"_-;_-@_-</c:formatCode>
                <c:ptCount val="10"/>
                <c:pt idx="0">
                  <c:v>5308</c:v>
                </c:pt>
                <c:pt idx="1">
                  <c:v>5502</c:v>
                </c:pt>
                <c:pt idx="2">
                  <c:v>5712</c:v>
                </c:pt>
                <c:pt idx="3">
                  <c:v>5744</c:v>
                </c:pt>
                <c:pt idx="4">
                  <c:v>5692</c:v>
                </c:pt>
                <c:pt idx="5">
                  <c:v>5667</c:v>
                </c:pt>
                <c:pt idx="6">
                  <c:v>5918</c:v>
                </c:pt>
                <c:pt idx="7">
                  <c:v>5668</c:v>
                </c:pt>
                <c:pt idx="8">
                  <c:v>5537</c:v>
                </c:pt>
                <c:pt idx="9">
                  <c:v>5540</c:v>
                </c:pt>
              </c:numCache>
            </c:numRef>
          </c:val>
        </c:ser>
        <c:marker val="1"/>
        <c:axId val="150727296"/>
        <c:axId val="150603648"/>
      </c:lineChart>
      <c:catAx>
        <c:axId val="15072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603648"/>
        <c:crossesAt val="4000"/>
        <c:auto val="1"/>
        <c:lblAlgn val="ctr"/>
        <c:lblOffset val="100"/>
        <c:tickLblSkip val="4"/>
        <c:tickMarkSkip val="1"/>
      </c:catAx>
      <c:valAx>
        <c:axId val="150603648"/>
        <c:scaling>
          <c:orientation val="minMax"/>
          <c:max val="7000"/>
          <c:min val="4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727296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성남면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'1.2인구분석'!$B$155</c:f>
              <c:strCache>
                <c:ptCount val="1"/>
                <c:pt idx="0">
                  <c:v> 성남면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'1.2인구분석'!$A$158:$A$167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'1.2인구분석'!$E$158:$E$167</c:f>
              <c:numCache>
                <c:formatCode>_-* #,##0_-;\-* #,##0_-;_-* "-"_-;_-@_-</c:formatCode>
                <c:ptCount val="10"/>
                <c:pt idx="0">
                  <c:v>4871</c:v>
                </c:pt>
                <c:pt idx="1">
                  <c:v>4815</c:v>
                </c:pt>
                <c:pt idx="2">
                  <c:v>4700</c:v>
                </c:pt>
                <c:pt idx="3">
                  <c:v>4569</c:v>
                </c:pt>
                <c:pt idx="4">
                  <c:v>4537</c:v>
                </c:pt>
                <c:pt idx="5">
                  <c:v>4486</c:v>
                </c:pt>
                <c:pt idx="6">
                  <c:v>4789</c:v>
                </c:pt>
                <c:pt idx="7">
                  <c:v>4629</c:v>
                </c:pt>
                <c:pt idx="8">
                  <c:v>4662</c:v>
                </c:pt>
                <c:pt idx="9">
                  <c:v>4480</c:v>
                </c:pt>
              </c:numCache>
            </c:numRef>
          </c:val>
        </c:ser>
        <c:marker val="1"/>
        <c:axId val="150656896"/>
        <c:axId val="150732800"/>
      </c:lineChart>
      <c:catAx>
        <c:axId val="15065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732800"/>
        <c:crossesAt val="4000"/>
        <c:auto val="1"/>
        <c:lblAlgn val="ctr"/>
        <c:lblOffset val="100"/>
        <c:tickLblSkip val="4"/>
        <c:tickMarkSkip val="1"/>
      </c:catAx>
      <c:valAx>
        <c:axId val="150732800"/>
        <c:scaling>
          <c:orientation val="minMax"/>
          <c:max val="6000"/>
          <c:min val="4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656896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수신면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'1.2인구분석'!$B$172</c:f>
              <c:strCache>
                <c:ptCount val="1"/>
                <c:pt idx="0">
                  <c:v> 수신면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'1.2인구분석'!$A$175:$A$184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'1.2인구분석'!$E$175:$E$184</c:f>
              <c:numCache>
                <c:formatCode>_-* #,##0_-;\-* #,##0_-;_-* "-"_-;_-@_-</c:formatCode>
                <c:ptCount val="10"/>
                <c:pt idx="0">
                  <c:v>3441</c:v>
                </c:pt>
                <c:pt idx="1">
                  <c:v>3390</c:v>
                </c:pt>
                <c:pt idx="2">
                  <c:v>3262</c:v>
                </c:pt>
                <c:pt idx="3">
                  <c:v>3172</c:v>
                </c:pt>
                <c:pt idx="4">
                  <c:v>3097</c:v>
                </c:pt>
                <c:pt idx="5">
                  <c:v>3184</c:v>
                </c:pt>
                <c:pt idx="6">
                  <c:v>3549</c:v>
                </c:pt>
                <c:pt idx="7">
                  <c:v>3212</c:v>
                </c:pt>
                <c:pt idx="8">
                  <c:v>3165</c:v>
                </c:pt>
                <c:pt idx="9">
                  <c:v>3113</c:v>
                </c:pt>
              </c:numCache>
            </c:numRef>
          </c:val>
        </c:ser>
        <c:marker val="1"/>
        <c:axId val="150786048"/>
        <c:axId val="150787968"/>
      </c:lineChart>
      <c:catAx>
        <c:axId val="150786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787968"/>
        <c:crossesAt val="2000"/>
        <c:auto val="1"/>
        <c:lblAlgn val="ctr"/>
        <c:lblOffset val="100"/>
        <c:tickLblSkip val="4"/>
        <c:tickMarkSkip val="1"/>
      </c:catAx>
      <c:valAx>
        <c:axId val="150787968"/>
        <c:scaling>
          <c:orientation val="minMax"/>
          <c:max val="4000"/>
          <c:min val="2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786048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병천면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'1.2인구분석'!$B$189</c:f>
              <c:strCache>
                <c:ptCount val="1"/>
                <c:pt idx="0">
                  <c:v> 병천면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'1.2인구분석'!$A$192:$A$201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'1.2인구분석'!$E$192:$E$201</c:f>
              <c:numCache>
                <c:formatCode>_-* #,##0_-;\-* #,##0_-;_-* "-"_-;_-@_-</c:formatCode>
                <c:ptCount val="10"/>
                <c:pt idx="0">
                  <c:v>6663</c:v>
                </c:pt>
                <c:pt idx="1">
                  <c:v>6565</c:v>
                </c:pt>
                <c:pt idx="2">
                  <c:v>6403</c:v>
                </c:pt>
                <c:pt idx="3">
                  <c:v>6443</c:v>
                </c:pt>
                <c:pt idx="4">
                  <c:v>6412</c:v>
                </c:pt>
                <c:pt idx="5">
                  <c:v>6491</c:v>
                </c:pt>
                <c:pt idx="6">
                  <c:v>7486</c:v>
                </c:pt>
                <c:pt idx="7">
                  <c:v>7035</c:v>
                </c:pt>
                <c:pt idx="8">
                  <c:v>6759</c:v>
                </c:pt>
                <c:pt idx="9">
                  <c:v>6742</c:v>
                </c:pt>
              </c:numCache>
            </c:numRef>
          </c:val>
        </c:ser>
        <c:marker val="1"/>
        <c:axId val="150820736"/>
        <c:axId val="150822912"/>
      </c:lineChart>
      <c:catAx>
        <c:axId val="15082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822912"/>
        <c:crossesAt val="6000"/>
        <c:auto val="1"/>
        <c:lblAlgn val="ctr"/>
        <c:lblOffset val="100"/>
        <c:tickLblSkip val="4"/>
        <c:tickMarkSkip val="1"/>
      </c:catAx>
      <c:valAx>
        <c:axId val="150822912"/>
        <c:scaling>
          <c:orientation val="minMax"/>
          <c:max val="8000"/>
          <c:min val="6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820736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동면 인구변화</a:t>
            </a:r>
          </a:p>
        </c:rich>
      </c:tx>
      <c:layout>
        <c:manualLayout>
          <c:xMode val="edge"/>
          <c:yMode val="edge"/>
          <c:x val="0.38484026231416107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'1.2인구분석'!$B$206</c:f>
              <c:strCache>
                <c:ptCount val="1"/>
                <c:pt idx="0">
                  <c:v> 동면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'1.2인구분석'!$A$209:$A$218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'1.2인구분석'!$E$209:$E$218</c:f>
              <c:numCache>
                <c:formatCode>_-* #,##0_-;\-* #,##0_-;_-* "-"_-;_-@_-</c:formatCode>
                <c:ptCount val="10"/>
                <c:pt idx="0">
                  <c:v>3264</c:v>
                </c:pt>
                <c:pt idx="1">
                  <c:v>3155</c:v>
                </c:pt>
                <c:pt idx="2">
                  <c:v>3092</c:v>
                </c:pt>
                <c:pt idx="3">
                  <c:v>3007</c:v>
                </c:pt>
                <c:pt idx="4">
                  <c:v>2905</c:v>
                </c:pt>
                <c:pt idx="5">
                  <c:v>2971</c:v>
                </c:pt>
                <c:pt idx="6">
                  <c:v>3291</c:v>
                </c:pt>
                <c:pt idx="7">
                  <c:v>3112</c:v>
                </c:pt>
                <c:pt idx="8">
                  <c:v>2991</c:v>
                </c:pt>
                <c:pt idx="9">
                  <c:v>2885</c:v>
                </c:pt>
              </c:numCache>
            </c:numRef>
          </c:val>
        </c:ser>
        <c:marker val="1"/>
        <c:axId val="150859776"/>
        <c:axId val="150861696"/>
      </c:lineChart>
      <c:catAx>
        <c:axId val="15085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861696"/>
        <c:crossesAt val="2000"/>
        <c:auto val="1"/>
        <c:lblAlgn val="ctr"/>
        <c:lblOffset val="100"/>
        <c:tickLblSkip val="4"/>
        <c:tickMarkSkip val="1"/>
      </c:catAx>
      <c:valAx>
        <c:axId val="150861696"/>
        <c:scaling>
          <c:orientation val="minMax"/>
          <c:max val="4000"/>
          <c:min val="2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859776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중앙동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'1.2인구분석'!$B$223</c:f>
              <c:strCache>
                <c:ptCount val="1"/>
                <c:pt idx="0">
                  <c:v> 중앙동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'1.2인구분석'!$A$226:$A$235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'1.2인구분석'!$E$226:$E$235</c:f>
              <c:numCache>
                <c:formatCode>_-* #,##0_-;\-* #,##0_-;_-* "-"_-;_-@_-</c:formatCode>
                <c:ptCount val="10"/>
                <c:pt idx="0">
                  <c:v>9607</c:v>
                </c:pt>
                <c:pt idx="1">
                  <c:v>8971</c:v>
                </c:pt>
                <c:pt idx="2">
                  <c:v>8506</c:v>
                </c:pt>
                <c:pt idx="3">
                  <c:v>8250</c:v>
                </c:pt>
                <c:pt idx="4">
                  <c:v>8030</c:v>
                </c:pt>
                <c:pt idx="5">
                  <c:v>7935</c:v>
                </c:pt>
                <c:pt idx="6">
                  <c:v>7955</c:v>
                </c:pt>
                <c:pt idx="7">
                  <c:v>7550</c:v>
                </c:pt>
                <c:pt idx="8">
                  <c:v>7228</c:v>
                </c:pt>
                <c:pt idx="9">
                  <c:v>7103</c:v>
                </c:pt>
              </c:numCache>
            </c:numRef>
          </c:val>
        </c:ser>
        <c:marker val="1"/>
        <c:axId val="150894464"/>
        <c:axId val="150908928"/>
      </c:lineChart>
      <c:catAx>
        <c:axId val="15089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908928"/>
        <c:crossesAt val="6000"/>
        <c:auto val="1"/>
        <c:lblAlgn val="ctr"/>
        <c:lblOffset val="100"/>
        <c:tickLblSkip val="4"/>
        <c:tickMarkSkip val="1"/>
      </c:catAx>
      <c:valAx>
        <c:axId val="150908928"/>
        <c:scaling>
          <c:orientation val="minMax"/>
          <c:max val="12000"/>
          <c:min val="6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894464"/>
        <c:crosses val="autoZero"/>
        <c:crossBetween val="between"/>
        <c:majorUnit val="1000"/>
        <c:min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문성동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75827481305071"/>
          <c:y val="0.10882368569578024"/>
          <c:w val="0.7900885882957535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'1.2인구분석'!$B$240</c:f>
              <c:strCache>
                <c:ptCount val="1"/>
                <c:pt idx="0">
                  <c:v> 문성동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'1.2인구분석'!$A$243:$A$252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'1.2인구분석'!$E$243:$E$252</c:f>
              <c:numCache>
                <c:formatCode>_-* #,##0_-;\-* #,##0_-;_-* "-"_-;_-@_-</c:formatCode>
                <c:ptCount val="10"/>
                <c:pt idx="0">
                  <c:v>7212</c:v>
                </c:pt>
                <c:pt idx="1">
                  <c:v>6685</c:v>
                </c:pt>
                <c:pt idx="2">
                  <c:v>6405</c:v>
                </c:pt>
                <c:pt idx="3">
                  <c:v>6374</c:v>
                </c:pt>
                <c:pt idx="4">
                  <c:v>6294</c:v>
                </c:pt>
                <c:pt idx="5">
                  <c:v>6492</c:v>
                </c:pt>
                <c:pt idx="6">
                  <c:v>6740</c:v>
                </c:pt>
                <c:pt idx="7">
                  <c:v>6520</c:v>
                </c:pt>
                <c:pt idx="8">
                  <c:v>6260</c:v>
                </c:pt>
                <c:pt idx="9">
                  <c:v>6195</c:v>
                </c:pt>
              </c:numCache>
            </c:numRef>
          </c:val>
        </c:ser>
        <c:marker val="1"/>
        <c:axId val="151007232"/>
        <c:axId val="151009152"/>
      </c:lineChart>
      <c:catAx>
        <c:axId val="15100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1603559759111761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09152"/>
        <c:crossesAt val="5000"/>
        <c:auto val="1"/>
        <c:lblAlgn val="ctr"/>
        <c:lblOffset val="100"/>
        <c:tickLblSkip val="4"/>
        <c:tickMarkSkip val="1"/>
      </c:catAx>
      <c:valAx>
        <c:axId val="151009152"/>
        <c:scaling>
          <c:orientation val="minMax"/>
          <c:max val="8000"/>
          <c:min val="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07232"/>
        <c:crosses val="autoZero"/>
        <c:crossBetween val="between"/>
        <c:majorUnit val="500"/>
        <c:minorUnit val="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원성</a:t>
            </a:r>
            <a:r>
              <a:rPr lang="en-US" altLang="ko-KR"/>
              <a:t>1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'1.2인구분석'!$B$257</c:f>
              <c:strCache>
                <c:ptCount val="1"/>
                <c:pt idx="0">
                  <c:v> 원성1동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'1.2인구분석'!$A$260:$A$269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'1.2인구분석'!$E$260:$E$269</c:f>
              <c:numCache>
                <c:formatCode>_-* #,##0_-;\-* #,##0_-;_-* "-"_-;_-@_-</c:formatCode>
                <c:ptCount val="10"/>
                <c:pt idx="0">
                  <c:v>12284</c:v>
                </c:pt>
                <c:pt idx="1">
                  <c:v>11891</c:v>
                </c:pt>
                <c:pt idx="2">
                  <c:v>11501</c:v>
                </c:pt>
                <c:pt idx="3">
                  <c:v>11432</c:v>
                </c:pt>
                <c:pt idx="4">
                  <c:v>11524</c:v>
                </c:pt>
                <c:pt idx="5">
                  <c:v>11684</c:v>
                </c:pt>
                <c:pt idx="6">
                  <c:v>12201</c:v>
                </c:pt>
                <c:pt idx="7">
                  <c:v>11881</c:v>
                </c:pt>
                <c:pt idx="8">
                  <c:v>11577</c:v>
                </c:pt>
                <c:pt idx="9">
                  <c:v>11408</c:v>
                </c:pt>
              </c:numCache>
            </c:numRef>
          </c:val>
        </c:ser>
        <c:marker val="1"/>
        <c:axId val="151041920"/>
        <c:axId val="151052288"/>
      </c:lineChart>
      <c:catAx>
        <c:axId val="15104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52288"/>
        <c:crossesAt val="10000"/>
        <c:auto val="1"/>
        <c:lblAlgn val="ctr"/>
        <c:lblOffset val="100"/>
        <c:tickLblSkip val="4"/>
        <c:tickMarkSkip val="1"/>
      </c:catAx>
      <c:valAx>
        <c:axId val="151052288"/>
        <c:scaling>
          <c:orientation val="minMax"/>
          <c:max val="140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41920"/>
        <c:crosses val="autoZero"/>
        <c:crossBetween val="between"/>
        <c:majorUnit val="1000"/>
        <c:min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원성</a:t>
            </a:r>
            <a:r>
              <a:rPr lang="en-US" altLang="ko-KR"/>
              <a:t>2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8235392111948689"/>
        </c:manualLayout>
      </c:layout>
      <c:lineChart>
        <c:grouping val="standard"/>
        <c:ser>
          <c:idx val="1"/>
          <c:order val="0"/>
          <c:tx>
            <c:strRef>
              <c:f>'1.2인구분석'!$B$274</c:f>
              <c:strCache>
                <c:ptCount val="1"/>
                <c:pt idx="0">
                  <c:v> 원성2동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'1.2인구분석'!$A$277:$A$286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'1.2인구분석'!$E$277:$E$286</c:f>
              <c:numCache>
                <c:formatCode>_-* #,##0_-;\-* #,##0_-;_-* "-"_-;_-@_-</c:formatCode>
                <c:ptCount val="10"/>
                <c:pt idx="0">
                  <c:v>15139</c:v>
                </c:pt>
                <c:pt idx="1">
                  <c:v>14531</c:v>
                </c:pt>
                <c:pt idx="2">
                  <c:v>14103</c:v>
                </c:pt>
                <c:pt idx="3">
                  <c:v>13902</c:v>
                </c:pt>
                <c:pt idx="4">
                  <c:v>13852</c:v>
                </c:pt>
                <c:pt idx="5">
                  <c:v>14179</c:v>
                </c:pt>
                <c:pt idx="6">
                  <c:v>14789</c:v>
                </c:pt>
                <c:pt idx="7">
                  <c:v>14212</c:v>
                </c:pt>
                <c:pt idx="8">
                  <c:v>14112</c:v>
                </c:pt>
                <c:pt idx="9">
                  <c:v>13839</c:v>
                </c:pt>
              </c:numCache>
            </c:numRef>
          </c:val>
        </c:ser>
        <c:marker val="1"/>
        <c:axId val="150978560"/>
        <c:axId val="150980480"/>
      </c:lineChart>
      <c:catAx>
        <c:axId val="15097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61765941022078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980480"/>
        <c:crossesAt val="12000"/>
        <c:auto val="1"/>
        <c:lblAlgn val="ctr"/>
        <c:lblOffset val="100"/>
        <c:tickLblSkip val="4"/>
        <c:tickMarkSkip val="1"/>
      </c:catAx>
      <c:valAx>
        <c:axId val="150980480"/>
        <c:scaling>
          <c:orientation val="minMax"/>
          <c:max val="17000"/>
          <c:min val="12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0978560"/>
        <c:crosses val="autoZero"/>
        <c:crossBetween val="between"/>
        <c:majorUnit val="1000"/>
        <c:minorUnit val="1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성정</a:t>
            </a:r>
            <a:r>
              <a:rPr lang="en-US" altLang="ko-KR"/>
              <a:t>1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'1.2인구분석'!$B$291</c:f>
              <c:strCache>
                <c:ptCount val="1"/>
                <c:pt idx="0">
                  <c:v> 성정1동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'1.2인구분석'!$A$294:$A$303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'1.2인구분석'!$E$294:$E$303</c:f>
              <c:numCache>
                <c:formatCode>_-* #,##0_-;\-* #,##0_-;_-* "-"_-;_-@_-</c:formatCode>
                <c:ptCount val="10"/>
                <c:pt idx="0">
                  <c:v>20150</c:v>
                </c:pt>
                <c:pt idx="1">
                  <c:v>19431</c:v>
                </c:pt>
                <c:pt idx="2">
                  <c:v>18830</c:v>
                </c:pt>
                <c:pt idx="3">
                  <c:v>18505</c:v>
                </c:pt>
                <c:pt idx="4">
                  <c:v>18503</c:v>
                </c:pt>
                <c:pt idx="5">
                  <c:v>18713</c:v>
                </c:pt>
                <c:pt idx="6">
                  <c:v>19495</c:v>
                </c:pt>
                <c:pt idx="7">
                  <c:v>20667</c:v>
                </c:pt>
                <c:pt idx="8">
                  <c:v>20167</c:v>
                </c:pt>
                <c:pt idx="9">
                  <c:v>20033</c:v>
                </c:pt>
              </c:numCache>
            </c:numRef>
          </c:val>
        </c:ser>
        <c:marker val="1"/>
        <c:axId val="151086976"/>
        <c:axId val="151089152"/>
      </c:lineChart>
      <c:catAx>
        <c:axId val="151086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89152"/>
        <c:crossesAt val="15000"/>
        <c:auto val="1"/>
        <c:lblAlgn val="ctr"/>
        <c:lblOffset val="100"/>
        <c:tickLblSkip val="4"/>
        <c:tickMarkSkip val="1"/>
      </c:catAx>
      <c:valAx>
        <c:axId val="151089152"/>
        <c:scaling>
          <c:orientation val="minMax"/>
          <c:max val="25000"/>
          <c:min val="1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086976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성정</a:t>
            </a:r>
            <a:r>
              <a:rPr lang="en-US" altLang="ko-KR"/>
              <a:t>2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'1.2인구분석'!$B$308</c:f>
              <c:strCache>
                <c:ptCount val="1"/>
                <c:pt idx="0">
                  <c:v> 성정2동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'1.2인구분석'!$A$311:$A$320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'1.2인구분석'!$E$311:$E$320</c:f>
              <c:numCache>
                <c:formatCode>_-* #,##0_-;\-* #,##0_-;_-* "-"_-;_-@_-</c:formatCode>
                <c:ptCount val="10"/>
                <c:pt idx="0">
                  <c:v>20531</c:v>
                </c:pt>
                <c:pt idx="1">
                  <c:v>20000</c:v>
                </c:pt>
                <c:pt idx="2">
                  <c:v>19618</c:v>
                </c:pt>
                <c:pt idx="3">
                  <c:v>19330</c:v>
                </c:pt>
                <c:pt idx="4">
                  <c:v>19852</c:v>
                </c:pt>
                <c:pt idx="5">
                  <c:v>20865</c:v>
                </c:pt>
                <c:pt idx="6">
                  <c:v>21685</c:v>
                </c:pt>
                <c:pt idx="7">
                  <c:v>21508</c:v>
                </c:pt>
                <c:pt idx="8">
                  <c:v>21206</c:v>
                </c:pt>
                <c:pt idx="9">
                  <c:v>21438</c:v>
                </c:pt>
              </c:numCache>
            </c:numRef>
          </c:val>
        </c:ser>
        <c:marker val="1"/>
        <c:axId val="151330816"/>
        <c:axId val="151332736"/>
      </c:lineChart>
      <c:catAx>
        <c:axId val="15133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32736"/>
        <c:crossesAt val="15000"/>
        <c:auto val="1"/>
        <c:lblAlgn val="ctr"/>
        <c:lblOffset val="100"/>
        <c:tickLblSkip val="4"/>
        <c:tickMarkSkip val="1"/>
      </c:catAx>
      <c:valAx>
        <c:axId val="151332736"/>
        <c:scaling>
          <c:orientation val="minMax"/>
          <c:max val="25000"/>
          <c:min val="1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30816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봉명동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'1.2인구분석'!$B$325</c:f>
              <c:strCache>
                <c:ptCount val="1"/>
                <c:pt idx="0">
                  <c:v> 봉명동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'1.2인구분석'!$A$328:$A$337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'1.2인구분석'!$E$328:$E$337</c:f>
              <c:numCache>
                <c:formatCode>_-* #,##0_-;\-* #,##0_-;_-* "-"_-;_-@_-</c:formatCode>
                <c:ptCount val="10"/>
                <c:pt idx="0">
                  <c:v>18925</c:v>
                </c:pt>
                <c:pt idx="1">
                  <c:v>18529</c:v>
                </c:pt>
                <c:pt idx="2">
                  <c:v>18259</c:v>
                </c:pt>
                <c:pt idx="3">
                  <c:v>21409</c:v>
                </c:pt>
                <c:pt idx="4">
                  <c:v>22291</c:v>
                </c:pt>
                <c:pt idx="5">
                  <c:v>23506</c:v>
                </c:pt>
                <c:pt idx="6">
                  <c:v>22956</c:v>
                </c:pt>
                <c:pt idx="7">
                  <c:v>23364</c:v>
                </c:pt>
                <c:pt idx="8">
                  <c:v>22803</c:v>
                </c:pt>
                <c:pt idx="9">
                  <c:v>22589</c:v>
                </c:pt>
              </c:numCache>
            </c:numRef>
          </c:val>
        </c:ser>
        <c:marker val="1"/>
        <c:axId val="151381888"/>
        <c:axId val="151384064"/>
      </c:lineChart>
      <c:catAx>
        <c:axId val="151381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84064"/>
        <c:crossesAt val="15000"/>
        <c:auto val="1"/>
        <c:lblAlgn val="ctr"/>
        <c:lblOffset val="100"/>
        <c:tickLblSkip val="4"/>
        <c:tickMarkSkip val="1"/>
      </c:catAx>
      <c:valAx>
        <c:axId val="151384064"/>
        <c:scaling>
          <c:orientation val="minMax"/>
          <c:max val="25000"/>
          <c:min val="15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81888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쌍용</a:t>
            </a:r>
            <a:r>
              <a:rPr lang="en-US" altLang="ko-KR"/>
              <a:t>1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'1.2인구분석'!$B$342</c:f>
              <c:strCache>
                <c:ptCount val="1"/>
                <c:pt idx="0">
                  <c:v> 쌍용1동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'1.2인구분석'!$A$345:$A$354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'1.2인구분석'!$E$345:$E$354</c:f>
              <c:numCache>
                <c:formatCode>_-* #,##0_-;\-* #,##0_-;_-* "-"_-;_-@_-</c:formatCode>
                <c:ptCount val="10"/>
                <c:pt idx="0">
                  <c:v>17622</c:v>
                </c:pt>
                <c:pt idx="1">
                  <c:v>17706</c:v>
                </c:pt>
                <c:pt idx="2">
                  <c:v>17347</c:v>
                </c:pt>
                <c:pt idx="3">
                  <c:v>17266</c:v>
                </c:pt>
                <c:pt idx="4">
                  <c:v>17371</c:v>
                </c:pt>
                <c:pt idx="5">
                  <c:v>17267</c:v>
                </c:pt>
                <c:pt idx="6">
                  <c:v>17387</c:v>
                </c:pt>
                <c:pt idx="7">
                  <c:v>16905</c:v>
                </c:pt>
                <c:pt idx="8">
                  <c:v>16451</c:v>
                </c:pt>
                <c:pt idx="9">
                  <c:v>16213</c:v>
                </c:pt>
              </c:numCache>
            </c:numRef>
          </c:val>
        </c:ser>
        <c:marker val="1"/>
        <c:axId val="151289856"/>
        <c:axId val="151291776"/>
      </c:lineChart>
      <c:catAx>
        <c:axId val="15128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291776"/>
        <c:crossesAt val="10000"/>
        <c:auto val="1"/>
        <c:lblAlgn val="ctr"/>
        <c:lblOffset val="100"/>
        <c:tickLblSkip val="4"/>
        <c:tickMarkSkip val="1"/>
      </c:catAx>
      <c:valAx>
        <c:axId val="151291776"/>
        <c:scaling>
          <c:orientation val="minMax"/>
          <c:max val="22500"/>
          <c:min val="125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289856"/>
        <c:crosses val="autoZero"/>
        <c:crossBetween val="between"/>
        <c:majorUnit val="2500"/>
        <c:minorUnit val="25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쌍용</a:t>
            </a:r>
            <a:r>
              <a:rPr lang="en-US" altLang="ko-KR"/>
              <a:t>2</a:t>
            </a:r>
            <a:r>
              <a:rPr lang="ko-KR" altLang="en-US"/>
              <a:t>동 인구변화</a:t>
            </a:r>
          </a:p>
        </c:rich>
      </c:tx>
      <c:layout>
        <c:manualLayout>
          <c:xMode val="edge"/>
          <c:yMode val="edge"/>
          <c:x val="0.35568574336371744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574374735751511"/>
          <c:y val="0.10882368569578024"/>
          <c:w val="0.75510311575129219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'1.2인구분석'!$B$359</c:f>
              <c:strCache>
                <c:ptCount val="1"/>
                <c:pt idx="0">
                  <c:v>쌍용2동(쌍용3동,백석동 포함)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'1.2인구분석'!$A$362:$A$371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'1.2인구분석'!$E$362:$E$371</c:f>
              <c:numCache>
                <c:formatCode>_-* #,##0_-;\-* #,##0_-;_-* "-"_-;_-@_-</c:formatCode>
                <c:ptCount val="10"/>
                <c:pt idx="0">
                  <c:v>39372</c:v>
                </c:pt>
                <c:pt idx="1">
                  <c:v>51516</c:v>
                </c:pt>
                <c:pt idx="2">
                  <c:v>58874</c:v>
                </c:pt>
                <c:pt idx="3">
                  <c:v>61294</c:v>
                </c:pt>
                <c:pt idx="4">
                  <c:v>65801</c:v>
                </c:pt>
                <c:pt idx="5">
                  <c:v>69927</c:v>
                </c:pt>
                <c:pt idx="6">
                  <c:v>92623</c:v>
                </c:pt>
                <c:pt idx="7">
                  <c:v>97446</c:v>
                </c:pt>
                <c:pt idx="8">
                  <c:v>101555</c:v>
                </c:pt>
                <c:pt idx="9">
                  <c:v>106196</c:v>
                </c:pt>
              </c:numCache>
            </c:numRef>
          </c:val>
        </c:ser>
        <c:marker val="1"/>
        <c:axId val="151320448"/>
        <c:axId val="151396352"/>
      </c:lineChart>
      <c:catAx>
        <c:axId val="15132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3352830896137959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96352"/>
        <c:crossesAt val="20000"/>
        <c:auto val="1"/>
        <c:lblAlgn val="ctr"/>
        <c:lblOffset val="100"/>
        <c:tickLblSkip val="4"/>
        <c:tickMarkSkip val="1"/>
      </c:catAx>
      <c:valAx>
        <c:axId val="151396352"/>
        <c:scaling>
          <c:orientation val="minMax"/>
          <c:max val="110000"/>
          <c:min val="2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320448"/>
        <c:crosses val="autoZero"/>
        <c:crossBetween val="between"/>
        <c:majorUnit val="10000"/>
        <c:minorUnit val="10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신용동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'1.2인구분석'!$B$376</c:f>
              <c:strCache>
                <c:ptCount val="1"/>
                <c:pt idx="0">
                  <c:v>일봉동, 신방동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'1.2인구분석'!$A$379:$A$388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'1.2인구분석'!$E$379:$E$388</c:f>
              <c:numCache>
                <c:formatCode>_-* #,##0_-;\-* #,##0_-;_-* "-"_-;_-@_-</c:formatCode>
                <c:ptCount val="10"/>
                <c:pt idx="0">
                  <c:v>35958</c:v>
                </c:pt>
                <c:pt idx="1">
                  <c:v>39104</c:v>
                </c:pt>
                <c:pt idx="2">
                  <c:v>43688</c:v>
                </c:pt>
                <c:pt idx="3">
                  <c:v>45851</c:v>
                </c:pt>
                <c:pt idx="4">
                  <c:v>46083</c:v>
                </c:pt>
                <c:pt idx="5">
                  <c:v>45648</c:v>
                </c:pt>
                <c:pt idx="6">
                  <c:v>45781</c:v>
                </c:pt>
                <c:pt idx="7">
                  <c:v>46305</c:v>
                </c:pt>
                <c:pt idx="8">
                  <c:v>50808</c:v>
                </c:pt>
                <c:pt idx="9">
                  <c:v>52529</c:v>
                </c:pt>
              </c:numCache>
            </c:numRef>
          </c:val>
        </c:ser>
        <c:marker val="1"/>
        <c:axId val="151429120"/>
        <c:axId val="151431040"/>
      </c:lineChart>
      <c:catAx>
        <c:axId val="15142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431040"/>
        <c:crossesAt val="20000"/>
        <c:auto val="1"/>
        <c:lblAlgn val="ctr"/>
        <c:lblOffset val="100"/>
        <c:tickLblSkip val="4"/>
        <c:tickMarkSkip val="1"/>
      </c:catAx>
      <c:valAx>
        <c:axId val="151431040"/>
        <c:scaling>
          <c:orientation val="minMax"/>
          <c:max val="60000"/>
          <c:min val="2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429120"/>
        <c:crosses val="autoZero"/>
        <c:crossBetween val="between"/>
        <c:majorUnit val="5000"/>
        <c:min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청룡동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'1.2인구분석'!$B$393</c:f>
              <c:strCache>
                <c:ptCount val="1"/>
                <c:pt idx="0">
                  <c:v> 청룡동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'1.2인구분석'!$A$396:$A$405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'1.2인구분석'!$E$396:$E$405</c:f>
              <c:numCache>
                <c:formatCode>_-* #,##0_-;\-* #,##0_-;_-* "-"_-;_-@_-</c:formatCode>
                <c:ptCount val="10"/>
                <c:pt idx="0">
                  <c:v>20748</c:v>
                </c:pt>
                <c:pt idx="1">
                  <c:v>23059</c:v>
                </c:pt>
                <c:pt idx="2">
                  <c:v>22594</c:v>
                </c:pt>
                <c:pt idx="3">
                  <c:v>22625</c:v>
                </c:pt>
                <c:pt idx="4">
                  <c:v>22493</c:v>
                </c:pt>
                <c:pt idx="5">
                  <c:v>21297</c:v>
                </c:pt>
                <c:pt idx="6">
                  <c:v>21130</c:v>
                </c:pt>
                <c:pt idx="7">
                  <c:v>21699</c:v>
                </c:pt>
                <c:pt idx="8">
                  <c:v>25298</c:v>
                </c:pt>
                <c:pt idx="9">
                  <c:v>29660</c:v>
                </c:pt>
              </c:numCache>
            </c:numRef>
          </c:val>
        </c:ser>
        <c:marker val="1"/>
        <c:axId val="151484288"/>
        <c:axId val="151502848"/>
      </c:lineChart>
      <c:catAx>
        <c:axId val="151484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502848"/>
        <c:crossesAt val="10000"/>
        <c:auto val="1"/>
        <c:lblAlgn val="ctr"/>
        <c:lblOffset val="100"/>
        <c:tickLblSkip val="4"/>
        <c:tickMarkSkip val="1"/>
      </c:catAx>
      <c:valAx>
        <c:axId val="151502848"/>
        <c:scaling>
          <c:orientation val="minMax"/>
          <c:max val="350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484288"/>
        <c:crosses val="autoZero"/>
        <c:crossBetween val="between"/>
        <c:majorUnit val="5000"/>
        <c:min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신안동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'1.2인구분석'!$B$410</c:f>
              <c:strCache>
                <c:ptCount val="1"/>
                <c:pt idx="0">
                  <c:v> 신안동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'1.2인구분석'!$A$413:$A$422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'1.2인구분석'!$E$413:$E$422</c:f>
              <c:numCache>
                <c:formatCode>_-* #,##0_-;\-* #,##0_-;_-* "-"_-;_-@_-</c:formatCode>
                <c:ptCount val="10"/>
                <c:pt idx="0">
                  <c:v>26622</c:v>
                </c:pt>
                <c:pt idx="1">
                  <c:v>26266</c:v>
                </c:pt>
                <c:pt idx="2">
                  <c:v>27456</c:v>
                </c:pt>
                <c:pt idx="3">
                  <c:v>27854</c:v>
                </c:pt>
                <c:pt idx="4">
                  <c:v>27944</c:v>
                </c:pt>
                <c:pt idx="5">
                  <c:v>28624</c:v>
                </c:pt>
                <c:pt idx="6">
                  <c:v>31128</c:v>
                </c:pt>
                <c:pt idx="7">
                  <c:v>32023</c:v>
                </c:pt>
                <c:pt idx="8">
                  <c:v>32140</c:v>
                </c:pt>
                <c:pt idx="9">
                  <c:v>32419</c:v>
                </c:pt>
              </c:numCache>
            </c:numRef>
          </c:val>
        </c:ser>
        <c:marker val="1"/>
        <c:axId val="151539712"/>
        <c:axId val="151541632"/>
      </c:lineChart>
      <c:catAx>
        <c:axId val="15153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541632"/>
        <c:crossesAt val="20000"/>
        <c:auto val="1"/>
        <c:lblAlgn val="ctr"/>
        <c:lblOffset val="100"/>
        <c:tickLblSkip val="4"/>
        <c:tickMarkSkip val="1"/>
      </c:catAx>
      <c:valAx>
        <c:axId val="151541632"/>
        <c:scaling>
          <c:orientation val="minMax"/>
          <c:max val="40000"/>
          <c:min val="2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539712"/>
        <c:crosses val="autoZero"/>
        <c:crossBetween val="between"/>
        <c:majorUnit val="5000"/>
        <c:min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부성동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510110852814"/>
          <c:y val="0.10882368569578024"/>
          <c:w val="0.77259585202355407"/>
          <c:h val="0.67353037903604529"/>
        </c:manualLayout>
      </c:layout>
      <c:lineChart>
        <c:grouping val="standard"/>
        <c:ser>
          <c:idx val="1"/>
          <c:order val="0"/>
          <c:tx>
            <c:strRef>
              <c:f>'1.2인구분석'!$B$427</c:f>
              <c:strCache>
                <c:ptCount val="1"/>
                <c:pt idx="0">
                  <c:v> 부성동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</c:trendline>
          <c:cat>
            <c:numRef>
              <c:f>'1.2인구분석'!$A$430:$A$439</c:f>
              <c:numCache>
                <c:formatCode>#"년"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'1.2인구분석'!$E$430:$E$439</c:f>
              <c:numCache>
                <c:formatCode>_-* #,##0_-;\-* #,##0_-;_-* "-"_-;_-@_-</c:formatCode>
                <c:ptCount val="10"/>
                <c:pt idx="0">
                  <c:v>20958</c:v>
                </c:pt>
                <c:pt idx="1">
                  <c:v>21446</c:v>
                </c:pt>
                <c:pt idx="2">
                  <c:v>21789</c:v>
                </c:pt>
                <c:pt idx="3">
                  <c:v>22159</c:v>
                </c:pt>
                <c:pt idx="4">
                  <c:v>25074</c:v>
                </c:pt>
                <c:pt idx="5">
                  <c:v>34638</c:v>
                </c:pt>
                <c:pt idx="6">
                  <c:v>46357</c:v>
                </c:pt>
                <c:pt idx="7">
                  <c:v>48989</c:v>
                </c:pt>
                <c:pt idx="8">
                  <c:v>50143</c:v>
                </c:pt>
                <c:pt idx="9">
                  <c:v>50843</c:v>
                </c:pt>
              </c:numCache>
            </c:numRef>
          </c:val>
        </c:ser>
        <c:marker val="1"/>
        <c:axId val="151562496"/>
        <c:axId val="151576960"/>
      </c:lineChart>
      <c:catAx>
        <c:axId val="15156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52478195327624866"/>
              <c:y val="0.85294241161032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576960"/>
        <c:crossesAt val="10000"/>
        <c:auto val="1"/>
        <c:lblAlgn val="ctr"/>
        <c:lblOffset val="100"/>
        <c:tickLblSkip val="4"/>
        <c:tickMarkSkip val="1"/>
      </c:catAx>
      <c:valAx>
        <c:axId val="151576960"/>
        <c:scaling>
          <c:orientation val="minMax"/>
          <c:max val="60000"/>
          <c:min val="1000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562496"/>
        <c:crosses val="autoZero"/>
        <c:crossBetween val="between"/>
        <c:majorUnit val="5000"/>
        <c:minorUnit val="5000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Y울릉도M"/>
                <a:ea typeface="HY울릉도M"/>
                <a:cs typeface="HY울릉도M"/>
              </a:defRPr>
            </a:pPr>
            <a:r>
              <a:rPr lang="ko-KR" altLang="en-US"/>
              <a:t>수학적인 방법에 의한 인구추정결과</a:t>
            </a:r>
          </a:p>
        </c:rich>
      </c:tx>
      <c:layout>
        <c:manualLayout>
          <c:xMode val="edge"/>
          <c:yMode val="edge"/>
          <c:x val="0.35730384412848881"/>
          <c:y val="3.48100179066401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23878301303478"/>
          <c:y val="0.10981308411214953"/>
          <c:w val="0.83096494706035717"/>
          <c:h val="0.71261682242990665"/>
        </c:manualLayout>
      </c:layout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'2.인구추정'!$J$220:$J$237</c:f>
              <c:numCache>
                <c:formatCode>#,##0_ </c:formatCode>
                <c:ptCount val="18"/>
                <c:pt idx="0">
                  <c:v>560433</c:v>
                </c:pt>
                <c:pt idx="1">
                  <c:v>577661</c:v>
                </c:pt>
                <c:pt idx="2">
                  <c:v>594873</c:v>
                </c:pt>
                <c:pt idx="3">
                  <c:v>612071</c:v>
                </c:pt>
                <c:pt idx="4">
                  <c:v>629256</c:v>
                </c:pt>
                <c:pt idx="5">
                  <c:v>646428</c:v>
                </c:pt>
                <c:pt idx="6">
                  <c:v>663588</c:v>
                </c:pt>
                <c:pt idx="7">
                  <c:v>680739</c:v>
                </c:pt>
                <c:pt idx="8">
                  <c:v>697879</c:v>
                </c:pt>
                <c:pt idx="9">
                  <c:v>715009</c:v>
                </c:pt>
                <c:pt idx="10">
                  <c:v>732131</c:v>
                </c:pt>
                <c:pt idx="11">
                  <c:v>749244</c:v>
                </c:pt>
                <c:pt idx="12">
                  <c:v>766350</c:v>
                </c:pt>
                <c:pt idx="13">
                  <c:v>783448</c:v>
                </c:pt>
                <c:pt idx="14">
                  <c:v>800538</c:v>
                </c:pt>
                <c:pt idx="15">
                  <c:v>817621</c:v>
                </c:pt>
                <c:pt idx="16">
                  <c:v>834698</c:v>
                </c:pt>
                <c:pt idx="17">
                  <c:v>851768</c:v>
                </c:pt>
              </c:numCache>
            </c:numRef>
          </c:val>
          <c:smooth val="1"/>
        </c:ser>
        <c:marker val="1"/>
        <c:axId val="152202624"/>
        <c:axId val="152217088"/>
      </c:lineChart>
      <c:catAx>
        <c:axId val="1522026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endParaRPr lang="ko-KR"/>
          </a:p>
        </c:txPr>
        <c:crossAx val="152217088"/>
        <c:crosses val="autoZero"/>
        <c:auto val="1"/>
        <c:lblAlgn val="ctr"/>
        <c:lblOffset val="100"/>
        <c:tickLblSkip val="1"/>
        <c:tickMarkSkip val="1"/>
      </c:catAx>
      <c:valAx>
        <c:axId val="152217088"/>
        <c:scaling>
          <c:orientation val="minMax"/>
          <c:min val="4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8989063408779203E-3"/>
              <c:y val="0.36448598130842347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endParaRPr lang="ko-KR"/>
          </a:p>
        </c:txPr>
        <c:crossAx val="15220262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01584409533611E-2"/>
          <c:y val="0.92523364485981308"/>
          <c:w val="0.95418788597805249"/>
          <c:h val="5.6074766355140193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가는둥근제목체"/>
              <a:ea typeface="가는둥근제목체"/>
              <a:cs typeface="가는둥근제목체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천안리 인구추정결과</a:t>
            </a:r>
          </a:p>
        </c:rich>
      </c:tx>
      <c:layout>
        <c:manualLayout>
          <c:xMode val="edge"/>
          <c:yMode val="edge"/>
          <c:x val="0.36912822138844459"/>
          <c:y val="3.4591194968553458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6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7"/>
          <c:order val="1"/>
          <c:spPr>
            <a:ln w="3175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smooth val="1"/>
        </c:ser>
        <c:ser>
          <c:idx val="0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2"/>
          <c:order val="3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</c:ser>
        <c:ser>
          <c:idx val="3"/>
          <c:order val="4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</c:ser>
        <c:marker val="1"/>
        <c:axId val="154562944"/>
        <c:axId val="154565248"/>
      </c:lineChart>
      <c:catAx>
        <c:axId val="15456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27387012865674"/>
              <c:y val="0.842769936776784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565248"/>
        <c:crosses val="autoZero"/>
        <c:auto val="1"/>
        <c:lblAlgn val="ctr"/>
        <c:lblOffset val="100"/>
        <c:tickLblSkip val="2"/>
        <c:tickMarkSkip val="1"/>
      </c:catAx>
      <c:valAx>
        <c:axId val="154565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794183445190156E-2"/>
              <c:y val="0.301887782895074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56294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설악면 인구추정결과</a:t>
            </a:r>
          </a:p>
        </c:rich>
      </c:tx>
      <c:layout>
        <c:manualLayout>
          <c:xMode val="edge"/>
          <c:yMode val="edge"/>
          <c:x val="0.36830404011999174"/>
          <c:y val="3.4482758620689655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2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3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1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</c:ser>
        <c:ser>
          <c:idx val="4"/>
          <c:order val="4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</c:ser>
        <c:ser>
          <c:idx val="5"/>
          <c:order val="5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</c:ser>
        <c:marker val="1"/>
        <c:axId val="151857408"/>
        <c:axId val="151876352"/>
      </c:lineChart>
      <c:catAx>
        <c:axId val="15185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8660761154855642"/>
              <c:y val="0.79937435720221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876352"/>
        <c:crosses val="autoZero"/>
        <c:auto val="1"/>
        <c:lblAlgn val="ctr"/>
        <c:lblOffset val="100"/>
        <c:tickLblSkip val="2"/>
        <c:tickMarkSkip val="1"/>
      </c:catAx>
      <c:valAx>
        <c:axId val="151876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8213199055447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85740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가평군 인구추정결과</a:t>
            </a:r>
          </a:p>
        </c:rich>
      </c:tx>
      <c:layout>
        <c:manualLayout>
          <c:xMode val="edge"/>
          <c:yMode val="edge"/>
          <c:x val="0.36971046770601923"/>
          <c:y val="3.43750000000000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3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1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4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6"/>
          <c:order val="3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</c:ser>
        <c:ser>
          <c:idx val="7"/>
          <c:order val="4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</c:ser>
        <c:marker val="1"/>
        <c:axId val="153431424"/>
        <c:axId val="153433984"/>
      </c:lineChart>
      <c:catAx>
        <c:axId val="15343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9443207126949962"/>
              <c:y val="0.846875000000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433984"/>
        <c:crosses val="autoZero"/>
        <c:auto val="1"/>
        <c:lblAlgn val="ctr"/>
        <c:lblOffset val="100"/>
        <c:tickLblSkip val="2"/>
        <c:tickMarkSkip val="1"/>
      </c:catAx>
      <c:valAx>
        <c:axId val="153433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634743875279234E-2"/>
              <c:y val="0.30000000000000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431424"/>
        <c:crosses val="autoZero"/>
        <c:crossBetween val="between"/>
        <c:majorUnit val="545.89480000000003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가일</a:t>
            </a:r>
            <a:r>
              <a:rPr lang="en-US" altLang="ko-KR" sz="1100" b="0" i="0" strike="noStrike">
                <a:solidFill>
                  <a:srgbClr val="000000"/>
                </a:solidFill>
                <a:latin typeface="돋움"/>
                <a:ea typeface="돋움"/>
              </a:rPr>
              <a:t>2</a:t>
            </a: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리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4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5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</c:ser>
        <c:ser>
          <c:idx val="6"/>
          <c:order val="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</c:ser>
        <c:ser>
          <c:idx val="7"/>
          <c:order val="5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smooth val="1"/>
        </c:ser>
        <c:marker val="1"/>
        <c:axId val="153507328"/>
        <c:axId val="153522176"/>
      </c:lineChart>
      <c:catAx>
        <c:axId val="15350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522176"/>
        <c:crosses val="autoZero"/>
        <c:auto val="1"/>
        <c:lblAlgn val="ctr"/>
        <c:lblOffset val="100"/>
        <c:tickLblSkip val="2"/>
        <c:tickMarkSkip val="1"/>
      </c:catAx>
      <c:valAx>
        <c:axId val="15352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50732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방일</a:t>
            </a:r>
            <a:r>
              <a:rPr lang="en-US" altLang="ko-KR" sz="1100" b="0" i="0" strike="noStrike">
                <a:solidFill>
                  <a:srgbClr val="000000"/>
                </a:solidFill>
                <a:latin typeface="돋움"/>
                <a:ea typeface="돋움"/>
              </a:rPr>
              <a:t>1</a:t>
            </a: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리 인구추정결과</a:t>
            </a:r>
          </a:p>
        </c:rich>
      </c:tx>
      <c:layout>
        <c:manualLayout>
          <c:xMode val="edge"/>
          <c:yMode val="edge"/>
          <c:x val="0.35650224215247223"/>
          <c:y val="3.4700315457414387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4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5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</c:ser>
        <c:ser>
          <c:idx val="6"/>
          <c:order val="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</c:ser>
        <c:ser>
          <c:idx val="7"/>
          <c:order val="5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smooth val="1"/>
        </c:ser>
        <c:marker val="1"/>
        <c:axId val="153578880"/>
        <c:axId val="153589632"/>
      </c:lineChart>
      <c:catAx>
        <c:axId val="15357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6860986547086042"/>
              <c:y val="0.801261829652996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589632"/>
        <c:crosses val="autoZero"/>
        <c:auto val="1"/>
        <c:lblAlgn val="ctr"/>
        <c:lblOffset val="100"/>
        <c:tickLblSkip val="2"/>
        <c:tickMarkSkip val="1"/>
      </c:catAx>
      <c:valAx>
        <c:axId val="153589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874439461883414E-2"/>
              <c:y val="0.280757097791798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57888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방일</a:t>
            </a:r>
            <a:r>
              <a:rPr lang="en-US" altLang="ko-KR" sz="1100" b="0" i="0" strike="noStrike">
                <a:solidFill>
                  <a:srgbClr val="000000"/>
                </a:solidFill>
                <a:latin typeface="돋움"/>
                <a:ea typeface="돋움"/>
              </a:rPr>
              <a:t>2</a:t>
            </a: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리 인구추정결과</a:t>
            </a:r>
          </a:p>
        </c:rich>
      </c:tx>
      <c:layout>
        <c:manualLayout>
          <c:xMode val="edge"/>
          <c:yMode val="edge"/>
          <c:x val="0.35794253906181733"/>
          <c:y val="3.4591194968553458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4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5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</c:ser>
        <c:ser>
          <c:idx val="6"/>
          <c:order val="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</c:ser>
        <c:ser>
          <c:idx val="7"/>
          <c:order val="5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smooth val="1"/>
        </c:ser>
        <c:marker val="1"/>
        <c:axId val="151926272"/>
        <c:axId val="151937024"/>
      </c:lineChart>
      <c:catAx>
        <c:axId val="15192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27387012865674"/>
              <c:y val="0.801889103484707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937024"/>
        <c:crosses val="autoZero"/>
        <c:auto val="1"/>
        <c:lblAlgn val="ctr"/>
        <c:lblOffset val="100"/>
        <c:tickLblSkip val="2"/>
        <c:tickMarkSkip val="1"/>
      </c:catAx>
      <c:valAx>
        <c:axId val="15193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794183445190156E-2"/>
              <c:y val="0.27987520427871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192627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방일</a:t>
            </a:r>
            <a:r>
              <a:rPr lang="en-US" altLang="ko-KR" sz="1100" b="0" i="0" strike="noStrike">
                <a:solidFill>
                  <a:srgbClr val="000000"/>
                </a:solidFill>
                <a:latin typeface="돋움"/>
                <a:ea typeface="돋움"/>
              </a:rPr>
              <a:t>3</a:t>
            </a:r>
            <a:r>
              <a:rPr lang="ko-KR" altLang="en-US" sz="1100" b="0" i="0" strike="noStrike">
                <a:solidFill>
                  <a:srgbClr val="000000"/>
                </a:solidFill>
                <a:latin typeface="돋움"/>
                <a:ea typeface="돋움"/>
              </a:rPr>
              <a:t>리 인구추정결과</a:t>
            </a:r>
          </a:p>
        </c:rich>
      </c:tx>
      <c:layout>
        <c:manualLayout>
          <c:xMode val="edge"/>
          <c:yMode val="edge"/>
          <c:x val="0.35714332583427238"/>
          <c:y val="3.4482758620689655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</c:ser>
        <c:ser>
          <c:idx val="4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</c:ser>
        <c:ser>
          <c:idx val="5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</c:ser>
        <c:ser>
          <c:idx val="6"/>
          <c:order val="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</c:ser>
        <c:ser>
          <c:idx val="7"/>
          <c:order val="5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smooth val="1"/>
        </c:ser>
        <c:marker val="1"/>
        <c:axId val="153701760"/>
        <c:axId val="153712512"/>
      </c:lineChart>
      <c:catAx>
        <c:axId val="15370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544689726285794"/>
              <c:y val="0.805643949678715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712512"/>
        <c:crosses val="autoZero"/>
        <c:auto val="1"/>
        <c:lblAlgn val="ctr"/>
        <c:lblOffset val="100"/>
        <c:tickLblSkip val="2"/>
        <c:tickMarkSkip val="1"/>
      </c:catAx>
      <c:valAx>
        <c:axId val="153712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8213199055447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70176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성거읍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3794048"/>
        <c:axId val="153804800"/>
      </c:lineChart>
      <c:catAx>
        <c:axId val="15379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804800"/>
        <c:crosses val="autoZero"/>
        <c:auto val="1"/>
        <c:lblAlgn val="ctr"/>
        <c:lblOffset val="100"/>
        <c:tickLblSkip val="2"/>
        <c:tickMarkSkip val="1"/>
      </c:catAx>
      <c:valAx>
        <c:axId val="15380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79404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직산읍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3644416"/>
        <c:axId val="153663360"/>
      </c:lineChart>
      <c:catAx>
        <c:axId val="15364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663360"/>
        <c:crosses val="autoZero"/>
        <c:auto val="1"/>
        <c:lblAlgn val="ctr"/>
        <c:lblOffset val="100"/>
        <c:tickLblSkip val="2"/>
        <c:tickMarkSkip val="1"/>
      </c:catAx>
      <c:valAx>
        <c:axId val="15366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64441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목천읍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3851776"/>
        <c:axId val="153870720"/>
      </c:lineChart>
      <c:catAx>
        <c:axId val="15385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870720"/>
        <c:crosses val="autoZero"/>
        <c:auto val="1"/>
        <c:lblAlgn val="ctr"/>
        <c:lblOffset val="100"/>
        <c:tickLblSkip val="2"/>
        <c:tickMarkSkip val="1"/>
      </c:catAx>
      <c:valAx>
        <c:axId val="153870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85177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입장면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3927040"/>
        <c:axId val="153941888"/>
      </c:lineChart>
      <c:catAx>
        <c:axId val="15392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941888"/>
        <c:crosses val="autoZero"/>
        <c:auto val="1"/>
        <c:lblAlgn val="ctr"/>
        <c:lblOffset val="100"/>
        <c:tickLblSkip val="2"/>
        <c:tickMarkSkip val="1"/>
      </c:catAx>
      <c:valAx>
        <c:axId val="153941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392704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풍세면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019712"/>
        <c:axId val="154038656"/>
      </c:lineChart>
      <c:catAx>
        <c:axId val="15401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038656"/>
        <c:crosses val="autoZero"/>
        <c:auto val="1"/>
        <c:lblAlgn val="ctr"/>
        <c:lblOffset val="100"/>
        <c:tickLblSkip val="2"/>
        <c:tickMarkSkip val="1"/>
      </c:catAx>
      <c:valAx>
        <c:axId val="154038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01971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광덕면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160512"/>
        <c:axId val="154171264"/>
      </c:lineChart>
      <c:catAx>
        <c:axId val="15416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171264"/>
        <c:crosses val="autoZero"/>
        <c:auto val="1"/>
        <c:lblAlgn val="ctr"/>
        <c:lblOffset val="100"/>
        <c:tickLblSkip val="2"/>
        <c:tickMarkSkip val="1"/>
      </c:catAx>
      <c:valAx>
        <c:axId val="15417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16051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북면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248704"/>
        <c:axId val="154263552"/>
      </c:lineChart>
      <c:catAx>
        <c:axId val="15424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263552"/>
        <c:crosses val="autoZero"/>
        <c:auto val="1"/>
        <c:lblAlgn val="ctr"/>
        <c:lblOffset val="100"/>
        <c:tickLblSkip val="2"/>
        <c:tickMarkSkip val="1"/>
      </c:catAx>
      <c:valAx>
        <c:axId val="154263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24870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성남면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107264"/>
        <c:axId val="154118016"/>
      </c:lineChart>
      <c:catAx>
        <c:axId val="15410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118016"/>
        <c:crosses val="autoZero"/>
        <c:auto val="1"/>
        <c:lblAlgn val="ctr"/>
        <c:lblOffset val="100"/>
        <c:tickLblSkip val="2"/>
        <c:tickMarkSkip val="1"/>
      </c:catAx>
      <c:valAx>
        <c:axId val="15411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10726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수신면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326528"/>
        <c:axId val="154337280"/>
      </c:lineChart>
      <c:catAx>
        <c:axId val="15432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337280"/>
        <c:crosses val="autoZero"/>
        <c:auto val="1"/>
        <c:lblAlgn val="ctr"/>
        <c:lblOffset val="100"/>
        <c:tickLblSkip val="2"/>
        <c:tickMarkSkip val="1"/>
      </c:catAx>
      <c:valAx>
        <c:axId val="1543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32652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병천면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393984"/>
        <c:axId val="154404736"/>
      </c:lineChart>
      <c:catAx>
        <c:axId val="15439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404736"/>
        <c:crosses val="autoZero"/>
        <c:auto val="1"/>
        <c:lblAlgn val="ctr"/>
        <c:lblOffset val="100"/>
        <c:tickLblSkip val="2"/>
        <c:tickMarkSkip val="1"/>
      </c:catAx>
      <c:valAx>
        <c:axId val="154404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39398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동면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461696"/>
        <c:axId val="154484736"/>
      </c:lineChart>
      <c:catAx>
        <c:axId val="15446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484736"/>
        <c:crosses val="autoZero"/>
        <c:auto val="1"/>
        <c:lblAlgn val="ctr"/>
        <c:lblOffset val="100"/>
        <c:tickLblSkip val="2"/>
        <c:tickMarkSkip val="1"/>
      </c:catAx>
      <c:valAx>
        <c:axId val="154484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46169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부성동 인구추정결과</a:t>
            </a:r>
          </a:p>
        </c:rich>
      </c:tx>
      <c:layout>
        <c:manualLayout>
          <c:xMode val="edge"/>
          <c:yMode val="edge"/>
          <c:x val="0.35730384263765508"/>
          <c:y val="3.4810126582278486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803584"/>
        <c:axId val="154810240"/>
      </c:lineChart>
      <c:catAx>
        <c:axId val="15480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목표년도별</a:t>
                </a:r>
              </a:p>
            </c:rich>
          </c:tx>
          <c:layout>
            <c:manualLayout>
              <c:xMode val="edge"/>
              <c:yMode val="edge"/>
              <c:x val="0.47415777522191782"/>
              <c:y val="0.8006342403402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810240"/>
        <c:crosses val="autoZero"/>
        <c:auto val="1"/>
        <c:lblAlgn val="ctr"/>
        <c:lblOffset val="100"/>
        <c:tickLblSkip val="2"/>
        <c:tickMarkSkip val="1"/>
      </c:catAx>
      <c:valAx>
        <c:axId val="15481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955056179775291E-2"/>
              <c:y val="0.2784813448951792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480358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Y울릉도M"/>
                <a:ea typeface="HY울릉도M"/>
                <a:cs typeface="HY울릉도M"/>
              </a:defRPr>
            </a:pPr>
            <a:r>
              <a:rPr lang="ko-KR" altLang="en-US"/>
              <a:t>수학적인 방법에 의한 인구추정결과</a:t>
            </a:r>
          </a:p>
        </c:rich>
      </c:tx>
      <c:layout>
        <c:manualLayout>
          <c:xMode val="edge"/>
          <c:yMode val="edge"/>
          <c:x val="0.35730384412848881"/>
          <c:y val="3.481001790664019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strRef>
              <c:f>'2.인구추정'!$D$219</c:f>
              <c:strCache>
                <c:ptCount val="1"/>
                <c:pt idx="0">
                  <c:v>등차급수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'2.인구추정'!$D$220:$D$237</c:f>
              <c:numCache>
                <c:formatCode>#,##0_ </c:formatCode>
                <c:ptCount val="18"/>
                <c:pt idx="0">
                  <c:v>557878</c:v>
                </c:pt>
                <c:pt idx="1">
                  <c:v>575014</c:v>
                </c:pt>
                <c:pt idx="2">
                  <c:v>592150</c:v>
                </c:pt>
                <c:pt idx="3">
                  <c:v>609286</c:v>
                </c:pt>
                <c:pt idx="4">
                  <c:v>626423</c:v>
                </c:pt>
                <c:pt idx="5">
                  <c:v>643559</c:v>
                </c:pt>
                <c:pt idx="6">
                  <c:v>660695</c:v>
                </c:pt>
                <c:pt idx="7">
                  <c:v>677831</c:v>
                </c:pt>
                <c:pt idx="8">
                  <c:v>694967</c:v>
                </c:pt>
                <c:pt idx="9">
                  <c:v>712103</c:v>
                </c:pt>
                <c:pt idx="10">
                  <c:v>729239</c:v>
                </c:pt>
                <c:pt idx="11">
                  <c:v>746375</c:v>
                </c:pt>
                <c:pt idx="12">
                  <c:v>763511</c:v>
                </c:pt>
                <c:pt idx="13">
                  <c:v>780647</c:v>
                </c:pt>
                <c:pt idx="14">
                  <c:v>797784</c:v>
                </c:pt>
                <c:pt idx="15">
                  <c:v>814920</c:v>
                </c:pt>
                <c:pt idx="16">
                  <c:v>832056</c:v>
                </c:pt>
                <c:pt idx="17">
                  <c:v>849192</c:v>
                </c:pt>
              </c:numCache>
            </c:numRef>
          </c:val>
        </c:ser>
        <c:ser>
          <c:idx val="3"/>
          <c:order val="1"/>
          <c:tx>
            <c:strRef>
              <c:f>'2.인구추정'!$E$219</c:f>
              <c:strCache>
                <c:ptCount val="1"/>
                <c:pt idx="0">
                  <c:v>등비급수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'2.인구추정'!$E$220:$E$237</c:f>
              <c:numCache>
                <c:formatCode>#,##0_ </c:formatCode>
                <c:ptCount val="18"/>
                <c:pt idx="0">
                  <c:v>561297</c:v>
                </c:pt>
                <c:pt idx="1">
                  <c:v>582633</c:v>
                </c:pt>
                <c:pt idx="2">
                  <c:v>604780</c:v>
                </c:pt>
                <c:pt idx="3">
                  <c:v>627769</c:v>
                </c:pt>
                <c:pt idx="4">
                  <c:v>651631</c:v>
                </c:pt>
                <c:pt idx="5">
                  <c:v>676401</c:v>
                </c:pt>
                <c:pt idx="6">
                  <c:v>702113</c:v>
                </c:pt>
                <c:pt idx="7">
                  <c:v>728801</c:v>
                </c:pt>
                <c:pt idx="8">
                  <c:v>756504</c:v>
                </c:pt>
                <c:pt idx="9">
                  <c:v>785261</c:v>
                </c:pt>
                <c:pt idx="10">
                  <c:v>815110</c:v>
                </c:pt>
                <c:pt idx="11">
                  <c:v>846094</c:v>
                </c:pt>
                <c:pt idx="12">
                  <c:v>878256</c:v>
                </c:pt>
                <c:pt idx="13">
                  <c:v>911640</c:v>
                </c:pt>
                <c:pt idx="14">
                  <c:v>946293</c:v>
                </c:pt>
                <c:pt idx="15">
                  <c:v>982264</c:v>
                </c:pt>
                <c:pt idx="16">
                  <c:v>1019601</c:v>
                </c:pt>
                <c:pt idx="17">
                  <c:v>1058359</c:v>
                </c:pt>
              </c:numCache>
            </c:numRef>
          </c:val>
        </c:ser>
        <c:ser>
          <c:idx val="4"/>
          <c:order val="2"/>
          <c:tx>
            <c:strRef>
              <c:f>'2.인구추정'!$F$219</c:f>
              <c:strCache>
                <c:ptCount val="1"/>
                <c:pt idx="0">
                  <c:v>최소자승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'2.인구추정'!$F$220:$F$237</c:f>
              <c:numCache>
                <c:formatCode>#,##0_ </c:formatCode>
                <c:ptCount val="18"/>
                <c:pt idx="0">
                  <c:v>564674</c:v>
                </c:pt>
                <c:pt idx="1">
                  <c:v>582558</c:v>
                </c:pt>
                <c:pt idx="2">
                  <c:v>600442</c:v>
                </c:pt>
                <c:pt idx="3">
                  <c:v>618327</c:v>
                </c:pt>
                <c:pt idx="4">
                  <c:v>636211</c:v>
                </c:pt>
                <c:pt idx="5">
                  <c:v>654095</c:v>
                </c:pt>
                <c:pt idx="6">
                  <c:v>671979</c:v>
                </c:pt>
                <c:pt idx="7">
                  <c:v>689863</c:v>
                </c:pt>
                <c:pt idx="8">
                  <c:v>707747</c:v>
                </c:pt>
                <c:pt idx="9">
                  <c:v>725631</c:v>
                </c:pt>
                <c:pt idx="10">
                  <c:v>743515</c:v>
                </c:pt>
                <c:pt idx="11">
                  <c:v>761399</c:v>
                </c:pt>
                <c:pt idx="12">
                  <c:v>779284</c:v>
                </c:pt>
                <c:pt idx="13">
                  <c:v>797168</c:v>
                </c:pt>
                <c:pt idx="14">
                  <c:v>815052</c:v>
                </c:pt>
                <c:pt idx="15">
                  <c:v>832936</c:v>
                </c:pt>
                <c:pt idx="16">
                  <c:v>850820</c:v>
                </c:pt>
                <c:pt idx="17">
                  <c:v>868704</c:v>
                </c:pt>
              </c:numCache>
            </c:numRef>
          </c:val>
        </c:ser>
        <c:ser>
          <c:idx val="5"/>
          <c:order val="3"/>
          <c:tx>
            <c:strRef>
              <c:f>'2.인구추정'!$G$219</c:f>
              <c:strCache>
                <c:ptCount val="1"/>
                <c:pt idx="0">
                  <c:v>PEGGY함수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'2.인구추정'!$G$220:$G$237</c:f>
              <c:numCache>
                <c:formatCode>#,##0_ </c:formatCode>
                <c:ptCount val="18"/>
                <c:pt idx="0">
                  <c:v>558748</c:v>
                </c:pt>
                <c:pt idx="1">
                  <c:v>575411</c:v>
                </c:pt>
                <c:pt idx="2">
                  <c:v>592027</c:v>
                </c:pt>
                <c:pt idx="3">
                  <c:v>608599</c:v>
                </c:pt>
                <c:pt idx="4">
                  <c:v>625133</c:v>
                </c:pt>
                <c:pt idx="5">
                  <c:v>641629</c:v>
                </c:pt>
                <c:pt idx="6">
                  <c:v>658091</c:v>
                </c:pt>
                <c:pt idx="7">
                  <c:v>674522</c:v>
                </c:pt>
                <c:pt idx="8">
                  <c:v>690922</c:v>
                </c:pt>
                <c:pt idx="9">
                  <c:v>707294</c:v>
                </c:pt>
                <c:pt idx="10">
                  <c:v>723639</c:v>
                </c:pt>
                <c:pt idx="11">
                  <c:v>739959</c:v>
                </c:pt>
                <c:pt idx="12">
                  <c:v>756255</c:v>
                </c:pt>
                <c:pt idx="13">
                  <c:v>772528</c:v>
                </c:pt>
                <c:pt idx="14">
                  <c:v>788779</c:v>
                </c:pt>
                <c:pt idx="15">
                  <c:v>805008</c:v>
                </c:pt>
                <c:pt idx="16">
                  <c:v>821218</c:v>
                </c:pt>
                <c:pt idx="17">
                  <c:v>837408</c:v>
                </c:pt>
              </c:numCache>
            </c:numRef>
          </c:val>
        </c:ser>
        <c:ser>
          <c:idx val="6"/>
          <c:order val="4"/>
          <c:tx>
            <c:strRef>
              <c:f>'2.인구추정'!$H$219</c:f>
              <c:strCache>
                <c:ptCount val="1"/>
                <c:pt idx="0">
                  <c:v>LOGISTIC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'2.인구추정'!$H$220:$H$237</c:f>
              <c:numCache>
                <c:formatCode>#,##0_ </c:formatCode>
                <c:ptCount val="18"/>
                <c:pt idx="0">
                  <c:v>564919</c:v>
                </c:pt>
                <c:pt idx="1">
                  <c:v>582596</c:v>
                </c:pt>
                <c:pt idx="2">
                  <c:v>600062</c:v>
                </c:pt>
                <c:pt idx="3">
                  <c:v>617278</c:v>
                </c:pt>
                <c:pt idx="4">
                  <c:v>634205</c:v>
                </c:pt>
                <c:pt idx="5">
                  <c:v>650806</c:v>
                </c:pt>
                <c:pt idx="6">
                  <c:v>667050</c:v>
                </c:pt>
                <c:pt idx="7">
                  <c:v>682906</c:v>
                </c:pt>
                <c:pt idx="8">
                  <c:v>698349</c:v>
                </c:pt>
                <c:pt idx="9">
                  <c:v>713355</c:v>
                </c:pt>
                <c:pt idx="10">
                  <c:v>727905</c:v>
                </c:pt>
                <c:pt idx="11">
                  <c:v>741984</c:v>
                </c:pt>
                <c:pt idx="12">
                  <c:v>755580</c:v>
                </c:pt>
                <c:pt idx="13">
                  <c:v>768682</c:v>
                </c:pt>
                <c:pt idx="14">
                  <c:v>781285</c:v>
                </c:pt>
                <c:pt idx="15">
                  <c:v>793386</c:v>
                </c:pt>
                <c:pt idx="16">
                  <c:v>804984</c:v>
                </c:pt>
                <c:pt idx="17">
                  <c:v>816083</c:v>
                </c:pt>
              </c:numCache>
            </c:numRef>
          </c:val>
        </c:ser>
        <c:ser>
          <c:idx val="7"/>
          <c:order val="5"/>
          <c:tx>
            <c:strRef>
              <c:f>'2.인구추정'!$I$219</c:f>
              <c:strCache>
                <c:ptCount val="1"/>
                <c:pt idx="0">
                  <c:v>평균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'2.인구추정'!$B$220:$C$237</c:f>
              <c:strCache>
                <c:ptCount val="18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  <c:pt idx="5">
                  <c:v>2013년</c:v>
                </c:pt>
                <c:pt idx="6">
                  <c:v>2014년</c:v>
                </c:pt>
                <c:pt idx="7">
                  <c:v>2015년</c:v>
                </c:pt>
                <c:pt idx="8">
                  <c:v>2016년</c:v>
                </c:pt>
                <c:pt idx="9">
                  <c:v>2017년</c:v>
                </c:pt>
                <c:pt idx="10">
                  <c:v>2018년</c:v>
                </c:pt>
                <c:pt idx="11">
                  <c:v>2019년</c:v>
                </c:pt>
                <c:pt idx="12">
                  <c:v>2020년</c:v>
                </c:pt>
                <c:pt idx="13">
                  <c:v>2021년</c:v>
                </c:pt>
                <c:pt idx="14">
                  <c:v>2022년</c:v>
                </c:pt>
                <c:pt idx="15">
                  <c:v>2023년</c:v>
                </c:pt>
                <c:pt idx="16">
                  <c:v>2024년</c:v>
                </c:pt>
                <c:pt idx="17">
                  <c:v>2025년</c:v>
                </c:pt>
              </c:strCache>
            </c:strRef>
          </c:cat>
          <c:val>
            <c:numRef>
              <c:f>'2.인구추정'!$I$220:$I$237</c:f>
              <c:numCache>
                <c:formatCode>#,##0_ </c:formatCode>
                <c:ptCount val="18"/>
                <c:pt idx="0">
                  <c:v>561503.19999999995</c:v>
                </c:pt>
                <c:pt idx="1">
                  <c:v>579642.4</c:v>
                </c:pt>
                <c:pt idx="2">
                  <c:v>597892.19999999995</c:v>
                </c:pt>
                <c:pt idx="3">
                  <c:v>616251.80000000005</c:v>
                </c:pt>
                <c:pt idx="4">
                  <c:v>634720.6</c:v>
                </c:pt>
                <c:pt idx="5">
                  <c:v>653298</c:v>
                </c:pt>
                <c:pt idx="6">
                  <c:v>671985.6</c:v>
                </c:pt>
                <c:pt idx="7">
                  <c:v>690784.6</c:v>
                </c:pt>
                <c:pt idx="8">
                  <c:v>709697.8</c:v>
                </c:pt>
                <c:pt idx="9">
                  <c:v>728728.8</c:v>
                </c:pt>
                <c:pt idx="10">
                  <c:v>747881.6</c:v>
                </c:pt>
                <c:pt idx="11">
                  <c:v>767162.2</c:v>
                </c:pt>
                <c:pt idx="12">
                  <c:v>786577.2</c:v>
                </c:pt>
                <c:pt idx="13">
                  <c:v>806133</c:v>
                </c:pt>
                <c:pt idx="14">
                  <c:v>825838.6</c:v>
                </c:pt>
                <c:pt idx="15">
                  <c:v>845702.8</c:v>
                </c:pt>
                <c:pt idx="16">
                  <c:v>865735.8</c:v>
                </c:pt>
                <c:pt idx="17">
                  <c:v>885949.2</c:v>
                </c:pt>
              </c:numCache>
            </c:numRef>
          </c:val>
          <c:smooth val="1"/>
        </c:ser>
        <c:marker val="1"/>
        <c:axId val="154949504"/>
        <c:axId val="154976256"/>
      </c:lineChart>
      <c:catAx>
        <c:axId val="1549495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endParaRPr lang="ko-KR"/>
          </a:p>
        </c:txPr>
        <c:crossAx val="154976256"/>
        <c:crosses val="autoZero"/>
        <c:auto val="1"/>
        <c:lblAlgn val="ctr"/>
        <c:lblOffset val="100"/>
        <c:tickLblSkip val="1"/>
        <c:tickMarkSkip val="1"/>
      </c:catAx>
      <c:valAx>
        <c:axId val="154976256"/>
        <c:scaling>
          <c:orientation val="minMax"/>
          <c:min val="4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계획인구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(</a:t>
                </a:r>
                <a:r>
                  <a:rPr lang="ko-KR" altLang="en-US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인</a:t>
                </a:r>
                <a:r>
                  <a:rPr lang="en-US" altLang="ko-KR" sz="1100" b="0" i="0" strike="noStrike">
                    <a:solidFill>
                      <a:srgbClr val="000000"/>
                    </a:solidFill>
                    <a:latin typeface="가는둥근제목체"/>
                    <a:ea typeface="가는둥근제목체"/>
                  </a:rPr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endParaRPr lang="ko-KR"/>
          </a:p>
        </c:txPr>
        <c:crossAx val="15494950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가는둥근제목체"/>
              <a:ea typeface="가는둥근제목체"/>
              <a:cs typeface="가는둥근제목체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r>
              <a:rPr lang="ko-KR" altLang="en-US"/>
              <a:t>장래인구추정</a:t>
            </a:r>
            <a:r>
              <a:rPr lang="en-US" altLang="ko-KR"/>
              <a:t>(</a:t>
            </a:r>
            <a:r>
              <a:rPr lang="ko-KR" altLang="en-US"/>
              <a:t>과거 </a:t>
            </a:r>
            <a:r>
              <a:rPr lang="en-US" altLang="ko-KR"/>
              <a:t>10</a:t>
            </a:r>
            <a:r>
              <a:rPr lang="ko-KR" altLang="en-US"/>
              <a:t>년자료 기준</a:t>
            </a:r>
            <a:r>
              <a:rPr lang="en-US" altLang="ko-KR"/>
              <a:t>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54995328"/>
        <c:axId val="155005696"/>
      </c:lineChart>
      <c:catAx>
        <c:axId val="1549953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5005696"/>
        <c:crosses val="autoZero"/>
        <c:auto val="1"/>
        <c:lblAlgn val="ctr"/>
        <c:lblOffset val="100"/>
        <c:tickLblSkip val="1"/>
        <c:tickMarkSkip val="1"/>
      </c:catAx>
      <c:valAx>
        <c:axId val="155005696"/>
        <c:scaling>
          <c:orientation val="minMax"/>
          <c:max val="1000000"/>
          <c:min val="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가는둥근제목체"/>
                    <a:ea typeface="가는둥근제목체"/>
                    <a:cs typeface="가는둥근제목체"/>
                  </a:defRPr>
                </a:pPr>
                <a:r>
                  <a:rPr lang="ko-KR" altLang="en-US"/>
                  <a:t>인 구 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4995328"/>
        <c:crosses val="autoZero"/>
        <c:crossBetween val="between"/>
        <c:majorUnit val="100000"/>
        <c:minorUnit val="5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 paperSize="9" orientation="landscape" horizontalDpi="1200" verticalDpi="120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r>
              <a:rPr lang="ko-KR" altLang="en-US"/>
              <a:t>장래인구추정</a:t>
            </a:r>
            <a:r>
              <a:rPr lang="en-US" altLang="ko-KR"/>
              <a:t>(</a:t>
            </a:r>
            <a:r>
              <a:rPr lang="ko-KR" altLang="en-US"/>
              <a:t>최근 </a:t>
            </a:r>
            <a:r>
              <a:rPr lang="en-US" altLang="ko-KR"/>
              <a:t>5</a:t>
            </a:r>
            <a:r>
              <a:rPr lang="ko-KR" altLang="en-US"/>
              <a:t>년자료 기준</a:t>
            </a:r>
            <a:r>
              <a:rPr lang="en-US" altLang="ko-KR"/>
              <a:t>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수학적방법!#REF!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수학적방법!#REF!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55040384"/>
        <c:axId val="155046656"/>
      </c:lineChart>
      <c:catAx>
        <c:axId val="1550403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5046656"/>
        <c:crosses val="autoZero"/>
        <c:auto val="1"/>
        <c:lblAlgn val="ctr"/>
        <c:lblOffset val="100"/>
        <c:tickLblSkip val="1"/>
        <c:tickMarkSkip val="1"/>
      </c:catAx>
      <c:valAx>
        <c:axId val="155046656"/>
        <c:scaling>
          <c:orientation val="minMax"/>
          <c:max val="1000000"/>
          <c:min val="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가는둥근제목체"/>
                    <a:ea typeface="가는둥근제목체"/>
                    <a:cs typeface="가는둥근제목체"/>
                  </a:defRPr>
                </a:pPr>
                <a:r>
                  <a:rPr lang="ko-KR" altLang="en-US"/>
                  <a:t>인 구 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5040384"/>
        <c:crosses val="autoZero"/>
        <c:crossBetween val="between"/>
        <c:majorUnit val="100000"/>
        <c:minorUnit val="5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 paperSize="9" orientation="landscape" horizontalDpi="1200" verticalDpi="12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6691729323308271"/>
          <c:y val="3.2719901744435682E-2"/>
          <c:w val="0.81203007518795955"/>
          <c:h val="0.82822251290602811"/>
        </c:manualLayout>
      </c:layout>
      <c:barChart>
        <c:barDir val="col"/>
        <c:grouping val="clustered"/>
        <c:ser>
          <c:idx val="1"/>
          <c:order val="0"/>
          <c:tx>
            <c:strRef>
              <c:f>수학적방법!$C$39</c:f>
              <c:strCache>
                <c:ptCount val="1"/>
                <c:pt idx="0">
                  <c:v>5년 기준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22353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수학적방법!$B$40:$B$44</c:f>
              <c:numCache>
                <c:formatCode>#"년"</c:formatCode>
                <c:ptCount val="5"/>
                <c:pt idx="0">
                  <c:v>2007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</c:numCache>
            </c:numRef>
          </c:cat>
          <c:val>
            <c:numRef>
              <c:f>수학적방법!$C$40:$C$44</c:f>
              <c:numCache>
                <c:formatCode>_-* #,##0_-;\-* #,##0_-;_-* "-"_-;_-@_-</c:formatCode>
                <c:ptCount val="5"/>
                <c:pt idx="0">
                  <c:v>540742</c:v>
                </c:pt>
                <c:pt idx="1">
                  <c:v>589224</c:v>
                </c:pt>
                <c:pt idx="2">
                  <c:v>661270</c:v>
                </c:pt>
                <c:pt idx="3">
                  <c:v>729639</c:v>
                </c:pt>
                <c:pt idx="4">
                  <c:v>794399</c:v>
                </c:pt>
              </c:numCache>
            </c:numRef>
          </c:val>
        </c:ser>
        <c:ser>
          <c:idx val="0"/>
          <c:order val="1"/>
          <c:tx>
            <c:strRef>
              <c:f>수학적방법!$D$39</c:f>
              <c:strCache>
                <c:ptCount val="1"/>
                <c:pt idx="0">
                  <c:v>10년 기준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79216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수학적방법!$B$40:$B$44</c:f>
              <c:numCache>
                <c:formatCode>#"년"</c:formatCode>
                <c:ptCount val="5"/>
                <c:pt idx="0">
                  <c:v>2007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</c:numCache>
            </c:numRef>
          </c:cat>
          <c:val>
            <c:numRef>
              <c:f>수학적방법!$D$40:$D$44</c:f>
              <c:numCache>
                <c:formatCode>_-* #,##0_-;\-* #,##0_-;_-* "-"_-;_-@_-</c:formatCode>
                <c:ptCount val="5"/>
                <c:pt idx="0">
                  <c:v>540742</c:v>
                </c:pt>
                <c:pt idx="1">
                  <c:v>596570</c:v>
                </c:pt>
                <c:pt idx="2">
                  <c:v>681914</c:v>
                </c:pt>
                <c:pt idx="3">
                  <c:v>764483</c:v>
                </c:pt>
                <c:pt idx="4">
                  <c:v>843823</c:v>
                </c:pt>
              </c:numCache>
            </c:numRef>
          </c:val>
        </c:ser>
        <c:axId val="155416064"/>
        <c:axId val="155417984"/>
      </c:barChart>
      <c:catAx>
        <c:axId val="15541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년 도</a:t>
                </a:r>
              </a:p>
            </c:rich>
          </c:tx>
          <c:layout>
            <c:manualLayout>
              <c:xMode val="edge"/>
              <c:yMode val="edge"/>
              <c:x val="0.92180451127820062"/>
              <c:y val="0.9202472365622536"/>
            </c:manualLayout>
          </c:layout>
          <c:spPr>
            <a:noFill/>
            <a:ln w="25400">
              <a:noFill/>
            </a:ln>
          </c:spPr>
        </c:title>
        <c:numFmt formatCode="#&quot;년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155417984"/>
        <c:crosses val="autoZero"/>
        <c:lblAlgn val="ctr"/>
        <c:lblOffset val="100"/>
        <c:tickLblSkip val="1"/>
        <c:tickMarkSkip val="1"/>
      </c:catAx>
      <c:valAx>
        <c:axId val="155417984"/>
        <c:scaling>
          <c:orientation val="minMax"/>
          <c:max val="100000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인 구</a:t>
                </a:r>
                <a:r>
                  <a:rPr lang="en-US"/>
                  <a:t>(</a:t>
                </a:r>
                <a:r>
                  <a:rPr lang="ko-KR"/>
                  <a:t>인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187969924813544E-3"/>
              <c:y val="0.37218888234297126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155416064"/>
        <c:crosses val="autoZero"/>
        <c:crossBetween val="between"/>
        <c:majorUnit val="1000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70676691729957"/>
          <c:y val="0.92638221813933519"/>
          <c:w val="0.54586466165413561"/>
          <c:h val="5.11248464756790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gradFill rotWithShape="0">
      <a:gsLst>
        <a:gs pos="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가는으뜸체" pitchFamily="18" charset="-127"/>
          <a:ea typeface="가는으뜸체" pitchFamily="18" charset="-127"/>
          <a:cs typeface="HY울릉도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2707838479809991"/>
          <c:y val="7.9611650485436933E-2"/>
          <c:w val="0.83610451306414524"/>
          <c:h val="0.72233009708737861"/>
        </c:manualLayout>
      </c:layout>
      <c:lineChart>
        <c:grouping val="standard"/>
        <c:ser>
          <c:idx val="3"/>
          <c:order val="0"/>
          <c:tx>
            <c:strRef>
              <c:f>사회유입인구!$N$48</c:f>
              <c:strCache>
                <c:ptCount val="1"/>
                <c:pt idx="0">
                  <c:v>증가인구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사회유입인구!$L$50:$L$59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사회유입인구!$N$50:$N$59</c:f>
              <c:numCache>
                <c:formatCode>_-* #,##0_-;\-* #,##0_-;_-* "-"_-;_-@_-</c:formatCode>
                <c:ptCount val="10"/>
                <c:pt idx="0">
                  <c:v>13125</c:v>
                </c:pt>
                <c:pt idx="1">
                  <c:v>19535</c:v>
                </c:pt>
                <c:pt idx="2">
                  <c:v>19083</c:v>
                </c:pt>
                <c:pt idx="3">
                  <c:v>11573</c:v>
                </c:pt>
                <c:pt idx="4">
                  <c:v>8777</c:v>
                </c:pt>
                <c:pt idx="5">
                  <c:v>17229</c:v>
                </c:pt>
                <c:pt idx="6">
                  <c:v>47030</c:v>
                </c:pt>
                <c:pt idx="7">
                  <c:v>9074</c:v>
                </c:pt>
                <c:pt idx="8">
                  <c:v>12375</c:v>
                </c:pt>
                <c:pt idx="9">
                  <c:v>9549</c:v>
                </c:pt>
              </c:numCache>
            </c:numRef>
          </c:val>
        </c:ser>
        <c:ser>
          <c:idx val="0"/>
          <c:order val="1"/>
          <c:tx>
            <c:strRef>
              <c:f>사회유입인구!$O$48</c:f>
              <c:strCache>
                <c:ptCount val="1"/>
                <c:pt idx="0">
                  <c:v>자연증가 인구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사회유입인구!$L$50:$L$59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사회유입인구!$O$50:$O$59</c:f>
              <c:numCache>
                <c:formatCode>_-* #,##0_-;\-* #,##0_-;_-* "-"_-;_-@_-</c:formatCode>
                <c:ptCount val="10"/>
                <c:pt idx="0">
                  <c:v>4469</c:v>
                </c:pt>
                <c:pt idx="1">
                  <c:v>4621</c:v>
                </c:pt>
                <c:pt idx="2">
                  <c:v>5223</c:v>
                </c:pt>
                <c:pt idx="3">
                  <c:v>4738</c:v>
                </c:pt>
                <c:pt idx="4">
                  <c:v>3631</c:v>
                </c:pt>
                <c:pt idx="5">
                  <c:v>3801</c:v>
                </c:pt>
                <c:pt idx="6">
                  <c:v>4108</c:v>
                </c:pt>
                <c:pt idx="7">
                  <c:v>3922</c:v>
                </c:pt>
                <c:pt idx="8">
                  <c:v>4341</c:v>
                </c:pt>
                <c:pt idx="9">
                  <c:v>4837</c:v>
                </c:pt>
              </c:numCache>
            </c:numRef>
          </c:val>
        </c:ser>
        <c:ser>
          <c:idx val="1"/>
          <c:order val="2"/>
          <c:tx>
            <c:strRef>
              <c:f>사회유입인구!$R$48</c:f>
              <c:strCache>
                <c:ptCount val="1"/>
                <c:pt idx="0">
                  <c:v>사회적 유입인구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사회유입인구!$L$50:$L$59</c:f>
              <c:strCache>
                <c:ptCount val="10"/>
                <c:pt idx="0">
                  <c:v>1998년</c:v>
                </c:pt>
                <c:pt idx="1">
                  <c:v>1999년</c:v>
                </c:pt>
                <c:pt idx="2">
                  <c:v>2000년</c:v>
                </c:pt>
                <c:pt idx="3">
                  <c:v>2001년</c:v>
                </c:pt>
                <c:pt idx="4">
                  <c:v>2002년</c:v>
                </c:pt>
                <c:pt idx="5">
                  <c:v>2003년</c:v>
                </c:pt>
                <c:pt idx="6">
                  <c:v>2004년</c:v>
                </c:pt>
                <c:pt idx="7">
                  <c:v>2005년</c:v>
                </c:pt>
                <c:pt idx="8">
                  <c:v>2006년</c:v>
                </c:pt>
                <c:pt idx="9">
                  <c:v>2007년</c:v>
                </c:pt>
              </c:strCache>
            </c:strRef>
          </c:cat>
          <c:val>
            <c:numRef>
              <c:f>사회유입인구!$R$50:$R$59</c:f>
              <c:numCache>
                <c:formatCode>_-* #,##0_-;\-* #,##0_-;_-* "-"_-;_-@_-</c:formatCode>
                <c:ptCount val="10"/>
                <c:pt idx="0">
                  <c:v>8656</c:v>
                </c:pt>
                <c:pt idx="1">
                  <c:v>14914</c:v>
                </c:pt>
                <c:pt idx="2">
                  <c:v>13860</c:v>
                </c:pt>
                <c:pt idx="3">
                  <c:v>6835</c:v>
                </c:pt>
                <c:pt idx="4">
                  <c:v>5146</c:v>
                </c:pt>
                <c:pt idx="5">
                  <c:v>13428</c:v>
                </c:pt>
                <c:pt idx="6">
                  <c:v>42922</c:v>
                </c:pt>
                <c:pt idx="7">
                  <c:v>5152</c:v>
                </c:pt>
                <c:pt idx="8">
                  <c:v>8034</c:v>
                </c:pt>
                <c:pt idx="9">
                  <c:v>4712</c:v>
                </c:pt>
              </c:numCache>
            </c:numRef>
          </c:val>
        </c:ser>
        <c:marker val="1"/>
        <c:axId val="155640960"/>
        <c:axId val="155642880"/>
      </c:lineChart>
      <c:catAx>
        <c:axId val="155640960"/>
        <c:scaling>
          <c:orientation val="minMax"/>
        </c:scaling>
        <c:axPos val="b"/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5642880"/>
        <c:crosses val="autoZero"/>
        <c:lblAlgn val="ctr"/>
        <c:lblOffset val="100"/>
        <c:tickLblSkip val="1"/>
        <c:tickMarkSkip val="1"/>
      </c:catAx>
      <c:valAx>
        <c:axId val="155642880"/>
        <c:scaling>
          <c:orientation val="minMax"/>
          <c:max val="5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인 구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2.8503562945368172E-2"/>
              <c:y val="0.36699029126214244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564096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20427553444444"/>
          <c:y val="0.90097087378640772"/>
          <c:w val="0.77434679334918877"/>
          <c:h val="5.43689320388371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2359550561797752"/>
          <c:y val="0.11842105263158099"/>
          <c:w val="0.86195826645264861"/>
          <c:h val="0.69736842105261998"/>
        </c:manualLayout>
      </c:layout>
      <c:lineChart>
        <c:grouping val="standard"/>
        <c:ser>
          <c:idx val="0"/>
          <c:order val="0"/>
          <c:tx>
            <c:strRef>
              <c:f>증설계획!$P$5</c:f>
              <c:strCache>
                <c:ptCount val="1"/>
                <c:pt idx="0">
                  <c:v>일평균 하수량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증설계획!$Q$3:$U$3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증설계획!$Q$5:$U$5</c:f>
              <c:numCache>
                <c:formatCode>_-* #,##0_-;\-* #,##0_-;_-* "-"_-;_-@_-</c:formatCode>
                <c:ptCount val="5"/>
                <c:pt idx="0">
                  <c:v>3634</c:v>
                </c:pt>
                <c:pt idx="1">
                  <c:v>9622</c:v>
                </c:pt>
                <c:pt idx="2">
                  <c:v>14098</c:v>
                </c:pt>
                <c:pt idx="3">
                  <c:v>14254</c:v>
                </c:pt>
                <c:pt idx="4">
                  <c:v>14466</c:v>
                </c:pt>
              </c:numCache>
            </c:numRef>
          </c:val>
        </c:ser>
        <c:ser>
          <c:idx val="1"/>
          <c:order val="1"/>
          <c:tx>
            <c:strRef>
              <c:f>증설계획!$P$6</c:f>
              <c:strCache>
                <c:ptCount val="1"/>
                <c:pt idx="0">
                  <c:v>일최대 하수량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증설계획!$Q$3:$U$3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증설계획!$Q$6:$U$6</c:f>
              <c:numCache>
                <c:formatCode>_-* #,##0_-;\-* #,##0_-;_-* "-"_-;_-@_-</c:formatCode>
                <c:ptCount val="5"/>
                <c:pt idx="0">
                  <c:v>4440</c:v>
                </c:pt>
                <c:pt idx="1">
                  <c:v>12053</c:v>
                </c:pt>
                <c:pt idx="2">
                  <c:v>18073</c:v>
                </c:pt>
                <c:pt idx="3">
                  <c:v>18288</c:v>
                </c:pt>
                <c:pt idx="4">
                  <c:v>18549</c:v>
                </c:pt>
              </c:numCache>
            </c:numRef>
          </c:val>
        </c:ser>
        <c:marker val="1"/>
        <c:axId val="156478848"/>
        <c:axId val="156497408"/>
      </c:lineChart>
      <c:catAx>
        <c:axId val="1564788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497408"/>
        <c:crosses val="autoZero"/>
        <c:auto val="1"/>
        <c:lblAlgn val="ctr"/>
        <c:lblOffset val="100"/>
        <c:tickLblSkip val="1"/>
        <c:tickMarkSkip val="1"/>
      </c:catAx>
      <c:valAx>
        <c:axId val="156497408"/>
        <c:scaling>
          <c:orientation val="minMax"/>
          <c:max val="2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47884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82182985553781"/>
          <c:y val="0.9263157894736842"/>
          <c:w val="0.57142857142858605"/>
          <c:h val="5.78947368421075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HY울릉도L"/>
          <a:ea typeface="HY울릉도L"/>
          <a:cs typeface="HY울릉도L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4808374966292712"/>
          <c:y val="0.11578947368421059"/>
          <c:w val="0.8362376451553355"/>
          <c:h val="0.70526315789473659"/>
        </c:manualLayout>
      </c:layout>
      <c:lineChart>
        <c:grouping val="standard"/>
        <c:ser>
          <c:idx val="0"/>
          <c:order val="0"/>
          <c:tx>
            <c:strRef>
              <c:f>증설계획!$B$5</c:f>
              <c:strCache>
                <c:ptCount val="1"/>
                <c:pt idx="0">
                  <c:v>일  평  균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증설계획!$C$3:$G$3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증설계획!$C$5:$G$5</c:f>
              <c:numCache>
                <c:formatCode>_-* #,##0_-;\-* #,##0_-;_-* "-"_-;_-@_-</c:formatCode>
                <c:ptCount val="5"/>
                <c:pt idx="0">
                  <c:v>118299</c:v>
                </c:pt>
                <c:pt idx="1">
                  <c:v>144007</c:v>
                </c:pt>
                <c:pt idx="2">
                  <c:v>170791</c:v>
                </c:pt>
                <c:pt idx="3">
                  <c:v>175275</c:v>
                </c:pt>
                <c:pt idx="4">
                  <c:v>180712</c:v>
                </c:pt>
              </c:numCache>
            </c:numRef>
          </c:val>
        </c:ser>
        <c:ser>
          <c:idx val="1"/>
          <c:order val="1"/>
          <c:tx>
            <c:strRef>
              <c:f>증설계획!$B$6</c:f>
              <c:strCache>
                <c:ptCount val="1"/>
                <c:pt idx="0">
                  <c:v>일  최  대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증설계획!$C$3:$G$3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증설계획!$C$6:$G$6</c:f>
              <c:numCache>
                <c:formatCode>_-* #,##0_-;\-* #,##0_-;_-* "-"_-;_-@_-</c:formatCode>
                <c:ptCount val="5"/>
                <c:pt idx="0">
                  <c:v>142460</c:v>
                </c:pt>
                <c:pt idx="1">
                  <c:v>174042</c:v>
                </c:pt>
                <c:pt idx="2">
                  <c:v>206856</c:v>
                </c:pt>
                <c:pt idx="3">
                  <c:v>212124</c:v>
                </c:pt>
                <c:pt idx="4">
                  <c:v>218771</c:v>
                </c:pt>
              </c:numCache>
            </c:numRef>
          </c:val>
        </c:ser>
        <c:marker val="1"/>
        <c:axId val="156727552"/>
        <c:axId val="156737920"/>
      </c:lineChart>
      <c:catAx>
        <c:axId val="1567275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737920"/>
        <c:crosses val="autoZero"/>
        <c:auto val="1"/>
        <c:lblAlgn val="ctr"/>
        <c:lblOffset val="100"/>
        <c:tickLblSkip val="1"/>
        <c:tickMarkSkip val="1"/>
      </c:catAx>
      <c:valAx>
        <c:axId val="156737920"/>
        <c:scaling>
          <c:orientation val="minMax"/>
          <c:max val="25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727552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19183769993821"/>
          <c:y val="0.91578947368422381"/>
          <c:w val="0.62020958682354665"/>
          <c:h val="5.78947368421075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HY울릉도L"/>
          <a:ea typeface="HY울릉도L"/>
          <a:cs typeface="HY울릉도L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2359550561797752"/>
          <c:y val="0.11842105263158099"/>
          <c:w val="0.86195826645264861"/>
          <c:h val="0.69736842105261998"/>
        </c:manualLayout>
      </c:layout>
      <c:lineChart>
        <c:grouping val="standard"/>
        <c:ser>
          <c:idx val="0"/>
          <c:order val="0"/>
          <c:tx>
            <c:strRef>
              <c:f>증설계획!$I$5</c:f>
              <c:strCache>
                <c:ptCount val="1"/>
                <c:pt idx="0">
                  <c:v>일평균 하수량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증설계획!$J$3:$N$3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증설계획!$J$5:$N$5</c:f>
              <c:numCache>
                <c:formatCode>_-* #,##0_-;\-* #,##0_-;_-* "-"_-;_-@_-</c:formatCode>
                <c:ptCount val="5"/>
                <c:pt idx="0">
                  <c:v>11466</c:v>
                </c:pt>
                <c:pt idx="1">
                  <c:v>15945</c:v>
                </c:pt>
                <c:pt idx="2">
                  <c:v>24232</c:v>
                </c:pt>
                <c:pt idx="3">
                  <c:v>42193</c:v>
                </c:pt>
                <c:pt idx="4">
                  <c:v>43012</c:v>
                </c:pt>
              </c:numCache>
            </c:numRef>
          </c:val>
        </c:ser>
        <c:ser>
          <c:idx val="1"/>
          <c:order val="1"/>
          <c:tx>
            <c:strRef>
              <c:f>증설계획!$I$6</c:f>
              <c:strCache>
                <c:ptCount val="1"/>
                <c:pt idx="0">
                  <c:v>일최대 하수량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증설계획!$J$3:$N$3</c:f>
              <c:strCache>
                <c:ptCount val="5"/>
                <c:pt idx="0">
                  <c:v>2007년</c:v>
                </c:pt>
                <c:pt idx="1">
                  <c:v>2010년</c:v>
                </c:pt>
                <c:pt idx="2">
                  <c:v>2015년</c:v>
                </c:pt>
                <c:pt idx="3">
                  <c:v>2020년</c:v>
                </c:pt>
                <c:pt idx="4">
                  <c:v>2025년</c:v>
                </c:pt>
              </c:strCache>
            </c:strRef>
          </c:cat>
          <c:val>
            <c:numRef>
              <c:f>증설계획!$J$6:$N$6</c:f>
              <c:numCache>
                <c:formatCode>_-* #,##0_-;\-* #,##0_-;_-* "-"_-;_-@_-</c:formatCode>
                <c:ptCount val="5"/>
                <c:pt idx="0">
                  <c:v>13993</c:v>
                </c:pt>
                <c:pt idx="1">
                  <c:v>19497</c:v>
                </c:pt>
                <c:pt idx="2">
                  <c:v>29626</c:v>
                </c:pt>
                <c:pt idx="3">
                  <c:v>51543</c:v>
                </c:pt>
                <c:pt idx="4">
                  <c:v>52544</c:v>
                </c:pt>
              </c:numCache>
            </c:numRef>
          </c:val>
        </c:ser>
        <c:marker val="1"/>
        <c:axId val="156790784"/>
        <c:axId val="156792704"/>
      </c:lineChart>
      <c:catAx>
        <c:axId val="1567907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792704"/>
        <c:crosses val="autoZero"/>
        <c:auto val="1"/>
        <c:lblAlgn val="ctr"/>
        <c:lblOffset val="100"/>
        <c:tickLblSkip val="1"/>
        <c:tickMarkSkip val="1"/>
      </c:catAx>
      <c:valAx>
        <c:axId val="156792704"/>
        <c:scaling>
          <c:orientation val="minMax"/>
          <c:max val="6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5679078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012841091493"/>
          <c:y val="0.9236842105263261"/>
          <c:w val="0.57142857142858605"/>
          <c:h val="5.78947368421075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FFFFFF"/>
        </a:gs>
        <a:gs pos="100000">
          <a:srgbClr val="C0C0C0"/>
        </a:gs>
      </a:gsLst>
      <a:lin ang="5400000" scaled="1"/>
    </a:gra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HY울릉도L"/>
          <a:ea typeface="HY울릉도L"/>
          <a:cs typeface="HY울릉도L"/>
        </a:defRPr>
      </a:pPr>
      <a:endParaRPr lang="ko-KR"/>
    </a:p>
  </c:txPr>
  <c:printSettings>
    <c:headerFooter alignWithMargins="0"/>
    <c:pageMargins b="1" l="0.75000000000001044" r="0.75000000000001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9" Type="http://schemas.openxmlformats.org/officeDocument/2006/relationships/chart" Target="../charts/chart42.xml"/><Relationship Id="rId21" Type="http://schemas.openxmlformats.org/officeDocument/2006/relationships/chart" Target="../charts/chart24.xml"/><Relationship Id="rId34" Type="http://schemas.openxmlformats.org/officeDocument/2006/relationships/chart" Target="../charts/chart37.xml"/><Relationship Id="rId42" Type="http://schemas.openxmlformats.org/officeDocument/2006/relationships/chart" Target="../charts/chart45.xml"/><Relationship Id="rId47" Type="http://schemas.openxmlformats.org/officeDocument/2006/relationships/chart" Target="../charts/chart50.xml"/><Relationship Id="rId50" Type="http://schemas.openxmlformats.org/officeDocument/2006/relationships/chart" Target="../charts/chart53.xml"/><Relationship Id="rId55" Type="http://schemas.openxmlformats.org/officeDocument/2006/relationships/chart" Target="../charts/chart58.xml"/><Relationship Id="rId63" Type="http://schemas.openxmlformats.org/officeDocument/2006/relationships/chart" Target="../charts/chart66.xml"/><Relationship Id="rId68" Type="http://schemas.openxmlformats.org/officeDocument/2006/relationships/chart" Target="../charts/chart71.xml"/><Relationship Id="rId76" Type="http://schemas.openxmlformats.org/officeDocument/2006/relationships/chart" Target="../charts/chart79.xml"/><Relationship Id="rId7" Type="http://schemas.openxmlformats.org/officeDocument/2006/relationships/chart" Target="../charts/chart10.xml"/><Relationship Id="rId71" Type="http://schemas.openxmlformats.org/officeDocument/2006/relationships/chart" Target="../charts/chart74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9" Type="http://schemas.openxmlformats.org/officeDocument/2006/relationships/chart" Target="../charts/chart32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32" Type="http://schemas.openxmlformats.org/officeDocument/2006/relationships/chart" Target="../charts/chart35.xml"/><Relationship Id="rId37" Type="http://schemas.openxmlformats.org/officeDocument/2006/relationships/chart" Target="../charts/chart40.xml"/><Relationship Id="rId40" Type="http://schemas.openxmlformats.org/officeDocument/2006/relationships/chart" Target="../charts/chart43.xml"/><Relationship Id="rId45" Type="http://schemas.openxmlformats.org/officeDocument/2006/relationships/chart" Target="../charts/chart48.xml"/><Relationship Id="rId53" Type="http://schemas.openxmlformats.org/officeDocument/2006/relationships/chart" Target="../charts/chart56.xml"/><Relationship Id="rId58" Type="http://schemas.openxmlformats.org/officeDocument/2006/relationships/chart" Target="../charts/chart61.xml"/><Relationship Id="rId66" Type="http://schemas.openxmlformats.org/officeDocument/2006/relationships/chart" Target="../charts/chart69.xml"/><Relationship Id="rId74" Type="http://schemas.openxmlformats.org/officeDocument/2006/relationships/chart" Target="../charts/chart77.xml"/><Relationship Id="rId79" Type="http://schemas.openxmlformats.org/officeDocument/2006/relationships/chart" Target="../charts/chart82.xml"/><Relationship Id="rId5" Type="http://schemas.openxmlformats.org/officeDocument/2006/relationships/chart" Target="../charts/chart8.xml"/><Relationship Id="rId61" Type="http://schemas.openxmlformats.org/officeDocument/2006/relationships/chart" Target="../charts/chart64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31" Type="http://schemas.openxmlformats.org/officeDocument/2006/relationships/chart" Target="../charts/chart34.xml"/><Relationship Id="rId44" Type="http://schemas.openxmlformats.org/officeDocument/2006/relationships/chart" Target="../charts/chart47.xml"/><Relationship Id="rId52" Type="http://schemas.openxmlformats.org/officeDocument/2006/relationships/chart" Target="../charts/chart55.xml"/><Relationship Id="rId60" Type="http://schemas.openxmlformats.org/officeDocument/2006/relationships/chart" Target="../charts/chart63.xml"/><Relationship Id="rId65" Type="http://schemas.openxmlformats.org/officeDocument/2006/relationships/chart" Target="../charts/chart68.xml"/><Relationship Id="rId73" Type="http://schemas.openxmlformats.org/officeDocument/2006/relationships/chart" Target="../charts/chart76.xml"/><Relationship Id="rId78" Type="http://schemas.openxmlformats.org/officeDocument/2006/relationships/chart" Target="../charts/chart81.xml"/><Relationship Id="rId81" Type="http://schemas.openxmlformats.org/officeDocument/2006/relationships/chart" Target="../charts/chart84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Relationship Id="rId30" Type="http://schemas.openxmlformats.org/officeDocument/2006/relationships/chart" Target="../charts/chart33.xml"/><Relationship Id="rId35" Type="http://schemas.openxmlformats.org/officeDocument/2006/relationships/chart" Target="../charts/chart38.xml"/><Relationship Id="rId43" Type="http://schemas.openxmlformats.org/officeDocument/2006/relationships/chart" Target="../charts/chart46.xml"/><Relationship Id="rId48" Type="http://schemas.openxmlformats.org/officeDocument/2006/relationships/chart" Target="../charts/chart51.xml"/><Relationship Id="rId56" Type="http://schemas.openxmlformats.org/officeDocument/2006/relationships/chart" Target="../charts/chart59.xml"/><Relationship Id="rId64" Type="http://schemas.openxmlformats.org/officeDocument/2006/relationships/chart" Target="../charts/chart67.xml"/><Relationship Id="rId69" Type="http://schemas.openxmlformats.org/officeDocument/2006/relationships/chart" Target="../charts/chart72.xml"/><Relationship Id="rId77" Type="http://schemas.openxmlformats.org/officeDocument/2006/relationships/chart" Target="../charts/chart80.xml"/><Relationship Id="rId8" Type="http://schemas.openxmlformats.org/officeDocument/2006/relationships/chart" Target="../charts/chart11.xml"/><Relationship Id="rId51" Type="http://schemas.openxmlformats.org/officeDocument/2006/relationships/chart" Target="../charts/chart54.xml"/><Relationship Id="rId72" Type="http://schemas.openxmlformats.org/officeDocument/2006/relationships/chart" Target="../charts/chart75.xml"/><Relationship Id="rId80" Type="http://schemas.openxmlformats.org/officeDocument/2006/relationships/chart" Target="../charts/chart83.xml"/><Relationship Id="rId3" Type="http://schemas.openxmlformats.org/officeDocument/2006/relationships/chart" Target="../charts/chart6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33" Type="http://schemas.openxmlformats.org/officeDocument/2006/relationships/chart" Target="../charts/chart36.xml"/><Relationship Id="rId38" Type="http://schemas.openxmlformats.org/officeDocument/2006/relationships/chart" Target="../charts/chart41.xml"/><Relationship Id="rId46" Type="http://schemas.openxmlformats.org/officeDocument/2006/relationships/chart" Target="../charts/chart49.xml"/><Relationship Id="rId59" Type="http://schemas.openxmlformats.org/officeDocument/2006/relationships/chart" Target="../charts/chart62.xml"/><Relationship Id="rId67" Type="http://schemas.openxmlformats.org/officeDocument/2006/relationships/chart" Target="../charts/chart70.xml"/><Relationship Id="rId20" Type="http://schemas.openxmlformats.org/officeDocument/2006/relationships/chart" Target="../charts/chart23.xml"/><Relationship Id="rId41" Type="http://schemas.openxmlformats.org/officeDocument/2006/relationships/chart" Target="../charts/chart44.xml"/><Relationship Id="rId54" Type="http://schemas.openxmlformats.org/officeDocument/2006/relationships/chart" Target="../charts/chart57.xml"/><Relationship Id="rId62" Type="http://schemas.openxmlformats.org/officeDocument/2006/relationships/chart" Target="../charts/chart65.xml"/><Relationship Id="rId70" Type="http://schemas.openxmlformats.org/officeDocument/2006/relationships/chart" Target="../charts/chart73.xml"/><Relationship Id="rId75" Type="http://schemas.openxmlformats.org/officeDocument/2006/relationships/chart" Target="../charts/chart78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36" Type="http://schemas.openxmlformats.org/officeDocument/2006/relationships/chart" Target="../charts/chart39.xml"/><Relationship Id="rId49" Type="http://schemas.openxmlformats.org/officeDocument/2006/relationships/chart" Target="../charts/chart52.xml"/><Relationship Id="rId57" Type="http://schemas.openxmlformats.org/officeDocument/2006/relationships/chart" Target="../charts/chart6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3" Type="http://schemas.openxmlformats.org/officeDocument/2006/relationships/chart" Target="../charts/chart87.xml"/><Relationship Id="rId21" Type="http://schemas.openxmlformats.org/officeDocument/2006/relationships/chart" Target="../charts/chart105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file:///C:\Documents%20and%20Settings\ch%20H\&#48148;&#53461;%20&#54868;&#47732;\xpopup\down\01-2%20&#49373;&#51316;&#47784;&#54805;&#48277;(SUSAN).xls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44</xdr:row>
      <xdr:rowOff>161925</xdr:rowOff>
    </xdr:from>
    <xdr:to>
      <xdr:col>7</xdr:col>
      <xdr:colOff>581025</xdr:colOff>
      <xdr:row>64</xdr:row>
      <xdr:rowOff>19050</xdr:rowOff>
    </xdr:to>
    <xdr:graphicFrame macro="">
      <xdr:nvGraphicFramePr>
        <xdr:cNvPr id="61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45</xdr:row>
      <xdr:rowOff>0</xdr:rowOff>
    </xdr:from>
    <xdr:to>
      <xdr:col>15</xdr:col>
      <xdr:colOff>476250</xdr:colOff>
      <xdr:row>64</xdr:row>
      <xdr:rowOff>47625</xdr:rowOff>
    </xdr:to>
    <xdr:graphicFrame macro="">
      <xdr:nvGraphicFramePr>
        <xdr:cNvPr id="61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65</xdr:row>
      <xdr:rowOff>47625</xdr:rowOff>
    </xdr:from>
    <xdr:to>
      <xdr:col>7</xdr:col>
      <xdr:colOff>600075</xdr:colOff>
      <xdr:row>84</xdr:row>
      <xdr:rowOff>85725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0.50654</cdr:y>
    </cdr:from>
    <cdr:to>
      <cdr:x>0.52167</cdr:x>
      <cdr:y>0.54013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6239" y="2514575"/>
          <a:ext cx="112776" cy="17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0.49607</cdr:x>
      <cdr:y>0.45663</cdr:y>
    </cdr:from>
    <cdr:to>
      <cdr:x>0.51136</cdr:x>
      <cdr:y>0.48828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6239" y="2514575"/>
          <a:ext cx="112776" cy="17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</xdr:row>
      <xdr:rowOff>28575</xdr:rowOff>
    </xdr:from>
    <xdr:to>
      <xdr:col>11</xdr:col>
      <xdr:colOff>628650</xdr:colOff>
      <xdr:row>14</xdr:row>
      <xdr:rowOff>228600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5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6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0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3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7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8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79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0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1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5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7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89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3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</xdr:col>
      <xdr:colOff>38100</xdr:colOff>
      <xdr:row>102</xdr:row>
      <xdr:rowOff>0</xdr:rowOff>
    </xdr:from>
    <xdr:to>
      <xdr:col>11</xdr:col>
      <xdr:colOff>723900</xdr:colOff>
      <xdr:row>102</xdr:row>
      <xdr:rowOff>0</xdr:rowOff>
    </xdr:to>
    <xdr:graphicFrame macro="">
      <xdr:nvGraphicFramePr>
        <xdr:cNvPr id="10296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28575</xdr:colOff>
      <xdr:row>21</xdr:row>
      <xdr:rowOff>28575</xdr:rowOff>
    </xdr:from>
    <xdr:to>
      <xdr:col>11</xdr:col>
      <xdr:colOff>628650</xdr:colOff>
      <xdr:row>31</xdr:row>
      <xdr:rowOff>219075</xdr:rowOff>
    </xdr:to>
    <xdr:graphicFrame macro="">
      <xdr:nvGraphicFramePr>
        <xdr:cNvPr id="10297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28575</xdr:colOff>
      <xdr:row>38</xdr:row>
      <xdr:rowOff>28575</xdr:rowOff>
    </xdr:from>
    <xdr:to>
      <xdr:col>11</xdr:col>
      <xdr:colOff>628650</xdr:colOff>
      <xdr:row>48</xdr:row>
      <xdr:rowOff>219075</xdr:rowOff>
    </xdr:to>
    <xdr:graphicFrame macro="">
      <xdr:nvGraphicFramePr>
        <xdr:cNvPr id="10298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</xdr:col>
      <xdr:colOff>28575</xdr:colOff>
      <xdr:row>55</xdr:row>
      <xdr:rowOff>28575</xdr:rowOff>
    </xdr:from>
    <xdr:to>
      <xdr:col>11</xdr:col>
      <xdr:colOff>628650</xdr:colOff>
      <xdr:row>65</xdr:row>
      <xdr:rowOff>219075</xdr:rowOff>
    </xdr:to>
    <xdr:graphicFrame macro="">
      <xdr:nvGraphicFramePr>
        <xdr:cNvPr id="10299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28575</xdr:colOff>
      <xdr:row>72</xdr:row>
      <xdr:rowOff>95249</xdr:rowOff>
    </xdr:from>
    <xdr:to>
      <xdr:col>11</xdr:col>
      <xdr:colOff>628650</xdr:colOff>
      <xdr:row>82</xdr:row>
      <xdr:rowOff>219074</xdr:rowOff>
    </xdr:to>
    <xdr:graphicFrame macro="">
      <xdr:nvGraphicFramePr>
        <xdr:cNvPr id="10300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28575</xdr:colOff>
      <xdr:row>89</xdr:row>
      <xdr:rowOff>104775</xdr:rowOff>
    </xdr:from>
    <xdr:to>
      <xdr:col>11</xdr:col>
      <xdr:colOff>628650</xdr:colOff>
      <xdr:row>99</xdr:row>
      <xdr:rowOff>219075</xdr:rowOff>
    </xdr:to>
    <xdr:graphicFrame macro="">
      <xdr:nvGraphicFramePr>
        <xdr:cNvPr id="10301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</xdr:col>
      <xdr:colOff>28575</xdr:colOff>
      <xdr:row>106</xdr:row>
      <xdr:rowOff>85725</xdr:rowOff>
    </xdr:from>
    <xdr:to>
      <xdr:col>11</xdr:col>
      <xdr:colOff>628650</xdr:colOff>
      <xdr:row>116</xdr:row>
      <xdr:rowOff>276225</xdr:rowOff>
    </xdr:to>
    <xdr:graphicFrame macro="">
      <xdr:nvGraphicFramePr>
        <xdr:cNvPr id="10302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</xdr:col>
      <xdr:colOff>28575</xdr:colOff>
      <xdr:row>123</xdr:row>
      <xdr:rowOff>76200</xdr:rowOff>
    </xdr:from>
    <xdr:to>
      <xdr:col>11</xdr:col>
      <xdr:colOff>628650</xdr:colOff>
      <xdr:row>133</xdr:row>
      <xdr:rowOff>266700</xdr:rowOff>
    </xdr:to>
    <xdr:graphicFrame macro="">
      <xdr:nvGraphicFramePr>
        <xdr:cNvPr id="10303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28575</xdr:colOff>
      <xdr:row>140</xdr:row>
      <xdr:rowOff>76199</xdr:rowOff>
    </xdr:from>
    <xdr:to>
      <xdr:col>11</xdr:col>
      <xdr:colOff>628650</xdr:colOff>
      <xdr:row>150</xdr:row>
      <xdr:rowOff>219074</xdr:rowOff>
    </xdr:to>
    <xdr:graphicFrame macro="">
      <xdr:nvGraphicFramePr>
        <xdr:cNvPr id="10304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28575</xdr:colOff>
      <xdr:row>157</xdr:row>
      <xdr:rowOff>123825</xdr:rowOff>
    </xdr:from>
    <xdr:to>
      <xdr:col>11</xdr:col>
      <xdr:colOff>628650</xdr:colOff>
      <xdr:row>167</xdr:row>
      <xdr:rowOff>219075</xdr:rowOff>
    </xdr:to>
    <xdr:graphicFrame macro="">
      <xdr:nvGraphicFramePr>
        <xdr:cNvPr id="10305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</xdr:col>
      <xdr:colOff>28575</xdr:colOff>
      <xdr:row>174</xdr:row>
      <xdr:rowOff>133350</xdr:rowOff>
    </xdr:from>
    <xdr:to>
      <xdr:col>11</xdr:col>
      <xdr:colOff>628650</xdr:colOff>
      <xdr:row>184</xdr:row>
      <xdr:rowOff>219073</xdr:rowOff>
    </xdr:to>
    <xdr:graphicFrame macro="">
      <xdr:nvGraphicFramePr>
        <xdr:cNvPr id="10306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</xdr:col>
      <xdr:colOff>28575</xdr:colOff>
      <xdr:row>191</xdr:row>
      <xdr:rowOff>142874</xdr:rowOff>
    </xdr:from>
    <xdr:to>
      <xdr:col>11</xdr:col>
      <xdr:colOff>628650</xdr:colOff>
      <xdr:row>201</xdr:row>
      <xdr:rowOff>219073</xdr:rowOff>
    </xdr:to>
    <xdr:graphicFrame macro="">
      <xdr:nvGraphicFramePr>
        <xdr:cNvPr id="10307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</xdr:col>
      <xdr:colOff>28575</xdr:colOff>
      <xdr:row>208</xdr:row>
      <xdr:rowOff>123824</xdr:rowOff>
    </xdr:from>
    <xdr:to>
      <xdr:col>11</xdr:col>
      <xdr:colOff>628650</xdr:colOff>
      <xdr:row>218</xdr:row>
      <xdr:rowOff>219073</xdr:rowOff>
    </xdr:to>
    <xdr:graphicFrame macro="">
      <xdr:nvGraphicFramePr>
        <xdr:cNvPr id="10308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7</xdr:col>
      <xdr:colOff>28575</xdr:colOff>
      <xdr:row>225</xdr:row>
      <xdr:rowOff>123824</xdr:rowOff>
    </xdr:from>
    <xdr:to>
      <xdr:col>11</xdr:col>
      <xdr:colOff>628650</xdr:colOff>
      <xdr:row>235</xdr:row>
      <xdr:rowOff>219073</xdr:rowOff>
    </xdr:to>
    <xdr:graphicFrame macro="">
      <xdr:nvGraphicFramePr>
        <xdr:cNvPr id="10309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</xdr:col>
      <xdr:colOff>28575</xdr:colOff>
      <xdr:row>242</xdr:row>
      <xdr:rowOff>133349</xdr:rowOff>
    </xdr:from>
    <xdr:to>
      <xdr:col>11</xdr:col>
      <xdr:colOff>628650</xdr:colOff>
      <xdr:row>252</xdr:row>
      <xdr:rowOff>219074</xdr:rowOff>
    </xdr:to>
    <xdr:graphicFrame macro="">
      <xdr:nvGraphicFramePr>
        <xdr:cNvPr id="10310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</xdr:col>
      <xdr:colOff>28575</xdr:colOff>
      <xdr:row>259</xdr:row>
      <xdr:rowOff>142875</xdr:rowOff>
    </xdr:from>
    <xdr:to>
      <xdr:col>11</xdr:col>
      <xdr:colOff>628650</xdr:colOff>
      <xdr:row>269</xdr:row>
      <xdr:rowOff>219073</xdr:rowOff>
    </xdr:to>
    <xdr:graphicFrame macro="">
      <xdr:nvGraphicFramePr>
        <xdr:cNvPr id="10311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</xdr:col>
      <xdr:colOff>28575</xdr:colOff>
      <xdr:row>276</xdr:row>
      <xdr:rowOff>133350</xdr:rowOff>
    </xdr:from>
    <xdr:to>
      <xdr:col>11</xdr:col>
      <xdr:colOff>628650</xdr:colOff>
      <xdr:row>286</xdr:row>
      <xdr:rowOff>219073</xdr:rowOff>
    </xdr:to>
    <xdr:graphicFrame macro="">
      <xdr:nvGraphicFramePr>
        <xdr:cNvPr id="10312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7</xdr:col>
      <xdr:colOff>28575</xdr:colOff>
      <xdr:row>293</xdr:row>
      <xdr:rowOff>152399</xdr:rowOff>
    </xdr:from>
    <xdr:to>
      <xdr:col>11</xdr:col>
      <xdr:colOff>628650</xdr:colOff>
      <xdr:row>303</xdr:row>
      <xdr:rowOff>276224</xdr:rowOff>
    </xdr:to>
    <xdr:graphicFrame macro="">
      <xdr:nvGraphicFramePr>
        <xdr:cNvPr id="10313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7</xdr:col>
      <xdr:colOff>28575</xdr:colOff>
      <xdr:row>310</xdr:row>
      <xdr:rowOff>228600</xdr:rowOff>
    </xdr:from>
    <xdr:to>
      <xdr:col>11</xdr:col>
      <xdr:colOff>628650</xdr:colOff>
      <xdr:row>320</xdr:row>
      <xdr:rowOff>266700</xdr:rowOff>
    </xdr:to>
    <xdr:graphicFrame macro="">
      <xdr:nvGraphicFramePr>
        <xdr:cNvPr id="10314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7</xdr:col>
      <xdr:colOff>28575</xdr:colOff>
      <xdr:row>327</xdr:row>
      <xdr:rowOff>219075</xdr:rowOff>
    </xdr:from>
    <xdr:to>
      <xdr:col>11</xdr:col>
      <xdr:colOff>628650</xdr:colOff>
      <xdr:row>337</xdr:row>
      <xdr:rowOff>257174</xdr:rowOff>
    </xdr:to>
    <xdr:graphicFrame macro="">
      <xdr:nvGraphicFramePr>
        <xdr:cNvPr id="10315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7</xdr:col>
      <xdr:colOff>28575</xdr:colOff>
      <xdr:row>345</xdr:row>
      <xdr:rowOff>9525</xdr:rowOff>
    </xdr:from>
    <xdr:to>
      <xdr:col>11</xdr:col>
      <xdr:colOff>628650</xdr:colOff>
      <xdr:row>354</xdr:row>
      <xdr:rowOff>295275</xdr:rowOff>
    </xdr:to>
    <xdr:graphicFrame macro="">
      <xdr:nvGraphicFramePr>
        <xdr:cNvPr id="10316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7</xdr:col>
      <xdr:colOff>28575</xdr:colOff>
      <xdr:row>361</xdr:row>
      <xdr:rowOff>295275</xdr:rowOff>
    </xdr:from>
    <xdr:to>
      <xdr:col>11</xdr:col>
      <xdr:colOff>628650</xdr:colOff>
      <xdr:row>371</xdr:row>
      <xdr:rowOff>295275</xdr:rowOff>
    </xdr:to>
    <xdr:graphicFrame macro="">
      <xdr:nvGraphicFramePr>
        <xdr:cNvPr id="10317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7</xdr:col>
      <xdr:colOff>28575</xdr:colOff>
      <xdr:row>378</xdr:row>
      <xdr:rowOff>247650</xdr:rowOff>
    </xdr:from>
    <xdr:to>
      <xdr:col>11</xdr:col>
      <xdr:colOff>628650</xdr:colOff>
      <xdr:row>388</xdr:row>
      <xdr:rowOff>266700</xdr:rowOff>
    </xdr:to>
    <xdr:graphicFrame macro="">
      <xdr:nvGraphicFramePr>
        <xdr:cNvPr id="10318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7</xdr:col>
      <xdr:colOff>28575</xdr:colOff>
      <xdr:row>395</xdr:row>
      <xdr:rowOff>285750</xdr:rowOff>
    </xdr:from>
    <xdr:to>
      <xdr:col>11</xdr:col>
      <xdr:colOff>628650</xdr:colOff>
      <xdr:row>405</xdr:row>
      <xdr:rowOff>276224</xdr:rowOff>
    </xdr:to>
    <xdr:graphicFrame macro="">
      <xdr:nvGraphicFramePr>
        <xdr:cNvPr id="10319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7</xdr:col>
      <xdr:colOff>28575</xdr:colOff>
      <xdr:row>412</xdr:row>
      <xdr:rowOff>219075</xdr:rowOff>
    </xdr:from>
    <xdr:to>
      <xdr:col>11</xdr:col>
      <xdr:colOff>628650</xdr:colOff>
      <xdr:row>422</xdr:row>
      <xdr:rowOff>266699</xdr:rowOff>
    </xdr:to>
    <xdr:graphicFrame macro="">
      <xdr:nvGraphicFramePr>
        <xdr:cNvPr id="10320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7</xdr:col>
      <xdr:colOff>28575</xdr:colOff>
      <xdr:row>429</xdr:row>
      <xdr:rowOff>247649</xdr:rowOff>
    </xdr:from>
    <xdr:to>
      <xdr:col>11</xdr:col>
      <xdr:colOff>628650</xdr:colOff>
      <xdr:row>439</xdr:row>
      <xdr:rowOff>200024</xdr:rowOff>
    </xdr:to>
    <xdr:graphicFrame macro="">
      <xdr:nvGraphicFramePr>
        <xdr:cNvPr id="10321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238</xdr:row>
      <xdr:rowOff>19050</xdr:rowOff>
    </xdr:from>
    <xdr:to>
      <xdr:col>11</xdr:col>
      <xdr:colOff>38100</xdr:colOff>
      <xdr:row>258</xdr:row>
      <xdr:rowOff>95250</xdr:rowOff>
    </xdr:to>
    <xdr:graphicFrame macro="">
      <xdr:nvGraphicFramePr>
        <xdr:cNvPr id="4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57150</xdr:rowOff>
    </xdr:to>
    <xdr:graphicFrame macro="">
      <xdr:nvGraphicFramePr>
        <xdr:cNvPr id="41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66675</xdr:rowOff>
    </xdr:to>
    <xdr:graphicFrame macro="">
      <xdr:nvGraphicFramePr>
        <xdr:cNvPr id="41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76200</xdr:rowOff>
    </xdr:to>
    <xdr:graphicFrame macro="">
      <xdr:nvGraphicFramePr>
        <xdr:cNvPr id="41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47625</xdr:rowOff>
    </xdr:to>
    <xdr:graphicFrame macro="">
      <xdr:nvGraphicFramePr>
        <xdr:cNvPr id="41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57150</xdr:rowOff>
    </xdr:to>
    <xdr:graphicFrame macro="">
      <xdr:nvGraphicFramePr>
        <xdr:cNvPr id="41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238</xdr:row>
      <xdr:rowOff>0</xdr:rowOff>
    </xdr:from>
    <xdr:to>
      <xdr:col>12</xdr:col>
      <xdr:colOff>0</xdr:colOff>
      <xdr:row>251</xdr:row>
      <xdr:rowOff>66675</xdr:rowOff>
    </xdr:to>
    <xdr:graphicFrame macro="">
      <xdr:nvGraphicFramePr>
        <xdr:cNvPr id="41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251</xdr:row>
      <xdr:rowOff>57150</xdr:rowOff>
    </xdr:to>
    <xdr:graphicFrame macro="">
      <xdr:nvGraphicFramePr>
        <xdr:cNvPr id="4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0</xdr:colOff>
      <xdr:row>238</xdr:row>
      <xdr:rowOff>19050</xdr:rowOff>
    </xdr:from>
    <xdr:to>
      <xdr:col>12</xdr:col>
      <xdr:colOff>0</xdr:colOff>
      <xdr:row>258</xdr:row>
      <xdr:rowOff>95250</xdr:rowOff>
    </xdr:to>
    <xdr:graphicFrame macro="">
      <xdr:nvGraphicFramePr>
        <xdr:cNvPr id="4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47625</xdr:rowOff>
    </xdr:from>
    <xdr:to>
      <xdr:col>8</xdr:col>
      <xdr:colOff>0</xdr:colOff>
      <xdr:row>37</xdr:row>
      <xdr:rowOff>200025</xdr:rowOff>
    </xdr:to>
    <xdr:graphicFrame macro="">
      <xdr:nvGraphicFramePr>
        <xdr:cNvPr id="157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47625</xdr:rowOff>
    </xdr:from>
    <xdr:to>
      <xdr:col>8</xdr:col>
      <xdr:colOff>0</xdr:colOff>
      <xdr:row>37</xdr:row>
      <xdr:rowOff>180975</xdr:rowOff>
    </xdr:to>
    <xdr:graphicFrame macro="">
      <xdr:nvGraphicFramePr>
        <xdr:cNvPr id="1576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17</xdr:row>
      <xdr:rowOff>123825</xdr:rowOff>
    </xdr:from>
    <xdr:to>
      <xdr:col>7</xdr:col>
      <xdr:colOff>704850</xdr:colOff>
      <xdr:row>37</xdr:row>
      <xdr:rowOff>19050</xdr:rowOff>
    </xdr:to>
    <xdr:graphicFrame macro="">
      <xdr:nvGraphicFramePr>
        <xdr:cNvPr id="157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3316" name="Rectangl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990600"/>
          <a:ext cx="0" cy="0"/>
        </a:xfrm>
        <a:prstGeom prst="rect">
          <a:avLst/>
        </a:prstGeom>
        <a:gradFill rotWithShape="1">
          <a:gsLst>
            <a:gs pos="0">
              <a:srgbClr val="FFFFFF"/>
            </a:gs>
            <a:gs pos="50000">
              <a:srgbClr val="FFFFFF">
                <a:gamma/>
                <a:shade val="46275"/>
                <a:invGamma/>
              </a:srgbClr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800" b="0" i="0" strike="noStrike">
              <a:solidFill>
                <a:srgbClr val="008000"/>
              </a:solidFill>
              <a:latin typeface="휴먼태엑스포"/>
              <a:ea typeface="휴먼태엑스포"/>
            </a:rPr>
            <a:t>생잔모형법산정</a:t>
          </a:r>
        </a:p>
      </xdr:txBody>
    </xdr:sp>
    <xdr:clientData fPrintsWithSheet="0"/>
  </xdr:twoCellAnchor>
  <xdr:twoCellAnchor>
    <xdr:from>
      <xdr:col>0</xdr:col>
      <xdr:colOff>0</xdr:colOff>
      <xdr:row>10</xdr:row>
      <xdr:rowOff>1058</xdr:rowOff>
    </xdr:from>
    <xdr:to>
      <xdr:col>0</xdr:col>
      <xdr:colOff>0</xdr:colOff>
      <xdr:row>10</xdr:row>
      <xdr:rowOff>1058</xdr:rowOff>
    </xdr:to>
    <xdr:sp macro="" textlink="">
      <xdr:nvSpPr>
        <xdr:cNvPr id="13317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2971800"/>
          <a:ext cx="0" cy="0"/>
        </a:xfrm>
        <a:prstGeom prst="rect">
          <a:avLst/>
        </a:prstGeom>
        <a:gradFill rotWithShape="1">
          <a:gsLst>
            <a:gs pos="0">
              <a:srgbClr val="FFFFFF"/>
            </a:gs>
            <a:gs pos="50000">
              <a:srgbClr val="FFFFFF">
                <a:gamma/>
                <a:shade val="46275"/>
                <a:invGamma/>
              </a:srgbClr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800" b="0" i="0" strike="noStrike">
              <a:solidFill>
                <a:srgbClr val="008000"/>
              </a:solidFill>
              <a:latin typeface="휴먼태엑스포"/>
              <a:ea typeface="휴먼태엑스포"/>
            </a:rPr>
            <a:t>생잔모형법산정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67</xdr:row>
      <xdr:rowOff>1</xdr:rowOff>
    </xdr:from>
    <xdr:to>
      <xdr:col>18</xdr:col>
      <xdr:colOff>409575</xdr:colOff>
      <xdr:row>87</xdr:row>
      <xdr:rowOff>22679</xdr:rowOff>
    </xdr:to>
    <xdr:graphicFrame macro="">
      <xdr:nvGraphicFramePr>
        <xdr:cNvPr id="1157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10</xdr:row>
      <xdr:rowOff>205822</xdr:rowOff>
    </xdr:from>
    <xdr:to>
      <xdr:col>20</xdr:col>
      <xdr:colOff>333375</xdr:colOff>
      <xdr:row>23</xdr:row>
      <xdr:rowOff>110572</xdr:rowOff>
    </xdr:to>
    <xdr:grpSp>
      <xdr:nvGrpSpPr>
        <xdr:cNvPr id="36" name="그룹 35"/>
        <xdr:cNvGrpSpPr/>
      </xdr:nvGrpSpPr>
      <xdr:grpSpPr>
        <a:xfrm>
          <a:off x="13337931" y="3063322"/>
          <a:ext cx="5942867" cy="3619500"/>
          <a:chOff x="13338334" y="3038476"/>
          <a:chExt cx="5943047" cy="3619502"/>
        </a:xfrm>
      </xdr:grpSpPr>
      <xdr:graphicFrame macro="">
        <xdr:nvGraphicFramePr>
          <xdr:cNvPr id="160790" name="Chart 22"/>
          <xdr:cNvGraphicFramePr>
            <a:graphicFrameLocks/>
          </xdr:cNvGraphicFramePr>
        </xdr:nvGraphicFramePr>
        <xdr:xfrm>
          <a:off x="13338334" y="3038476"/>
          <a:ext cx="5943047" cy="36195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0791" name="Line 23"/>
          <xdr:cNvSpPr>
            <a:spLocks noChangeShapeType="1"/>
          </xdr:cNvSpPr>
        </xdr:nvSpPr>
        <xdr:spPr bwMode="auto">
          <a:xfrm>
            <a:off x="14097621" y="4799534"/>
            <a:ext cx="1509082" cy="0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92" name="Line 24"/>
          <xdr:cNvSpPr>
            <a:spLocks noChangeShapeType="1"/>
          </xdr:cNvSpPr>
        </xdr:nvSpPr>
        <xdr:spPr bwMode="auto">
          <a:xfrm flipV="1">
            <a:off x="15615580" y="4473249"/>
            <a:ext cx="1023072" cy="9414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93" name="Line 25"/>
          <xdr:cNvSpPr>
            <a:spLocks noChangeShapeType="1"/>
          </xdr:cNvSpPr>
        </xdr:nvSpPr>
        <xdr:spPr bwMode="auto">
          <a:xfrm>
            <a:off x="16639266" y="3725410"/>
            <a:ext cx="2537712" cy="9414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96" name="Text Box 28"/>
          <xdr:cNvSpPr txBox="1">
            <a:spLocks noChangeArrowheads="1"/>
          </xdr:cNvSpPr>
        </xdr:nvSpPr>
        <xdr:spPr bwMode="auto">
          <a:xfrm>
            <a:off x="14410825" y="4878092"/>
            <a:ext cx="873179" cy="17886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Q=9,500㎥/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97" name="Text Box 29"/>
          <xdr:cNvSpPr txBox="1">
            <a:spLocks noChangeArrowheads="1"/>
          </xdr:cNvSpPr>
        </xdr:nvSpPr>
        <xdr:spPr bwMode="auto">
          <a:xfrm>
            <a:off x="15692122" y="4585365"/>
            <a:ext cx="890196" cy="17886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Q=12,000㎥/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98" name="Text Box 30"/>
          <xdr:cNvSpPr txBox="1">
            <a:spLocks noChangeArrowheads="1"/>
          </xdr:cNvSpPr>
        </xdr:nvSpPr>
        <xdr:spPr bwMode="auto">
          <a:xfrm>
            <a:off x="17368114" y="3791916"/>
            <a:ext cx="890196" cy="17886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Q=18,000㎥/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cxnSp macro="">
        <xdr:nvCxnSpPr>
          <xdr:cNvPr id="33" name="직선 연결선 32"/>
          <xdr:cNvCxnSpPr/>
        </xdr:nvCxnSpPr>
        <xdr:spPr>
          <a:xfrm rot="16200000" flipH="1">
            <a:off x="15447409" y="4635486"/>
            <a:ext cx="305679" cy="5942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cxnSp macro="">
        <xdr:nvCxnSpPr>
          <xdr:cNvPr id="34" name="직선 연결선 33"/>
          <xdr:cNvCxnSpPr/>
        </xdr:nvCxnSpPr>
        <xdr:spPr>
          <a:xfrm rot="16200000" flipH="1">
            <a:off x="16252365" y="4101681"/>
            <a:ext cx="753678" cy="5942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</xdr:grpSp>
    <xdr:clientData/>
  </xdr:twoCellAnchor>
  <xdr:twoCellAnchor>
    <xdr:from>
      <xdr:col>0</xdr:col>
      <xdr:colOff>209550</xdr:colOff>
      <xdr:row>10</xdr:row>
      <xdr:rowOff>171450</xdr:rowOff>
    </xdr:from>
    <xdr:to>
      <xdr:col>6</xdr:col>
      <xdr:colOff>0</xdr:colOff>
      <xdr:row>23</xdr:row>
      <xdr:rowOff>76200</xdr:rowOff>
    </xdr:to>
    <xdr:grpSp>
      <xdr:nvGrpSpPr>
        <xdr:cNvPr id="32" name="그룹 31"/>
        <xdr:cNvGrpSpPr/>
      </xdr:nvGrpSpPr>
      <xdr:grpSpPr>
        <a:xfrm>
          <a:off x="209550" y="3028950"/>
          <a:ext cx="5476142" cy="3619500"/>
          <a:chOff x="209550" y="3028950"/>
          <a:chExt cx="5457825" cy="3619500"/>
        </a:xfrm>
      </xdr:grpSpPr>
      <xdr:graphicFrame macro="">
        <xdr:nvGraphicFramePr>
          <xdr:cNvPr id="160769" name="Chart 1"/>
          <xdr:cNvGraphicFramePr>
            <a:graphicFrameLocks/>
          </xdr:cNvGraphicFramePr>
        </xdr:nvGraphicFramePr>
        <xdr:xfrm>
          <a:off x="209550" y="3028950"/>
          <a:ext cx="5457825" cy="3619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0770" name="Line 2"/>
          <xdr:cNvSpPr>
            <a:spLocks noChangeShapeType="1"/>
          </xdr:cNvSpPr>
        </xdr:nvSpPr>
        <xdr:spPr bwMode="auto">
          <a:xfrm>
            <a:off x="1036781" y="4458173"/>
            <a:ext cx="1340686" cy="0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75" name="Line 7"/>
          <xdr:cNvSpPr>
            <a:spLocks noChangeShapeType="1"/>
          </xdr:cNvSpPr>
        </xdr:nvSpPr>
        <xdr:spPr bwMode="auto">
          <a:xfrm flipV="1">
            <a:off x="3299782" y="3745874"/>
            <a:ext cx="0" cy="396000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77" name="Text Box 9"/>
          <xdr:cNvSpPr txBox="1">
            <a:spLocks noChangeArrowheads="1"/>
          </xdr:cNvSpPr>
        </xdr:nvSpPr>
        <xdr:spPr bwMode="auto">
          <a:xfrm>
            <a:off x="2316407" y="3881121"/>
            <a:ext cx="865265" cy="180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Q=180,000㎥/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78" name="Text Box 10"/>
          <xdr:cNvSpPr txBox="1">
            <a:spLocks noChangeArrowheads="1"/>
          </xdr:cNvSpPr>
        </xdr:nvSpPr>
        <xdr:spPr bwMode="auto">
          <a:xfrm>
            <a:off x="1179407" y="4191083"/>
            <a:ext cx="988874" cy="18097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Q=150,000㎥/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79" name="Text Box 11"/>
          <xdr:cNvSpPr txBox="1">
            <a:spLocks noChangeArrowheads="1"/>
          </xdr:cNvSpPr>
        </xdr:nvSpPr>
        <xdr:spPr bwMode="auto">
          <a:xfrm>
            <a:off x="3880139" y="3483170"/>
            <a:ext cx="903299" cy="180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Q=220,000㎥/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cxnSp macro="">
        <xdr:nvCxnSpPr>
          <xdr:cNvPr id="38" name="직선 연결선 37"/>
          <xdr:cNvCxnSpPr/>
        </xdr:nvCxnSpPr>
        <xdr:spPr>
          <a:xfrm>
            <a:off x="3298674" y="3730471"/>
            <a:ext cx="2259163" cy="1569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cxnSp macro="">
        <xdr:nvCxnSpPr>
          <xdr:cNvPr id="41" name="직선 연결선 40"/>
          <xdr:cNvCxnSpPr/>
        </xdr:nvCxnSpPr>
        <xdr:spPr>
          <a:xfrm flipV="1">
            <a:off x="2370474" y="4138307"/>
            <a:ext cx="922092" cy="26299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cxnSp macro="">
        <xdr:nvCxnSpPr>
          <xdr:cNvPr id="46" name="직선 연결선 45"/>
          <xdr:cNvCxnSpPr/>
        </xdr:nvCxnSpPr>
        <xdr:spPr>
          <a:xfrm rot="16200000" flipH="1">
            <a:off x="2253963" y="4320949"/>
            <a:ext cx="249617" cy="6543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</xdr:grpSp>
    <xdr:clientData/>
  </xdr:twoCellAnchor>
  <xdr:twoCellAnchor>
    <xdr:from>
      <xdr:col>7</xdr:col>
      <xdr:colOff>304800</xdr:colOff>
      <xdr:row>10</xdr:row>
      <xdr:rowOff>180975</xdr:rowOff>
    </xdr:from>
    <xdr:to>
      <xdr:col>13</xdr:col>
      <xdr:colOff>561975</xdr:colOff>
      <xdr:row>23</xdr:row>
      <xdr:rowOff>85725</xdr:rowOff>
    </xdr:to>
    <xdr:grpSp>
      <xdr:nvGrpSpPr>
        <xdr:cNvPr id="35" name="그룹 34"/>
        <xdr:cNvGrpSpPr/>
      </xdr:nvGrpSpPr>
      <xdr:grpSpPr>
        <a:xfrm>
          <a:off x="6935665" y="3038475"/>
          <a:ext cx="5942868" cy="3619500"/>
          <a:chOff x="6939455" y="3071320"/>
          <a:chExt cx="5945899" cy="3662198"/>
        </a:xfrm>
      </xdr:grpSpPr>
      <xdr:graphicFrame macro="">
        <xdr:nvGraphicFramePr>
          <xdr:cNvPr id="160781" name="Chart 13"/>
          <xdr:cNvGraphicFramePr>
            <a:graphicFrameLocks/>
          </xdr:cNvGraphicFramePr>
        </xdr:nvGraphicFramePr>
        <xdr:xfrm>
          <a:off x="6939455" y="3071320"/>
          <a:ext cx="5945899" cy="36621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60782" name="Line 14"/>
          <xdr:cNvSpPr>
            <a:spLocks noChangeShapeType="1"/>
          </xdr:cNvSpPr>
        </xdr:nvSpPr>
        <xdr:spPr bwMode="auto">
          <a:xfrm>
            <a:off x="7700265" y="5049320"/>
            <a:ext cx="2514378" cy="0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  <xdr:sp macro="" textlink="">
        <xdr:nvSpPr>
          <xdr:cNvPr id="160787" name="Text Box 19"/>
          <xdr:cNvSpPr txBox="1">
            <a:spLocks noChangeArrowheads="1"/>
          </xdr:cNvSpPr>
        </xdr:nvSpPr>
        <xdr:spPr bwMode="auto">
          <a:xfrm>
            <a:off x="8449262" y="4776955"/>
            <a:ext cx="873599" cy="1842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Q=24,000㎥/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88" name="Text Box 20"/>
          <xdr:cNvSpPr txBox="1">
            <a:spLocks noChangeArrowheads="1"/>
          </xdr:cNvSpPr>
        </xdr:nvSpPr>
        <xdr:spPr bwMode="auto">
          <a:xfrm>
            <a:off x="10343797" y="4842266"/>
            <a:ext cx="890625" cy="1815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Q=30,000㎥/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sp macro="" textlink="">
        <xdr:nvSpPr>
          <xdr:cNvPr id="160789" name="Text Box 21"/>
          <xdr:cNvSpPr txBox="1">
            <a:spLocks noChangeArrowheads="1"/>
          </xdr:cNvSpPr>
        </xdr:nvSpPr>
        <xdr:spPr bwMode="auto">
          <a:xfrm>
            <a:off x="11578454" y="3544026"/>
            <a:ext cx="890623" cy="180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808080"/>
            </a:outerShdw>
          </a:effectLst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n-US" altLang="ko-KR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Q=52,000㎥/</a:t>
            </a:r>
            <a:r>
              <a:rPr lang="ko-KR" altLang="en-US" sz="900" b="0" i="0" strike="noStrike">
                <a:solidFill>
                  <a:srgbClr val="000000"/>
                </a:solidFill>
                <a:latin typeface="가는둥근제목체"/>
                <a:ea typeface="가는둥근제목체"/>
              </a:rPr>
              <a:t>일</a:t>
            </a:r>
          </a:p>
        </xdr:txBody>
      </xdr:sp>
      <xdr:cxnSp macro="">
        <xdr:nvCxnSpPr>
          <xdr:cNvPr id="40" name="직선 연결선 39"/>
          <xdr:cNvCxnSpPr/>
        </xdr:nvCxnSpPr>
        <xdr:spPr>
          <a:xfrm rot="16200000" flipH="1">
            <a:off x="10101959" y="4906704"/>
            <a:ext cx="252563" cy="688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cxnSp macro="">
        <xdr:nvCxnSpPr>
          <xdr:cNvPr id="47" name="직선 연결선 46"/>
          <xdr:cNvCxnSpPr/>
        </xdr:nvCxnSpPr>
        <xdr:spPr>
          <a:xfrm>
            <a:off x="10238944" y="4779847"/>
            <a:ext cx="1013019" cy="1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cxnSp macro="">
        <xdr:nvCxnSpPr>
          <xdr:cNvPr id="51" name="직선 연결선 50"/>
          <xdr:cNvCxnSpPr/>
        </xdr:nvCxnSpPr>
        <xdr:spPr>
          <a:xfrm>
            <a:off x="11263460" y="3837256"/>
            <a:ext cx="1522781" cy="1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cxnSp>
      <xdr:sp macro="" textlink="">
        <xdr:nvSpPr>
          <xdr:cNvPr id="55" name="Line 7"/>
          <xdr:cNvSpPr>
            <a:spLocks noChangeShapeType="1"/>
          </xdr:cNvSpPr>
        </xdr:nvSpPr>
        <xdr:spPr bwMode="auto">
          <a:xfrm flipV="1">
            <a:off x="11256839" y="3837027"/>
            <a:ext cx="0" cy="936000"/>
          </a:xfrm>
          <a:prstGeom prst="line">
            <a:avLst/>
          </a:prstGeom>
          <a:noFill/>
          <a:ln w="25400">
            <a:solidFill>
              <a:srgbClr val="008000"/>
            </a:solidFill>
            <a:prstDash val="sysDot"/>
            <a:round/>
            <a:headEnd/>
            <a:tailEnd/>
          </a:ln>
          <a:effectLst/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44148;&#54868;\&#54868;&#49457;&#49884;\&#49688;&#47049;&#49328;&#52636;(&#52572;&#51333;)\&#51109;&#51664;&#47532;\15&#51109;A-&#47592;&#54848;&#53664;&#442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0857;&#54840;\&#49688;&#47049;&#52572;&#51333;(0921&#51060;&#54980;)\Sp00c033(&#51204;&#51452;&#52264;&#51665;&#44288;&#47196;)\&#49688;&#47049;&#49328;&#52636;&#52572;&#51333;\&#49688;&#47049;&#49328;&#52636;&#49436;(&#54036;&#4837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51089;&#50629;\&#51109;&#54840;&#50896;\&#44396;&#51312;&#47932;\&#44032;&#49884;&#49444;&#44277;\&#44592;&#48376;&#53664;&#493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jobdata\&#50864;&#45824;\&#51648;&#54217;\&#49688;&#47049;&#49328;&#52636;\&#49688;&#47049;\&#44592;&#48376;&#53664;&#4932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%20H\&#48148;&#53461;%20&#54868;&#47732;\xpopup\down\&#51064;&#44396;&#54616;&#49688;&#4704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0857;\&#44033;&#51333;&#51088;&#47308;&#46308;\2000&#45380;\&#49345;&#50516;&#46041;\&#49688;&#47049;\&#53664;&#442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&#50416;&#44592;\&#44537;&#50501;\&#50685;&#44592;\&#50864;&#49688;&#49688;&#4704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0857;&#54840;\&#49688;&#47049;&#52572;&#51333;(0921&#51060;&#54980;)\&#54620;&#44053;&#49688;&#44228;TK\&#44592;&#48376;&#49444;&#44228;\&#49688;&#47049;&#49328;&#52636;(4.29)\&#44305;&#51452;&#49884;\2&#44277;&#44396;(&#44305;&#51452;2,&#49340;&#49457;,&#48516;&#50896;,&#44480;&#50668;,&#44305;&#46041;)\&#44305;&#51452;2\1.&#49888;&#49444;&#50724;&#49688;&#44288;&#47196;\&#50896;&#54805;&#47592;&#54848;&#49688;&#4704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96;&#49453;\&#49888;&#49444;&#49688;&#47049;rev1\Documents%20and%20Settings\&#49324;&#50857;&#51088;\&#48148;&#53461;%20&#54868;&#47732;\&#49888;&#49444;&#49688;&#47049;rev1\&#52632;&#44417;6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My%20Documents\&#44592;&#53440;\projct\ANSAN\EXL\gongs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0857;&#54840;\&#49688;&#47049;&#52572;&#51333;(0921&#51060;&#54980;)\&#54620;&#44053;&#49688;&#44228;TK\&#44592;&#48376;&#49444;&#44228;\&#49688;&#47049;&#49328;&#52636;\&#50857;&#51064;&#49884;\&#44608;&#47049;&#51109;\&#50896;&#54805;&#47592;&#54848;&#49688;&#4704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%20H\&#48148;&#53461;%20&#54868;&#47732;\xpopup\down\4.&#52380;&#50504;&#49884;%20&#44228;&#54925;&#51064;&#44396;(&#52509;&#4429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649;&#52397;&#45224;&#46020;\&#52380;&#50504;&#49884;\&#54616;&#49688;&#46020;&#51221;&#48708;&#48320;&#44221;(2008)\&#48372;&#44256;&#49436;\&#48512;&#47197;\2.&#49373;&#51092;&#47784;&#54805;&#48277;(080325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060;&#48156;&#49324;&#50629;&#51221;&#4753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2649;&#52397;&#45224;&#46020;\&#52380;&#50504;&#49884;\&#54616;&#49688;&#46020;&#51221;&#48708;&#48320;&#44221;(2008)\&#48372;&#44256;&#49436;\&#48372;&#44256;&#49436;&#52572;&#51333;\&#52376;&#47532;&#51064;&#44396;&#48143;&#47732;&#5120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07.%20&#49548;&#44508;&#47784;&#54616;&#49688;&#46020;&#44228;&#54925;(&#52572;&#51333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nner\Application%20Data\Microsoft\Excel\&#49548;&#44508;&#47784;&#54616;&#49688;&#46020;05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&#44228;&#54925;&#54616;&#49688;&#47049;%20&#49328;&#51221;(&#52572;&#51333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&#44228;&#54925;&#54616;&#49688;&#47049;(&#52572;&#5133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호맨홀가시설토공"/>
      <sheetName val="1호맨홀토공"/>
      <sheetName val="1호맨홀토공 (4)"/>
      <sheetName val="1호맨홀연결관토공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토류벽)"/>
      <sheetName val="토사(흄관)"/>
      <sheetName val="토사(흄관-토류벽)"/>
      <sheetName val="토사(BOX-토류벽)"/>
      <sheetName val="토사(PE-관보호공)"/>
      <sheetName val="토사(PE,CON B=)"/>
      <sheetName val="토사(흄관,CON B=)"/>
      <sheetName val="토사(PE-역사이펀)"/>
      <sheetName val="토사(PE-관보호공 0.3)"/>
      <sheetName val="토사(PE-관보호공 1.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역사이펀)"/>
      <sheetName val="토사(PE-관보호공 0.3)"/>
      <sheetName val="토사(PE-관보호공 1.0)"/>
      <sheetName val="토사(PE-토류벽)"/>
      <sheetName val="토사(PE,CON B=)"/>
      <sheetName val="토사(흄관)"/>
      <sheetName val="토사(흄관-토류벽)"/>
      <sheetName val="토사(BOX-토류벽)"/>
      <sheetName val="토사(흄관,CON B=)"/>
      <sheetName val="토사(PE-관보호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구역및 면적결정"/>
      <sheetName val="리별과거인구"/>
      <sheetName val="과거인구추이"/>
      <sheetName val="통계학적 인구추정"/>
      <sheetName val="계획인구"/>
      <sheetName val="관광인구산정"/>
      <sheetName val="비교차트"/>
      <sheetName val="관광인구(휴양림)"/>
      <sheetName val="관광인구(업소)"/>
      <sheetName val="원단위산정"/>
      <sheetName val="계획하수량"/>
      <sheetName val="분구별하수량"/>
    </sheetNames>
    <sheetDataSet>
      <sheetData sheetId="0" refreshError="1"/>
      <sheetData sheetId="1" refreshError="1">
        <row r="3">
          <cell r="C3" t="str">
            <v>1996년</v>
          </cell>
          <cell r="D3" t="str">
            <v>1997년</v>
          </cell>
          <cell r="E3" t="str">
            <v>1998년</v>
          </cell>
          <cell r="F3" t="str">
            <v>1999년</v>
          </cell>
          <cell r="G3" t="str">
            <v>2000년</v>
          </cell>
          <cell r="H3" t="str">
            <v>2001년</v>
          </cell>
          <cell r="I3" t="str">
            <v>2002년</v>
          </cell>
          <cell r="J3" t="str">
            <v>2003년</v>
          </cell>
          <cell r="K3" t="str">
            <v>2004년</v>
          </cell>
          <cell r="L3" t="str">
            <v>2005년</v>
          </cell>
        </row>
        <row r="4">
          <cell r="C4">
            <v>250</v>
          </cell>
          <cell r="D4">
            <v>266</v>
          </cell>
          <cell r="E4">
            <v>277</v>
          </cell>
          <cell r="F4">
            <v>264</v>
          </cell>
          <cell r="G4">
            <v>266</v>
          </cell>
          <cell r="H4">
            <v>296</v>
          </cell>
          <cell r="I4">
            <v>274</v>
          </cell>
          <cell r="J4">
            <v>275</v>
          </cell>
          <cell r="K4">
            <v>296</v>
          </cell>
          <cell r="L4">
            <v>306</v>
          </cell>
        </row>
        <row r="5">
          <cell r="C5">
            <v>121</v>
          </cell>
          <cell r="D5">
            <v>131</v>
          </cell>
          <cell r="E5">
            <v>117</v>
          </cell>
          <cell r="F5">
            <v>124</v>
          </cell>
          <cell r="G5">
            <v>134</v>
          </cell>
          <cell r="H5">
            <v>140</v>
          </cell>
          <cell r="I5">
            <v>137</v>
          </cell>
          <cell r="J5">
            <v>148</v>
          </cell>
          <cell r="K5">
            <v>148</v>
          </cell>
          <cell r="L5">
            <v>134</v>
          </cell>
        </row>
        <row r="6">
          <cell r="C6">
            <v>93</v>
          </cell>
          <cell r="D6">
            <v>104</v>
          </cell>
          <cell r="E6">
            <v>102</v>
          </cell>
          <cell r="F6">
            <v>104</v>
          </cell>
          <cell r="G6">
            <v>98</v>
          </cell>
          <cell r="H6">
            <v>82</v>
          </cell>
          <cell r="I6">
            <v>76</v>
          </cell>
          <cell r="J6">
            <v>76</v>
          </cell>
          <cell r="K6">
            <v>75</v>
          </cell>
          <cell r="L6">
            <v>79</v>
          </cell>
        </row>
        <row r="7">
          <cell r="C7">
            <v>230</v>
          </cell>
          <cell r="D7">
            <v>218</v>
          </cell>
          <cell r="E7">
            <v>215</v>
          </cell>
          <cell r="F7">
            <v>210</v>
          </cell>
          <cell r="G7">
            <v>206</v>
          </cell>
          <cell r="H7">
            <v>203</v>
          </cell>
          <cell r="I7">
            <v>208</v>
          </cell>
          <cell r="J7">
            <v>217</v>
          </cell>
          <cell r="K7">
            <v>208</v>
          </cell>
          <cell r="L7">
            <v>213</v>
          </cell>
        </row>
        <row r="8">
          <cell r="C8">
            <v>123</v>
          </cell>
          <cell r="D8">
            <v>128</v>
          </cell>
          <cell r="E8">
            <v>124</v>
          </cell>
          <cell r="F8">
            <v>112</v>
          </cell>
          <cell r="G8">
            <v>115</v>
          </cell>
          <cell r="H8">
            <v>110</v>
          </cell>
          <cell r="I8">
            <v>107</v>
          </cell>
          <cell r="J8">
            <v>108</v>
          </cell>
          <cell r="K8">
            <v>120</v>
          </cell>
          <cell r="L8">
            <v>128</v>
          </cell>
        </row>
        <row r="9">
          <cell r="C9">
            <v>251</v>
          </cell>
          <cell r="D9">
            <v>280</v>
          </cell>
          <cell r="E9">
            <v>286</v>
          </cell>
          <cell r="F9">
            <v>266</v>
          </cell>
          <cell r="G9">
            <v>269</v>
          </cell>
          <cell r="H9">
            <v>259</v>
          </cell>
          <cell r="I9">
            <v>264</v>
          </cell>
          <cell r="J9">
            <v>282</v>
          </cell>
          <cell r="K9">
            <v>278</v>
          </cell>
          <cell r="L9">
            <v>298</v>
          </cell>
        </row>
        <row r="10">
          <cell r="C10">
            <v>89</v>
          </cell>
          <cell r="D10">
            <v>92</v>
          </cell>
          <cell r="E10">
            <v>91</v>
          </cell>
          <cell r="F10">
            <v>86</v>
          </cell>
          <cell r="G10">
            <v>76</v>
          </cell>
          <cell r="H10">
            <v>80</v>
          </cell>
          <cell r="I10">
            <v>84</v>
          </cell>
          <cell r="J10">
            <v>88</v>
          </cell>
          <cell r="K10">
            <v>90</v>
          </cell>
          <cell r="L10">
            <v>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상수관로"/>
      <sheetName val="음수대유입"/>
      <sheetName val="음수대유출"/>
      <sheetName val="음수대방류"/>
      <sheetName val="A LINE"/>
      <sheetName val="B LINE"/>
      <sheetName val="공원내"/>
      <sheetName val="드레인관"/>
      <sheetName val="가압장"/>
      <sheetName val="공기변실"/>
      <sheetName val="음수대방류맨홀"/>
      <sheetName val="관보호공집계표"/>
      <sheetName val="관보호공단위수량"/>
      <sheetName val="조서 (0.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배수관공(IC)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로집계"/>
      <sheetName val="배수관로수량현황"/>
      <sheetName val="배수관로수량집계"/>
      <sheetName val="배수관로수량집계L-8,9,11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원가계산서(년도별)"/>
      <sheetName val="집계표(도급)"/>
      <sheetName val="내역서(도급)"/>
      <sheetName val="6월호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.과거인구"/>
      <sheetName val="2.인구분석"/>
      <sheetName val="3.인구추정식결정"/>
      <sheetName val="4.사회적유입"/>
      <sheetName val="5.계획인구 추정"/>
      <sheetName val="과거인구"/>
      <sheetName val="과거인구 (2)"/>
    </sheetNames>
    <sheetDataSet>
      <sheetData sheetId="0" refreshError="1">
        <row r="2">
          <cell r="C2">
            <v>1998</v>
          </cell>
          <cell r="D2">
            <v>1999</v>
          </cell>
          <cell r="E2">
            <v>2000</v>
          </cell>
          <cell r="F2">
            <v>2001</v>
          </cell>
          <cell r="G2">
            <v>2002</v>
          </cell>
          <cell r="H2">
            <v>2003</v>
          </cell>
          <cell r="I2">
            <v>2004</v>
          </cell>
          <cell r="J2">
            <v>2005</v>
          </cell>
          <cell r="K2">
            <v>2006</v>
          </cell>
          <cell r="L2">
            <v>2007</v>
          </cell>
        </row>
        <row r="3">
          <cell r="L3">
            <v>30579</v>
          </cell>
        </row>
        <row r="4">
          <cell r="L4">
            <v>22151</v>
          </cell>
        </row>
        <row r="5">
          <cell r="L5">
            <v>24712</v>
          </cell>
        </row>
        <row r="6">
          <cell r="L6">
            <v>27861</v>
          </cell>
        </row>
        <row r="7">
          <cell r="L7">
            <v>12375</v>
          </cell>
        </row>
        <row r="8">
          <cell r="L8">
            <v>5181</v>
          </cell>
        </row>
        <row r="9">
          <cell r="L9">
            <v>4658</v>
          </cell>
        </row>
        <row r="10">
          <cell r="L10">
            <v>5540</v>
          </cell>
        </row>
        <row r="11">
          <cell r="L11">
            <v>4480</v>
          </cell>
        </row>
        <row r="12">
          <cell r="L12">
            <v>3113</v>
          </cell>
        </row>
        <row r="13">
          <cell r="L13">
            <v>6742</v>
          </cell>
        </row>
        <row r="14">
          <cell r="L14">
            <v>2885</v>
          </cell>
        </row>
        <row r="15">
          <cell r="L15">
            <v>7103</v>
          </cell>
        </row>
        <row r="16">
          <cell r="L16">
            <v>6195</v>
          </cell>
        </row>
        <row r="17">
          <cell r="L17">
            <v>11408</v>
          </cell>
        </row>
        <row r="18">
          <cell r="L18">
            <v>13839</v>
          </cell>
        </row>
        <row r="19">
          <cell r="L19">
            <v>20033</v>
          </cell>
        </row>
        <row r="20">
          <cell r="L20">
            <v>21438</v>
          </cell>
        </row>
        <row r="21">
          <cell r="L21">
            <v>22589</v>
          </cell>
        </row>
        <row r="22">
          <cell r="L22">
            <v>16213</v>
          </cell>
        </row>
        <row r="23">
          <cell r="L23">
            <v>44658</v>
          </cell>
        </row>
        <row r="24">
          <cell r="L24">
            <v>20440</v>
          </cell>
        </row>
        <row r="25">
          <cell r="L25">
            <v>41098</v>
          </cell>
        </row>
        <row r="26">
          <cell r="L26">
            <v>17710</v>
          </cell>
        </row>
        <row r="27">
          <cell r="L27">
            <v>34819</v>
          </cell>
        </row>
        <row r="28">
          <cell r="L28">
            <v>29660</v>
          </cell>
        </row>
        <row r="29">
          <cell r="L29">
            <v>32419</v>
          </cell>
        </row>
        <row r="30">
          <cell r="L30">
            <v>50843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C3" t="str">
            <v>성환읍</v>
          </cell>
          <cell r="D3" t="str">
            <v>성거읍</v>
          </cell>
          <cell r="E3" t="str">
            <v>직산읍</v>
          </cell>
          <cell r="F3" t="str">
            <v>목천읍</v>
          </cell>
          <cell r="G3" t="str">
            <v>입장면</v>
          </cell>
          <cell r="H3" t="str">
            <v>풍세면</v>
          </cell>
          <cell r="I3" t="str">
            <v>광덕면</v>
          </cell>
          <cell r="J3" t="str">
            <v>북면</v>
          </cell>
          <cell r="K3" t="str">
            <v>성남면</v>
          </cell>
          <cell r="L3" t="str">
            <v>수신면</v>
          </cell>
          <cell r="M3" t="str">
            <v>병천면</v>
          </cell>
          <cell r="N3" t="str">
            <v>동면</v>
          </cell>
          <cell r="O3" t="str">
            <v>중앙동</v>
          </cell>
          <cell r="P3" t="str">
            <v>문성동</v>
          </cell>
          <cell r="Q3" t="str">
            <v>원성1동</v>
          </cell>
          <cell r="R3" t="str">
            <v>원성2동</v>
          </cell>
          <cell r="S3" t="str">
            <v>성정1동</v>
          </cell>
          <cell r="T3" t="str">
            <v>성정2동</v>
          </cell>
          <cell r="U3" t="str">
            <v>봉명동</v>
          </cell>
          <cell r="V3" t="str">
            <v>쌍용1동</v>
          </cell>
          <cell r="Y3" t="str">
            <v>청룡동</v>
          </cell>
          <cell r="Z3" t="str">
            <v>신안동</v>
          </cell>
          <cell r="AA3" t="str">
            <v>부성동</v>
          </cell>
        </row>
        <row r="4">
          <cell r="C4">
            <v>27049</v>
          </cell>
          <cell r="D4">
            <v>14115</v>
          </cell>
          <cell r="E4">
            <v>21655</v>
          </cell>
          <cell r="F4">
            <v>12648</v>
          </cell>
          <cell r="G4">
            <v>11781</v>
          </cell>
          <cell r="H4">
            <v>5805</v>
          </cell>
          <cell r="I4">
            <v>4789</v>
          </cell>
          <cell r="J4">
            <v>5308</v>
          </cell>
          <cell r="K4">
            <v>4871</v>
          </cell>
          <cell r="L4">
            <v>3441</v>
          </cell>
          <cell r="M4">
            <v>6663</v>
          </cell>
          <cell r="N4">
            <v>3264</v>
          </cell>
          <cell r="O4">
            <v>9607</v>
          </cell>
          <cell r="P4">
            <v>7212</v>
          </cell>
          <cell r="Q4">
            <v>12284</v>
          </cell>
          <cell r="R4">
            <v>15139</v>
          </cell>
          <cell r="S4">
            <v>20150</v>
          </cell>
          <cell r="T4">
            <v>20531</v>
          </cell>
          <cell r="U4">
            <v>18925</v>
          </cell>
          <cell r="V4">
            <v>17622</v>
          </cell>
          <cell r="W4">
            <v>39372</v>
          </cell>
          <cell r="X4">
            <v>35958</v>
          </cell>
          <cell r="Y4">
            <v>20748</v>
          </cell>
          <cell r="Z4">
            <v>26622</v>
          </cell>
          <cell r="AA4">
            <v>20958</v>
          </cell>
        </row>
        <row r="5">
          <cell r="C5">
            <v>28119</v>
          </cell>
          <cell r="D5">
            <v>15395</v>
          </cell>
          <cell r="E5">
            <v>23083</v>
          </cell>
          <cell r="F5">
            <v>14276</v>
          </cell>
          <cell r="G5">
            <v>12113</v>
          </cell>
          <cell r="H5">
            <v>5753</v>
          </cell>
          <cell r="I5">
            <v>4751</v>
          </cell>
          <cell r="J5">
            <v>5502</v>
          </cell>
          <cell r="K5">
            <v>4815</v>
          </cell>
          <cell r="L5">
            <v>3390</v>
          </cell>
          <cell r="M5">
            <v>6565</v>
          </cell>
          <cell r="N5">
            <v>3155</v>
          </cell>
          <cell r="O5">
            <v>8971</v>
          </cell>
          <cell r="P5">
            <v>6685</v>
          </cell>
          <cell r="Q5">
            <v>11891</v>
          </cell>
          <cell r="R5">
            <v>14531</v>
          </cell>
          <cell r="S5">
            <v>19431</v>
          </cell>
          <cell r="T5">
            <v>20000</v>
          </cell>
          <cell r="U5">
            <v>18529</v>
          </cell>
          <cell r="V5">
            <v>17706</v>
          </cell>
          <cell r="W5">
            <v>51516</v>
          </cell>
          <cell r="X5">
            <v>39104</v>
          </cell>
          <cell r="Y5">
            <v>23059</v>
          </cell>
          <cell r="Z5">
            <v>26266</v>
          </cell>
          <cell r="AA5">
            <v>21446</v>
          </cell>
        </row>
        <row r="6">
          <cell r="C6">
            <v>27899</v>
          </cell>
          <cell r="D6">
            <v>16666</v>
          </cell>
          <cell r="E6">
            <v>24102</v>
          </cell>
          <cell r="F6">
            <v>21074</v>
          </cell>
          <cell r="G6">
            <v>12983</v>
          </cell>
          <cell r="H6">
            <v>5598</v>
          </cell>
          <cell r="I6">
            <v>4674</v>
          </cell>
          <cell r="J6">
            <v>5712</v>
          </cell>
          <cell r="K6">
            <v>4700</v>
          </cell>
          <cell r="L6">
            <v>3262</v>
          </cell>
          <cell r="M6">
            <v>6403</v>
          </cell>
          <cell r="N6">
            <v>3092</v>
          </cell>
          <cell r="O6">
            <v>8506</v>
          </cell>
          <cell r="P6">
            <v>6405</v>
          </cell>
          <cell r="Q6">
            <v>11501</v>
          </cell>
          <cell r="R6">
            <v>14103</v>
          </cell>
          <cell r="S6">
            <v>18830</v>
          </cell>
          <cell r="T6">
            <v>19618</v>
          </cell>
          <cell r="U6">
            <v>18259</v>
          </cell>
          <cell r="V6">
            <v>17347</v>
          </cell>
          <cell r="W6">
            <v>58874</v>
          </cell>
          <cell r="X6">
            <v>43688</v>
          </cell>
          <cell r="Y6">
            <v>22594</v>
          </cell>
          <cell r="Z6">
            <v>27456</v>
          </cell>
          <cell r="AA6">
            <v>21789</v>
          </cell>
        </row>
        <row r="7">
          <cell r="C7">
            <v>29614</v>
          </cell>
          <cell r="D7">
            <v>17111</v>
          </cell>
          <cell r="E7">
            <v>24189</v>
          </cell>
          <cell r="F7">
            <v>23483</v>
          </cell>
          <cell r="G7">
            <v>13054</v>
          </cell>
          <cell r="H7">
            <v>5489</v>
          </cell>
          <cell r="I7">
            <v>4582</v>
          </cell>
          <cell r="J7">
            <v>5744</v>
          </cell>
          <cell r="K7">
            <v>4569</v>
          </cell>
          <cell r="L7">
            <v>3172</v>
          </cell>
          <cell r="M7">
            <v>6443</v>
          </cell>
          <cell r="N7">
            <v>3007</v>
          </cell>
          <cell r="O7">
            <v>8250</v>
          </cell>
          <cell r="P7">
            <v>6374</v>
          </cell>
          <cell r="Q7">
            <v>11432</v>
          </cell>
          <cell r="R7">
            <v>13902</v>
          </cell>
          <cell r="S7">
            <v>18505</v>
          </cell>
          <cell r="T7">
            <v>19330</v>
          </cell>
          <cell r="U7">
            <v>21409</v>
          </cell>
          <cell r="V7">
            <v>17266</v>
          </cell>
          <cell r="W7">
            <v>61294</v>
          </cell>
          <cell r="X7">
            <v>45851</v>
          </cell>
          <cell r="Y7">
            <v>22625</v>
          </cell>
          <cell r="Z7">
            <v>27854</v>
          </cell>
          <cell r="AA7">
            <v>22159</v>
          </cell>
        </row>
        <row r="8">
          <cell r="C8">
            <v>29474</v>
          </cell>
          <cell r="D8">
            <v>17370</v>
          </cell>
          <cell r="E8">
            <v>24101</v>
          </cell>
          <cell r="F8">
            <v>24007</v>
          </cell>
          <cell r="G8">
            <v>12916</v>
          </cell>
          <cell r="H8">
            <v>5325</v>
          </cell>
          <cell r="I8">
            <v>4537</v>
          </cell>
          <cell r="J8">
            <v>5692</v>
          </cell>
          <cell r="K8">
            <v>4537</v>
          </cell>
          <cell r="L8">
            <v>3097</v>
          </cell>
          <cell r="M8">
            <v>6412</v>
          </cell>
          <cell r="N8">
            <v>2905</v>
          </cell>
          <cell r="O8">
            <v>8030</v>
          </cell>
          <cell r="P8">
            <v>6294</v>
          </cell>
          <cell r="Q8">
            <v>11524</v>
          </cell>
          <cell r="R8">
            <v>13852</v>
          </cell>
          <cell r="S8">
            <v>18503</v>
          </cell>
          <cell r="T8">
            <v>19852</v>
          </cell>
          <cell r="U8">
            <v>22291</v>
          </cell>
          <cell r="V8">
            <v>17371</v>
          </cell>
          <cell r="W8">
            <v>65801</v>
          </cell>
          <cell r="X8">
            <v>46083</v>
          </cell>
          <cell r="Y8">
            <v>22493</v>
          </cell>
          <cell r="Z8">
            <v>27944</v>
          </cell>
          <cell r="AA8">
            <v>25074</v>
          </cell>
        </row>
        <row r="9">
          <cell r="C9">
            <v>29563</v>
          </cell>
          <cell r="D9">
            <v>18437</v>
          </cell>
          <cell r="E9">
            <v>23772</v>
          </cell>
          <cell r="F9">
            <v>24460</v>
          </cell>
          <cell r="G9">
            <v>13080</v>
          </cell>
          <cell r="H9">
            <v>5268</v>
          </cell>
          <cell r="I9">
            <v>4560</v>
          </cell>
          <cell r="J9">
            <v>5667</v>
          </cell>
          <cell r="K9">
            <v>4486</v>
          </cell>
          <cell r="L9">
            <v>3184</v>
          </cell>
          <cell r="M9">
            <v>6491</v>
          </cell>
          <cell r="N9">
            <v>2971</v>
          </cell>
          <cell r="O9">
            <v>7935</v>
          </cell>
          <cell r="P9">
            <v>6492</v>
          </cell>
          <cell r="Q9">
            <v>11684</v>
          </cell>
          <cell r="R9">
            <v>14179</v>
          </cell>
          <cell r="S9">
            <v>18713</v>
          </cell>
          <cell r="T9">
            <v>20865</v>
          </cell>
          <cell r="U9">
            <v>23506</v>
          </cell>
          <cell r="V9">
            <v>17267</v>
          </cell>
          <cell r="W9">
            <v>69927</v>
          </cell>
          <cell r="X9">
            <v>45648</v>
          </cell>
          <cell r="Y9">
            <v>21297</v>
          </cell>
          <cell r="Z9">
            <v>28624</v>
          </cell>
          <cell r="AA9">
            <v>34638</v>
          </cell>
        </row>
        <row r="10">
          <cell r="C10">
            <v>30906</v>
          </cell>
          <cell r="D10">
            <v>19816</v>
          </cell>
          <cell r="E10">
            <v>24340</v>
          </cell>
          <cell r="F10">
            <v>25381</v>
          </cell>
          <cell r="G10">
            <v>13611</v>
          </cell>
          <cell r="H10">
            <v>5582</v>
          </cell>
          <cell r="I10">
            <v>4848</v>
          </cell>
          <cell r="J10">
            <v>5918</v>
          </cell>
          <cell r="K10">
            <v>4789</v>
          </cell>
          <cell r="L10">
            <v>3549</v>
          </cell>
          <cell r="M10">
            <v>7486</v>
          </cell>
          <cell r="N10">
            <v>3291</v>
          </cell>
          <cell r="O10">
            <v>7955</v>
          </cell>
          <cell r="P10">
            <v>6740</v>
          </cell>
          <cell r="Q10">
            <v>12201</v>
          </cell>
          <cell r="R10">
            <v>14789</v>
          </cell>
          <cell r="S10">
            <v>19495</v>
          </cell>
          <cell r="T10">
            <v>21685</v>
          </cell>
          <cell r="U10">
            <v>22956</v>
          </cell>
          <cell r="V10">
            <v>17387</v>
          </cell>
          <cell r="W10">
            <v>92623</v>
          </cell>
          <cell r="X10">
            <v>45781</v>
          </cell>
          <cell r="Y10">
            <v>21130</v>
          </cell>
          <cell r="Z10">
            <v>31128</v>
          </cell>
          <cell r="AA10">
            <v>46357</v>
          </cell>
        </row>
        <row r="11">
          <cell r="C11">
            <v>30696</v>
          </cell>
          <cell r="D11">
            <v>20108</v>
          </cell>
          <cell r="E11">
            <v>24381</v>
          </cell>
          <cell r="F11">
            <v>27989</v>
          </cell>
          <cell r="G11">
            <v>12899</v>
          </cell>
          <cell r="H11">
            <v>5309</v>
          </cell>
          <cell r="I11">
            <v>4711</v>
          </cell>
          <cell r="J11">
            <v>5668</v>
          </cell>
          <cell r="K11">
            <v>4629</v>
          </cell>
          <cell r="L11">
            <v>3212</v>
          </cell>
          <cell r="M11">
            <v>7035</v>
          </cell>
          <cell r="N11">
            <v>3112</v>
          </cell>
          <cell r="O11">
            <v>7550</v>
          </cell>
          <cell r="P11">
            <v>6520</v>
          </cell>
          <cell r="Q11">
            <v>11881</v>
          </cell>
          <cell r="R11">
            <v>14212</v>
          </cell>
          <cell r="S11">
            <v>20667</v>
          </cell>
          <cell r="T11">
            <v>21508</v>
          </cell>
          <cell r="U11">
            <v>23364</v>
          </cell>
          <cell r="V11">
            <v>16905</v>
          </cell>
          <cell r="W11">
            <v>97446</v>
          </cell>
          <cell r="X11">
            <v>46305</v>
          </cell>
          <cell r="Y11">
            <v>21699</v>
          </cell>
          <cell r="Z11">
            <v>32023</v>
          </cell>
          <cell r="AA11">
            <v>48989</v>
          </cell>
        </row>
        <row r="12">
          <cell r="C12">
            <v>30656</v>
          </cell>
          <cell r="D12">
            <v>21841</v>
          </cell>
          <cell r="E12">
            <v>24761</v>
          </cell>
          <cell r="F12">
            <v>28523</v>
          </cell>
          <cell r="G12">
            <v>12623</v>
          </cell>
          <cell r="H12">
            <v>5236</v>
          </cell>
          <cell r="I12">
            <v>4691</v>
          </cell>
          <cell r="J12">
            <v>5537</v>
          </cell>
          <cell r="K12">
            <v>4662</v>
          </cell>
          <cell r="L12">
            <v>3165</v>
          </cell>
          <cell r="M12">
            <v>6759</v>
          </cell>
          <cell r="N12">
            <v>2991</v>
          </cell>
          <cell r="O12">
            <v>7228</v>
          </cell>
          <cell r="P12">
            <v>6260</v>
          </cell>
          <cell r="Q12">
            <v>11577</v>
          </cell>
          <cell r="R12">
            <v>14112</v>
          </cell>
          <cell r="S12">
            <v>20167</v>
          </cell>
          <cell r="T12">
            <v>21206</v>
          </cell>
          <cell r="U12">
            <v>22803</v>
          </cell>
          <cell r="V12">
            <v>16451</v>
          </cell>
          <cell r="W12">
            <v>101555</v>
          </cell>
          <cell r="X12">
            <v>50808</v>
          </cell>
          <cell r="Y12">
            <v>25298</v>
          </cell>
          <cell r="Z12">
            <v>32140</v>
          </cell>
          <cell r="AA12">
            <v>50143</v>
          </cell>
        </row>
        <row r="13">
          <cell r="C13">
            <v>30579</v>
          </cell>
          <cell r="D13">
            <v>22151</v>
          </cell>
          <cell r="E13">
            <v>24712</v>
          </cell>
          <cell r="F13">
            <v>27861</v>
          </cell>
          <cell r="G13">
            <v>12375</v>
          </cell>
          <cell r="H13">
            <v>5181</v>
          </cell>
          <cell r="I13">
            <v>4658</v>
          </cell>
          <cell r="J13">
            <v>5540</v>
          </cell>
          <cell r="K13">
            <v>4480</v>
          </cell>
          <cell r="L13">
            <v>3113</v>
          </cell>
          <cell r="M13">
            <v>6742</v>
          </cell>
          <cell r="N13">
            <v>2885</v>
          </cell>
          <cell r="O13">
            <v>7103</v>
          </cell>
          <cell r="P13">
            <v>6195</v>
          </cell>
          <cell r="Q13">
            <v>11408</v>
          </cell>
          <cell r="R13">
            <v>13839</v>
          </cell>
          <cell r="S13">
            <v>20033</v>
          </cell>
          <cell r="T13">
            <v>21438</v>
          </cell>
          <cell r="U13">
            <v>22589</v>
          </cell>
          <cell r="V13">
            <v>16213</v>
          </cell>
          <cell r="W13">
            <v>106196</v>
          </cell>
          <cell r="X13">
            <v>52529</v>
          </cell>
          <cell r="Y13">
            <v>29660</v>
          </cell>
          <cell r="Z13">
            <v>32419</v>
          </cell>
          <cell r="AA13">
            <v>50843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천안시(연령별)"/>
      <sheetName val="생명표"/>
      <sheetName val="성비"/>
      <sheetName val="ASFR(연령별출산율)"/>
      <sheetName val="생잔율"/>
      <sheetName val="연령및성별인구"/>
      <sheetName val="천안시"/>
      <sheetName val="중앙동"/>
      <sheetName val="문성동"/>
      <sheetName val="원성1동"/>
      <sheetName val="원성2동"/>
      <sheetName val="성정1동"/>
      <sheetName val="성정2동"/>
      <sheetName val="봉명동"/>
      <sheetName val="쌍용1동"/>
      <sheetName val="쌍용2동"/>
      <sheetName val="쌍용3동"/>
      <sheetName val="백석동"/>
      <sheetName val="일봉동"/>
      <sheetName val="신방동"/>
      <sheetName val="청룡동"/>
      <sheetName val="신안동"/>
      <sheetName val="부성동"/>
      <sheetName val="성환읍"/>
      <sheetName val="성거읍"/>
      <sheetName val="직산읍"/>
      <sheetName val="목천읍"/>
      <sheetName val="입장면"/>
      <sheetName val="풍세면"/>
      <sheetName val="광덕면"/>
      <sheetName val="북면"/>
      <sheetName val="성남면"/>
      <sheetName val="수신면"/>
      <sheetName val="병천면"/>
      <sheetName val="동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B7">
            <v>31974</v>
          </cell>
          <cell r="AI7">
            <v>25027</v>
          </cell>
        </row>
        <row r="8">
          <cell r="B8">
            <v>39345</v>
          </cell>
          <cell r="AI8">
            <v>25441</v>
          </cell>
        </row>
        <row r="9">
          <cell r="B9">
            <v>43649</v>
          </cell>
          <cell r="AI9">
            <v>39282</v>
          </cell>
        </row>
        <row r="10">
          <cell r="B10">
            <v>36584</v>
          </cell>
          <cell r="AI10">
            <v>43602</v>
          </cell>
        </row>
        <row r="11">
          <cell r="B11">
            <v>35925</v>
          </cell>
          <cell r="AI11">
            <v>36556</v>
          </cell>
        </row>
        <row r="12">
          <cell r="B12">
            <v>48588</v>
          </cell>
          <cell r="AI12">
            <v>35856</v>
          </cell>
        </row>
        <row r="13">
          <cell r="B13">
            <v>52082</v>
          </cell>
          <cell r="AI13">
            <v>48454</v>
          </cell>
        </row>
        <row r="14">
          <cell r="B14">
            <v>56469</v>
          </cell>
          <cell r="AI14">
            <v>51897</v>
          </cell>
        </row>
        <row r="15">
          <cell r="B15">
            <v>48142</v>
          </cell>
          <cell r="AI15">
            <v>56207</v>
          </cell>
        </row>
        <row r="16">
          <cell r="B16">
            <v>45566</v>
          </cell>
          <cell r="AI16">
            <v>47832</v>
          </cell>
        </row>
        <row r="17">
          <cell r="B17">
            <v>29249</v>
          </cell>
          <cell r="AI17">
            <v>45093</v>
          </cell>
        </row>
        <row r="18">
          <cell r="B18">
            <v>19400</v>
          </cell>
          <cell r="AI18">
            <v>28773</v>
          </cell>
        </row>
        <row r="19">
          <cell r="B19">
            <v>14480</v>
          </cell>
          <cell r="AI19">
            <v>18954</v>
          </cell>
        </row>
        <row r="20">
          <cell r="B20">
            <v>14456</v>
          </cell>
          <cell r="AI20">
            <v>14035</v>
          </cell>
        </row>
        <row r="21">
          <cell r="B21">
            <v>11456</v>
          </cell>
          <cell r="AI21">
            <v>13811</v>
          </cell>
        </row>
        <row r="22">
          <cell r="B22">
            <v>7124</v>
          </cell>
          <cell r="AI22">
            <v>10721</v>
          </cell>
        </row>
        <row r="23">
          <cell r="B23">
            <v>3828</v>
          </cell>
          <cell r="AI23">
            <v>6397</v>
          </cell>
        </row>
        <row r="24">
          <cell r="B24">
            <v>2425</v>
          </cell>
          <cell r="AI24">
            <v>4783</v>
          </cell>
        </row>
        <row r="31">
          <cell r="AI31">
            <v>27605</v>
          </cell>
        </row>
        <row r="32">
          <cell r="AI32">
            <v>24910</v>
          </cell>
        </row>
        <row r="33">
          <cell r="AI33">
            <v>25406</v>
          </cell>
        </row>
        <row r="34">
          <cell r="AI34">
            <v>39248</v>
          </cell>
        </row>
        <row r="35">
          <cell r="AI35">
            <v>43576</v>
          </cell>
        </row>
        <row r="36">
          <cell r="AI36">
            <v>36494</v>
          </cell>
        </row>
        <row r="37">
          <cell r="AI37">
            <v>35773</v>
          </cell>
        </row>
        <row r="38">
          <cell r="AI38">
            <v>48309</v>
          </cell>
        </row>
        <row r="39">
          <cell r="AI39">
            <v>51695</v>
          </cell>
        </row>
        <row r="40">
          <cell r="AI40">
            <v>55902</v>
          </cell>
        </row>
        <row r="41">
          <cell r="AI41">
            <v>47415</v>
          </cell>
        </row>
        <row r="42">
          <cell r="AI42">
            <v>44464</v>
          </cell>
        </row>
        <row r="43">
          <cell r="AI43">
            <v>28190</v>
          </cell>
        </row>
        <row r="44">
          <cell r="AI44">
            <v>18422</v>
          </cell>
        </row>
        <row r="45">
          <cell r="AI45">
            <v>13454</v>
          </cell>
        </row>
        <row r="46">
          <cell r="AI46">
            <v>12986</v>
          </cell>
        </row>
        <row r="47">
          <cell r="AI47">
            <v>9695</v>
          </cell>
        </row>
        <row r="48">
          <cell r="AI48">
            <v>8683</v>
          </cell>
        </row>
        <row r="56">
          <cell r="AI56">
            <v>25543</v>
          </cell>
        </row>
        <row r="57">
          <cell r="AI57">
            <v>27493</v>
          </cell>
        </row>
        <row r="58">
          <cell r="AI58">
            <v>24880</v>
          </cell>
        </row>
        <row r="59">
          <cell r="AI59">
            <v>25389</v>
          </cell>
        </row>
        <row r="60">
          <cell r="AI60">
            <v>39231</v>
          </cell>
        </row>
        <row r="61">
          <cell r="AI61">
            <v>43513</v>
          </cell>
        </row>
        <row r="62">
          <cell r="AI62">
            <v>36420</v>
          </cell>
        </row>
        <row r="63">
          <cell r="AI63">
            <v>35681</v>
          </cell>
        </row>
        <row r="64">
          <cell r="AI64">
            <v>48148</v>
          </cell>
        </row>
        <row r="65">
          <cell r="AI65">
            <v>51455</v>
          </cell>
        </row>
        <row r="66">
          <cell r="AI66">
            <v>55487</v>
          </cell>
        </row>
        <row r="67">
          <cell r="AI67">
            <v>46848</v>
          </cell>
        </row>
        <row r="68">
          <cell r="AI68">
            <v>43679</v>
          </cell>
        </row>
        <row r="69">
          <cell r="AI69">
            <v>27460</v>
          </cell>
        </row>
        <row r="70">
          <cell r="AI70">
            <v>17714</v>
          </cell>
        </row>
        <row r="71">
          <cell r="AI71">
            <v>12692</v>
          </cell>
        </row>
        <row r="72">
          <cell r="AI72">
            <v>11820</v>
          </cell>
        </row>
        <row r="73">
          <cell r="AI73">
            <v>14422</v>
          </cell>
        </row>
        <row r="81">
          <cell r="AI81">
            <v>26032</v>
          </cell>
        </row>
        <row r="82">
          <cell r="AI82">
            <v>25453</v>
          </cell>
        </row>
        <row r="83">
          <cell r="AI83">
            <v>27463</v>
          </cell>
        </row>
        <row r="84">
          <cell r="AI84">
            <v>24867</v>
          </cell>
        </row>
        <row r="85">
          <cell r="AI85">
            <v>25380</v>
          </cell>
        </row>
        <row r="86">
          <cell r="AI86">
            <v>39181</v>
          </cell>
        </row>
        <row r="87">
          <cell r="AI87">
            <v>43437</v>
          </cell>
        </row>
        <row r="88">
          <cell r="AI88">
            <v>36339</v>
          </cell>
        </row>
        <row r="89">
          <cell r="AI89">
            <v>35581</v>
          </cell>
        </row>
        <row r="90">
          <cell r="AI90">
            <v>47957</v>
          </cell>
        </row>
        <row r="91">
          <cell r="AI91">
            <v>51128</v>
          </cell>
        </row>
        <row r="92">
          <cell r="AI92">
            <v>54917</v>
          </cell>
        </row>
        <row r="93">
          <cell r="AI93">
            <v>46137</v>
          </cell>
        </row>
        <row r="94">
          <cell r="AI94">
            <v>42648</v>
          </cell>
        </row>
        <row r="95">
          <cell r="AI95">
            <v>26480</v>
          </cell>
        </row>
        <row r="96">
          <cell r="AI96">
            <v>16772</v>
          </cell>
        </row>
        <row r="97">
          <cell r="AI97">
            <v>11619</v>
          </cell>
        </row>
        <row r="98">
          <cell r="AI98">
            <v>20704</v>
          </cell>
        </row>
      </sheetData>
      <sheetData sheetId="7">
        <row r="25">
          <cell r="AI25">
            <v>7150</v>
          </cell>
        </row>
      </sheetData>
      <sheetData sheetId="8">
        <row r="25">
          <cell r="AI25">
            <v>6252</v>
          </cell>
        </row>
      </sheetData>
      <sheetData sheetId="9">
        <row r="25">
          <cell r="AI25">
            <v>11590</v>
          </cell>
        </row>
      </sheetData>
      <sheetData sheetId="10">
        <row r="25">
          <cell r="AI25">
            <v>14037</v>
          </cell>
        </row>
      </sheetData>
      <sheetData sheetId="11">
        <row r="25">
          <cell r="AI25">
            <v>20506</v>
          </cell>
        </row>
      </sheetData>
      <sheetData sheetId="12">
        <row r="25">
          <cell r="AI25">
            <v>22087</v>
          </cell>
        </row>
      </sheetData>
      <sheetData sheetId="13">
        <row r="25">
          <cell r="AI25">
            <v>23533</v>
          </cell>
        </row>
      </sheetData>
      <sheetData sheetId="14">
        <row r="25">
          <cell r="AI25">
            <v>16540</v>
          </cell>
        </row>
      </sheetData>
      <sheetData sheetId="15">
        <row r="25">
          <cell r="AI25">
            <v>45998</v>
          </cell>
        </row>
      </sheetData>
      <sheetData sheetId="16">
        <row r="25">
          <cell r="AI25">
            <v>20950</v>
          </cell>
        </row>
      </sheetData>
      <sheetData sheetId="17">
        <row r="25">
          <cell r="AI25">
            <v>42049</v>
          </cell>
        </row>
      </sheetData>
      <sheetData sheetId="18">
        <row r="25">
          <cell r="AI25">
            <v>18033</v>
          </cell>
        </row>
      </sheetData>
      <sheetData sheetId="19">
        <row r="25">
          <cell r="AI25">
            <v>35926</v>
          </cell>
        </row>
      </sheetData>
      <sheetData sheetId="20">
        <row r="25">
          <cell r="AI25">
            <v>30290</v>
          </cell>
        </row>
      </sheetData>
      <sheetData sheetId="21">
        <row r="25">
          <cell r="AI25">
            <v>33278</v>
          </cell>
        </row>
      </sheetData>
      <sheetData sheetId="22">
        <row r="25">
          <cell r="AI25">
            <v>52260</v>
          </cell>
        </row>
      </sheetData>
      <sheetData sheetId="23">
        <row r="25">
          <cell r="AI25">
            <v>31017</v>
          </cell>
        </row>
      </sheetData>
      <sheetData sheetId="24">
        <row r="25">
          <cell r="AI25">
            <v>22763</v>
          </cell>
        </row>
      </sheetData>
      <sheetData sheetId="25">
        <row r="25">
          <cell r="AI25">
            <v>25274</v>
          </cell>
        </row>
      </sheetData>
      <sheetData sheetId="26">
        <row r="25">
          <cell r="AI25">
            <v>28561</v>
          </cell>
        </row>
      </sheetData>
      <sheetData sheetId="27">
        <row r="25">
          <cell r="AI25">
            <v>12471</v>
          </cell>
        </row>
      </sheetData>
      <sheetData sheetId="28">
        <row r="25">
          <cell r="AI25">
            <v>5167</v>
          </cell>
        </row>
      </sheetData>
      <sheetData sheetId="29">
        <row r="25">
          <cell r="AI25">
            <v>4623</v>
          </cell>
        </row>
      </sheetData>
      <sheetData sheetId="30">
        <row r="25">
          <cell r="AI25">
            <v>5561</v>
          </cell>
        </row>
      </sheetData>
      <sheetData sheetId="31">
        <row r="25">
          <cell r="AI25">
            <v>4444</v>
          </cell>
        </row>
      </sheetData>
      <sheetData sheetId="32">
        <row r="25">
          <cell r="AI25">
            <v>3099</v>
          </cell>
        </row>
      </sheetData>
      <sheetData sheetId="33">
        <row r="25">
          <cell r="AI25">
            <v>6755</v>
          </cell>
        </row>
      </sheetData>
      <sheetData sheetId="34">
        <row r="25">
          <cell r="AI25">
            <v>2823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산업단지"/>
      <sheetName val="택지개발사업"/>
      <sheetName val="도시개발사업"/>
      <sheetName val="도시주거환경정비사업"/>
      <sheetName val="공동주택건설사업"/>
      <sheetName val="사회유입인구"/>
    </sheetNames>
    <sheetDataSet>
      <sheetData sheetId="0">
        <row r="3">
          <cell r="A3" t="str">
            <v>제3지방산업단지 확장</v>
          </cell>
          <cell r="D3">
            <v>11912</v>
          </cell>
          <cell r="F3">
            <v>0</v>
          </cell>
          <cell r="G3">
            <v>7100</v>
          </cell>
          <cell r="H3">
            <v>7100</v>
          </cell>
          <cell r="I3">
            <v>7100</v>
          </cell>
        </row>
        <row r="4">
          <cell r="A4" t="str">
            <v>제5지방산업단지</v>
          </cell>
          <cell r="D4">
            <v>3048</v>
          </cell>
          <cell r="F4">
            <v>0</v>
          </cell>
          <cell r="G4">
            <v>1800</v>
          </cell>
          <cell r="H4">
            <v>1800</v>
          </cell>
          <cell r="I4">
            <v>1800</v>
          </cell>
        </row>
        <row r="5">
          <cell r="A5" t="str">
            <v>제6지방산업단지</v>
          </cell>
          <cell r="D5">
            <v>39000</v>
          </cell>
          <cell r="F5">
            <v>0</v>
          </cell>
          <cell r="G5">
            <v>0</v>
          </cell>
          <cell r="H5">
            <v>23400</v>
          </cell>
          <cell r="I5">
            <v>23400</v>
          </cell>
        </row>
        <row r="6">
          <cell r="A6" t="str">
            <v>풍세 일반산업단지</v>
          </cell>
          <cell r="D6">
            <v>5400</v>
          </cell>
          <cell r="F6">
            <v>0</v>
          </cell>
          <cell r="G6">
            <v>3200</v>
          </cell>
          <cell r="H6">
            <v>3200</v>
          </cell>
          <cell r="I6">
            <v>3200</v>
          </cell>
        </row>
        <row r="7">
          <cell r="A7" t="str">
            <v>동부바이오 산업단지</v>
          </cell>
          <cell r="D7">
            <v>272</v>
          </cell>
          <cell r="F7">
            <v>0</v>
          </cell>
          <cell r="G7">
            <v>0</v>
          </cell>
          <cell r="H7">
            <v>200</v>
          </cell>
          <cell r="I7">
            <v>200</v>
          </cell>
        </row>
        <row r="8">
          <cell r="A8" t="str">
            <v>입장밸리 산업단지</v>
          </cell>
          <cell r="D8">
            <v>322</v>
          </cell>
          <cell r="F8">
            <v>0</v>
          </cell>
          <cell r="G8">
            <v>0</v>
          </cell>
          <cell r="H8">
            <v>200</v>
          </cell>
          <cell r="I8">
            <v>200</v>
          </cell>
        </row>
        <row r="9">
          <cell r="A9" t="str">
            <v>북부BIT 산업단지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북부광역 클러스터</v>
          </cell>
          <cell r="D10">
            <v>10000</v>
          </cell>
          <cell r="F10">
            <v>0</v>
          </cell>
          <cell r="G10">
            <v>0</v>
          </cell>
          <cell r="H10">
            <v>6000</v>
          </cell>
          <cell r="I10">
            <v>6000</v>
          </cell>
        </row>
        <row r="11">
          <cell r="A11" t="str">
            <v>수신일반산업단지</v>
          </cell>
          <cell r="D11">
            <v>12590</v>
          </cell>
          <cell r="F11">
            <v>0</v>
          </cell>
          <cell r="G11">
            <v>0</v>
          </cell>
          <cell r="H11">
            <v>7600</v>
          </cell>
          <cell r="I11">
            <v>7600</v>
          </cell>
        </row>
      </sheetData>
      <sheetData sheetId="1">
        <row r="3">
          <cell r="A3" t="str">
            <v>배방지구</v>
          </cell>
          <cell r="D3">
            <v>3122</v>
          </cell>
          <cell r="F3">
            <v>1900</v>
          </cell>
          <cell r="G3">
            <v>1900</v>
          </cell>
          <cell r="H3">
            <v>1900</v>
          </cell>
          <cell r="I3">
            <v>1900</v>
          </cell>
        </row>
        <row r="4">
          <cell r="A4" t="str">
            <v>탕정지구</v>
          </cell>
          <cell r="D4">
            <v>30198</v>
          </cell>
          <cell r="F4">
            <v>0</v>
          </cell>
          <cell r="G4">
            <v>18100</v>
          </cell>
          <cell r="H4">
            <v>18100</v>
          </cell>
          <cell r="I4">
            <v>18100</v>
          </cell>
        </row>
        <row r="5">
          <cell r="A5" t="str">
            <v>청수지구</v>
          </cell>
          <cell r="D5">
            <v>20444</v>
          </cell>
          <cell r="F5">
            <v>12300</v>
          </cell>
          <cell r="G5">
            <v>12300</v>
          </cell>
          <cell r="H5">
            <v>12300</v>
          </cell>
          <cell r="I5">
            <v>12300</v>
          </cell>
        </row>
        <row r="6">
          <cell r="A6" t="str">
            <v>북부지구</v>
          </cell>
          <cell r="D6">
            <v>11000</v>
          </cell>
          <cell r="F6">
            <v>0</v>
          </cell>
          <cell r="G6">
            <v>0</v>
          </cell>
          <cell r="H6">
            <v>6600</v>
          </cell>
          <cell r="I6">
            <v>6600</v>
          </cell>
        </row>
      </sheetData>
      <sheetData sheetId="2">
        <row r="3">
          <cell r="A3" t="str">
            <v>쌍용·신방지구</v>
          </cell>
          <cell r="D3">
            <v>1381</v>
          </cell>
          <cell r="F3">
            <v>800</v>
          </cell>
          <cell r="G3">
            <v>800</v>
          </cell>
          <cell r="H3">
            <v>800</v>
          </cell>
          <cell r="I3">
            <v>800</v>
          </cell>
        </row>
        <row r="4">
          <cell r="A4" t="str">
            <v>쌍용지구</v>
          </cell>
          <cell r="D4">
            <v>2545</v>
          </cell>
          <cell r="F4">
            <v>1500</v>
          </cell>
          <cell r="G4">
            <v>1500</v>
          </cell>
          <cell r="H4">
            <v>1500</v>
          </cell>
          <cell r="I4">
            <v>1500</v>
          </cell>
        </row>
        <row r="5">
          <cell r="A5" t="str">
            <v>백석지구</v>
          </cell>
          <cell r="D5">
            <v>2746</v>
          </cell>
          <cell r="F5">
            <v>1600</v>
          </cell>
          <cell r="G5">
            <v>1600</v>
          </cell>
          <cell r="H5">
            <v>1600</v>
          </cell>
          <cell r="I5">
            <v>1600</v>
          </cell>
        </row>
        <row r="6">
          <cell r="A6" t="str">
            <v>백석2지구</v>
          </cell>
          <cell r="D6">
            <v>2379</v>
          </cell>
          <cell r="F6">
            <v>1400</v>
          </cell>
          <cell r="G6">
            <v>1400</v>
          </cell>
          <cell r="H6">
            <v>1400</v>
          </cell>
          <cell r="I6">
            <v>1400</v>
          </cell>
        </row>
        <row r="7">
          <cell r="A7" t="str">
            <v>백석3지구</v>
          </cell>
          <cell r="D7">
            <v>1969</v>
          </cell>
          <cell r="F7">
            <v>1200</v>
          </cell>
          <cell r="G7">
            <v>1200</v>
          </cell>
          <cell r="H7">
            <v>1200</v>
          </cell>
          <cell r="I7">
            <v>1200</v>
          </cell>
        </row>
        <row r="8">
          <cell r="A8" t="str">
            <v>백석4지구</v>
          </cell>
          <cell r="D8">
            <v>3511</v>
          </cell>
          <cell r="F8">
            <v>2100</v>
          </cell>
          <cell r="G8">
            <v>2100</v>
          </cell>
          <cell r="H8">
            <v>2100</v>
          </cell>
          <cell r="I8">
            <v>2100</v>
          </cell>
        </row>
        <row r="9">
          <cell r="A9" t="str">
            <v>백석 미개발지구</v>
          </cell>
          <cell r="D9">
            <v>14781</v>
          </cell>
          <cell r="F9">
            <v>0</v>
          </cell>
          <cell r="G9">
            <v>0</v>
          </cell>
          <cell r="H9">
            <v>8900</v>
          </cell>
          <cell r="I9">
            <v>8900</v>
          </cell>
        </row>
        <row r="10">
          <cell r="A10" t="str">
            <v>신방 통정지구</v>
          </cell>
          <cell r="D10">
            <v>13142</v>
          </cell>
          <cell r="F10">
            <v>7900</v>
          </cell>
          <cell r="G10">
            <v>7900</v>
          </cell>
          <cell r="H10">
            <v>7900</v>
          </cell>
          <cell r="I10">
            <v>7900</v>
          </cell>
        </row>
        <row r="11">
          <cell r="A11" t="str">
            <v>새텃말지구</v>
          </cell>
          <cell r="D11">
            <v>2854</v>
          </cell>
          <cell r="F11">
            <v>0</v>
          </cell>
          <cell r="G11">
            <v>1700</v>
          </cell>
          <cell r="H11">
            <v>1700</v>
          </cell>
          <cell r="I11">
            <v>1700</v>
          </cell>
        </row>
        <row r="12">
          <cell r="A12" t="str">
            <v>용곡2지구</v>
          </cell>
          <cell r="D12">
            <v>2806</v>
          </cell>
          <cell r="F12">
            <v>1700</v>
          </cell>
          <cell r="G12">
            <v>1700</v>
          </cell>
          <cell r="H12">
            <v>1700</v>
          </cell>
          <cell r="I12">
            <v>1700</v>
          </cell>
        </row>
        <row r="13">
          <cell r="A13" t="str">
            <v>청당지구</v>
          </cell>
          <cell r="D13">
            <v>7700</v>
          </cell>
          <cell r="F13">
            <v>0</v>
          </cell>
          <cell r="G13">
            <v>0</v>
          </cell>
          <cell r="H13">
            <v>4600</v>
          </cell>
          <cell r="I13">
            <v>4600</v>
          </cell>
        </row>
        <row r="14">
          <cell r="A14" t="str">
            <v>신월 국민임대주택</v>
          </cell>
          <cell r="D14">
            <v>14314</v>
          </cell>
          <cell r="F14">
            <v>0</v>
          </cell>
          <cell r="G14">
            <v>8600</v>
          </cell>
          <cell r="H14">
            <v>8600</v>
          </cell>
          <cell r="I14">
            <v>8600</v>
          </cell>
        </row>
        <row r="15">
          <cell r="A15" t="str">
            <v>매주 지구</v>
          </cell>
          <cell r="D15">
            <v>5122</v>
          </cell>
          <cell r="F15">
            <v>0</v>
          </cell>
          <cell r="G15">
            <v>3100</v>
          </cell>
          <cell r="H15">
            <v>3100</v>
          </cell>
          <cell r="I15">
            <v>3100</v>
          </cell>
        </row>
        <row r="16">
          <cell r="A16" t="str">
            <v>성환 국민임대주택</v>
          </cell>
          <cell r="D16">
            <v>11117</v>
          </cell>
          <cell r="F16">
            <v>0</v>
          </cell>
          <cell r="G16">
            <v>6700</v>
          </cell>
          <cell r="H16">
            <v>6700</v>
          </cell>
          <cell r="I16">
            <v>6700</v>
          </cell>
        </row>
        <row r="17">
          <cell r="A17" t="str">
            <v>국제비즈니스파크조성사업</v>
          </cell>
          <cell r="D17">
            <v>33600</v>
          </cell>
          <cell r="F17">
            <v>0</v>
          </cell>
          <cell r="G17">
            <v>0</v>
          </cell>
          <cell r="H17">
            <v>20200</v>
          </cell>
          <cell r="I17">
            <v>20200</v>
          </cell>
        </row>
      </sheetData>
      <sheetData sheetId="3">
        <row r="1">
          <cell r="B1" t="str">
            <v>처리분구</v>
          </cell>
          <cell r="D1" t="str">
            <v>수용인구
(인)</v>
          </cell>
          <cell r="F1" t="str">
            <v>사회적 유입인구(인)</v>
          </cell>
        </row>
        <row r="2">
          <cell r="F2" t="str">
            <v>2010년</v>
          </cell>
          <cell r="G2" t="str">
            <v>2015년</v>
          </cell>
          <cell r="H2" t="str">
            <v>2020년</v>
          </cell>
          <cell r="I2" t="str">
            <v>2025년</v>
          </cell>
        </row>
        <row r="3">
          <cell r="B3" t="str">
            <v>천안상류</v>
          </cell>
          <cell r="D3">
            <v>276</v>
          </cell>
          <cell r="F3">
            <v>0</v>
          </cell>
          <cell r="G3">
            <v>100</v>
          </cell>
          <cell r="H3">
            <v>100</v>
          </cell>
          <cell r="I3">
            <v>100</v>
          </cell>
        </row>
        <row r="4">
          <cell r="B4" t="str">
            <v>천안상류</v>
          </cell>
          <cell r="D4">
            <v>268</v>
          </cell>
          <cell r="F4">
            <v>0</v>
          </cell>
          <cell r="G4">
            <v>100</v>
          </cell>
          <cell r="H4">
            <v>100</v>
          </cell>
          <cell r="I4">
            <v>100</v>
          </cell>
        </row>
        <row r="5">
          <cell r="B5" t="str">
            <v>천안상류</v>
          </cell>
          <cell r="D5">
            <v>518</v>
          </cell>
          <cell r="F5">
            <v>0</v>
          </cell>
          <cell r="G5">
            <v>200</v>
          </cell>
          <cell r="H5">
            <v>200</v>
          </cell>
          <cell r="I5">
            <v>200</v>
          </cell>
        </row>
        <row r="6">
          <cell r="B6" t="str">
            <v>천안상류</v>
          </cell>
          <cell r="D6">
            <v>1261</v>
          </cell>
          <cell r="F6">
            <v>0</v>
          </cell>
          <cell r="G6">
            <v>400</v>
          </cell>
          <cell r="H6">
            <v>400</v>
          </cell>
          <cell r="I6">
            <v>400</v>
          </cell>
        </row>
        <row r="7">
          <cell r="B7" t="str">
            <v>천안상류</v>
          </cell>
          <cell r="D7">
            <v>391</v>
          </cell>
          <cell r="F7">
            <v>0</v>
          </cell>
          <cell r="G7">
            <v>100</v>
          </cell>
          <cell r="H7">
            <v>100</v>
          </cell>
          <cell r="I7">
            <v>100</v>
          </cell>
        </row>
        <row r="8">
          <cell r="B8" t="str">
            <v>천안상류</v>
          </cell>
          <cell r="D8">
            <v>390</v>
          </cell>
          <cell r="F8">
            <v>0</v>
          </cell>
          <cell r="G8">
            <v>100</v>
          </cell>
          <cell r="H8">
            <v>100</v>
          </cell>
          <cell r="I8">
            <v>100</v>
          </cell>
        </row>
        <row r="9">
          <cell r="B9" t="str">
            <v>천안상류</v>
          </cell>
          <cell r="D9">
            <v>1834</v>
          </cell>
          <cell r="F9">
            <v>0</v>
          </cell>
          <cell r="G9">
            <v>600</v>
          </cell>
          <cell r="H9">
            <v>600</v>
          </cell>
          <cell r="I9">
            <v>600</v>
          </cell>
        </row>
        <row r="10">
          <cell r="B10" t="str">
            <v>천안상류</v>
          </cell>
          <cell r="D10">
            <v>704</v>
          </cell>
          <cell r="F10">
            <v>0</v>
          </cell>
          <cell r="G10">
            <v>200</v>
          </cell>
          <cell r="H10">
            <v>200</v>
          </cell>
          <cell r="I10">
            <v>200</v>
          </cell>
        </row>
        <row r="11">
          <cell r="B11" t="str">
            <v>천안상류</v>
          </cell>
          <cell r="D11">
            <v>397</v>
          </cell>
          <cell r="F11">
            <v>0</v>
          </cell>
          <cell r="G11">
            <v>100</v>
          </cell>
          <cell r="H11">
            <v>100</v>
          </cell>
          <cell r="I11">
            <v>100</v>
          </cell>
        </row>
        <row r="12">
          <cell r="B12" t="str">
            <v>천안상류</v>
          </cell>
          <cell r="D12">
            <v>553</v>
          </cell>
          <cell r="F12">
            <v>0</v>
          </cell>
          <cell r="G12">
            <v>200</v>
          </cell>
          <cell r="H12">
            <v>200</v>
          </cell>
          <cell r="I12">
            <v>200</v>
          </cell>
        </row>
        <row r="13">
          <cell r="B13" t="str">
            <v>천안상류</v>
          </cell>
          <cell r="D13">
            <v>233</v>
          </cell>
          <cell r="F13">
            <v>0</v>
          </cell>
          <cell r="G13">
            <v>100</v>
          </cell>
          <cell r="H13">
            <v>100</v>
          </cell>
          <cell r="I13">
            <v>100</v>
          </cell>
        </row>
        <row r="14">
          <cell r="B14" t="str">
            <v>천안상류</v>
          </cell>
          <cell r="D14">
            <v>270</v>
          </cell>
          <cell r="F14">
            <v>0</v>
          </cell>
          <cell r="G14">
            <v>100</v>
          </cell>
          <cell r="H14">
            <v>100</v>
          </cell>
          <cell r="I14">
            <v>100</v>
          </cell>
        </row>
        <row r="15">
          <cell r="B15" t="str">
            <v>천안상류</v>
          </cell>
          <cell r="D15">
            <v>1057</v>
          </cell>
          <cell r="F15">
            <v>0</v>
          </cell>
          <cell r="G15">
            <v>300</v>
          </cell>
          <cell r="H15">
            <v>300</v>
          </cell>
          <cell r="I15">
            <v>300</v>
          </cell>
        </row>
        <row r="16">
          <cell r="B16" t="str">
            <v>천안상류</v>
          </cell>
          <cell r="D16">
            <v>487</v>
          </cell>
          <cell r="F16">
            <v>0</v>
          </cell>
          <cell r="G16">
            <v>100</v>
          </cell>
          <cell r="H16">
            <v>100</v>
          </cell>
          <cell r="I16">
            <v>100</v>
          </cell>
        </row>
        <row r="17">
          <cell r="B17" t="str">
            <v>천안상류</v>
          </cell>
          <cell r="D17">
            <v>900</v>
          </cell>
          <cell r="F17">
            <v>0</v>
          </cell>
          <cell r="G17">
            <v>300</v>
          </cell>
          <cell r="H17">
            <v>300</v>
          </cell>
          <cell r="I17">
            <v>300</v>
          </cell>
        </row>
        <row r="18">
          <cell r="B18" t="str">
            <v>천안상류</v>
          </cell>
          <cell r="D18">
            <v>747</v>
          </cell>
          <cell r="F18">
            <v>0</v>
          </cell>
          <cell r="G18">
            <v>200</v>
          </cell>
          <cell r="H18">
            <v>200</v>
          </cell>
          <cell r="I18">
            <v>200</v>
          </cell>
        </row>
        <row r="19">
          <cell r="B19" t="str">
            <v>천안상류</v>
          </cell>
          <cell r="D19">
            <v>439</v>
          </cell>
          <cell r="F19">
            <v>0</v>
          </cell>
          <cell r="G19">
            <v>100</v>
          </cell>
          <cell r="H19">
            <v>100</v>
          </cell>
          <cell r="I19">
            <v>100</v>
          </cell>
        </row>
        <row r="20">
          <cell r="B20" t="str">
            <v>천안상류</v>
          </cell>
          <cell r="D20">
            <v>110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천안상류</v>
          </cell>
          <cell r="D21">
            <v>76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 t="str">
            <v>천안상류</v>
          </cell>
          <cell r="D22">
            <v>107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천안상류</v>
          </cell>
          <cell r="D23">
            <v>59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천안상류</v>
          </cell>
          <cell r="D24">
            <v>25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천안상류</v>
          </cell>
          <cell r="D25">
            <v>510</v>
          </cell>
          <cell r="F25">
            <v>0</v>
          </cell>
          <cell r="G25">
            <v>200</v>
          </cell>
          <cell r="H25">
            <v>200</v>
          </cell>
          <cell r="I25">
            <v>200</v>
          </cell>
        </row>
        <row r="26">
          <cell r="B26" t="str">
            <v>천안상류</v>
          </cell>
          <cell r="D26">
            <v>540</v>
          </cell>
          <cell r="F26">
            <v>0</v>
          </cell>
          <cell r="G26">
            <v>200</v>
          </cell>
          <cell r="H26">
            <v>200</v>
          </cell>
          <cell r="I26">
            <v>200</v>
          </cell>
        </row>
        <row r="27">
          <cell r="B27" t="str">
            <v>천안상류</v>
          </cell>
          <cell r="D27">
            <v>170</v>
          </cell>
          <cell r="F27">
            <v>0</v>
          </cell>
          <cell r="G27">
            <v>100</v>
          </cell>
          <cell r="H27">
            <v>100</v>
          </cell>
          <cell r="I27">
            <v>100</v>
          </cell>
        </row>
        <row r="28">
          <cell r="B28" t="str">
            <v>천안상류</v>
          </cell>
          <cell r="D28">
            <v>827</v>
          </cell>
          <cell r="F28">
            <v>0</v>
          </cell>
          <cell r="G28">
            <v>200</v>
          </cell>
          <cell r="H28">
            <v>200</v>
          </cell>
          <cell r="I28">
            <v>200</v>
          </cell>
        </row>
        <row r="29">
          <cell r="B29" t="str">
            <v>천안상류</v>
          </cell>
          <cell r="D29">
            <v>400</v>
          </cell>
          <cell r="F29">
            <v>0</v>
          </cell>
          <cell r="G29">
            <v>100</v>
          </cell>
          <cell r="H29">
            <v>100</v>
          </cell>
          <cell r="I29">
            <v>100</v>
          </cell>
        </row>
        <row r="30">
          <cell r="B30" t="str">
            <v>천안상류</v>
          </cell>
          <cell r="D30">
            <v>1010</v>
          </cell>
          <cell r="F30">
            <v>0</v>
          </cell>
          <cell r="G30">
            <v>300</v>
          </cell>
          <cell r="H30">
            <v>300</v>
          </cell>
          <cell r="I30">
            <v>300</v>
          </cell>
        </row>
        <row r="31">
          <cell r="B31" t="str">
            <v>천안상류</v>
          </cell>
          <cell r="D31">
            <v>135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천안상류</v>
          </cell>
          <cell r="D32">
            <v>422</v>
          </cell>
          <cell r="F32">
            <v>0</v>
          </cell>
          <cell r="G32">
            <v>100</v>
          </cell>
          <cell r="H32">
            <v>100</v>
          </cell>
          <cell r="I32">
            <v>100</v>
          </cell>
        </row>
        <row r="33">
          <cell r="B33" t="str">
            <v>천안상류</v>
          </cell>
          <cell r="D33">
            <v>1143</v>
          </cell>
          <cell r="F33">
            <v>0</v>
          </cell>
          <cell r="G33">
            <v>300</v>
          </cell>
          <cell r="H33">
            <v>300</v>
          </cell>
          <cell r="I33">
            <v>300</v>
          </cell>
        </row>
        <row r="34">
          <cell r="B34" t="str">
            <v>천안상류</v>
          </cell>
          <cell r="D34">
            <v>514</v>
          </cell>
          <cell r="F34">
            <v>0</v>
          </cell>
          <cell r="G34">
            <v>200</v>
          </cell>
          <cell r="H34">
            <v>200</v>
          </cell>
          <cell r="I34">
            <v>200</v>
          </cell>
        </row>
        <row r="35">
          <cell r="B35" t="str">
            <v>천안상류</v>
          </cell>
          <cell r="D35">
            <v>1032</v>
          </cell>
          <cell r="F35">
            <v>0</v>
          </cell>
          <cell r="G35">
            <v>300</v>
          </cell>
          <cell r="H35">
            <v>300</v>
          </cell>
          <cell r="I35">
            <v>300</v>
          </cell>
        </row>
        <row r="36">
          <cell r="B36" t="str">
            <v>천안상류</v>
          </cell>
          <cell r="D36">
            <v>350</v>
          </cell>
          <cell r="F36">
            <v>0</v>
          </cell>
          <cell r="G36">
            <v>100</v>
          </cell>
          <cell r="H36">
            <v>100</v>
          </cell>
          <cell r="I36">
            <v>100</v>
          </cell>
        </row>
        <row r="37">
          <cell r="B37" t="str">
            <v>천안상류</v>
          </cell>
          <cell r="D37">
            <v>1106</v>
          </cell>
          <cell r="F37">
            <v>0</v>
          </cell>
          <cell r="G37">
            <v>300</v>
          </cell>
          <cell r="H37">
            <v>300</v>
          </cell>
          <cell r="I37">
            <v>300</v>
          </cell>
        </row>
        <row r="38">
          <cell r="B38" t="str">
            <v>천안하류</v>
          </cell>
          <cell r="D38">
            <v>428</v>
          </cell>
          <cell r="F38">
            <v>0</v>
          </cell>
          <cell r="G38">
            <v>100</v>
          </cell>
          <cell r="H38">
            <v>100</v>
          </cell>
          <cell r="I38">
            <v>100</v>
          </cell>
        </row>
        <row r="39">
          <cell r="B39" t="str">
            <v>원성</v>
          </cell>
          <cell r="D39">
            <v>513</v>
          </cell>
          <cell r="F39">
            <v>0</v>
          </cell>
          <cell r="G39">
            <v>200</v>
          </cell>
          <cell r="H39">
            <v>200</v>
          </cell>
          <cell r="I39">
            <v>200</v>
          </cell>
        </row>
        <row r="40">
          <cell r="B40" t="str">
            <v>원성</v>
          </cell>
          <cell r="D40">
            <v>1022</v>
          </cell>
          <cell r="F40">
            <v>0</v>
          </cell>
          <cell r="G40">
            <v>300</v>
          </cell>
          <cell r="H40">
            <v>300</v>
          </cell>
          <cell r="I40">
            <v>300</v>
          </cell>
        </row>
        <row r="41">
          <cell r="B41" t="str">
            <v>원성</v>
          </cell>
          <cell r="D41">
            <v>531</v>
          </cell>
          <cell r="F41">
            <v>0</v>
          </cell>
          <cell r="G41">
            <v>200</v>
          </cell>
          <cell r="H41">
            <v>200</v>
          </cell>
          <cell r="I41">
            <v>200</v>
          </cell>
        </row>
        <row r="42">
          <cell r="B42" t="str">
            <v>원성</v>
          </cell>
          <cell r="D42">
            <v>1162</v>
          </cell>
          <cell r="F42">
            <v>0</v>
          </cell>
          <cell r="G42">
            <v>300</v>
          </cell>
          <cell r="H42">
            <v>300</v>
          </cell>
          <cell r="I42">
            <v>300</v>
          </cell>
        </row>
        <row r="43">
          <cell r="B43" t="str">
            <v>원성</v>
          </cell>
          <cell r="D43">
            <v>1071</v>
          </cell>
          <cell r="F43">
            <v>0</v>
          </cell>
          <cell r="G43">
            <v>300</v>
          </cell>
          <cell r="H43">
            <v>300</v>
          </cell>
          <cell r="I43">
            <v>300</v>
          </cell>
        </row>
        <row r="44">
          <cell r="B44" t="str">
            <v>원성</v>
          </cell>
          <cell r="D44">
            <v>648</v>
          </cell>
          <cell r="F44">
            <v>0</v>
          </cell>
          <cell r="G44">
            <v>200</v>
          </cell>
          <cell r="H44">
            <v>200</v>
          </cell>
          <cell r="I44">
            <v>200</v>
          </cell>
        </row>
        <row r="45">
          <cell r="B45" t="str">
            <v>원성</v>
          </cell>
          <cell r="D45">
            <v>1025</v>
          </cell>
          <cell r="F45">
            <v>0</v>
          </cell>
          <cell r="G45">
            <v>300</v>
          </cell>
          <cell r="H45">
            <v>300</v>
          </cell>
          <cell r="I45">
            <v>300</v>
          </cell>
        </row>
        <row r="46">
          <cell r="B46" t="str">
            <v>원성</v>
          </cell>
          <cell r="D46">
            <v>119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원성</v>
          </cell>
          <cell r="D47">
            <v>353</v>
          </cell>
          <cell r="F47">
            <v>0</v>
          </cell>
          <cell r="G47">
            <v>100</v>
          </cell>
          <cell r="H47">
            <v>100</v>
          </cell>
          <cell r="I47">
            <v>100</v>
          </cell>
        </row>
        <row r="48">
          <cell r="B48" t="str">
            <v>원성</v>
          </cell>
          <cell r="D48">
            <v>898</v>
          </cell>
          <cell r="F48">
            <v>0</v>
          </cell>
          <cell r="G48">
            <v>300</v>
          </cell>
          <cell r="H48">
            <v>300</v>
          </cell>
          <cell r="I48">
            <v>300</v>
          </cell>
        </row>
        <row r="49">
          <cell r="B49" t="str">
            <v>원성</v>
          </cell>
          <cell r="D49">
            <v>927</v>
          </cell>
          <cell r="F49">
            <v>0</v>
          </cell>
          <cell r="G49">
            <v>300</v>
          </cell>
          <cell r="H49">
            <v>300</v>
          </cell>
          <cell r="I49">
            <v>300</v>
          </cell>
        </row>
        <row r="50">
          <cell r="B50" t="str">
            <v>원성</v>
          </cell>
          <cell r="D50">
            <v>365</v>
          </cell>
          <cell r="F50">
            <v>0</v>
          </cell>
          <cell r="G50">
            <v>100</v>
          </cell>
          <cell r="H50">
            <v>100</v>
          </cell>
          <cell r="I50">
            <v>100</v>
          </cell>
        </row>
        <row r="51">
          <cell r="B51" t="str">
            <v>원성</v>
          </cell>
          <cell r="D51">
            <v>786</v>
          </cell>
          <cell r="F51">
            <v>0</v>
          </cell>
          <cell r="G51">
            <v>200</v>
          </cell>
          <cell r="H51">
            <v>200</v>
          </cell>
          <cell r="I51">
            <v>200</v>
          </cell>
        </row>
        <row r="52">
          <cell r="B52" t="str">
            <v>원성</v>
          </cell>
          <cell r="D52">
            <v>756</v>
          </cell>
          <cell r="F52">
            <v>0</v>
          </cell>
          <cell r="G52">
            <v>200</v>
          </cell>
          <cell r="H52">
            <v>200</v>
          </cell>
          <cell r="I52">
            <v>200</v>
          </cell>
        </row>
        <row r="53">
          <cell r="B53" t="str">
            <v>원성</v>
          </cell>
          <cell r="D53">
            <v>907</v>
          </cell>
          <cell r="F53">
            <v>0</v>
          </cell>
          <cell r="G53">
            <v>300</v>
          </cell>
          <cell r="H53">
            <v>300</v>
          </cell>
          <cell r="I53">
            <v>300</v>
          </cell>
        </row>
        <row r="54">
          <cell r="B54" t="str">
            <v>원성</v>
          </cell>
          <cell r="D54">
            <v>1285</v>
          </cell>
          <cell r="F54">
            <v>0</v>
          </cell>
          <cell r="G54">
            <v>400</v>
          </cell>
          <cell r="H54">
            <v>400</v>
          </cell>
          <cell r="I54">
            <v>400</v>
          </cell>
        </row>
        <row r="55">
          <cell r="B55" t="str">
            <v>원성</v>
          </cell>
          <cell r="D55">
            <v>998</v>
          </cell>
          <cell r="F55">
            <v>0</v>
          </cell>
          <cell r="G55">
            <v>300</v>
          </cell>
          <cell r="H55">
            <v>300</v>
          </cell>
          <cell r="I55">
            <v>300</v>
          </cell>
        </row>
        <row r="56">
          <cell r="B56" t="str">
            <v>원성</v>
          </cell>
          <cell r="D56">
            <v>224</v>
          </cell>
          <cell r="F56">
            <v>0</v>
          </cell>
          <cell r="G56">
            <v>100</v>
          </cell>
          <cell r="H56">
            <v>100</v>
          </cell>
          <cell r="I56">
            <v>100</v>
          </cell>
        </row>
        <row r="57">
          <cell r="B57" t="str">
            <v>원성</v>
          </cell>
          <cell r="D57">
            <v>224</v>
          </cell>
          <cell r="F57">
            <v>0</v>
          </cell>
          <cell r="G57">
            <v>100</v>
          </cell>
          <cell r="H57">
            <v>100</v>
          </cell>
          <cell r="I57">
            <v>100</v>
          </cell>
        </row>
        <row r="58">
          <cell r="B58" t="str">
            <v>원성</v>
          </cell>
          <cell r="D58">
            <v>200</v>
          </cell>
          <cell r="F58">
            <v>0</v>
          </cell>
          <cell r="G58">
            <v>100</v>
          </cell>
          <cell r="H58">
            <v>100</v>
          </cell>
          <cell r="I58">
            <v>100</v>
          </cell>
        </row>
        <row r="59">
          <cell r="B59" t="str">
            <v>원성</v>
          </cell>
          <cell r="D59">
            <v>108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원성</v>
          </cell>
          <cell r="D60">
            <v>288</v>
          </cell>
          <cell r="F60">
            <v>0</v>
          </cell>
          <cell r="G60">
            <v>100</v>
          </cell>
          <cell r="H60">
            <v>100</v>
          </cell>
          <cell r="I60">
            <v>100</v>
          </cell>
        </row>
        <row r="61">
          <cell r="B61" t="str">
            <v>원성</v>
          </cell>
          <cell r="D61">
            <v>151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삼룡</v>
          </cell>
          <cell r="D62">
            <v>967</v>
          </cell>
          <cell r="F62">
            <v>0</v>
          </cell>
          <cell r="G62">
            <v>300</v>
          </cell>
          <cell r="H62">
            <v>300</v>
          </cell>
          <cell r="I62">
            <v>300</v>
          </cell>
        </row>
        <row r="63">
          <cell r="B63" t="str">
            <v>삼룡</v>
          </cell>
          <cell r="D63">
            <v>1017</v>
          </cell>
          <cell r="F63">
            <v>0</v>
          </cell>
          <cell r="G63">
            <v>300</v>
          </cell>
          <cell r="H63">
            <v>300</v>
          </cell>
          <cell r="I63">
            <v>300</v>
          </cell>
        </row>
        <row r="64">
          <cell r="B64" t="str">
            <v>삼룡</v>
          </cell>
          <cell r="D64">
            <v>372</v>
          </cell>
          <cell r="F64">
            <v>0</v>
          </cell>
          <cell r="G64">
            <v>100</v>
          </cell>
          <cell r="H64">
            <v>100</v>
          </cell>
          <cell r="I64">
            <v>100</v>
          </cell>
        </row>
        <row r="65">
          <cell r="B65" t="str">
            <v>삼룡</v>
          </cell>
          <cell r="D65">
            <v>645</v>
          </cell>
          <cell r="F65">
            <v>0</v>
          </cell>
          <cell r="G65">
            <v>200</v>
          </cell>
          <cell r="H65">
            <v>200</v>
          </cell>
          <cell r="I65">
            <v>200</v>
          </cell>
        </row>
        <row r="66">
          <cell r="B66" t="str">
            <v>삼룡</v>
          </cell>
          <cell r="D66">
            <v>305</v>
          </cell>
          <cell r="F66">
            <v>0</v>
          </cell>
          <cell r="G66">
            <v>100</v>
          </cell>
          <cell r="H66">
            <v>100</v>
          </cell>
          <cell r="I66">
            <v>100</v>
          </cell>
        </row>
        <row r="67">
          <cell r="B67" t="str">
            <v>삼룡</v>
          </cell>
          <cell r="D67">
            <v>986</v>
          </cell>
          <cell r="F67">
            <v>0</v>
          </cell>
          <cell r="G67">
            <v>300</v>
          </cell>
          <cell r="H67">
            <v>300</v>
          </cell>
          <cell r="I67">
            <v>300</v>
          </cell>
        </row>
        <row r="68">
          <cell r="B68" t="str">
            <v>성정</v>
          </cell>
          <cell r="D68">
            <v>638</v>
          </cell>
          <cell r="F68">
            <v>0</v>
          </cell>
          <cell r="G68">
            <v>200</v>
          </cell>
          <cell r="H68">
            <v>200</v>
          </cell>
          <cell r="I68">
            <v>200</v>
          </cell>
        </row>
        <row r="69">
          <cell r="B69" t="str">
            <v>성정</v>
          </cell>
          <cell r="D69">
            <v>843</v>
          </cell>
          <cell r="F69">
            <v>0</v>
          </cell>
          <cell r="G69">
            <v>300</v>
          </cell>
          <cell r="H69">
            <v>300</v>
          </cell>
          <cell r="I69">
            <v>300</v>
          </cell>
        </row>
        <row r="70">
          <cell r="B70" t="str">
            <v>성정</v>
          </cell>
          <cell r="D70">
            <v>1815</v>
          </cell>
          <cell r="F70">
            <v>0</v>
          </cell>
          <cell r="G70">
            <v>500</v>
          </cell>
          <cell r="H70">
            <v>500</v>
          </cell>
          <cell r="I70">
            <v>500</v>
          </cell>
        </row>
        <row r="71">
          <cell r="B71" t="str">
            <v>성정</v>
          </cell>
          <cell r="D71">
            <v>431</v>
          </cell>
          <cell r="F71">
            <v>0</v>
          </cell>
          <cell r="G71">
            <v>100</v>
          </cell>
          <cell r="H71">
            <v>100</v>
          </cell>
          <cell r="I71">
            <v>100</v>
          </cell>
        </row>
        <row r="72">
          <cell r="B72" t="str">
            <v>성정</v>
          </cell>
          <cell r="D72">
            <v>259</v>
          </cell>
          <cell r="F72">
            <v>0</v>
          </cell>
          <cell r="G72">
            <v>100</v>
          </cell>
          <cell r="H72">
            <v>100</v>
          </cell>
          <cell r="I72">
            <v>100</v>
          </cell>
        </row>
        <row r="73">
          <cell r="B73" t="str">
            <v>성정</v>
          </cell>
          <cell r="D73">
            <v>151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성정</v>
          </cell>
          <cell r="D74">
            <v>1005</v>
          </cell>
          <cell r="F74">
            <v>0</v>
          </cell>
          <cell r="G74">
            <v>300</v>
          </cell>
          <cell r="H74">
            <v>300</v>
          </cell>
          <cell r="I74">
            <v>300</v>
          </cell>
        </row>
        <row r="75">
          <cell r="B75" t="str">
            <v>성정</v>
          </cell>
          <cell r="D75">
            <v>1281</v>
          </cell>
          <cell r="F75">
            <v>0</v>
          </cell>
          <cell r="G75">
            <v>400</v>
          </cell>
          <cell r="H75">
            <v>400</v>
          </cell>
          <cell r="I75">
            <v>400</v>
          </cell>
        </row>
        <row r="76">
          <cell r="B76" t="str">
            <v>성정</v>
          </cell>
          <cell r="D76">
            <v>857</v>
          </cell>
          <cell r="F76">
            <v>0</v>
          </cell>
          <cell r="G76">
            <v>300</v>
          </cell>
          <cell r="H76">
            <v>300</v>
          </cell>
          <cell r="I76">
            <v>300</v>
          </cell>
        </row>
        <row r="77">
          <cell r="B77" t="str">
            <v>성정</v>
          </cell>
          <cell r="D77">
            <v>528</v>
          </cell>
          <cell r="F77">
            <v>0</v>
          </cell>
          <cell r="G77">
            <v>200</v>
          </cell>
          <cell r="H77">
            <v>200</v>
          </cell>
          <cell r="I77">
            <v>200</v>
          </cell>
        </row>
        <row r="78">
          <cell r="B78" t="str">
            <v>성정</v>
          </cell>
          <cell r="D78">
            <v>324</v>
          </cell>
          <cell r="F78">
            <v>0</v>
          </cell>
          <cell r="G78">
            <v>100</v>
          </cell>
          <cell r="H78">
            <v>100</v>
          </cell>
          <cell r="I78">
            <v>100</v>
          </cell>
        </row>
        <row r="79">
          <cell r="B79" t="str">
            <v>청당</v>
          </cell>
          <cell r="D79">
            <v>89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청당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청당</v>
          </cell>
          <cell r="D81">
            <v>199</v>
          </cell>
          <cell r="F81">
            <v>0</v>
          </cell>
          <cell r="G81">
            <v>100</v>
          </cell>
          <cell r="H81">
            <v>100</v>
          </cell>
          <cell r="I81">
            <v>100</v>
          </cell>
        </row>
        <row r="82">
          <cell r="B82" t="str">
            <v>성환</v>
          </cell>
          <cell r="D82">
            <v>240</v>
          </cell>
          <cell r="F82">
            <v>0</v>
          </cell>
          <cell r="G82">
            <v>100</v>
          </cell>
          <cell r="H82">
            <v>100</v>
          </cell>
          <cell r="I82">
            <v>100</v>
          </cell>
        </row>
        <row r="83">
          <cell r="B83" t="str">
            <v>80개소</v>
          </cell>
          <cell r="D83">
            <v>47202</v>
          </cell>
          <cell r="F83">
            <v>0</v>
          </cell>
          <cell r="G83">
            <v>14200</v>
          </cell>
          <cell r="H83">
            <v>14200</v>
          </cell>
          <cell r="I83">
            <v>14200</v>
          </cell>
        </row>
      </sheetData>
      <sheetData sheetId="4">
        <row r="1">
          <cell r="B1" t="str">
            <v>처리분구</v>
          </cell>
          <cell r="D1" t="str">
            <v>수용인구
(인)</v>
          </cell>
          <cell r="F1" t="str">
            <v>사회적 유입인구(인)</v>
          </cell>
        </row>
        <row r="2">
          <cell r="F2" t="str">
            <v>2010년</v>
          </cell>
          <cell r="G2" t="str">
            <v>2015년</v>
          </cell>
          <cell r="H2" t="str">
            <v>2020년</v>
          </cell>
          <cell r="I2" t="str">
            <v>2025년</v>
          </cell>
        </row>
        <row r="3">
          <cell r="B3" t="str">
            <v>천안상류</v>
          </cell>
          <cell r="D3">
            <v>1315</v>
          </cell>
          <cell r="F3">
            <v>800</v>
          </cell>
          <cell r="G3">
            <v>800</v>
          </cell>
          <cell r="H3">
            <v>800</v>
          </cell>
          <cell r="I3">
            <v>800</v>
          </cell>
        </row>
        <row r="4">
          <cell r="B4" t="str">
            <v>천안상류</v>
          </cell>
          <cell r="D4">
            <v>755</v>
          </cell>
          <cell r="F4">
            <v>500</v>
          </cell>
          <cell r="G4">
            <v>500</v>
          </cell>
          <cell r="H4">
            <v>500</v>
          </cell>
          <cell r="I4">
            <v>500</v>
          </cell>
        </row>
        <row r="5">
          <cell r="B5" t="str">
            <v>천안상류</v>
          </cell>
          <cell r="D5">
            <v>583</v>
          </cell>
          <cell r="F5">
            <v>300</v>
          </cell>
          <cell r="G5">
            <v>300</v>
          </cell>
          <cell r="H5">
            <v>300</v>
          </cell>
          <cell r="I5">
            <v>300</v>
          </cell>
        </row>
        <row r="6">
          <cell r="B6" t="str">
            <v>천안상류</v>
          </cell>
          <cell r="D6">
            <v>607</v>
          </cell>
          <cell r="F6">
            <v>400</v>
          </cell>
          <cell r="G6">
            <v>400</v>
          </cell>
          <cell r="H6">
            <v>400</v>
          </cell>
          <cell r="I6">
            <v>400</v>
          </cell>
        </row>
        <row r="7">
          <cell r="B7" t="str">
            <v>천안상류</v>
          </cell>
          <cell r="D7">
            <v>784</v>
          </cell>
          <cell r="F7">
            <v>500</v>
          </cell>
          <cell r="G7">
            <v>500</v>
          </cell>
          <cell r="H7">
            <v>500</v>
          </cell>
          <cell r="I7">
            <v>500</v>
          </cell>
        </row>
        <row r="8">
          <cell r="B8" t="str">
            <v>천안상류</v>
          </cell>
          <cell r="D8">
            <v>1156</v>
          </cell>
          <cell r="F8">
            <v>700</v>
          </cell>
          <cell r="G8">
            <v>700</v>
          </cell>
          <cell r="H8">
            <v>700</v>
          </cell>
          <cell r="I8">
            <v>700</v>
          </cell>
        </row>
        <row r="9">
          <cell r="B9" t="str">
            <v>천안하류</v>
          </cell>
          <cell r="D9">
            <v>779</v>
          </cell>
          <cell r="F9">
            <v>500</v>
          </cell>
          <cell r="G9">
            <v>500</v>
          </cell>
          <cell r="H9">
            <v>500</v>
          </cell>
          <cell r="I9">
            <v>500</v>
          </cell>
        </row>
        <row r="10">
          <cell r="B10" t="str">
            <v>천안하류</v>
          </cell>
          <cell r="D10">
            <v>3070</v>
          </cell>
          <cell r="F10">
            <v>1800</v>
          </cell>
          <cell r="G10">
            <v>1800</v>
          </cell>
          <cell r="H10">
            <v>1800</v>
          </cell>
          <cell r="I10">
            <v>1800</v>
          </cell>
        </row>
        <row r="11">
          <cell r="B11" t="str">
            <v>천안하류</v>
          </cell>
          <cell r="D11">
            <v>628</v>
          </cell>
          <cell r="F11">
            <v>400</v>
          </cell>
          <cell r="G11">
            <v>400</v>
          </cell>
          <cell r="H11">
            <v>400</v>
          </cell>
          <cell r="I11">
            <v>400</v>
          </cell>
        </row>
        <row r="12">
          <cell r="B12" t="str">
            <v>천안하류</v>
          </cell>
          <cell r="D12">
            <v>1317</v>
          </cell>
          <cell r="F12">
            <v>800</v>
          </cell>
          <cell r="G12">
            <v>800</v>
          </cell>
          <cell r="H12">
            <v>800</v>
          </cell>
          <cell r="I12">
            <v>800</v>
          </cell>
        </row>
        <row r="13">
          <cell r="B13" t="str">
            <v>천안하류</v>
          </cell>
          <cell r="D13">
            <v>784</v>
          </cell>
          <cell r="F13">
            <v>500</v>
          </cell>
          <cell r="G13">
            <v>500</v>
          </cell>
          <cell r="H13">
            <v>500</v>
          </cell>
          <cell r="I13">
            <v>500</v>
          </cell>
        </row>
        <row r="14">
          <cell r="B14" t="str">
            <v>천안하류</v>
          </cell>
          <cell r="D14">
            <v>127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</row>
        <row r="15">
          <cell r="B15" t="str">
            <v>천안하류</v>
          </cell>
          <cell r="D15">
            <v>1122</v>
          </cell>
          <cell r="F15">
            <v>700</v>
          </cell>
          <cell r="G15">
            <v>700</v>
          </cell>
          <cell r="H15">
            <v>700</v>
          </cell>
          <cell r="I15">
            <v>700</v>
          </cell>
        </row>
        <row r="16">
          <cell r="B16" t="str">
            <v>천안하류</v>
          </cell>
          <cell r="D16">
            <v>715</v>
          </cell>
          <cell r="F16">
            <v>400</v>
          </cell>
          <cell r="G16">
            <v>400</v>
          </cell>
          <cell r="H16">
            <v>400</v>
          </cell>
          <cell r="I16">
            <v>400</v>
          </cell>
        </row>
        <row r="17">
          <cell r="B17" t="str">
            <v>천안하류</v>
          </cell>
          <cell r="D17">
            <v>359</v>
          </cell>
          <cell r="F17">
            <v>200</v>
          </cell>
          <cell r="G17">
            <v>200</v>
          </cell>
          <cell r="H17">
            <v>200</v>
          </cell>
          <cell r="I17">
            <v>200</v>
          </cell>
        </row>
        <row r="18">
          <cell r="B18" t="str">
            <v>성정</v>
          </cell>
          <cell r="D18">
            <v>2468</v>
          </cell>
          <cell r="F18">
            <v>1500</v>
          </cell>
          <cell r="G18">
            <v>1500</v>
          </cell>
          <cell r="H18">
            <v>1500</v>
          </cell>
          <cell r="I18">
            <v>1500</v>
          </cell>
        </row>
        <row r="19">
          <cell r="B19" t="str">
            <v>성정</v>
          </cell>
          <cell r="D19">
            <v>2474</v>
          </cell>
          <cell r="F19">
            <v>1500</v>
          </cell>
          <cell r="G19">
            <v>1500</v>
          </cell>
          <cell r="H19">
            <v>1500</v>
          </cell>
          <cell r="I19">
            <v>1500</v>
          </cell>
        </row>
        <row r="20">
          <cell r="B20" t="str">
            <v>청당</v>
          </cell>
          <cell r="D20">
            <v>631</v>
          </cell>
          <cell r="F20">
            <v>400</v>
          </cell>
          <cell r="G20">
            <v>400</v>
          </cell>
          <cell r="H20">
            <v>400</v>
          </cell>
          <cell r="I20">
            <v>400</v>
          </cell>
        </row>
        <row r="21">
          <cell r="B21" t="str">
            <v>청당</v>
          </cell>
          <cell r="D21">
            <v>2416</v>
          </cell>
          <cell r="F21">
            <v>1400</v>
          </cell>
          <cell r="G21">
            <v>1400</v>
          </cell>
          <cell r="H21">
            <v>1400</v>
          </cell>
          <cell r="I21">
            <v>1400</v>
          </cell>
        </row>
        <row r="22">
          <cell r="B22" t="str">
            <v>성환</v>
          </cell>
          <cell r="D22">
            <v>116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</row>
        <row r="23">
          <cell r="B23" t="str">
            <v>성환</v>
          </cell>
          <cell r="D23">
            <v>1507</v>
          </cell>
          <cell r="F23">
            <v>900</v>
          </cell>
          <cell r="G23">
            <v>900</v>
          </cell>
          <cell r="H23">
            <v>900</v>
          </cell>
          <cell r="I23">
            <v>900</v>
          </cell>
        </row>
        <row r="24">
          <cell r="B24" t="str">
            <v>성환</v>
          </cell>
          <cell r="D24">
            <v>399</v>
          </cell>
          <cell r="F24">
            <v>200</v>
          </cell>
          <cell r="G24">
            <v>200</v>
          </cell>
          <cell r="H24">
            <v>200</v>
          </cell>
          <cell r="I24">
            <v>200</v>
          </cell>
        </row>
        <row r="25">
          <cell r="B25" t="str">
            <v>성환</v>
          </cell>
          <cell r="D25">
            <v>752</v>
          </cell>
          <cell r="F25">
            <v>500</v>
          </cell>
          <cell r="G25">
            <v>500</v>
          </cell>
          <cell r="H25">
            <v>500</v>
          </cell>
          <cell r="I25">
            <v>500</v>
          </cell>
        </row>
        <row r="26">
          <cell r="B26" t="str">
            <v>성환</v>
          </cell>
          <cell r="D26">
            <v>2402</v>
          </cell>
          <cell r="F26">
            <v>1400</v>
          </cell>
          <cell r="G26">
            <v>1400</v>
          </cell>
          <cell r="H26">
            <v>1400</v>
          </cell>
          <cell r="I26">
            <v>1400</v>
          </cell>
        </row>
        <row r="27">
          <cell r="B27" t="str">
            <v>입장</v>
          </cell>
          <cell r="D27">
            <v>3559</v>
          </cell>
          <cell r="F27">
            <v>2100</v>
          </cell>
          <cell r="G27">
            <v>2100</v>
          </cell>
          <cell r="H27">
            <v>2100</v>
          </cell>
          <cell r="I27">
            <v>2100</v>
          </cell>
        </row>
        <row r="28">
          <cell r="B28" t="str">
            <v>입장</v>
          </cell>
          <cell r="D28">
            <v>449</v>
          </cell>
          <cell r="F28">
            <v>300</v>
          </cell>
          <cell r="G28">
            <v>300</v>
          </cell>
          <cell r="H28">
            <v>300</v>
          </cell>
          <cell r="I28">
            <v>300</v>
          </cell>
        </row>
        <row r="29">
          <cell r="B29" t="str">
            <v>입장</v>
          </cell>
          <cell r="D29">
            <v>700</v>
          </cell>
          <cell r="F29">
            <v>400</v>
          </cell>
          <cell r="G29">
            <v>400</v>
          </cell>
          <cell r="H29">
            <v>400</v>
          </cell>
          <cell r="I29">
            <v>400</v>
          </cell>
        </row>
        <row r="30">
          <cell r="B30" t="str">
            <v>업성</v>
          </cell>
          <cell r="D30">
            <v>385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</row>
        <row r="31">
          <cell r="B31" t="str">
            <v>광기</v>
          </cell>
          <cell r="D31">
            <v>391</v>
          </cell>
          <cell r="F31">
            <v>200</v>
          </cell>
          <cell r="G31">
            <v>200</v>
          </cell>
          <cell r="H31">
            <v>200</v>
          </cell>
          <cell r="I31">
            <v>200</v>
          </cell>
        </row>
        <row r="32">
          <cell r="D32">
            <v>32750</v>
          </cell>
          <cell r="F32">
            <v>19700</v>
          </cell>
          <cell r="G32">
            <v>19700</v>
          </cell>
          <cell r="H32">
            <v>19700</v>
          </cell>
          <cell r="I32">
            <v>19700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6년통계연보면적"/>
      <sheetName val="읍면동면적"/>
      <sheetName val="배수구역면적"/>
      <sheetName val="용도지역별면적(읍면동)"/>
      <sheetName val="용도지역별면적(배수구역)"/>
      <sheetName val="용도지역별면적 (처리구역)"/>
      <sheetName val="처리구역별인구및면적"/>
      <sheetName val="처리구역별처리인구"/>
      <sheetName val="소처리분구별인구"/>
      <sheetName val="병천처리구역처리인구"/>
      <sheetName val="소규모처리시설지역별인구"/>
      <sheetName val="법정동.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L3">
            <v>1365</v>
          </cell>
        </row>
        <row r="4">
          <cell r="L4">
            <v>350</v>
          </cell>
        </row>
        <row r="5">
          <cell r="L5">
            <v>2438</v>
          </cell>
        </row>
        <row r="6">
          <cell r="L6">
            <v>2016</v>
          </cell>
        </row>
        <row r="7">
          <cell r="L7">
            <v>4179</v>
          </cell>
        </row>
        <row r="8">
          <cell r="L8">
            <v>2766</v>
          </cell>
        </row>
        <row r="9">
          <cell r="L9">
            <v>11350</v>
          </cell>
        </row>
        <row r="10">
          <cell r="L10">
            <v>25591</v>
          </cell>
        </row>
        <row r="11">
          <cell r="L11">
            <v>6767</v>
          </cell>
        </row>
        <row r="12">
          <cell r="L12">
            <v>10906</v>
          </cell>
        </row>
        <row r="14">
          <cell r="L14">
            <v>16213</v>
          </cell>
        </row>
        <row r="15">
          <cell r="L15">
            <v>44646</v>
          </cell>
        </row>
        <row r="16">
          <cell r="L16">
            <v>20435</v>
          </cell>
        </row>
        <row r="17">
          <cell r="L17">
            <v>2321</v>
          </cell>
        </row>
        <row r="18">
          <cell r="L18">
            <v>30520</v>
          </cell>
        </row>
        <row r="19">
          <cell r="L19">
            <v>3872</v>
          </cell>
        </row>
        <row r="22">
          <cell r="L22">
            <v>4552</v>
          </cell>
        </row>
        <row r="23">
          <cell r="L23">
            <v>8739</v>
          </cell>
        </row>
        <row r="26">
          <cell r="L26">
            <v>1924</v>
          </cell>
        </row>
        <row r="28">
          <cell r="L28">
            <v>428</v>
          </cell>
        </row>
        <row r="29">
          <cell r="L29">
            <v>2522</v>
          </cell>
        </row>
        <row r="30">
          <cell r="L30">
            <v>20269</v>
          </cell>
        </row>
        <row r="31">
          <cell r="L31">
            <v>1630</v>
          </cell>
        </row>
        <row r="33">
          <cell r="L33">
            <v>3300</v>
          </cell>
        </row>
        <row r="38">
          <cell r="L38">
            <v>38696</v>
          </cell>
        </row>
        <row r="39">
          <cell r="L39">
            <v>8918</v>
          </cell>
        </row>
        <row r="40">
          <cell r="L40">
            <v>44500</v>
          </cell>
        </row>
        <row r="41">
          <cell r="L41">
            <v>459</v>
          </cell>
        </row>
        <row r="42">
          <cell r="L42">
            <v>459</v>
          </cell>
        </row>
        <row r="43">
          <cell r="L43">
            <v>4214</v>
          </cell>
        </row>
        <row r="45">
          <cell r="L45">
            <v>16856</v>
          </cell>
        </row>
        <row r="46">
          <cell r="L46">
            <v>20028</v>
          </cell>
        </row>
        <row r="48">
          <cell r="L48">
            <v>386</v>
          </cell>
        </row>
      </sheetData>
      <sheetData sheetId="8">
        <row r="35">
          <cell r="AY35">
            <v>16530</v>
          </cell>
        </row>
        <row r="36">
          <cell r="AY36">
            <v>280</v>
          </cell>
        </row>
        <row r="57">
          <cell r="BA57">
            <v>1479</v>
          </cell>
          <cell r="BB57" t="str">
            <v>-</v>
          </cell>
          <cell r="BE57" t="str">
            <v>-</v>
          </cell>
        </row>
        <row r="58">
          <cell r="BA58" t="str">
            <v>-</v>
          </cell>
          <cell r="BB58" t="str">
            <v>-</v>
          </cell>
          <cell r="BE58" t="str">
            <v>-</v>
          </cell>
        </row>
        <row r="59">
          <cell r="BA59">
            <v>372</v>
          </cell>
          <cell r="BB59" t="str">
            <v>-</v>
          </cell>
          <cell r="BE59" t="str">
            <v>-</v>
          </cell>
        </row>
        <row r="60">
          <cell r="BA60">
            <v>113</v>
          </cell>
          <cell r="BB60" t="str">
            <v>-</v>
          </cell>
          <cell r="BE60" t="str">
            <v>-</v>
          </cell>
        </row>
        <row r="61">
          <cell r="BA61" t="str">
            <v>-</v>
          </cell>
          <cell r="BB61" t="str">
            <v>-</v>
          </cell>
          <cell r="BE61" t="str">
            <v>-</v>
          </cell>
        </row>
        <row r="62">
          <cell r="BA62" t="str">
            <v>-</v>
          </cell>
          <cell r="BB62" t="str">
            <v>-</v>
          </cell>
          <cell r="BE62" t="str">
            <v>-</v>
          </cell>
        </row>
        <row r="63">
          <cell r="BA63" t="str">
            <v>-</v>
          </cell>
          <cell r="BB63" t="str">
            <v>-</v>
          </cell>
          <cell r="BE63" t="str">
            <v>-</v>
          </cell>
        </row>
        <row r="64">
          <cell r="BA64" t="str">
            <v>-</v>
          </cell>
          <cell r="BB64" t="str">
            <v>-</v>
          </cell>
          <cell r="BE64" t="str">
            <v>-</v>
          </cell>
        </row>
        <row r="65">
          <cell r="BA65" t="str">
            <v>-</v>
          </cell>
          <cell r="BB65" t="str">
            <v>-</v>
          </cell>
          <cell r="BE65" t="str">
            <v>-</v>
          </cell>
        </row>
        <row r="66">
          <cell r="BA66">
            <v>668</v>
          </cell>
          <cell r="BB66" t="str">
            <v>-</v>
          </cell>
          <cell r="BE66" t="str">
            <v>-</v>
          </cell>
        </row>
        <row r="67">
          <cell r="BA67" t="str">
            <v>-</v>
          </cell>
          <cell r="BB67" t="str">
            <v>-</v>
          </cell>
          <cell r="BE67" t="str">
            <v>-</v>
          </cell>
        </row>
        <row r="68">
          <cell r="BA68" t="str">
            <v>-</v>
          </cell>
          <cell r="BB68" t="str">
            <v>-</v>
          </cell>
          <cell r="BE68" t="str">
            <v>-</v>
          </cell>
        </row>
        <row r="73">
          <cell r="BA73" t="str">
            <v>-</v>
          </cell>
          <cell r="BB73" t="str">
            <v>-</v>
          </cell>
          <cell r="BC73">
            <v>39</v>
          </cell>
          <cell r="BD73" t="str">
            <v>-</v>
          </cell>
          <cell r="BE73" t="str">
            <v>-</v>
          </cell>
        </row>
        <row r="74">
          <cell r="BA74" t="str">
            <v>-</v>
          </cell>
          <cell r="BB74" t="str">
            <v>-</v>
          </cell>
          <cell r="BC74">
            <v>136</v>
          </cell>
          <cell r="BD74" t="str">
            <v>-</v>
          </cell>
          <cell r="BE74" t="str">
            <v>-</v>
          </cell>
        </row>
        <row r="75">
          <cell r="BA75" t="str">
            <v>-</v>
          </cell>
          <cell r="BB75" t="str">
            <v>-</v>
          </cell>
          <cell r="BC75" t="str">
            <v>-</v>
          </cell>
          <cell r="BD75">
            <v>0</v>
          </cell>
          <cell r="BE75" t="str">
            <v>-</v>
          </cell>
        </row>
        <row r="76">
          <cell r="BA76" t="str">
            <v>-</v>
          </cell>
          <cell r="BB76">
            <v>3002</v>
          </cell>
          <cell r="BC76" t="str">
            <v>-</v>
          </cell>
          <cell r="BD76" t="str">
            <v>-</v>
          </cell>
          <cell r="BE76" t="str">
            <v>-</v>
          </cell>
        </row>
        <row r="77">
          <cell r="BA77" t="str">
            <v>-</v>
          </cell>
          <cell r="BB77">
            <v>0</v>
          </cell>
          <cell r="BC77" t="str">
            <v>-</v>
          </cell>
          <cell r="BD77" t="str">
            <v>-</v>
          </cell>
          <cell r="BE77" t="str">
            <v>-</v>
          </cell>
        </row>
        <row r="78">
          <cell r="BA78" t="str">
            <v>-</v>
          </cell>
          <cell r="BB78" t="str">
            <v>-</v>
          </cell>
          <cell r="BC78">
            <v>0</v>
          </cell>
          <cell r="BD78" t="str">
            <v>-</v>
          </cell>
          <cell r="BE78" t="str">
            <v>-</v>
          </cell>
        </row>
        <row r="79">
          <cell r="BA79" t="str">
            <v>-</v>
          </cell>
          <cell r="BB79">
            <v>346</v>
          </cell>
          <cell r="BC79" t="str">
            <v>-</v>
          </cell>
          <cell r="BD79" t="str">
            <v>-</v>
          </cell>
          <cell r="BE79" t="str">
            <v>-</v>
          </cell>
        </row>
        <row r="80">
          <cell r="BA80" t="str">
            <v>-</v>
          </cell>
          <cell r="BB80">
            <v>0</v>
          </cell>
          <cell r="BC80" t="str">
            <v>-</v>
          </cell>
          <cell r="BD80" t="str">
            <v>-</v>
          </cell>
          <cell r="BE80" t="str">
            <v>-</v>
          </cell>
        </row>
        <row r="81">
          <cell r="BA81" t="str">
            <v>-</v>
          </cell>
          <cell r="BB81" t="str">
            <v>-</v>
          </cell>
          <cell r="BC81">
            <v>102</v>
          </cell>
          <cell r="BD81" t="str">
            <v>-</v>
          </cell>
          <cell r="BE81" t="str">
            <v>-</v>
          </cell>
        </row>
        <row r="82">
          <cell r="BA82" t="str">
            <v>-</v>
          </cell>
          <cell r="BB82" t="str">
            <v>-</v>
          </cell>
          <cell r="BC82">
            <v>120</v>
          </cell>
          <cell r="BD82" t="str">
            <v>-</v>
          </cell>
          <cell r="BE82" t="str">
            <v>-</v>
          </cell>
        </row>
        <row r="83">
          <cell r="BA83" t="str">
            <v>-</v>
          </cell>
          <cell r="BB83">
            <v>129</v>
          </cell>
          <cell r="BC83" t="str">
            <v>-</v>
          </cell>
          <cell r="BD83" t="str">
            <v>-</v>
          </cell>
          <cell r="BE83" t="str">
            <v>-</v>
          </cell>
        </row>
        <row r="84">
          <cell r="BA84" t="str">
            <v>-</v>
          </cell>
          <cell r="BB84">
            <v>440</v>
          </cell>
          <cell r="BC84" t="str">
            <v>-</v>
          </cell>
          <cell r="BD84" t="str">
            <v>-</v>
          </cell>
          <cell r="BE84" t="str">
            <v>-</v>
          </cell>
        </row>
        <row r="85">
          <cell r="BA85" t="str">
            <v>-</v>
          </cell>
          <cell r="BB85" t="str">
            <v>-</v>
          </cell>
          <cell r="BC85">
            <v>117</v>
          </cell>
          <cell r="BD85" t="str">
            <v>-</v>
          </cell>
          <cell r="BE85" t="str">
            <v>-</v>
          </cell>
        </row>
        <row r="86">
          <cell r="BA86" t="str">
            <v>-</v>
          </cell>
          <cell r="BB86" t="str">
            <v>-</v>
          </cell>
          <cell r="BC86">
            <v>337</v>
          </cell>
          <cell r="BD86" t="str">
            <v>-</v>
          </cell>
          <cell r="BE86" t="str">
            <v>-</v>
          </cell>
        </row>
        <row r="88">
          <cell r="BA88" t="str">
            <v>-</v>
          </cell>
          <cell r="BB88" t="str">
            <v>-</v>
          </cell>
          <cell r="BC88">
            <v>772</v>
          </cell>
          <cell r="BD88" t="str">
            <v>-</v>
          </cell>
          <cell r="BE88" t="str">
            <v>-</v>
          </cell>
        </row>
        <row r="89">
          <cell r="BA89" t="str">
            <v>-</v>
          </cell>
          <cell r="BB89" t="str">
            <v>-</v>
          </cell>
          <cell r="BC89">
            <v>1808</v>
          </cell>
          <cell r="BD89" t="str">
            <v>-</v>
          </cell>
          <cell r="BE89" t="str">
            <v>-</v>
          </cell>
        </row>
        <row r="91">
          <cell r="BA91">
            <v>12906</v>
          </cell>
          <cell r="BB91" t="str">
            <v>-</v>
          </cell>
          <cell r="BC91" t="str">
            <v>-</v>
          </cell>
          <cell r="BD91" t="str">
            <v>-</v>
          </cell>
          <cell r="BE91" t="str">
            <v>-</v>
          </cell>
        </row>
        <row r="92">
          <cell r="BA92">
            <v>430</v>
          </cell>
          <cell r="BB92" t="str">
            <v>-</v>
          </cell>
          <cell r="BC92" t="str">
            <v>-</v>
          </cell>
          <cell r="BD92" t="str">
            <v>-</v>
          </cell>
          <cell r="BE92" t="str">
            <v>-</v>
          </cell>
        </row>
        <row r="93">
          <cell r="BA93" t="str">
            <v>-</v>
          </cell>
          <cell r="BB93" t="str">
            <v>-</v>
          </cell>
          <cell r="BC93">
            <v>0</v>
          </cell>
          <cell r="BD93" t="str">
            <v>-</v>
          </cell>
          <cell r="BE93" t="str">
            <v>-</v>
          </cell>
        </row>
        <row r="94">
          <cell r="BA94">
            <v>192</v>
          </cell>
          <cell r="BB94" t="str">
            <v>-</v>
          </cell>
          <cell r="BC94" t="str">
            <v>-</v>
          </cell>
          <cell r="BD94" t="str">
            <v>-</v>
          </cell>
          <cell r="BE94" t="str">
            <v>-</v>
          </cell>
        </row>
        <row r="95">
          <cell r="BA95" t="str">
            <v>-</v>
          </cell>
          <cell r="BB95" t="str">
            <v>-</v>
          </cell>
          <cell r="BC95" t="str">
            <v>-</v>
          </cell>
          <cell r="BD95">
            <v>100</v>
          </cell>
          <cell r="BE95" t="str">
            <v>-</v>
          </cell>
        </row>
        <row r="96">
          <cell r="BA96" t="str">
            <v>-</v>
          </cell>
          <cell r="BB96" t="str">
            <v>-</v>
          </cell>
          <cell r="BC96" t="str">
            <v>-</v>
          </cell>
          <cell r="BD96">
            <v>1329</v>
          </cell>
          <cell r="BE96" t="str">
            <v>-</v>
          </cell>
        </row>
        <row r="97">
          <cell r="BA97" t="str">
            <v>-</v>
          </cell>
          <cell r="BB97" t="str">
            <v>-</v>
          </cell>
          <cell r="BC97" t="str">
            <v>-</v>
          </cell>
          <cell r="BD97">
            <v>0</v>
          </cell>
          <cell r="BE97" t="str">
            <v>-</v>
          </cell>
        </row>
        <row r="98">
          <cell r="BA98">
            <v>458</v>
          </cell>
          <cell r="BB98" t="str">
            <v>-</v>
          </cell>
          <cell r="BC98" t="str">
            <v>-</v>
          </cell>
          <cell r="BD98" t="str">
            <v>-</v>
          </cell>
          <cell r="BE98" t="str">
            <v>-</v>
          </cell>
        </row>
        <row r="99">
          <cell r="BA99">
            <v>9</v>
          </cell>
          <cell r="BB99" t="str">
            <v>-</v>
          </cell>
          <cell r="BC99" t="str">
            <v>-</v>
          </cell>
          <cell r="BD99" t="str">
            <v>-</v>
          </cell>
          <cell r="BE99" t="str">
            <v>-</v>
          </cell>
        </row>
        <row r="100">
          <cell r="BA100" t="str">
            <v>-</v>
          </cell>
          <cell r="BB100" t="str">
            <v>-</v>
          </cell>
          <cell r="BC100">
            <v>1608</v>
          </cell>
          <cell r="BD100" t="str">
            <v>-</v>
          </cell>
          <cell r="BE100" t="str">
            <v>-</v>
          </cell>
        </row>
        <row r="101">
          <cell r="BA101" t="str">
            <v>-</v>
          </cell>
          <cell r="BB101" t="str">
            <v>-</v>
          </cell>
          <cell r="BC101">
            <v>2</v>
          </cell>
          <cell r="BD101" t="str">
            <v>-</v>
          </cell>
          <cell r="BE101" t="str">
            <v>-</v>
          </cell>
        </row>
        <row r="102">
          <cell r="BA102">
            <v>2583</v>
          </cell>
          <cell r="BB102" t="str">
            <v>-</v>
          </cell>
          <cell r="BC102" t="str">
            <v>-</v>
          </cell>
          <cell r="BD102" t="str">
            <v>-</v>
          </cell>
          <cell r="BE102" t="str">
            <v>-</v>
          </cell>
        </row>
        <row r="103">
          <cell r="BA103">
            <v>1031</v>
          </cell>
          <cell r="BB103" t="str">
            <v>-</v>
          </cell>
          <cell r="BC103" t="str">
            <v>-</v>
          </cell>
          <cell r="BD103" t="str">
            <v>-</v>
          </cell>
          <cell r="BE103" t="str">
            <v>-</v>
          </cell>
        </row>
        <row r="104">
          <cell r="BA104">
            <v>2083</v>
          </cell>
          <cell r="BB104" t="str">
            <v>-</v>
          </cell>
          <cell r="BC104" t="str">
            <v>-</v>
          </cell>
          <cell r="BD104" t="str">
            <v>-</v>
          </cell>
          <cell r="BE104" t="str">
            <v>-</v>
          </cell>
        </row>
        <row r="105">
          <cell r="BA105" t="str">
            <v>-</v>
          </cell>
          <cell r="BB105" t="str">
            <v>-</v>
          </cell>
          <cell r="BC105">
            <v>5</v>
          </cell>
          <cell r="BD105" t="str">
            <v>-</v>
          </cell>
          <cell r="BE105" t="str">
            <v>-</v>
          </cell>
        </row>
        <row r="106">
          <cell r="BA106" t="str">
            <v>-</v>
          </cell>
          <cell r="BB106" t="str">
            <v>-</v>
          </cell>
          <cell r="BC106">
            <v>8</v>
          </cell>
          <cell r="BD106" t="str">
            <v>-</v>
          </cell>
          <cell r="BE106" t="str">
            <v>-</v>
          </cell>
        </row>
        <row r="107">
          <cell r="BA107">
            <v>553</v>
          </cell>
          <cell r="BB107" t="str">
            <v>-</v>
          </cell>
          <cell r="BC107" t="str">
            <v>-</v>
          </cell>
          <cell r="BD107" t="str">
            <v>-</v>
          </cell>
          <cell r="BE107" t="str">
            <v>-</v>
          </cell>
        </row>
        <row r="108">
          <cell r="BA108" t="str">
            <v>-</v>
          </cell>
          <cell r="BB108" t="str">
            <v>-</v>
          </cell>
          <cell r="BC108" t="str">
            <v>-</v>
          </cell>
          <cell r="BD108" t="str">
            <v>-</v>
          </cell>
          <cell r="BE108" t="str">
            <v>-</v>
          </cell>
        </row>
        <row r="109">
          <cell r="BA109">
            <v>16401</v>
          </cell>
          <cell r="BB109" t="str">
            <v>-</v>
          </cell>
          <cell r="BC109" t="str">
            <v>-</v>
          </cell>
          <cell r="BD109" t="str">
            <v>-</v>
          </cell>
          <cell r="BE109" t="str">
            <v>-</v>
          </cell>
        </row>
        <row r="111">
          <cell r="BA111" t="str">
            <v>-</v>
          </cell>
          <cell r="BB111">
            <v>542</v>
          </cell>
          <cell r="BC111" t="str">
            <v>-</v>
          </cell>
          <cell r="BD111" t="str">
            <v>-</v>
          </cell>
          <cell r="BE111" t="str">
            <v>-</v>
          </cell>
        </row>
        <row r="112">
          <cell r="BA112">
            <v>321</v>
          </cell>
          <cell r="BB112" t="str">
            <v>-</v>
          </cell>
          <cell r="BC112" t="str">
            <v>-</v>
          </cell>
          <cell r="BD112" t="str">
            <v>-</v>
          </cell>
          <cell r="BE112" t="str">
            <v>-</v>
          </cell>
        </row>
        <row r="114">
          <cell r="BA114">
            <v>1184</v>
          </cell>
          <cell r="BB114" t="str">
            <v>-</v>
          </cell>
          <cell r="BC114" t="str">
            <v>-</v>
          </cell>
          <cell r="BD114" t="str">
            <v>-</v>
          </cell>
          <cell r="BE114" t="str">
            <v>-</v>
          </cell>
        </row>
        <row r="115">
          <cell r="BA115">
            <v>235</v>
          </cell>
          <cell r="BB115" t="str">
            <v>-</v>
          </cell>
          <cell r="BC115" t="str">
            <v>-</v>
          </cell>
          <cell r="BD115" t="str">
            <v>-</v>
          </cell>
          <cell r="BE115" t="str">
            <v>-</v>
          </cell>
        </row>
        <row r="116">
          <cell r="BA116" t="str">
            <v>-</v>
          </cell>
          <cell r="BB116" t="str">
            <v>-</v>
          </cell>
          <cell r="BC116">
            <v>2689</v>
          </cell>
          <cell r="BD116" t="str">
            <v>-</v>
          </cell>
          <cell r="BE116" t="str">
            <v>-</v>
          </cell>
        </row>
        <row r="117">
          <cell r="BA117" t="str">
            <v>-</v>
          </cell>
          <cell r="BB117" t="str">
            <v>-</v>
          </cell>
          <cell r="BC117">
            <v>529</v>
          </cell>
          <cell r="BD117" t="str">
            <v>-</v>
          </cell>
          <cell r="BE117" t="str">
            <v>-</v>
          </cell>
        </row>
        <row r="118">
          <cell r="BA118">
            <v>537</v>
          </cell>
          <cell r="BB118" t="str">
            <v>-</v>
          </cell>
          <cell r="BC118" t="str">
            <v>-</v>
          </cell>
          <cell r="BD118" t="str">
            <v>-</v>
          </cell>
          <cell r="BE118" t="str">
            <v>-</v>
          </cell>
        </row>
        <row r="119">
          <cell r="BA119" t="str">
            <v>-</v>
          </cell>
          <cell r="BB119" t="str">
            <v>-</v>
          </cell>
          <cell r="BC119">
            <v>268</v>
          </cell>
          <cell r="BD119" t="str">
            <v>-</v>
          </cell>
          <cell r="BE119" t="str">
            <v>-</v>
          </cell>
        </row>
        <row r="120">
          <cell r="BA120">
            <v>868</v>
          </cell>
          <cell r="BB120" t="str">
            <v>-</v>
          </cell>
          <cell r="BC120" t="str">
            <v>-</v>
          </cell>
          <cell r="BD120" t="str">
            <v>-</v>
          </cell>
          <cell r="BE120" t="str">
            <v>-</v>
          </cell>
        </row>
        <row r="121">
          <cell r="BA121">
            <v>62</v>
          </cell>
          <cell r="BB121" t="str">
            <v>-</v>
          </cell>
          <cell r="BC121" t="str">
            <v>-</v>
          </cell>
          <cell r="BD121" t="str">
            <v>-</v>
          </cell>
          <cell r="BE121" t="str">
            <v>-</v>
          </cell>
        </row>
        <row r="122">
          <cell r="BA122" t="str">
            <v>-</v>
          </cell>
          <cell r="BB122">
            <v>281</v>
          </cell>
          <cell r="BC122" t="str">
            <v>-</v>
          </cell>
          <cell r="BD122" t="str">
            <v>-</v>
          </cell>
          <cell r="BE122" t="str">
            <v>-</v>
          </cell>
        </row>
        <row r="123">
          <cell r="BA123" t="str">
            <v>-</v>
          </cell>
          <cell r="BB123">
            <v>239</v>
          </cell>
          <cell r="BC123" t="str">
            <v>-</v>
          </cell>
          <cell r="BD123" t="str">
            <v>-</v>
          </cell>
          <cell r="BE123" t="str">
            <v>-</v>
          </cell>
        </row>
        <row r="124">
          <cell r="BA124" t="str">
            <v>-</v>
          </cell>
          <cell r="BB124">
            <v>148</v>
          </cell>
          <cell r="BC124" t="str">
            <v>-</v>
          </cell>
          <cell r="BD124" t="str">
            <v>-</v>
          </cell>
          <cell r="BE124" t="str">
            <v>-</v>
          </cell>
        </row>
        <row r="125">
          <cell r="BA125" t="str">
            <v>-</v>
          </cell>
          <cell r="BB125">
            <v>105</v>
          </cell>
          <cell r="BC125" t="str">
            <v>-</v>
          </cell>
          <cell r="BD125" t="str">
            <v>-</v>
          </cell>
          <cell r="BE125" t="str">
            <v>-</v>
          </cell>
        </row>
        <row r="126">
          <cell r="BA126" t="str">
            <v>-</v>
          </cell>
          <cell r="BB126">
            <v>340</v>
          </cell>
          <cell r="BC126" t="str">
            <v>-</v>
          </cell>
          <cell r="BD126" t="str">
            <v>-</v>
          </cell>
          <cell r="BE126" t="str">
            <v>-</v>
          </cell>
        </row>
        <row r="127">
          <cell r="BA127">
            <v>198</v>
          </cell>
          <cell r="BB127" t="str">
            <v>-</v>
          </cell>
          <cell r="BC127" t="str">
            <v>-</v>
          </cell>
          <cell r="BD127" t="str">
            <v>-</v>
          </cell>
          <cell r="BE127" t="str">
            <v>-</v>
          </cell>
        </row>
        <row r="128">
          <cell r="BA128">
            <v>153</v>
          </cell>
          <cell r="BB128" t="str">
            <v>-</v>
          </cell>
          <cell r="BC128" t="str">
            <v>-</v>
          </cell>
          <cell r="BD128" t="str">
            <v>-</v>
          </cell>
          <cell r="BE128" t="str">
            <v>-</v>
          </cell>
        </row>
        <row r="129">
          <cell r="BA129">
            <v>138</v>
          </cell>
          <cell r="BB129" t="str">
            <v>-</v>
          </cell>
          <cell r="BC129" t="str">
            <v>-</v>
          </cell>
          <cell r="BD129" t="str">
            <v>-</v>
          </cell>
          <cell r="BE129" t="str">
            <v>-</v>
          </cell>
        </row>
        <row r="130">
          <cell r="BA130">
            <v>289</v>
          </cell>
          <cell r="BB130" t="str">
            <v>-</v>
          </cell>
          <cell r="BC130" t="str">
            <v>-</v>
          </cell>
          <cell r="BD130" t="str">
            <v>-</v>
          </cell>
          <cell r="BE130" t="str">
            <v>-</v>
          </cell>
        </row>
        <row r="131">
          <cell r="BA131" t="str">
            <v>-</v>
          </cell>
          <cell r="BB131" t="str">
            <v>-</v>
          </cell>
          <cell r="BC131" t="str">
            <v>-</v>
          </cell>
          <cell r="BD131" t="str">
            <v>-</v>
          </cell>
          <cell r="BE131" t="str">
            <v>-</v>
          </cell>
        </row>
        <row r="132">
          <cell r="BA132">
            <v>222</v>
          </cell>
          <cell r="BB132" t="str">
            <v>-</v>
          </cell>
          <cell r="BC132" t="str">
            <v>-</v>
          </cell>
          <cell r="BD132" t="str">
            <v>-</v>
          </cell>
          <cell r="BE132" t="str">
            <v>-</v>
          </cell>
        </row>
        <row r="133">
          <cell r="BA133">
            <v>79</v>
          </cell>
          <cell r="BB133" t="str">
            <v>-</v>
          </cell>
          <cell r="BC133" t="str">
            <v>-</v>
          </cell>
          <cell r="BD133" t="str">
            <v>-</v>
          </cell>
          <cell r="BE133" t="str">
            <v>-</v>
          </cell>
        </row>
        <row r="134">
          <cell r="BA134" t="str">
            <v>-</v>
          </cell>
          <cell r="BB134" t="str">
            <v>-</v>
          </cell>
          <cell r="BC134">
            <v>112</v>
          </cell>
          <cell r="BD134" t="str">
            <v>-</v>
          </cell>
          <cell r="BE134" t="str">
            <v>-</v>
          </cell>
        </row>
        <row r="136">
          <cell r="BA136">
            <v>1554</v>
          </cell>
          <cell r="BB136" t="str">
            <v>-</v>
          </cell>
          <cell r="BC136" t="str">
            <v>-</v>
          </cell>
          <cell r="BD136" t="str">
            <v>-</v>
          </cell>
          <cell r="BE136" t="str">
            <v>-</v>
          </cell>
        </row>
        <row r="137">
          <cell r="BA137">
            <v>352</v>
          </cell>
          <cell r="BB137" t="str">
            <v>-</v>
          </cell>
          <cell r="BC137" t="str">
            <v>-</v>
          </cell>
          <cell r="BD137" t="str">
            <v>-</v>
          </cell>
          <cell r="BE137" t="str">
            <v>-</v>
          </cell>
        </row>
        <row r="138">
          <cell r="BA138">
            <v>0</v>
          </cell>
          <cell r="BB138" t="str">
            <v>-</v>
          </cell>
          <cell r="BC138" t="str">
            <v>-</v>
          </cell>
          <cell r="BD138" t="str">
            <v>-</v>
          </cell>
          <cell r="BE138" t="str">
            <v>-</v>
          </cell>
        </row>
        <row r="139">
          <cell r="BA139">
            <v>580</v>
          </cell>
          <cell r="BB139" t="str">
            <v>-</v>
          </cell>
          <cell r="BC139" t="str">
            <v>-</v>
          </cell>
          <cell r="BD139" t="str">
            <v>-</v>
          </cell>
          <cell r="BE139" t="str">
            <v>-</v>
          </cell>
        </row>
        <row r="140">
          <cell r="BA140">
            <v>442</v>
          </cell>
          <cell r="BB140" t="str">
            <v>-</v>
          </cell>
          <cell r="BC140" t="str">
            <v>-</v>
          </cell>
          <cell r="BD140" t="str">
            <v>-</v>
          </cell>
          <cell r="BE140" t="str">
            <v>-</v>
          </cell>
        </row>
        <row r="141">
          <cell r="BA141">
            <v>59</v>
          </cell>
          <cell r="BB141" t="str">
            <v>-</v>
          </cell>
          <cell r="BC141" t="str">
            <v>-</v>
          </cell>
          <cell r="BD141" t="str">
            <v>-</v>
          </cell>
          <cell r="BE141" t="str">
            <v>-</v>
          </cell>
        </row>
        <row r="142">
          <cell r="BA142">
            <v>146</v>
          </cell>
          <cell r="BB142" t="str">
            <v>-</v>
          </cell>
          <cell r="BC142" t="str">
            <v>-</v>
          </cell>
          <cell r="BD142" t="str">
            <v>-</v>
          </cell>
          <cell r="BE142" t="str">
            <v>-</v>
          </cell>
        </row>
        <row r="143">
          <cell r="BA143">
            <v>1387</v>
          </cell>
          <cell r="BB143" t="str">
            <v>-</v>
          </cell>
          <cell r="BC143" t="str">
            <v>-</v>
          </cell>
          <cell r="BD143" t="str">
            <v>-</v>
          </cell>
          <cell r="BE143" t="str">
            <v>-</v>
          </cell>
        </row>
        <row r="144">
          <cell r="BA144">
            <v>306</v>
          </cell>
          <cell r="BB144" t="str">
            <v>-</v>
          </cell>
          <cell r="BC144" t="str">
            <v>-</v>
          </cell>
          <cell r="BD144" t="str">
            <v>-</v>
          </cell>
          <cell r="BE144" t="str">
            <v>-</v>
          </cell>
        </row>
        <row r="145">
          <cell r="BA145">
            <v>420</v>
          </cell>
          <cell r="BB145" t="str">
            <v>-</v>
          </cell>
          <cell r="BC145" t="str">
            <v>-</v>
          </cell>
          <cell r="BD145" t="str">
            <v>-</v>
          </cell>
          <cell r="BE145" t="str">
            <v>-</v>
          </cell>
        </row>
        <row r="146">
          <cell r="BA146">
            <v>6531</v>
          </cell>
          <cell r="BB146" t="str">
            <v>-</v>
          </cell>
          <cell r="BC146" t="str">
            <v>-</v>
          </cell>
          <cell r="BD146" t="str">
            <v>-</v>
          </cell>
          <cell r="BE146" t="str">
            <v>-</v>
          </cell>
        </row>
        <row r="147">
          <cell r="BA147">
            <v>730</v>
          </cell>
          <cell r="BB147" t="str">
            <v>-</v>
          </cell>
          <cell r="BC147" t="str">
            <v>-</v>
          </cell>
          <cell r="BD147" t="str">
            <v>-</v>
          </cell>
          <cell r="BE147" t="str">
            <v>-</v>
          </cell>
        </row>
        <row r="148">
          <cell r="BA148" t="str">
            <v>-</v>
          </cell>
          <cell r="BB148" t="str">
            <v>-</v>
          </cell>
          <cell r="BC148">
            <v>1668</v>
          </cell>
          <cell r="BD148" t="str">
            <v>-</v>
          </cell>
          <cell r="BE148" t="str">
            <v>-</v>
          </cell>
        </row>
        <row r="149">
          <cell r="BA149" t="str">
            <v>-</v>
          </cell>
          <cell r="BB149" t="str">
            <v>-</v>
          </cell>
          <cell r="BC149">
            <v>0</v>
          </cell>
          <cell r="BD149" t="str">
            <v>-</v>
          </cell>
          <cell r="BE149" t="str">
            <v>-</v>
          </cell>
        </row>
        <row r="150">
          <cell r="BA150" t="str">
            <v>-</v>
          </cell>
          <cell r="BB150" t="str">
            <v>-</v>
          </cell>
          <cell r="BC150">
            <v>77</v>
          </cell>
          <cell r="BD150" t="str">
            <v>-</v>
          </cell>
          <cell r="BE150" t="str">
            <v>-</v>
          </cell>
        </row>
        <row r="151">
          <cell r="BA151" t="str">
            <v>-</v>
          </cell>
          <cell r="BB151">
            <v>0</v>
          </cell>
          <cell r="BC151" t="str">
            <v>-</v>
          </cell>
          <cell r="BD151" t="str">
            <v>-</v>
          </cell>
          <cell r="BE151" t="str">
            <v>-</v>
          </cell>
        </row>
        <row r="152">
          <cell r="BA152">
            <v>153</v>
          </cell>
          <cell r="BB152" t="str">
            <v>-</v>
          </cell>
          <cell r="BC152" t="str">
            <v>-</v>
          </cell>
          <cell r="BD152" t="str">
            <v>-</v>
          </cell>
          <cell r="BE152" t="str">
            <v>-</v>
          </cell>
        </row>
        <row r="153">
          <cell r="BA153">
            <v>157</v>
          </cell>
          <cell r="BB153" t="str">
            <v>-</v>
          </cell>
          <cell r="BC153" t="str">
            <v>-</v>
          </cell>
          <cell r="BD153" t="str">
            <v>-</v>
          </cell>
          <cell r="BE153" t="str">
            <v>-</v>
          </cell>
        </row>
        <row r="154">
          <cell r="BA154">
            <v>104</v>
          </cell>
          <cell r="BB154" t="str">
            <v>-</v>
          </cell>
          <cell r="BC154" t="str">
            <v>-</v>
          </cell>
          <cell r="BD154" t="str">
            <v>-</v>
          </cell>
          <cell r="BE154" t="str">
            <v>-</v>
          </cell>
        </row>
        <row r="155">
          <cell r="BA155" t="str">
            <v>-</v>
          </cell>
          <cell r="BB155">
            <v>97</v>
          </cell>
          <cell r="BC155" t="str">
            <v>-</v>
          </cell>
          <cell r="BD155" t="str">
            <v>-</v>
          </cell>
          <cell r="BE155" t="str">
            <v>-</v>
          </cell>
        </row>
        <row r="156">
          <cell r="BA156" t="str">
            <v>-</v>
          </cell>
          <cell r="BB156">
            <v>453</v>
          </cell>
          <cell r="BC156" t="str">
            <v>-</v>
          </cell>
          <cell r="BD156" t="str">
            <v>-</v>
          </cell>
          <cell r="BE156" t="str">
            <v>-</v>
          </cell>
        </row>
        <row r="157">
          <cell r="BA157">
            <v>164</v>
          </cell>
          <cell r="BB157" t="str">
            <v>-</v>
          </cell>
          <cell r="BC157" t="str">
            <v>-</v>
          </cell>
          <cell r="BD157" t="str">
            <v>-</v>
          </cell>
          <cell r="BE157" t="str">
            <v>-</v>
          </cell>
        </row>
        <row r="158">
          <cell r="BA158">
            <v>1252</v>
          </cell>
          <cell r="BB158" t="str">
            <v>-</v>
          </cell>
          <cell r="BC158" t="str">
            <v>-</v>
          </cell>
          <cell r="BD158" t="str">
            <v>-</v>
          </cell>
          <cell r="BE158" t="str">
            <v>-</v>
          </cell>
        </row>
        <row r="159">
          <cell r="BA159" t="str">
            <v>-</v>
          </cell>
          <cell r="BB159" t="str">
            <v>-</v>
          </cell>
          <cell r="BC159">
            <v>227</v>
          </cell>
          <cell r="BD159" t="str">
            <v>-</v>
          </cell>
          <cell r="BE159" t="str">
            <v>-</v>
          </cell>
        </row>
        <row r="160">
          <cell r="BA160" t="str">
            <v>-</v>
          </cell>
          <cell r="BB160" t="str">
            <v>-</v>
          </cell>
          <cell r="BC160" t="str">
            <v>-</v>
          </cell>
          <cell r="BD160">
            <v>1249</v>
          </cell>
          <cell r="BE160" t="str">
            <v>-</v>
          </cell>
        </row>
        <row r="161">
          <cell r="BA161" t="str">
            <v>-</v>
          </cell>
          <cell r="BB161" t="str">
            <v>-</v>
          </cell>
          <cell r="BC161" t="str">
            <v>-</v>
          </cell>
          <cell r="BD161">
            <v>1135</v>
          </cell>
          <cell r="BE161" t="str">
            <v>-</v>
          </cell>
        </row>
        <row r="162">
          <cell r="BA162" t="str">
            <v>-</v>
          </cell>
          <cell r="BB162" t="str">
            <v>-</v>
          </cell>
          <cell r="BC162" t="str">
            <v>-</v>
          </cell>
          <cell r="BD162">
            <v>82</v>
          </cell>
          <cell r="BE162" t="str">
            <v>-</v>
          </cell>
        </row>
        <row r="163">
          <cell r="BA163" t="str">
            <v>-</v>
          </cell>
          <cell r="BB163" t="str">
            <v>-</v>
          </cell>
          <cell r="BC163">
            <v>257</v>
          </cell>
          <cell r="BD163" t="str">
            <v>-</v>
          </cell>
          <cell r="BE163" t="str">
            <v>-</v>
          </cell>
        </row>
        <row r="164">
          <cell r="BA164" t="str">
            <v>-</v>
          </cell>
          <cell r="BB164" t="str">
            <v>-</v>
          </cell>
          <cell r="BC164" t="str">
            <v>-</v>
          </cell>
          <cell r="BD164">
            <v>145</v>
          </cell>
          <cell r="BE164" t="str">
            <v>-</v>
          </cell>
        </row>
        <row r="165">
          <cell r="BA165" t="str">
            <v>-</v>
          </cell>
          <cell r="BB165" t="str">
            <v>-</v>
          </cell>
          <cell r="BC165" t="str">
            <v>-</v>
          </cell>
          <cell r="BD165">
            <v>282</v>
          </cell>
          <cell r="BE165" t="str">
            <v>-</v>
          </cell>
        </row>
        <row r="166">
          <cell r="BA166" t="str">
            <v>-</v>
          </cell>
          <cell r="BB166" t="str">
            <v>-</v>
          </cell>
          <cell r="BC166">
            <v>131</v>
          </cell>
          <cell r="BD166" t="str">
            <v>-</v>
          </cell>
          <cell r="BE166" t="str">
            <v>-</v>
          </cell>
        </row>
        <row r="167">
          <cell r="BA167">
            <v>212</v>
          </cell>
          <cell r="BB167" t="str">
            <v>-</v>
          </cell>
          <cell r="BC167" t="str">
            <v>-</v>
          </cell>
          <cell r="BD167" t="str">
            <v>-</v>
          </cell>
          <cell r="BE167" t="str">
            <v>-</v>
          </cell>
        </row>
        <row r="168">
          <cell r="BA168" t="str">
            <v>-</v>
          </cell>
          <cell r="BB168" t="str">
            <v>-</v>
          </cell>
          <cell r="BC168" t="str">
            <v>-</v>
          </cell>
          <cell r="BD168">
            <v>136</v>
          </cell>
          <cell r="BE168" t="str">
            <v>-</v>
          </cell>
        </row>
        <row r="169">
          <cell r="BA169" t="str">
            <v>-</v>
          </cell>
          <cell r="BB169" t="str">
            <v>-</v>
          </cell>
          <cell r="BC169" t="str">
            <v>-</v>
          </cell>
          <cell r="BD169">
            <v>90</v>
          </cell>
          <cell r="BE169" t="str">
            <v>-</v>
          </cell>
        </row>
        <row r="170">
          <cell r="BA170" t="str">
            <v>-</v>
          </cell>
          <cell r="BB170" t="str">
            <v>-</v>
          </cell>
          <cell r="BC170" t="str">
            <v>-</v>
          </cell>
          <cell r="BD170">
            <v>1925</v>
          </cell>
          <cell r="BE170" t="str">
            <v>-</v>
          </cell>
        </row>
        <row r="171">
          <cell r="BA171">
            <v>3251</v>
          </cell>
          <cell r="BB171" t="str">
            <v>-</v>
          </cell>
          <cell r="BC171" t="str">
            <v>-</v>
          </cell>
          <cell r="BD171" t="str">
            <v>-</v>
          </cell>
          <cell r="BE171" t="str">
            <v>-</v>
          </cell>
        </row>
        <row r="172">
          <cell r="BA172">
            <v>126</v>
          </cell>
          <cell r="BB172" t="str">
            <v>-</v>
          </cell>
          <cell r="BC172" t="str">
            <v>-</v>
          </cell>
          <cell r="BD172" t="str">
            <v>-</v>
          </cell>
          <cell r="BE172" t="str">
            <v>-</v>
          </cell>
        </row>
        <row r="173">
          <cell r="BA173" t="str">
            <v>-</v>
          </cell>
          <cell r="BB173">
            <v>176</v>
          </cell>
          <cell r="BC173" t="str">
            <v>-</v>
          </cell>
          <cell r="BD173" t="str">
            <v>-</v>
          </cell>
          <cell r="BE173" t="str">
            <v>-</v>
          </cell>
        </row>
        <row r="174">
          <cell r="BA174">
            <v>758</v>
          </cell>
          <cell r="BB174" t="str">
            <v>-</v>
          </cell>
          <cell r="BC174" t="str">
            <v>-</v>
          </cell>
          <cell r="BD174" t="str">
            <v>-</v>
          </cell>
          <cell r="BE174" t="str">
            <v>-</v>
          </cell>
        </row>
        <row r="175">
          <cell r="BA175" t="str">
            <v>-</v>
          </cell>
          <cell r="BB175">
            <v>0</v>
          </cell>
          <cell r="BC175" t="str">
            <v>-</v>
          </cell>
          <cell r="BD175" t="str">
            <v>-</v>
          </cell>
          <cell r="BE175" t="str">
            <v>-</v>
          </cell>
        </row>
        <row r="176">
          <cell r="BA176" t="str">
            <v>-</v>
          </cell>
          <cell r="BB176" t="str">
            <v>-</v>
          </cell>
          <cell r="BC176" t="str">
            <v>-</v>
          </cell>
          <cell r="BD176" t="str">
            <v>-</v>
          </cell>
          <cell r="BE176" t="str">
            <v>-</v>
          </cell>
        </row>
        <row r="177">
          <cell r="BA177">
            <v>290</v>
          </cell>
          <cell r="BB177" t="str">
            <v>-</v>
          </cell>
          <cell r="BC177" t="str">
            <v>-</v>
          </cell>
          <cell r="BD177" t="str">
            <v>-</v>
          </cell>
          <cell r="BE177" t="str">
            <v>-</v>
          </cell>
        </row>
        <row r="178">
          <cell r="BA178" t="str">
            <v>-</v>
          </cell>
          <cell r="BB178" t="str">
            <v>-</v>
          </cell>
          <cell r="BC178">
            <v>71</v>
          </cell>
          <cell r="BD178" t="str">
            <v>-</v>
          </cell>
          <cell r="BE178" t="str">
            <v>-</v>
          </cell>
        </row>
        <row r="179">
          <cell r="BA179">
            <v>235</v>
          </cell>
          <cell r="BB179" t="str">
            <v>-</v>
          </cell>
          <cell r="BC179" t="str">
            <v>-</v>
          </cell>
          <cell r="BD179" t="str">
            <v>-</v>
          </cell>
          <cell r="BE179" t="str">
            <v>-</v>
          </cell>
        </row>
        <row r="180">
          <cell r="BA180">
            <v>163</v>
          </cell>
          <cell r="BB180" t="str">
            <v>-</v>
          </cell>
          <cell r="BC180" t="str">
            <v>-</v>
          </cell>
          <cell r="BD180" t="str">
            <v>-</v>
          </cell>
          <cell r="BE180" t="str">
            <v>-</v>
          </cell>
        </row>
        <row r="181">
          <cell r="BA181">
            <v>541</v>
          </cell>
          <cell r="BB181" t="str">
            <v>-</v>
          </cell>
          <cell r="BC181" t="str">
            <v>-</v>
          </cell>
          <cell r="BD181" t="str">
            <v>-</v>
          </cell>
          <cell r="BE181" t="str">
            <v>-</v>
          </cell>
        </row>
        <row r="182">
          <cell r="BA182">
            <v>246</v>
          </cell>
          <cell r="BB182" t="str">
            <v>-</v>
          </cell>
          <cell r="BC182" t="str">
            <v>-</v>
          </cell>
          <cell r="BD182" t="str">
            <v>-</v>
          </cell>
          <cell r="BE182" t="str">
            <v>-</v>
          </cell>
        </row>
        <row r="183">
          <cell r="BA183">
            <v>374</v>
          </cell>
          <cell r="BB183" t="str">
            <v>-</v>
          </cell>
          <cell r="BC183" t="str">
            <v>-</v>
          </cell>
          <cell r="BD183" t="str">
            <v>-</v>
          </cell>
          <cell r="BE183" t="str">
            <v>-</v>
          </cell>
        </row>
        <row r="184">
          <cell r="BA184">
            <v>176</v>
          </cell>
          <cell r="BB184" t="str">
            <v>-</v>
          </cell>
          <cell r="BC184" t="str">
            <v>-</v>
          </cell>
          <cell r="BD184" t="str">
            <v>-</v>
          </cell>
          <cell r="BE184" t="str">
            <v>-</v>
          </cell>
        </row>
        <row r="185">
          <cell r="BA185" t="str">
            <v>-</v>
          </cell>
          <cell r="BB185" t="str">
            <v>-</v>
          </cell>
          <cell r="BC185">
            <v>279</v>
          </cell>
          <cell r="BD185" t="str">
            <v>-</v>
          </cell>
          <cell r="BE185" t="str">
            <v>-</v>
          </cell>
        </row>
        <row r="186">
          <cell r="BA186" t="str">
            <v>-</v>
          </cell>
          <cell r="BB186">
            <v>66</v>
          </cell>
          <cell r="BC186" t="str">
            <v>-</v>
          </cell>
          <cell r="BD186" t="str">
            <v>-</v>
          </cell>
          <cell r="BE186" t="str">
            <v>-</v>
          </cell>
        </row>
        <row r="187">
          <cell r="BA187" t="str">
            <v>-</v>
          </cell>
          <cell r="BB187">
            <v>794</v>
          </cell>
          <cell r="BC187" t="str">
            <v>-</v>
          </cell>
          <cell r="BD187" t="str">
            <v>-</v>
          </cell>
          <cell r="BE187" t="str">
            <v>-</v>
          </cell>
        </row>
        <row r="188">
          <cell r="BA188" t="str">
            <v>-</v>
          </cell>
          <cell r="BB188" t="str">
            <v>-</v>
          </cell>
          <cell r="BC188">
            <v>121</v>
          </cell>
          <cell r="BD188" t="str">
            <v>-</v>
          </cell>
          <cell r="BE188" t="str">
            <v>-</v>
          </cell>
        </row>
        <row r="189">
          <cell r="BA189" t="str">
            <v>-</v>
          </cell>
          <cell r="BB189" t="str">
            <v>-</v>
          </cell>
          <cell r="BC189">
            <v>149</v>
          </cell>
          <cell r="BD189" t="str">
            <v>-</v>
          </cell>
          <cell r="BE189" t="str">
            <v>-</v>
          </cell>
        </row>
        <row r="190">
          <cell r="BA190" t="str">
            <v>-</v>
          </cell>
          <cell r="BB190" t="str">
            <v>-</v>
          </cell>
          <cell r="BC190" t="str">
            <v>-</v>
          </cell>
          <cell r="BD190" t="str">
            <v>-</v>
          </cell>
          <cell r="BE190" t="str">
            <v>-</v>
          </cell>
        </row>
        <row r="191">
          <cell r="BA191" t="str">
            <v>-</v>
          </cell>
          <cell r="BB191" t="str">
            <v>-</v>
          </cell>
          <cell r="BC191">
            <v>123</v>
          </cell>
          <cell r="BD191" t="str">
            <v>-</v>
          </cell>
          <cell r="BE191" t="str">
            <v>-</v>
          </cell>
        </row>
        <row r="194">
          <cell r="BA194">
            <v>2411</v>
          </cell>
          <cell r="BB194" t="str">
            <v>-</v>
          </cell>
          <cell r="BC194" t="str">
            <v>-</v>
          </cell>
          <cell r="BD194" t="str">
            <v>-</v>
          </cell>
          <cell r="BE194" t="str">
            <v>-</v>
          </cell>
        </row>
        <row r="195">
          <cell r="BA195">
            <v>256</v>
          </cell>
          <cell r="BB195" t="str">
            <v>-</v>
          </cell>
          <cell r="BC195" t="str">
            <v>-</v>
          </cell>
          <cell r="BD195" t="str">
            <v>-</v>
          </cell>
          <cell r="BE195" t="str">
            <v>-</v>
          </cell>
        </row>
        <row r="196">
          <cell r="BA196" t="str">
            <v>-</v>
          </cell>
          <cell r="BB196">
            <v>135</v>
          </cell>
          <cell r="BC196" t="str">
            <v>-</v>
          </cell>
          <cell r="BD196" t="str">
            <v>-</v>
          </cell>
          <cell r="BE196" t="str">
            <v>-</v>
          </cell>
        </row>
        <row r="197">
          <cell r="BA197" t="str">
            <v>-</v>
          </cell>
          <cell r="BB197">
            <v>4886</v>
          </cell>
          <cell r="BC197" t="str">
            <v>-</v>
          </cell>
          <cell r="BD197" t="str">
            <v>-</v>
          </cell>
          <cell r="BE197" t="str">
            <v>-</v>
          </cell>
        </row>
        <row r="198">
          <cell r="BA198" t="str">
            <v>-</v>
          </cell>
          <cell r="BB198">
            <v>2965</v>
          </cell>
          <cell r="BC198" t="str">
            <v>-</v>
          </cell>
          <cell r="BD198" t="str">
            <v>-</v>
          </cell>
          <cell r="BE198" t="str">
            <v>-</v>
          </cell>
        </row>
        <row r="199">
          <cell r="BA199">
            <v>132</v>
          </cell>
          <cell r="BB199" t="str">
            <v>-</v>
          </cell>
          <cell r="BC199" t="str">
            <v>-</v>
          </cell>
          <cell r="BD199" t="str">
            <v>-</v>
          </cell>
          <cell r="BE199" t="str">
            <v>-</v>
          </cell>
        </row>
        <row r="200">
          <cell r="BA200" t="str">
            <v>-</v>
          </cell>
          <cell r="BB200" t="str">
            <v>-</v>
          </cell>
          <cell r="BC200">
            <v>88</v>
          </cell>
          <cell r="BD200" t="str">
            <v>-</v>
          </cell>
          <cell r="BE200" t="str">
            <v>-</v>
          </cell>
        </row>
        <row r="201">
          <cell r="BA201" t="str">
            <v>-</v>
          </cell>
          <cell r="BB201" t="str">
            <v>-</v>
          </cell>
          <cell r="BC201">
            <v>16</v>
          </cell>
          <cell r="BD201" t="str">
            <v>-</v>
          </cell>
          <cell r="BE201" t="str">
            <v>-</v>
          </cell>
        </row>
        <row r="202">
          <cell r="BA202" t="str">
            <v>-</v>
          </cell>
          <cell r="BB202" t="str">
            <v>-</v>
          </cell>
          <cell r="BC202">
            <v>38</v>
          </cell>
          <cell r="BD202" t="str">
            <v>-</v>
          </cell>
          <cell r="BE202" t="str">
            <v>-</v>
          </cell>
        </row>
        <row r="203">
          <cell r="BA203" t="str">
            <v>-</v>
          </cell>
          <cell r="BB203" t="str">
            <v>-</v>
          </cell>
          <cell r="BC203">
            <v>20</v>
          </cell>
          <cell r="BD203" t="str">
            <v>-</v>
          </cell>
          <cell r="BE203" t="str">
            <v>-</v>
          </cell>
        </row>
        <row r="204">
          <cell r="BA204" t="str">
            <v>-</v>
          </cell>
          <cell r="BB204" t="str">
            <v>-</v>
          </cell>
          <cell r="BC204">
            <v>20</v>
          </cell>
          <cell r="BD204" t="str">
            <v>-</v>
          </cell>
          <cell r="BE204" t="str">
            <v>-</v>
          </cell>
        </row>
        <row r="205">
          <cell r="BA205" t="str">
            <v>-</v>
          </cell>
          <cell r="BB205">
            <v>29</v>
          </cell>
          <cell r="BC205" t="str">
            <v>-</v>
          </cell>
          <cell r="BD205" t="str">
            <v>-</v>
          </cell>
          <cell r="BE205" t="str">
            <v>-</v>
          </cell>
        </row>
        <row r="206">
          <cell r="BA206" t="str">
            <v>-</v>
          </cell>
          <cell r="BB206">
            <v>188</v>
          </cell>
          <cell r="BC206" t="str">
            <v>-</v>
          </cell>
          <cell r="BD206" t="str">
            <v>-</v>
          </cell>
          <cell r="BE206" t="str">
            <v>-</v>
          </cell>
        </row>
        <row r="207">
          <cell r="BA207" t="str">
            <v>-</v>
          </cell>
          <cell r="BB207">
            <v>630</v>
          </cell>
          <cell r="BC207" t="str">
            <v>-</v>
          </cell>
          <cell r="BD207" t="str">
            <v>-</v>
          </cell>
          <cell r="BE207" t="str">
            <v>-</v>
          </cell>
        </row>
        <row r="208">
          <cell r="BA208">
            <v>276</v>
          </cell>
          <cell r="BB208" t="str">
            <v>-</v>
          </cell>
          <cell r="BC208" t="str">
            <v>-</v>
          </cell>
          <cell r="BD208" t="str">
            <v>-</v>
          </cell>
          <cell r="BE208" t="str">
            <v>-</v>
          </cell>
        </row>
        <row r="209">
          <cell r="BA209">
            <v>408</v>
          </cell>
          <cell r="BB209" t="str">
            <v>-</v>
          </cell>
          <cell r="BC209" t="str">
            <v>-</v>
          </cell>
          <cell r="BD209" t="str">
            <v>-</v>
          </cell>
          <cell r="BE209" t="str">
            <v>-</v>
          </cell>
        </row>
        <row r="210">
          <cell r="BA210" t="str">
            <v>-</v>
          </cell>
          <cell r="BB210" t="str">
            <v>-</v>
          </cell>
          <cell r="BC210">
            <v>350</v>
          </cell>
          <cell r="BD210" t="str">
            <v>-</v>
          </cell>
          <cell r="BE210" t="str">
            <v>-</v>
          </cell>
        </row>
        <row r="211">
          <cell r="BA211" t="str">
            <v>-</v>
          </cell>
          <cell r="BB211" t="str">
            <v>-</v>
          </cell>
          <cell r="BC211">
            <v>148</v>
          </cell>
          <cell r="BD211" t="str">
            <v>-</v>
          </cell>
          <cell r="BE211" t="str">
            <v>-</v>
          </cell>
        </row>
        <row r="212">
          <cell r="BA212" t="str">
            <v>-</v>
          </cell>
          <cell r="BB212" t="str">
            <v>-</v>
          </cell>
          <cell r="BC212">
            <v>233</v>
          </cell>
          <cell r="BD212" t="str">
            <v>-</v>
          </cell>
          <cell r="BE212" t="str">
            <v>-</v>
          </cell>
        </row>
        <row r="213">
          <cell r="BA213" t="str">
            <v>-</v>
          </cell>
          <cell r="BB213">
            <v>274</v>
          </cell>
          <cell r="BC213" t="str">
            <v>-</v>
          </cell>
          <cell r="BD213" t="str">
            <v>-</v>
          </cell>
          <cell r="BE213" t="str">
            <v>-</v>
          </cell>
        </row>
        <row r="214">
          <cell r="BA214" t="str">
            <v>-</v>
          </cell>
          <cell r="BB214">
            <v>268</v>
          </cell>
          <cell r="BC214" t="str">
            <v>-</v>
          </cell>
          <cell r="BD214" t="str">
            <v>-</v>
          </cell>
          <cell r="BE214" t="str">
            <v>-</v>
          </cell>
        </row>
        <row r="215">
          <cell r="BA215" t="str">
            <v>-</v>
          </cell>
          <cell r="BB215" t="str">
            <v>-</v>
          </cell>
          <cell r="BC215">
            <v>256</v>
          </cell>
          <cell r="BD215" t="str">
            <v>-</v>
          </cell>
          <cell r="BE215" t="str">
            <v>-</v>
          </cell>
        </row>
        <row r="216">
          <cell r="BA216" t="str">
            <v>-</v>
          </cell>
          <cell r="BB216" t="str">
            <v>-</v>
          </cell>
          <cell r="BC216">
            <v>275</v>
          </cell>
          <cell r="BD216" t="str">
            <v>-</v>
          </cell>
          <cell r="BE216" t="str">
            <v>-</v>
          </cell>
        </row>
        <row r="217">
          <cell r="BA217" t="str">
            <v>-</v>
          </cell>
          <cell r="BB217">
            <v>149</v>
          </cell>
          <cell r="BC217" t="str">
            <v>-</v>
          </cell>
          <cell r="BD217" t="str">
            <v>-</v>
          </cell>
          <cell r="BE217" t="str">
            <v>-</v>
          </cell>
        </row>
        <row r="218">
          <cell r="BA218" t="str">
            <v>-</v>
          </cell>
          <cell r="BB218" t="str">
            <v>-</v>
          </cell>
          <cell r="BC218">
            <v>233</v>
          </cell>
          <cell r="BD218" t="str">
            <v>-</v>
          </cell>
          <cell r="BE218" t="str">
            <v>-</v>
          </cell>
        </row>
        <row r="219">
          <cell r="BA219" t="str">
            <v>-</v>
          </cell>
          <cell r="BB219">
            <v>99</v>
          </cell>
          <cell r="BC219" t="str">
            <v>-</v>
          </cell>
          <cell r="BD219" t="str">
            <v>-</v>
          </cell>
          <cell r="BE219" t="str">
            <v>-</v>
          </cell>
        </row>
        <row r="220">
          <cell r="BA220" t="str">
            <v>-</v>
          </cell>
          <cell r="BB220">
            <v>157</v>
          </cell>
          <cell r="BC220" t="str">
            <v>-</v>
          </cell>
          <cell r="BD220" t="str">
            <v>-</v>
          </cell>
          <cell r="BE220" t="str">
            <v>-</v>
          </cell>
        </row>
        <row r="221">
          <cell r="BA221" t="str">
            <v>-</v>
          </cell>
          <cell r="BB221" t="str">
            <v>-</v>
          </cell>
          <cell r="BC221" t="str">
            <v>-</v>
          </cell>
          <cell r="BD221" t="str">
            <v>-</v>
          </cell>
          <cell r="BE221" t="str">
            <v>-</v>
          </cell>
        </row>
        <row r="222">
          <cell r="BA222" t="str">
            <v>-</v>
          </cell>
          <cell r="BB222" t="str">
            <v>-</v>
          </cell>
          <cell r="BC222" t="str">
            <v>-</v>
          </cell>
          <cell r="BD222" t="str">
            <v>-</v>
          </cell>
          <cell r="BE222" t="str">
            <v>-</v>
          </cell>
        </row>
        <row r="223">
          <cell r="BA223">
            <v>494</v>
          </cell>
          <cell r="BB223" t="str">
            <v>-</v>
          </cell>
          <cell r="BC223" t="str">
            <v>-</v>
          </cell>
          <cell r="BD223" t="str">
            <v>-</v>
          </cell>
          <cell r="BE223" t="str">
            <v>-</v>
          </cell>
        </row>
        <row r="224">
          <cell r="BA224" t="str">
            <v>-</v>
          </cell>
          <cell r="BB224">
            <v>112</v>
          </cell>
          <cell r="BC224" t="str">
            <v>-</v>
          </cell>
          <cell r="BD224" t="str">
            <v>-</v>
          </cell>
          <cell r="BE224" t="str">
            <v>-</v>
          </cell>
        </row>
        <row r="225">
          <cell r="BA225" t="str">
            <v>-</v>
          </cell>
          <cell r="BB225">
            <v>211</v>
          </cell>
          <cell r="BC225" t="str">
            <v>-</v>
          </cell>
          <cell r="BD225" t="str">
            <v>-</v>
          </cell>
          <cell r="BE225" t="str">
            <v>-</v>
          </cell>
        </row>
        <row r="226">
          <cell r="BA226">
            <v>24</v>
          </cell>
          <cell r="BB226" t="str">
            <v>-</v>
          </cell>
          <cell r="BC226" t="str">
            <v>-</v>
          </cell>
          <cell r="BD226" t="str">
            <v>-</v>
          </cell>
          <cell r="BE226" t="str">
            <v>-</v>
          </cell>
        </row>
        <row r="227">
          <cell r="BA227" t="str">
            <v>-</v>
          </cell>
          <cell r="BB227">
            <v>164</v>
          </cell>
          <cell r="BC227" t="str">
            <v>-</v>
          </cell>
          <cell r="BD227" t="str">
            <v>-</v>
          </cell>
          <cell r="BE227" t="str">
            <v>-</v>
          </cell>
        </row>
        <row r="228">
          <cell r="BA228" t="str">
            <v>-</v>
          </cell>
          <cell r="BB228">
            <v>46</v>
          </cell>
          <cell r="BC228" t="str">
            <v>-</v>
          </cell>
          <cell r="BD228" t="str">
            <v>-</v>
          </cell>
          <cell r="BE228" t="str">
            <v>-</v>
          </cell>
        </row>
        <row r="229">
          <cell r="BA229" t="str">
            <v>-</v>
          </cell>
          <cell r="BB229" t="str">
            <v>-</v>
          </cell>
          <cell r="BC229">
            <v>0</v>
          </cell>
          <cell r="BD229" t="str">
            <v>-</v>
          </cell>
          <cell r="BE229" t="str">
            <v>-</v>
          </cell>
        </row>
        <row r="230">
          <cell r="BA230" t="str">
            <v>-</v>
          </cell>
          <cell r="BB230">
            <v>396</v>
          </cell>
          <cell r="BC230" t="str">
            <v>-</v>
          </cell>
          <cell r="BD230" t="str">
            <v>-</v>
          </cell>
          <cell r="BE230" t="str">
            <v>-</v>
          </cell>
        </row>
        <row r="231">
          <cell r="BA231" t="str">
            <v>-</v>
          </cell>
          <cell r="BB231" t="str">
            <v>-</v>
          </cell>
          <cell r="BC231">
            <v>59</v>
          </cell>
          <cell r="BD231" t="str">
            <v>-</v>
          </cell>
          <cell r="BE231" t="str">
            <v>-</v>
          </cell>
        </row>
        <row r="232">
          <cell r="BA232" t="str">
            <v>-</v>
          </cell>
          <cell r="BB232">
            <v>134</v>
          </cell>
          <cell r="BC232" t="str">
            <v>-</v>
          </cell>
          <cell r="BD232" t="str">
            <v>-</v>
          </cell>
          <cell r="BE232" t="str">
            <v>-</v>
          </cell>
        </row>
        <row r="233">
          <cell r="BA233" t="str">
            <v>-</v>
          </cell>
          <cell r="BB233" t="str">
            <v>-</v>
          </cell>
          <cell r="BC233">
            <v>122</v>
          </cell>
          <cell r="BD233" t="str">
            <v>-</v>
          </cell>
          <cell r="BE233" t="str">
            <v>-</v>
          </cell>
        </row>
        <row r="235">
          <cell r="BA235">
            <v>41</v>
          </cell>
          <cell r="BB235" t="str">
            <v>-</v>
          </cell>
          <cell r="BC235" t="str">
            <v>-</v>
          </cell>
          <cell r="BD235" t="str">
            <v>-</v>
          </cell>
          <cell r="BE235" t="str">
            <v>-</v>
          </cell>
        </row>
        <row r="236">
          <cell r="BA236">
            <v>238</v>
          </cell>
          <cell r="BB236" t="str">
            <v>-</v>
          </cell>
          <cell r="BC236" t="str">
            <v>-</v>
          </cell>
          <cell r="BD236" t="str">
            <v>-</v>
          </cell>
          <cell r="BE236" t="str">
            <v>-</v>
          </cell>
        </row>
        <row r="237">
          <cell r="BA237">
            <v>401</v>
          </cell>
          <cell r="BB237" t="str">
            <v>-</v>
          </cell>
          <cell r="BC237" t="str">
            <v>-</v>
          </cell>
          <cell r="BD237" t="str">
            <v>-</v>
          </cell>
          <cell r="BE237" t="str">
            <v>-</v>
          </cell>
        </row>
        <row r="238">
          <cell r="BA238" t="str">
            <v>-</v>
          </cell>
          <cell r="BB238" t="str">
            <v>-</v>
          </cell>
          <cell r="BC238">
            <v>0</v>
          </cell>
          <cell r="BD238" t="str">
            <v>-</v>
          </cell>
          <cell r="BE238" t="str">
            <v>-</v>
          </cell>
        </row>
        <row r="239">
          <cell r="BA239">
            <v>958</v>
          </cell>
          <cell r="BB239" t="str">
            <v>-</v>
          </cell>
          <cell r="BC239" t="str">
            <v>-</v>
          </cell>
          <cell r="BD239" t="str">
            <v>-</v>
          </cell>
          <cell r="BE239" t="str">
            <v>-</v>
          </cell>
        </row>
        <row r="240">
          <cell r="BA240">
            <v>305</v>
          </cell>
          <cell r="BB240" t="str">
            <v>-</v>
          </cell>
          <cell r="BC240" t="str">
            <v>-</v>
          </cell>
          <cell r="BD240" t="str">
            <v>-</v>
          </cell>
          <cell r="BE240" t="str">
            <v>-</v>
          </cell>
        </row>
        <row r="241">
          <cell r="BA241" t="str">
            <v>-</v>
          </cell>
          <cell r="BB241">
            <v>226</v>
          </cell>
          <cell r="BC241" t="str">
            <v>-</v>
          </cell>
          <cell r="BD241" t="str">
            <v>-</v>
          </cell>
          <cell r="BE241" t="str">
            <v>-</v>
          </cell>
        </row>
        <row r="242">
          <cell r="BA242" t="str">
            <v>-</v>
          </cell>
          <cell r="BB242" t="str">
            <v>-</v>
          </cell>
          <cell r="BC242" t="str">
            <v>-</v>
          </cell>
          <cell r="BD242" t="str">
            <v>-</v>
          </cell>
          <cell r="BE242" t="str">
            <v>-</v>
          </cell>
        </row>
        <row r="243">
          <cell r="BA243" t="str">
            <v>-</v>
          </cell>
          <cell r="BB243">
            <v>1603</v>
          </cell>
          <cell r="BC243" t="str">
            <v>-</v>
          </cell>
          <cell r="BD243" t="str">
            <v>-</v>
          </cell>
          <cell r="BE243" t="str">
            <v>-</v>
          </cell>
        </row>
        <row r="244">
          <cell r="BA244" t="str">
            <v>-</v>
          </cell>
          <cell r="BB244">
            <v>886</v>
          </cell>
          <cell r="BC244" t="str">
            <v>-</v>
          </cell>
          <cell r="BD244" t="str">
            <v>-</v>
          </cell>
          <cell r="BE244" t="str">
            <v>-</v>
          </cell>
        </row>
        <row r="245">
          <cell r="BA245" t="str">
            <v>-</v>
          </cell>
          <cell r="BB245" t="str">
            <v>-</v>
          </cell>
          <cell r="BC245" t="str">
            <v>-</v>
          </cell>
          <cell r="BD245">
            <v>0</v>
          </cell>
          <cell r="BE245" t="str">
            <v>-</v>
          </cell>
        </row>
        <row r="246">
          <cell r="BA246">
            <v>896</v>
          </cell>
          <cell r="BB246" t="str">
            <v>-</v>
          </cell>
          <cell r="BC246" t="str">
            <v>-</v>
          </cell>
          <cell r="BD246" t="str">
            <v>-</v>
          </cell>
          <cell r="BE246" t="str">
            <v>-</v>
          </cell>
        </row>
        <row r="247">
          <cell r="BA247">
            <v>76</v>
          </cell>
          <cell r="BB247" t="str">
            <v>-</v>
          </cell>
          <cell r="BC247" t="str">
            <v>-</v>
          </cell>
          <cell r="BD247" t="str">
            <v>-</v>
          </cell>
          <cell r="BE247" t="str">
            <v>-</v>
          </cell>
        </row>
        <row r="248">
          <cell r="BA248" t="str">
            <v>-</v>
          </cell>
          <cell r="BB248">
            <v>89</v>
          </cell>
          <cell r="BC248" t="str">
            <v>-</v>
          </cell>
          <cell r="BD248" t="str">
            <v>-</v>
          </cell>
          <cell r="BE248" t="str">
            <v>-</v>
          </cell>
        </row>
        <row r="249">
          <cell r="BA249" t="str">
            <v>-</v>
          </cell>
          <cell r="BB249" t="str">
            <v>-</v>
          </cell>
          <cell r="BC249">
            <v>49</v>
          </cell>
          <cell r="BD249" t="str">
            <v>-</v>
          </cell>
          <cell r="BE249" t="str">
            <v>-</v>
          </cell>
        </row>
        <row r="250">
          <cell r="BA250" t="str">
            <v>-</v>
          </cell>
          <cell r="BB250" t="str">
            <v>-</v>
          </cell>
          <cell r="BC250">
            <v>121</v>
          </cell>
          <cell r="BD250" t="str">
            <v>-</v>
          </cell>
          <cell r="BE250" t="str">
            <v>-</v>
          </cell>
        </row>
        <row r="251">
          <cell r="BA251">
            <v>2033</v>
          </cell>
          <cell r="BB251" t="str">
            <v>-</v>
          </cell>
          <cell r="BC251" t="str">
            <v>-</v>
          </cell>
          <cell r="BD251" t="str">
            <v>-</v>
          </cell>
          <cell r="BE251" t="str">
            <v>-</v>
          </cell>
        </row>
        <row r="252">
          <cell r="BA252">
            <v>81</v>
          </cell>
          <cell r="BB252" t="str">
            <v>-</v>
          </cell>
          <cell r="BC252" t="str">
            <v>-</v>
          </cell>
          <cell r="BD252" t="str">
            <v>-</v>
          </cell>
          <cell r="BE252" t="str">
            <v>-</v>
          </cell>
        </row>
        <row r="253">
          <cell r="BA253">
            <v>107</v>
          </cell>
          <cell r="BB253" t="str">
            <v>-</v>
          </cell>
          <cell r="BC253" t="str">
            <v>-</v>
          </cell>
          <cell r="BD253" t="str">
            <v>-</v>
          </cell>
          <cell r="BE253" t="str">
            <v>-</v>
          </cell>
        </row>
        <row r="254">
          <cell r="BA254" t="str">
            <v>-</v>
          </cell>
          <cell r="BB254" t="str">
            <v>-</v>
          </cell>
          <cell r="BC254">
            <v>113</v>
          </cell>
          <cell r="BD254" t="str">
            <v>-</v>
          </cell>
          <cell r="BE254" t="str">
            <v>-</v>
          </cell>
        </row>
        <row r="255">
          <cell r="BA255" t="str">
            <v>-</v>
          </cell>
          <cell r="BB255" t="str">
            <v>-</v>
          </cell>
          <cell r="BC255">
            <v>91</v>
          </cell>
          <cell r="BD255" t="str">
            <v>-</v>
          </cell>
          <cell r="BE255" t="str">
            <v>-</v>
          </cell>
        </row>
        <row r="256">
          <cell r="BA256" t="str">
            <v>-</v>
          </cell>
          <cell r="BB256" t="str">
            <v>-</v>
          </cell>
          <cell r="BC256">
            <v>0</v>
          </cell>
          <cell r="BD256" t="str">
            <v>-</v>
          </cell>
          <cell r="BE256" t="str">
            <v>-</v>
          </cell>
        </row>
        <row r="257">
          <cell r="BA257">
            <v>55</v>
          </cell>
          <cell r="BB257" t="str">
            <v>-</v>
          </cell>
          <cell r="BC257" t="str">
            <v>-</v>
          </cell>
          <cell r="BD257" t="str">
            <v>-</v>
          </cell>
          <cell r="BE257" t="str">
            <v>-</v>
          </cell>
        </row>
        <row r="258">
          <cell r="BA258" t="str">
            <v>-</v>
          </cell>
          <cell r="BB258">
            <v>59</v>
          </cell>
          <cell r="BC258" t="str">
            <v>-</v>
          </cell>
          <cell r="BD258" t="str">
            <v>-</v>
          </cell>
          <cell r="BE258" t="str">
            <v>-</v>
          </cell>
        </row>
        <row r="259">
          <cell r="BA259">
            <v>83</v>
          </cell>
          <cell r="BB259" t="str">
            <v>-</v>
          </cell>
          <cell r="BC259" t="str">
            <v>-</v>
          </cell>
          <cell r="BD259" t="str">
            <v>-</v>
          </cell>
          <cell r="BE259" t="str">
            <v>-</v>
          </cell>
        </row>
        <row r="260">
          <cell r="BA260" t="str">
            <v>-</v>
          </cell>
          <cell r="BB260" t="str">
            <v>-</v>
          </cell>
          <cell r="BC260">
            <v>87</v>
          </cell>
          <cell r="BD260" t="str">
            <v>-</v>
          </cell>
          <cell r="BE260" t="str">
            <v>-</v>
          </cell>
        </row>
        <row r="261">
          <cell r="BA261" t="str">
            <v>-</v>
          </cell>
          <cell r="BB261" t="str">
            <v>-</v>
          </cell>
          <cell r="BC261">
            <v>948</v>
          </cell>
          <cell r="BD261" t="str">
            <v>-</v>
          </cell>
          <cell r="BE261" t="str">
            <v>-</v>
          </cell>
        </row>
        <row r="262">
          <cell r="BA262">
            <v>0</v>
          </cell>
          <cell r="BB262" t="str">
            <v>-</v>
          </cell>
          <cell r="BC262" t="str">
            <v>-</v>
          </cell>
          <cell r="BD262" t="str">
            <v>-</v>
          </cell>
          <cell r="BE262" t="str">
            <v>-</v>
          </cell>
        </row>
        <row r="263">
          <cell r="BA263">
            <v>138</v>
          </cell>
          <cell r="BB263" t="str">
            <v>-</v>
          </cell>
          <cell r="BC263" t="str">
            <v>-</v>
          </cell>
          <cell r="BD263" t="str">
            <v>-</v>
          </cell>
          <cell r="BE263" t="str">
            <v>-</v>
          </cell>
        </row>
        <row r="265">
          <cell r="BA265">
            <v>160</v>
          </cell>
          <cell r="BB265" t="str">
            <v>-</v>
          </cell>
          <cell r="BC265" t="str">
            <v>-</v>
          </cell>
          <cell r="BD265" t="str">
            <v>-</v>
          </cell>
          <cell r="BE265" t="str">
            <v>-</v>
          </cell>
        </row>
        <row r="266">
          <cell r="BA266">
            <v>1899</v>
          </cell>
          <cell r="BB266" t="str">
            <v>-</v>
          </cell>
          <cell r="BC266" t="str">
            <v>-</v>
          </cell>
          <cell r="BD266" t="str">
            <v>-</v>
          </cell>
          <cell r="BE266" t="str">
            <v>-</v>
          </cell>
        </row>
        <row r="267">
          <cell r="BA267" t="str">
            <v>-</v>
          </cell>
          <cell r="BB267">
            <v>129</v>
          </cell>
          <cell r="BC267" t="str">
            <v>-</v>
          </cell>
          <cell r="BD267" t="str">
            <v>-</v>
          </cell>
          <cell r="BE267" t="str">
            <v>-</v>
          </cell>
        </row>
        <row r="268">
          <cell r="BA268" t="str">
            <v>-</v>
          </cell>
          <cell r="BB268">
            <v>33</v>
          </cell>
          <cell r="BC268" t="str">
            <v>-</v>
          </cell>
          <cell r="BD268" t="str">
            <v>-</v>
          </cell>
          <cell r="BE268" t="str">
            <v>-</v>
          </cell>
        </row>
        <row r="269">
          <cell r="BA269">
            <v>0</v>
          </cell>
          <cell r="BB269" t="str">
            <v>-</v>
          </cell>
          <cell r="BC269" t="str">
            <v>-</v>
          </cell>
          <cell r="BD269" t="str">
            <v>-</v>
          </cell>
          <cell r="BE269" t="str">
            <v>-</v>
          </cell>
        </row>
        <row r="270">
          <cell r="BA270" t="str">
            <v>-</v>
          </cell>
          <cell r="BB270">
            <v>153</v>
          </cell>
          <cell r="BC270" t="str">
            <v>-</v>
          </cell>
          <cell r="BD270" t="str">
            <v>-</v>
          </cell>
          <cell r="BE270" t="str">
            <v>-</v>
          </cell>
        </row>
        <row r="271">
          <cell r="BA271" t="str">
            <v>-</v>
          </cell>
          <cell r="BB271">
            <v>25</v>
          </cell>
          <cell r="BC271" t="str">
            <v>-</v>
          </cell>
          <cell r="BD271" t="str">
            <v>-</v>
          </cell>
          <cell r="BE271" t="str">
            <v>-</v>
          </cell>
        </row>
        <row r="272">
          <cell r="BA272">
            <v>563</v>
          </cell>
          <cell r="BB272" t="str">
            <v>-</v>
          </cell>
          <cell r="BC272" t="str">
            <v>-</v>
          </cell>
          <cell r="BD272" t="str">
            <v>-</v>
          </cell>
          <cell r="BE272" t="str">
            <v>-</v>
          </cell>
        </row>
        <row r="273">
          <cell r="BA273" t="str">
            <v>-</v>
          </cell>
          <cell r="BB273">
            <v>0</v>
          </cell>
          <cell r="BC273" t="str">
            <v>-</v>
          </cell>
          <cell r="BD273" t="str">
            <v>-</v>
          </cell>
          <cell r="BE273" t="str">
            <v>-</v>
          </cell>
        </row>
        <row r="274">
          <cell r="BA274" t="str">
            <v>-</v>
          </cell>
          <cell r="BB274">
            <v>151</v>
          </cell>
          <cell r="BC274" t="str">
            <v>-</v>
          </cell>
          <cell r="BD274" t="str">
            <v>-</v>
          </cell>
          <cell r="BE274" t="str">
            <v>-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기존"/>
      <sheetName val="개량"/>
      <sheetName val="신설"/>
    </sheetNames>
    <sheetDataSet>
      <sheetData sheetId="0">
        <row r="7">
          <cell r="F7">
            <v>250</v>
          </cell>
        </row>
        <row r="9">
          <cell r="F9">
            <v>90</v>
          </cell>
        </row>
        <row r="10">
          <cell r="F10">
            <v>30</v>
          </cell>
        </row>
        <row r="11">
          <cell r="F11">
            <v>110</v>
          </cell>
        </row>
        <row r="12">
          <cell r="F12">
            <v>70</v>
          </cell>
        </row>
        <row r="14">
          <cell r="F14">
            <v>180</v>
          </cell>
        </row>
        <row r="16">
          <cell r="F16">
            <v>110</v>
          </cell>
        </row>
        <row r="18">
          <cell r="F18">
            <v>440</v>
          </cell>
        </row>
        <row r="20">
          <cell r="F20">
            <v>170</v>
          </cell>
        </row>
        <row r="21">
          <cell r="F21">
            <v>120</v>
          </cell>
        </row>
      </sheetData>
      <sheetData sheetId="1">
        <row r="6">
          <cell r="F6">
            <v>170</v>
          </cell>
        </row>
        <row r="7">
          <cell r="J7">
            <v>38</v>
          </cell>
        </row>
        <row r="9">
          <cell r="F9">
            <v>610</v>
          </cell>
          <cell r="J9">
            <v>130</v>
          </cell>
        </row>
        <row r="10">
          <cell r="F10">
            <v>100</v>
          </cell>
          <cell r="J10">
            <v>200</v>
          </cell>
        </row>
        <row r="11">
          <cell r="F11">
            <v>40</v>
          </cell>
        </row>
      </sheetData>
      <sheetData sheetId="2">
        <row r="7">
          <cell r="H7">
            <v>310</v>
          </cell>
          <cell r="K7">
            <v>60</v>
          </cell>
        </row>
        <row r="9">
          <cell r="H9">
            <v>240</v>
          </cell>
          <cell r="K9">
            <v>50</v>
          </cell>
        </row>
        <row r="11">
          <cell r="H11">
            <v>380</v>
          </cell>
          <cell r="K11">
            <v>80</v>
          </cell>
        </row>
        <row r="12">
          <cell r="H12">
            <v>240</v>
          </cell>
          <cell r="K12">
            <v>50</v>
          </cell>
        </row>
        <row r="13">
          <cell r="H13">
            <v>370</v>
          </cell>
          <cell r="K13">
            <v>70</v>
          </cell>
        </row>
        <row r="15">
          <cell r="H15">
            <v>390</v>
          </cell>
          <cell r="K15">
            <v>100</v>
          </cell>
        </row>
        <row r="16">
          <cell r="H16">
            <v>250</v>
          </cell>
          <cell r="K16">
            <v>50</v>
          </cell>
        </row>
        <row r="17">
          <cell r="H17">
            <v>210</v>
          </cell>
          <cell r="K17">
            <v>40</v>
          </cell>
        </row>
        <row r="19">
          <cell r="H19">
            <v>1040</v>
          </cell>
          <cell r="K19">
            <v>260</v>
          </cell>
        </row>
        <row r="20">
          <cell r="H20">
            <v>250</v>
          </cell>
          <cell r="K20">
            <v>50</v>
          </cell>
        </row>
        <row r="21">
          <cell r="H21">
            <v>360</v>
          </cell>
          <cell r="K21">
            <v>70</v>
          </cell>
        </row>
        <row r="23">
          <cell r="H23">
            <v>230</v>
          </cell>
          <cell r="K23">
            <v>50</v>
          </cell>
        </row>
        <row r="25">
          <cell r="H25">
            <v>290</v>
          </cell>
          <cell r="K25">
            <v>60</v>
          </cell>
        </row>
        <row r="27">
          <cell r="H27">
            <v>410</v>
          </cell>
          <cell r="K27">
            <v>80</v>
          </cell>
        </row>
        <row r="28">
          <cell r="H28">
            <v>330</v>
          </cell>
          <cell r="K28">
            <v>70</v>
          </cell>
        </row>
        <row r="29">
          <cell r="H29">
            <v>240</v>
          </cell>
          <cell r="K29">
            <v>50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신설"/>
      <sheetName val="개량"/>
      <sheetName val="상사오수량산정"/>
      <sheetName val="기존"/>
      <sheetName val="해수상사오수량산정(폐기)"/>
    </sheetNames>
    <sheetDataSet>
      <sheetData sheetId="0" refreshError="1"/>
      <sheetData sheetId="1" refreshError="1">
        <row r="8">
          <cell r="G8">
            <v>168.4</v>
          </cell>
        </row>
        <row r="10">
          <cell r="V10">
            <v>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사용원단위(급수실적)"/>
      <sheetName val="사용원단위(사용실적)"/>
      <sheetName val="생활오수량 원단위"/>
      <sheetName val="공장폐수및지하수"/>
      <sheetName val="연계처리수량"/>
      <sheetName val="원단위결정"/>
      <sheetName val="계획하수량"/>
      <sheetName val="소규모계획하수량"/>
      <sheetName val="급수통계자료"/>
      <sheetName val="제2산업단지 폐수발생량"/>
      <sheetName val="공업용수 사용량"/>
    </sheetNames>
    <sheetDataSet>
      <sheetData sheetId="0"/>
      <sheetData sheetId="1">
        <row r="19">
          <cell r="F19">
            <v>54876.643835616436</v>
          </cell>
        </row>
      </sheetData>
      <sheetData sheetId="2"/>
      <sheetData sheetId="3"/>
      <sheetData sheetId="4"/>
      <sheetData sheetId="5"/>
      <sheetData sheetId="6">
        <row r="5">
          <cell r="J5">
            <v>405546</v>
          </cell>
        </row>
        <row r="20">
          <cell r="J20">
            <v>118299</v>
          </cell>
          <cell r="K20">
            <v>142460</v>
          </cell>
          <cell r="L20">
            <v>212189</v>
          </cell>
          <cell r="M20">
            <v>144007</v>
          </cell>
          <cell r="N20">
            <v>174042</v>
          </cell>
          <cell r="O20">
            <v>257054</v>
          </cell>
          <cell r="P20">
            <v>170791</v>
          </cell>
          <cell r="Q20">
            <v>206856</v>
          </cell>
          <cell r="R20">
            <v>304769</v>
          </cell>
          <cell r="S20">
            <v>175275</v>
          </cell>
          <cell r="T20">
            <v>212124</v>
          </cell>
          <cell r="U20">
            <v>312473</v>
          </cell>
          <cell r="V20">
            <v>180712</v>
          </cell>
          <cell r="W20">
            <v>218771</v>
          </cell>
          <cell r="X20">
            <v>322141.5</v>
          </cell>
        </row>
        <row r="182">
          <cell r="J182">
            <v>11466</v>
          </cell>
          <cell r="K182">
            <v>13993</v>
          </cell>
          <cell r="L182">
            <v>20342</v>
          </cell>
          <cell r="M182">
            <v>15945</v>
          </cell>
          <cell r="N182">
            <v>19497</v>
          </cell>
          <cell r="O182">
            <v>28357</v>
          </cell>
          <cell r="P182">
            <v>24232</v>
          </cell>
          <cell r="Q182">
            <v>29626</v>
          </cell>
          <cell r="R182">
            <v>43119</v>
          </cell>
          <cell r="S182">
            <v>42193</v>
          </cell>
          <cell r="T182">
            <v>51543</v>
          </cell>
          <cell r="U182">
            <v>74977</v>
          </cell>
          <cell r="V182">
            <v>43012</v>
          </cell>
          <cell r="W182">
            <v>52544</v>
          </cell>
          <cell r="X182">
            <v>76433</v>
          </cell>
        </row>
        <row r="248">
          <cell r="J248">
            <v>3634</v>
          </cell>
          <cell r="K248">
            <v>4440</v>
          </cell>
          <cell r="L248">
            <v>6463</v>
          </cell>
          <cell r="M248">
            <v>9622</v>
          </cell>
          <cell r="N248">
            <v>12053</v>
          </cell>
          <cell r="O248">
            <v>18673</v>
          </cell>
          <cell r="P248">
            <v>14098</v>
          </cell>
          <cell r="Q248">
            <v>18073</v>
          </cell>
          <cell r="R248">
            <v>29499</v>
          </cell>
          <cell r="S248">
            <v>14254</v>
          </cell>
          <cell r="T248">
            <v>18288</v>
          </cell>
          <cell r="U248">
            <v>29816</v>
          </cell>
          <cell r="V248">
            <v>14466</v>
          </cell>
          <cell r="W248">
            <v>18549</v>
          </cell>
          <cell r="X248">
            <v>30193</v>
          </cell>
        </row>
      </sheetData>
      <sheetData sheetId="7">
        <row r="93">
          <cell r="E93">
            <v>0</v>
          </cell>
        </row>
      </sheetData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사용원단위(급수실적)"/>
      <sheetName val="사용원단위(사용실적)"/>
      <sheetName val="생활오수량 원단위"/>
      <sheetName val="공장폐수및지하수"/>
      <sheetName val="연계처리수량"/>
      <sheetName val="원단위결정"/>
      <sheetName val="계획하수량"/>
      <sheetName val="소규모계획하수량"/>
      <sheetName val="급수통계자료"/>
      <sheetName val="제2산업단지 폐수발생량"/>
      <sheetName val="공업용수 사용량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N20">
            <v>174042</v>
          </cell>
          <cell r="Q20">
            <v>206856</v>
          </cell>
          <cell r="T20">
            <v>212124</v>
          </cell>
          <cell r="W20">
            <v>218771</v>
          </cell>
        </row>
        <row r="182">
          <cell r="N182">
            <v>19497</v>
          </cell>
          <cell r="Q182">
            <v>29626</v>
          </cell>
          <cell r="T182">
            <v>51543</v>
          </cell>
          <cell r="W182">
            <v>52544</v>
          </cell>
        </row>
        <row r="248">
          <cell r="N248">
            <v>12053</v>
          </cell>
          <cell r="Q248">
            <v>18073</v>
          </cell>
          <cell r="T248">
            <v>18288</v>
          </cell>
          <cell r="W248">
            <v>18549</v>
          </cell>
        </row>
      </sheetData>
      <sheetData sheetId="7">
        <row r="4">
          <cell r="E4">
            <v>1540.1220000000001</v>
          </cell>
          <cell r="F4">
            <v>1760.1220000000001</v>
          </cell>
          <cell r="G4">
            <v>1760.1220000000001</v>
          </cell>
          <cell r="H4">
            <v>1760.1220000000001</v>
          </cell>
        </row>
        <row r="5">
          <cell r="E5">
            <v>1847</v>
          </cell>
          <cell r="F5">
            <v>2052</v>
          </cell>
          <cell r="G5">
            <v>2052</v>
          </cell>
          <cell r="H5">
            <v>2052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008000"/>
          </a:solidFill>
          <a:prstDash val="sysDot"/>
          <a:round/>
          <a:headEnd/>
          <a:tailEnd/>
        </a:ln>
        <a:effectLst/>
      </a:spPr>
      <a:bodyPr/>
      <a:lstStyle/>
    </a:spDef>
    <a:lnDef>
      <a:spPr>
        <a:noFill/>
        <a:ln w="25400">
          <a:solidFill>
            <a:srgbClr val="008000"/>
          </a:solidFill>
          <a:prstDash val="sysDot"/>
          <a:round/>
          <a:headEnd/>
          <a:tailEnd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4"/>
  <sheetViews>
    <sheetView showGridLines="0" view="pageBreakPreview" zoomScaleNormal="90" zoomScaleSheetLayoutView="100" workbookViewId="0">
      <selection activeCell="F8" sqref="F8"/>
    </sheetView>
  </sheetViews>
  <sheetFormatPr defaultRowHeight="24.95" customHeight="1"/>
  <cols>
    <col min="1" max="1" width="5" style="525" customWidth="1"/>
    <col min="2" max="2" width="7.6640625" style="525" customWidth="1"/>
    <col min="3" max="3" width="7.6640625" style="525" bestFit="1" customWidth="1"/>
    <col min="4" max="8" width="7.77734375" style="525" customWidth="1"/>
    <col min="9" max="9" width="8.21875" style="525" bestFit="1" customWidth="1"/>
    <col min="10" max="10" width="9.33203125" style="525" customWidth="1"/>
    <col min="11" max="16384" width="8.88671875" style="525"/>
  </cols>
  <sheetData>
    <row r="1" spans="1:14" ht="24.95" customHeight="1">
      <c r="A1" s="1" t="s">
        <v>1143</v>
      </c>
    </row>
    <row r="2" spans="1:14" ht="24.95" customHeight="1">
      <c r="A2" s="3"/>
    </row>
    <row r="3" spans="1:14" ht="24.95" customHeight="1">
      <c r="A3" s="3"/>
      <c r="B3" s="5"/>
      <c r="C3" s="6"/>
      <c r="D3" s="6"/>
      <c r="E3" s="6"/>
      <c r="F3" s="6"/>
      <c r="G3" s="6"/>
      <c r="H3" s="6"/>
      <c r="I3" s="6"/>
      <c r="J3" s="7" t="s">
        <v>211</v>
      </c>
      <c r="L3" s="526"/>
    </row>
    <row r="4" spans="1:14" ht="24.95" customHeight="1">
      <c r="A4" s="754" t="s">
        <v>1173</v>
      </c>
      <c r="B4" s="756" t="s">
        <v>1174</v>
      </c>
      <c r="C4" s="768" t="s">
        <v>1144</v>
      </c>
      <c r="D4" s="765" t="s">
        <v>1171</v>
      </c>
      <c r="E4" s="766"/>
      <c r="F4" s="766"/>
      <c r="G4" s="766"/>
      <c r="H4" s="767"/>
      <c r="I4" s="756" t="s">
        <v>1172</v>
      </c>
      <c r="J4" s="762" t="s">
        <v>1145</v>
      </c>
    </row>
    <row r="5" spans="1:14" ht="24.95" customHeight="1">
      <c r="A5" s="755"/>
      <c r="B5" s="757"/>
      <c r="C5" s="757"/>
      <c r="D5" s="530" t="s">
        <v>53</v>
      </c>
      <c r="E5" s="530" t="s">
        <v>1167</v>
      </c>
      <c r="F5" s="530" t="s">
        <v>1168</v>
      </c>
      <c r="G5" s="530" t="s">
        <v>1169</v>
      </c>
      <c r="H5" s="530" t="s">
        <v>1170</v>
      </c>
      <c r="I5" s="764"/>
      <c r="J5" s="763"/>
    </row>
    <row r="6" spans="1:14" ht="24.95" customHeight="1">
      <c r="A6" s="769" t="s">
        <v>1146</v>
      </c>
      <c r="B6" s="770"/>
      <c r="C6" s="663">
        <f t="shared" ref="C6:I6" si="0">SUM(C7,C14,C18,C24)</f>
        <v>636.17999999999995</v>
      </c>
      <c r="D6" s="663">
        <f t="shared" si="0"/>
        <v>53.010000000000005</v>
      </c>
      <c r="E6" s="663">
        <f t="shared" si="0"/>
        <v>25.318999999999999</v>
      </c>
      <c r="F6" s="663">
        <f t="shared" si="0"/>
        <v>2.81</v>
      </c>
      <c r="G6" s="663">
        <f t="shared" si="0"/>
        <v>11.29</v>
      </c>
      <c r="H6" s="663">
        <f t="shared" si="0"/>
        <v>13.590999999999999</v>
      </c>
      <c r="I6" s="663">
        <f t="shared" si="0"/>
        <v>583.17000000000007</v>
      </c>
      <c r="J6" s="664"/>
    </row>
    <row r="7" spans="1:14" ht="24.95" customHeight="1">
      <c r="A7" s="752" t="s">
        <v>1147</v>
      </c>
      <c r="B7" s="527" t="s">
        <v>1148</v>
      </c>
      <c r="C7" s="665">
        <f t="shared" ref="C7:I7" si="1">SUM(C8:C13)</f>
        <v>68.2</v>
      </c>
      <c r="D7" s="665">
        <f t="shared" si="1"/>
        <v>23.722000000000001</v>
      </c>
      <c r="E7" s="666">
        <f t="shared" si="1"/>
        <v>19.933</v>
      </c>
      <c r="F7" s="666">
        <f t="shared" si="1"/>
        <v>2.3039999999999998</v>
      </c>
      <c r="G7" s="666">
        <f t="shared" si="1"/>
        <v>1.4850000000000001</v>
      </c>
      <c r="H7" s="666">
        <f t="shared" si="1"/>
        <v>0</v>
      </c>
      <c r="I7" s="666">
        <f t="shared" si="1"/>
        <v>44.477999999999994</v>
      </c>
      <c r="J7" s="667"/>
    </row>
    <row r="8" spans="1:14" ht="24.95" customHeight="1">
      <c r="A8" s="753"/>
      <c r="B8" s="527" t="s">
        <v>1149</v>
      </c>
      <c r="C8" s="668">
        <v>14.43</v>
      </c>
      <c r="D8" s="669">
        <f>SUM(E8:H8)</f>
        <v>5.1039999999999992</v>
      </c>
      <c r="E8" s="669">
        <v>4.2329999999999997</v>
      </c>
      <c r="F8" s="669">
        <v>0.871</v>
      </c>
      <c r="G8" s="669">
        <v>0</v>
      </c>
      <c r="H8" s="669">
        <v>0</v>
      </c>
      <c r="I8" s="669">
        <f>C8-SUM(E8:H8)</f>
        <v>9.3260000000000005</v>
      </c>
      <c r="J8" s="667"/>
    </row>
    <row r="9" spans="1:14" ht="24.95" customHeight="1">
      <c r="A9" s="753"/>
      <c r="B9" s="527" t="s">
        <v>1150</v>
      </c>
      <c r="C9" s="668">
        <v>20.21</v>
      </c>
      <c r="D9" s="669">
        <f t="shared" ref="D9:D25" si="2">SUM(E9:H9)</f>
        <v>6.1000000000000005</v>
      </c>
      <c r="E9" s="669">
        <v>5.7640000000000002</v>
      </c>
      <c r="F9" s="669">
        <v>0.33600000000000002</v>
      </c>
      <c r="G9" s="669">
        <v>0</v>
      </c>
      <c r="H9" s="669">
        <v>0</v>
      </c>
      <c r="I9" s="669">
        <f t="shared" ref="I9:I25" si="3">C9-SUM(E9:H9)</f>
        <v>14.11</v>
      </c>
      <c r="J9" s="667"/>
    </row>
    <row r="10" spans="1:14" ht="24.95" customHeight="1">
      <c r="A10" s="753"/>
      <c r="B10" s="527" t="s">
        <v>1151</v>
      </c>
      <c r="C10" s="668">
        <v>8.4499999999999993</v>
      </c>
      <c r="D10" s="669">
        <f t="shared" si="2"/>
        <v>1.5229999999999999</v>
      </c>
      <c r="E10" s="669">
        <v>1.347</v>
      </c>
      <c r="F10" s="669">
        <v>0.17599999999999999</v>
      </c>
      <c r="G10" s="669">
        <v>0</v>
      </c>
      <c r="H10" s="669">
        <v>0</v>
      </c>
      <c r="I10" s="669">
        <f t="shared" si="3"/>
        <v>6.9269999999999996</v>
      </c>
      <c r="J10" s="667"/>
    </row>
    <row r="11" spans="1:14" ht="24.95" customHeight="1">
      <c r="A11" s="753"/>
      <c r="B11" s="527" t="s">
        <v>1152</v>
      </c>
      <c r="C11" s="668">
        <v>8.5</v>
      </c>
      <c r="D11" s="669">
        <f t="shared" si="2"/>
        <v>0.79800000000000004</v>
      </c>
      <c r="E11" s="669">
        <v>0.79800000000000004</v>
      </c>
      <c r="F11" s="669">
        <v>0</v>
      </c>
      <c r="G11" s="669">
        <v>0</v>
      </c>
      <c r="H11" s="669">
        <v>0</v>
      </c>
      <c r="I11" s="669">
        <f t="shared" si="3"/>
        <v>7.702</v>
      </c>
      <c r="J11" s="667"/>
    </row>
    <row r="12" spans="1:14" ht="24.95" customHeight="1">
      <c r="A12" s="753"/>
      <c r="B12" s="527" t="s">
        <v>1153</v>
      </c>
      <c r="C12" s="668">
        <v>7.52</v>
      </c>
      <c r="D12" s="669">
        <f t="shared" si="2"/>
        <v>6.2479999999999993</v>
      </c>
      <c r="E12" s="669">
        <v>5.5439999999999996</v>
      </c>
      <c r="F12" s="669">
        <v>0.70399999999999996</v>
      </c>
      <c r="G12" s="669">
        <v>0</v>
      </c>
      <c r="H12" s="669">
        <v>0</v>
      </c>
      <c r="I12" s="669">
        <f t="shared" si="3"/>
        <v>1.2720000000000002</v>
      </c>
      <c r="J12" s="667"/>
    </row>
    <row r="13" spans="1:14" s="11" customFormat="1" ht="24.95" customHeight="1">
      <c r="A13" s="753"/>
      <c r="B13" s="528" t="s">
        <v>1154</v>
      </c>
      <c r="C13" s="668">
        <v>9.09</v>
      </c>
      <c r="D13" s="669">
        <f t="shared" si="2"/>
        <v>3.9489999999999998</v>
      </c>
      <c r="E13" s="669">
        <v>2.2469999999999999</v>
      </c>
      <c r="F13" s="669">
        <v>0.217</v>
      </c>
      <c r="G13" s="669">
        <v>1.4850000000000001</v>
      </c>
      <c r="H13" s="669">
        <v>0</v>
      </c>
      <c r="I13" s="669">
        <f t="shared" si="3"/>
        <v>5.141</v>
      </c>
      <c r="J13" s="670"/>
      <c r="L13" s="662"/>
      <c r="M13" s="662"/>
      <c r="N13" s="662"/>
    </row>
    <row r="14" spans="1:14" ht="24.95" customHeight="1">
      <c r="A14" s="752" t="s">
        <v>1155</v>
      </c>
      <c r="B14" s="527" t="s">
        <v>1148</v>
      </c>
      <c r="C14" s="665">
        <f t="shared" ref="C14:I14" si="4">SUM(C15:C17)</f>
        <v>177.57999999999998</v>
      </c>
      <c r="D14" s="665">
        <f t="shared" si="4"/>
        <v>14.811</v>
      </c>
      <c r="E14" s="665">
        <f t="shared" si="4"/>
        <v>4.4829999999999997</v>
      </c>
      <c r="F14" s="665">
        <f t="shared" si="4"/>
        <v>0.46200000000000002</v>
      </c>
      <c r="G14" s="665">
        <f t="shared" si="4"/>
        <v>9.5129999999999999</v>
      </c>
      <c r="H14" s="665">
        <f t="shared" si="4"/>
        <v>0.35299999999999998</v>
      </c>
      <c r="I14" s="665">
        <f t="shared" si="4"/>
        <v>162.76900000000001</v>
      </c>
      <c r="J14" s="667"/>
      <c r="L14" s="662"/>
      <c r="M14" s="662"/>
      <c r="N14" s="662"/>
    </row>
    <row r="15" spans="1:14" ht="24.95" customHeight="1">
      <c r="A15" s="753"/>
      <c r="B15" s="527" t="s">
        <v>1156</v>
      </c>
      <c r="C15" s="668">
        <v>83.37</v>
      </c>
      <c r="D15" s="669">
        <f t="shared" si="2"/>
        <v>12.552</v>
      </c>
      <c r="E15" s="669">
        <v>3.34</v>
      </c>
      <c r="F15" s="669">
        <v>0.33400000000000002</v>
      </c>
      <c r="G15" s="669">
        <v>8.8249999999999993</v>
      </c>
      <c r="H15" s="669">
        <v>5.2999999999999999E-2</v>
      </c>
      <c r="I15" s="669">
        <f t="shared" si="3"/>
        <v>70.818000000000012</v>
      </c>
      <c r="J15" s="667"/>
      <c r="L15" s="662"/>
      <c r="M15" s="662"/>
      <c r="N15" s="662"/>
    </row>
    <row r="16" spans="1:14" ht="24.95" customHeight="1">
      <c r="A16" s="753"/>
      <c r="B16" s="527" t="s">
        <v>1157</v>
      </c>
      <c r="C16" s="668">
        <v>87.07</v>
      </c>
      <c r="D16" s="669">
        <f t="shared" si="2"/>
        <v>2.2589999999999999</v>
      </c>
      <c r="E16" s="669">
        <v>1.143</v>
      </c>
      <c r="F16" s="669">
        <v>0.128</v>
      </c>
      <c r="G16" s="669">
        <v>0.68799999999999994</v>
      </c>
      <c r="H16" s="669">
        <v>0.3</v>
      </c>
      <c r="I16" s="669">
        <f t="shared" si="3"/>
        <v>84.810999999999993</v>
      </c>
      <c r="J16" s="667"/>
    </row>
    <row r="17" spans="1:10" s="11" customFormat="1" ht="24.95" customHeight="1">
      <c r="A17" s="753"/>
      <c r="B17" s="528" t="s">
        <v>1158</v>
      </c>
      <c r="C17" s="668">
        <v>7.14</v>
      </c>
      <c r="D17" s="669">
        <f t="shared" si="2"/>
        <v>0</v>
      </c>
      <c r="E17" s="669">
        <v>0</v>
      </c>
      <c r="F17" s="669">
        <v>0</v>
      </c>
      <c r="G17" s="669">
        <v>0</v>
      </c>
      <c r="H17" s="669">
        <v>0</v>
      </c>
      <c r="I17" s="669">
        <f t="shared" si="3"/>
        <v>7.14</v>
      </c>
      <c r="J17" s="670"/>
    </row>
    <row r="18" spans="1:10" ht="24.95" customHeight="1">
      <c r="A18" s="759" t="s">
        <v>1159</v>
      </c>
      <c r="B18" s="527" t="s">
        <v>1148</v>
      </c>
      <c r="C18" s="665">
        <f t="shared" ref="C18:I18" si="5">SUM(C19:C23)</f>
        <v>263.74999999999994</v>
      </c>
      <c r="D18" s="665">
        <f t="shared" si="5"/>
        <v>13.344000000000001</v>
      </c>
      <c r="E18" s="665">
        <f t="shared" si="5"/>
        <v>0.90300000000000002</v>
      </c>
      <c r="F18" s="665">
        <f t="shared" si="5"/>
        <v>4.3999999999999997E-2</v>
      </c>
      <c r="G18" s="665">
        <f t="shared" si="5"/>
        <v>8.8999999999999996E-2</v>
      </c>
      <c r="H18" s="665">
        <f t="shared" si="5"/>
        <v>12.308</v>
      </c>
      <c r="I18" s="665">
        <f t="shared" si="5"/>
        <v>250.40599999999998</v>
      </c>
      <c r="J18" s="667"/>
    </row>
    <row r="19" spans="1:10" ht="24.95" customHeight="1">
      <c r="A19" s="760"/>
      <c r="B19" s="527" t="s">
        <v>1160</v>
      </c>
      <c r="C19" s="668">
        <v>102.35</v>
      </c>
      <c r="D19" s="669">
        <f t="shared" si="2"/>
        <v>6.4630000000000001</v>
      </c>
      <c r="E19" s="669">
        <v>0.32100000000000001</v>
      </c>
      <c r="F19" s="669">
        <v>0</v>
      </c>
      <c r="G19" s="669">
        <v>0</v>
      </c>
      <c r="H19" s="669">
        <v>6.1420000000000003</v>
      </c>
      <c r="I19" s="669">
        <f t="shared" si="3"/>
        <v>95.887</v>
      </c>
      <c r="J19" s="667"/>
    </row>
    <row r="20" spans="1:10" ht="24.95" customHeight="1">
      <c r="A20" s="760"/>
      <c r="B20" s="527" t="s">
        <v>1161</v>
      </c>
      <c r="C20" s="668">
        <v>67.989999999999995</v>
      </c>
      <c r="D20" s="669">
        <f t="shared" si="2"/>
        <v>4.1450000000000005</v>
      </c>
      <c r="E20" s="669">
        <v>0.39200000000000002</v>
      </c>
      <c r="F20" s="669">
        <v>0</v>
      </c>
      <c r="G20" s="669">
        <v>0</v>
      </c>
      <c r="H20" s="669">
        <v>3.7530000000000001</v>
      </c>
      <c r="I20" s="669">
        <f t="shared" si="3"/>
        <v>63.844999999999992</v>
      </c>
      <c r="J20" s="667"/>
    </row>
    <row r="21" spans="1:10" s="11" customFormat="1" ht="24.95" customHeight="1">
      <c r="A21" s="760"/>
      <c r="B21" s="528" t="s">
        <v>1162</v>
      </c>
      <c r="C21" s="668">
        <v>42.78</v>
      </c>
      <c r="D21" s="669">
        <f t="shared" si="2"/>
        <v>2.5009999999999999</v>
      </c>
      <c r="E21" s="669">
        <v>0.19</v>
      </c>
      <c r="F21" s="669">
        <v>4.3999999999999997E-2</v>
      </c>
      <c r="G21" s="669">
        <v>0</v>
      </c>
      <c r="H21" s="669">
        <v>2.2669999999999999</v>
      </c>
      <c r="I21" s="669">
        <f t="shared" si="3"/>
        <v>40.279000000000003</v>
      </c>
      <c r="J21" s="670"/>
    </row>
    <row r="22" spans="1:10" s="11" customFormat="1" ht="24.95" customHeight="1">
      <c r="A22" s="760"/>
      <c r="B22" s="528" t="s">
        <v>1163</v>
      </c>
      <c r="C22" s="668">
        <v>26.48</v>
      </c>
      <c r="D22" s="669">
        <f t="shared" si="2"/>
        <v>8.8999999999999996E-2</v>
      </c>
      <c r="E22" s="669">
        <v>0</v>
      </c>
      <c r="F22" s="669">
        <v>0</v>
      </c>
      <c r="G22" s="669">
        <v>8.8999999999999996E-2</v>
      </c>
      <c r="H22" s="669">
        <v>0</v>
      </c>
      <c r="I22" s="669">
        <f t="shared" si="3"/>
        <v>26.391000000000002</v>
      </c>
      <c r="J22" s="670"/>
    </row>
    <row r="23" spans="1:10" s="11" customFormat="1" ht="24.95" customHeight="1">
      <c r="A23" s="761"/>
      <c r="B23" s="528" t="s">
        <v>1164</v>
      </c>
      <c r="C23" s="668">
        <v>24.15</v>
      </c>
      <c r="D23" s="669">
        <f t="shared" si="2"/>
        <v>0.14599999999999999</v>
      </c>
      <c r="E23" s="669">
        <v>0</v>
      </c>
      <c r="F23" s="669">
        <v>0</v>
      </c>
      <c r="G23" s="669">
        <v>0</v>
      </c>
      <c r="H23" s="669">
        <v>0.14599999999999999</v>
      </c>
      <c r="I23" s="669">
        <f t="shared" si="3"/>
        <v>24.003999999999998</v>
      </c>
      <c r="J23" s="670"/>
    </row>
    <row r="24" spans="1:10" ht="24.95" customHeight="1">
      <c r="A24" s="752" t="s">
        <v>1165</v>
      </c>
      <c r="B24" s="527" t="s">
        <v>1148</v>
      </c>
      <c r="C24" s="665">
        <f t="shared" ref="C24:I24" si="6">SUM(C25:C25)</f>
        <v>126.65</v>
      </c>
      <c r="D24" s="665">
        <f t="shared" si="6"/>
        <v>1.133</v>
      </c>
      <c r="E24" s="665">
        <f t="shared" si="6"/>
        <v>0</v>
      </c>
      <c r="F24" s="665">
        <f t="shared" si="6"/>
        <v>0</v>
      </c>
      <c r="G24" s="665">
        <f t="shared" si="6"/>
        <v>0.20300000000000001</v>
      </c>
      <c r="H24" s="665">
        <f t="shared" si="6"/>
        <v>0.93</v>
      </c>
      <c r="I24" s="665">
        <f t="shared" si="6"/>
        <v>125.51700000000001</v>
      </c>
      <c r="J24" s="667"/>
    </row>
    <row r="25" spans="1:10" s="11" customFormat="1" ht="24.95" customHeight="1">
      <c r="A25" s="758"/>
      <c r="B25" s="529" t="s">
        <v>1166</v>
      </c>
      <c r="C25" s="671">
        <v>126.65</v>
      </c>
      <c r="D25" s="669">
        <f t="shared" si="2"/>
        <v>1.133</v>
      </c>
      <c r="E25" s="672">
        <v>0</v>
      </c>
      <c r="F25" s="672">
        <v>0</v>
      </c>
      <c r="G25" s="672">
        <v>0.20300000000000001</v>
      </c>
      <c r="H25" s="672">
        <v>0.93</v>
      </c>
      <c r="I25" s="669">
        <f t="shared" si="3"/>
        <v>125.51700000000001</v>
      </c>
      <c r="J25" s="673"/>
    </row>
    <row r="26" spans="1:10" s="11" customFormat="1" ht="24.95" customHeight="1"/>
    <row r="27" spans="1:10" s="11" customFormat="1" ht="24.95" customHeight="1"/>
    <row r="28" spans="1:10" s="11" customFormat="1" ht="24.95" customHeight="1"/>
    <row r="29" spans="1:10" s="11" customFormat="1" ht="24.95" customHeight="1"/>
    <row r="30" spans="1:10" s="11" customFormat="1" ht="24.95" customHeight="1"/>
    <row r="31" spans="1:10" s="11" customFormat="1" ht="24.95" customHeight="1"/>
    <row r="32" spans="1:10" s="11" customFormat="1" ht="24.95" customHeight="1"/>
    <row r="33" s="11" customFormat="1" ht="24.95" customHeight="1"/>
    <row r="34" s="11" customFormat="1" ht="24.95" customHeight="1"/>
  </sheetData>
  <mergeCells count="11">
    <mergeCell ref="J4:J5"/>
    <mergeCell ref="I4:I5"/>
    <mergeCell ref="D4:H4"/>
    <mergeCell ref="C4:C5"/>
    <mergeCell ref="A6:B6"/>
    <mergeCell ref="A7:A13"/>
    <mergeCell ref="A14:A17"/>
    <mergeCell ref="A4:A5"/>
    <mergeCell ref="B4:B5"/>
    <mergeCell ref="A24:A25"/>
    <mergeCell ref="A18:A23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75"/>
  <sheetViews>
    <sheetView showGridLines="0" view="pageBreakPreview" zoomScaleNormal="9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K9" sqref="K9"/>
    </sheetView>
  </sheetViews>
  <sheetFormatPr defaultRowHeight="20.100000000000001" customHeight="1"/>
  <cols>
    <col min="1" max="1" width="4.21875" style="11" customWidth="1"/>
    <col min="2" max="2" width="3.44140625" style="11" customWidth="1"/>
    <col min="3" max="3" width="8.33203125" style="11" customWidth="1"/>
    <col min="4" max="5" width="10.77734375" style="11" customWidth="1"/>
    <col min="6" max="6" width="8.88671875" style="11" hidden="1" customWidth="1"/>
    <col min="7" max="7" width="8" style="11" hidden="1" customWidth="1"/>
    <col min="8" max="8" width="10.77734375" style="11" customWidth="1"/>
    <col min="9" max="9" width="8.88671875" style="11" hidden="1" customWidth="1"/>
    <col min="10" max="10" width="8" style="11" hidden="1" customWidth="1"/>
    <col min="11" max="11" width="10.77734375" style="11" customWidth="1"/>
    <col min="12" max="12" width="8.88671875" style="11" hidden="1" customWidth="1"/>
    <col min="13" max="13" width="8" style="11" hidden="1" customWidth="1"/>
    <col min="14" max="14" width="10.77734375" style="11" customWidth="1"/>
    <col min="15" max="15" width="8.88671875" style="11" hidden="1" customWidth="1"/>
    <col min="16" max="16" width="8" style="11" hidden="1" customWidth="1"/>
    <col min="17" max="17" width="7.88671875" style="11" customWidth="1"/>
    <col min="18" max="16384" width="8.88671875" style="11"/>
  </cols>
  <sheetData>
    <row r="1" spans="1:17" ht="20.100000000000001" customHeight="1">
      <c r="A1" s="1" t="s">
        <v>1354</v>
      </c>
    </row>
    <row r="2" spans="1:17" ht="20.100000000000001" customHeight="1">
      <c r="A2" s="3" t="s">
        <v>1355</v>
      </c>
      <c r="F2" s="401"/>
      <c r="G2" s="401"/>
      <c r="I2" s="401"/>
      <c r="J2" s="401"/>
      <c r="L2" s="401"/>
      <c r="M2" s="401"/>
      <c r="O2" s="401"/>
      <c r="P2" s="401"/>
    </row>
    <row r="3" spans="1:17" ht="20.100000000000001" customHeight="1">
      <c r="B3" s="3"/>
      <c r="D3" s="404"/>
      <c r="E3" s="404"/>
      <c r="F3" s="405"/>
      <c r="G3" s="401"/>
      <c r="H3" s="404"/>
      <c r="I3" s="405"/>
      <c r="J3" s="401"/>
      <c r="K3" s="404"/>
      <c r="L3" s="405"/>
      <c r="M3" s="401"/>
      <c r="N3" s="404"/>
      <c r="O3" s="405"/>
      <c r="P3" s="401"/>
      <c r="Q3" s="313" t="s">
        <v>1356</v>
      </c>
    </row>
    <row r="4" spans="1:17" ht="20.100000000000001" customHeight="1">
      <c r="A4" s="781" t="s">
        <v>1357</v>
      </c>
      <c r="B4" s="782"/>
      <c r="C4" s="783"/>
      <c r="D4" s="793" t="s">
        <v>1358</v>
      </c>
      <c r="E4" s="774" t="s">
        <v>1359</v>
      </c>
      <c r="F4" s="775"/>
      <c r="G4" s="775"/>
      <c r="H4" s="774" t="s">
        <v>1360</v>
      </c>
      <c r="I4" s="775"/>
      <c r="J4" s="788"/>
      <c r="K4" s="774" t="s">
        <v>1361</v>
      </c>
      <c r="L4" s="775"/>
      <c r="M4" s="788"/>
      <c r="N4" s="774" t="s">
        <v>1362</v>
      </c>
      <c r="O4" s="775"/>
      <c r="P4" s="788"/>
      <c r="Q4" s="798" t="s">
        <v>1363</v>
      </c>
    </row>
    <row r="5" spans="1:17" ht="20.100000000000001" customHeight="1">
      <c r="A5" s="784"/>
      <c r="B5" s="785"/>
      <c r="C5" s="786"/>
      <c r="D5" s="795"/>
      <c r="E5" s="406" t="s">
        <v>1364</v>
      </c>
      <c r="F5" s="406" t="s">
        <v>1365</v>
      </c>
      <c r="G5" s="406" t="s">
        <v>1366</v>
      </c>
      <c r="H5" s="406" t="s">
        <v>1364</v>
      </c>
      <c r="I5" s="406" t="s">
        <v>1365</v>
      </c>
      <c r="J5" s="406" t="s">
        <v>1366</v>
      </c>
      <c r="K5" s="406" t="s">
        <v>1364</v>
      </c>
      <c r="L5" s="406" t="s">
        <v>1365</v>
      </c>
      <c r="M5" s="406" t="s">
        <v>1366</v>
      </c>
      <c r="N5" s="406" t="s">
        <v>1364</v>
      </c>
      <c r="O5" s="406" t="s">
        <v>1365</v>
      </c>
      <c r="P5" s="406" t="s">
        <v>1366</v>
      </c>
      <c r="Q5" s="799"/>
    </row>
    <row r="6" spans="1:17" ht="20.100000000000001" customHeight="1">
      <c r="A6" s="787" t="s">
        <v>1367</v>
      </c>
      <c r="B6" s="775"/>
      <c r="C6" s="788"/>
      <c r="D6" s="737">
        <f>SUM(D7,D26)</f>
        <v>48.381999999999991</v>
      </c>
      <c r="E6" s="737">
        <f>SUM(E7,E26)</f>
        <v>60.83</v>
      </c>
      <c r="F6" s="737"/>
      <c r="G6" s="737"/>
      <c r="H6" s="737">
        <f>SUM(H7,H26)</f>
        <v>70.099000000000004</v>
      </c>
      <c r="I6" s="737"/>
      <c r="J6" s="737"/>
      <c r="K6" s="737">
        <f>SUM(K7,K26)</f>
        <v>80.278999999999996</v>
      </c>
      <c r="L6" s="737"/>
      <c r="M6" s="737"/>
      <c r="N6" s="737">
        <f>SUM(N7,N26)</f>
        <v>80.279000000000011</v>
      </c>
      <c r="O6" s="730"/>
      <c r="P6" s="730"/>
      <c r="Q6" s="734"/>
    </row>
    <row r="7" spans="1:17" ht="20.100000000000001" customHeight="1">
      <c r="A7" s="789" t="s">
        <v>1368</v>
      </c>
      <c r="B7" s="779" t="s">
        <v>1364</v>
      </c>
      <c r="C7" s="780"/>
      <c r="D7" s="747">
        <f t="shared" ref="D7:P7" si="0">SUM(D8,D18,D22)</f>
        <v>47.688999999999993</v>
      </c>
      <c r="E7" s="747">
        <f t="shared" si="0"/>
        <v>58.275999999999996</v>
      </c>
      <c r="F7" s="747">
        <f t="shared" si="0"/>
        <v>47.688999999999993</v>
      </c>
      <c r="G7" s="747">
        <f t="shared" si="0"/>
        <v>10.587</v>
      </c>
      <c r="H7" s="747">
        <f t="shared" si="0"/>
        <v>67.186999999999998</v>
      </c>
      <c r="I7" s="747">
        <f t="shared" si="0"/>
        <v>58.275999999999996</v>
      </c>
      <c r="J7" s="747">
        <f t="shared" si="0"/>
        <v>8.9109999999999996</v>
      </c>
      <c r="K7" s="747">
        <f t="shared" si="0"/>
        <v>77.36699999999999</v>
      </c>
      <c r="L7" s="747">
        <f t="shared" si="0"/>
        <v>67.186999999999998</v>
      </c>
      <c r="M7" s="747">
        <f t="shared" si="0"/>
        <v>10.18</v>
      </c>
      <c r="N7" s="747">
        <f t="shared" si="0"/>
        <v>77.367000000000004</v>
      </c>
      <c r="O7" s="738">
        <f t="shared" si="0"/>
        <v>77.367000000000004</v>
      </c>
      <c r="P7" s="738">
        <f t="shared" si="0"/>
        <v>0</v>
      </c>
      <c r="Q7" s="739"/>
    </row>
    <row r="8" spans="1:17" ht="20.100000000000001" customHeight="1">
      <c r="A8" s="790"/>
      <c r="B8" s="776" t="s">
        <v>1369</v>
      </c>
      <c r="C8" s="732" t="s">
        <v>1370</v>
      </c>
      <c r="D8" s="740">
        <f>SUM(D9:D17)</f>
        <v>31.196999999999996</v>
      </c>
      <c r="E8" s="740">
        <f t="shared" ref="E8:E25" si="1">SUM(F8:G8)</f>
        <v>36.168999999999997</v>
      </c>
      <c r="F8" s="740">
        <f>SUM(F9:F17)</f>
        <v>31.196999999999996</v>
      </c>
      <c r="G8" s="740">
        <f>SUM(G9:G17)</f>
        <v>4.9719999999999995</v>
      </c>
      <c r="H8" s="740">
        <f t="shared" ref="H8:H25" si="2">SUM(I8:J8)</f>
        <v>40.447000000000003</v>
      </c>
      <c r="I8" s="740">
        <f>SUM(I9:I17)</f>
        <v>36.169000000000004</v>
      </c>
      <c r="J8" s="740">
        <f>SUM(J9:J17)</f>
        <v>4.2779999999999996</v>
      </c>
      <c r="K8" s="740">
        <f t="shared" ref="K8:K25" si="3">SUM(L8:M8)</f>
        <v>41.520999999999994</v>
      </c>
      <c r="L8" s="740">
        <f>SUM(L9:L17)</f>
        <v>40.446999999999996</v>
      </c>
      <c r="M8" s="740">
        <f>SUM(M9:M17)</f>
        <v>1.0739999999999998</v>
      </c>
      <c r="N8" s="740">
        <f t="shared" ref="N8:N25" si="4">SUM(O8:P8)</f>
        <v>41.521000000000001</v>
      </c>
      <c r="O8" s="740">
        <f>SUM(O9:O17)</f>
        <v>41.521000000000001</v>
      </c>
      <c r="P8" s="740">
        <f>SUM(P9:P17)</f>
        <v>0</v>
      </c>
      <c r="Q8" s="670"/>
    </row>
    <row r="9" spans="1:17" ht="20.100000000000001" customHeight="1">
      <c r="A9" s="790"/>
      <c r="B9" s="777"/>
      <c r="C9" s="732" t="s">
        <v>1371</v>
      </c>
      <c r="D9" s="740">
        <v>7.7469999999999999</v>
      </c>
      <c r="E9" s="740">
        <f t="shared" si="1"/>
        <v>7.84</v>
      </c>
      <c r="F9" s="740">
        <f>D9</f>
        <v>7.7469999999999999</v>
      </c>
      <c r="G9" s="740">
        <v>9.2999999999999999E-2</v>
      </c>
      <c r="H9" s="740">
        <f t="shared" si="2"/>
        <v>7.84</v>
      </c>
      <c r="I9" s="740">
        <f>E9</f>
        <v>7.84</v>
      </c>
      <c r="J9" s="740">
        <v>0</v>
      </c>
      <c r="K9" s="740">
        <f t="shared" si="3"/>
        <v>7.84</v>
      </c>
      <c r="L9" s="740">
        <f>H9</f>
        <v>7.84</v>
      </c>
      <c r="M9" s="740">
        <v>0</v>
      </c>
      <c r="N9" s="740">
        <f t="shared" si="4"/>
        <v>7.84</v>
      </c>
      <c r="O9" s="740">
        <f>K9</f>
        <v>7.84</v>
      </c>
      <c r="P9" s="740">
        <v>0</v>
      </c>
      <c r="Q9" s="670"/>
    </row>
    <row r="10" spans="1:17" ht="20.100000000000001" customHeight="1">
      <c r="A10" s="790"/>
      <c r="B10" s="777"/>
      <c r="C10" s="732" t="s">
        <v>1372</v>
      </c>
      <c r="D10" s="740">
        <v>4.8860000000000001</v>
      </c>
      <c r="E10" s="740">
        <f t="shared" si="1"/>
        <v>5.1690000000000005</v>
      </c>
      <c r="F10" s="740">
        <f t="shared" ref="F10:F25" si="5">D10</f>
        <v>4.8860000000000001</v>
      </c>
      <c r="G10" s="740">
        <v>0.28299999999999997</v>
      </c>
      <c r="H10" s="740">
        <f t="shared" si="2"/>
        <v>5.1690000000000005</v>
      </c>
      <c r="I10" s="740">
        <f t="shared" ref="I10:I16" si="6">E10</f>
        <v>5.1690000000000005</v>
      </c>
      <c r="J10" s="740">
        <v>0</v>
      </c>
      <c r="K10" s="740">
        <f t="shared" si="3"/>
        <v>5.1690000000000005</v>
      </c>
      <c r="L10" s="740">
        <f t="shared" ref="L10:L16" si="7">H10</f>
        <v>5.1690000000000005</v>
      </c>
      <c r="M10" s="740">
        <v>0</v>
      </c>
      <c r="N10" s="740">
        <f t="shared" si="4"/>
        <v>5.1690000000000005</v>
      </c>
      <c r="O10" s="740">
        <f t="shared" ref="O10:O16" si="8">K10</f>
        <v>5.1690000000000005</v>
      </c>
      <c r="P10" s="740">
        <v>0</v>
      </c>
      <c r="Q10" s="670"/>
    </row>
    <row r="11" spans="1:17" ht="20.100000000000001" customHeight="1">
      <c r="A11" s="790"/>
      <c r="B11" s="777"/>
      <c r="C11" s="732" t="s">
        <v>1373</v>
      </c>
      <c r="D11" s="740">
        <v>3.3660000000000001</v>
      </c>
      <c r="E11" s="740">
        <f t="shared" si="1"/>
        <v>3.456</v>
      </c>
      <c r="F11" s="740">
        <f t="shared" si="5"/>
        <v>3.3660000000000001</v>
      </c>
      <c r="G11" s="740">
        <v>0.09</v>
      </c>
      <c r="H11" s="740">
        <f t="shared" si="2"/>
        <v>3.456</v>
      </c>
      <c r="I11" s="740">
        <f t="shared" si="6"/>
        <v>3.456</v>
      </c>
      <c r="J11" s="740">
        <v>0</v>
      </c>
      <c r="K11" s="740">
        <f t="shared" si="3"/>
        <v>3.456</v>
      </c>
      <c r="L11" s="740">
        <f t="shared" si="7"/>
        <v>3.456</v>
      </c>
      <c r="M11" s="740">
        <v>0</v>
      </c>
      <c r="N11" s="740">
        <f t="shared" si="4"/>
        <v>3.456</v>
      </c>
      <c r="O11" s="740">
        <f t="shared" si="8"/>
        <v>3.456</v>
      </c>
      <c r="P11" s="740">
        <v>0</v>
      </c>
      <c r="Q11" s="670"/>
    </row>
    <row r="12" spans="1:17" ht="20.100000000000001" customHeight="1">
      <c r="A12" s="790"/>
      <c r="B12" s="777"/>
      <c r="C12" s="732" t="s">
        <v>1374</v>
      </c>
      <c r="D12" s="740">
        <v>3.306</v>
      </c>
      <c r="E12" s="740">
        <f t="shared" si="1"/>
        <v>3.3580000000000001</v>
      </c>
      <c r="F12" s="740">
        <f t="shared" si="5"/>
        <v>3.306</v>
      </c>
      <c r="G12" s="740">
        <v>5.1999999999999998E-2</v>
      </c>
      <c r="H12" s="740">
        <f t="shared" si="2"/>
        <v>4.0789999999999997</v>
      </c>
      <c r="I12" s="740">
        <f t="shared" si="6"/>
        <v>3.3580000000000001</v>
      </c>
      <c r="J12" s="740">
        <v>0.72099999999999997</v>
      </c>
      <c r="K12" s="740">
        <f t="shared" si="3"/>
        <v>4.0789999999999997</v>
      </c>
      <c r="L12" s="740">
        <f t="shared" si="7"/>
        <v>4.0789999999999997</v>
      </c>
      <c r="M12" s="740">
        <v>0</v>
      </c>
      <c r="N12" s="740">
        <f t="shared" si="4"/>
        <v>4.0789999999999997</v>
      </c>
      <c r="O12" s="740">
        <f t="shared" si="8"/>
        <v>4.0789999999999997</v>
      </c>
      <c r="P12" s="740">
        <v>0</v>
      </c>
      <c r="Q12" s="670"/>
    </row>
    <row r="13" spans="1:17" ht="20.100000000000001" customHeight="1">
      <c r="A13" s="790"/>
      <c r="B13" s="777"/>
      <c r="C13" s="732" t="s">
        <v>1375</v>
      </c>
      <c r="D13" s="740">
        <v>7.0810000000000004</v>
      </c>
      <c r="E13" s="740">
        <f t="shared" si="1"/>
        <v>7.0810000000000004</v>
      </c>
      <c r="F13" s="740">
        <f t="shared" si="5"/>
        <v>7.0810000000000004</v>
      </c>
      <c r="G13" s="740">
        <v>0</v>
      </c>
      <c r="H13" s="740">
        <f t="shared" si="2"/>
        <v>7.0810000000000004</v>
      </c>
      <c r="I13" s="740">
        <f t="shared" si="6"/>
        <v>7.0810000000000004</v>
      </c>
      <c r="J13" s="740">
        <v>0</v>
      </c>
      <c r="K13" s="740">
        <f t="shared" si="3"/>
        <v>7.0810000000000004</v>
      </c>
      <c r="L13" s="740">
        <f t="shared" si="7"/>
        <v>7.0810000000000004</v>
      </c>
      <c r="M13" s="740">
        <v>0</v>
      </c>
      <c r="N13" s="740">
        <f t="shared" si="4"/>
        <v>7.0810000000000004</v>
      </c>
      <c r="O13" s="740">
        <f t="shared" si="8"/>
        <v>7.0810000000000004</v>
      </c>
      <c r="P13" s="740">
        <v>0</v>
      </c>
      <c r="Q13" s="670"/>
    </row>
    <row r="14" spans="1:17" ht="20.100000000000001" customHeight="1">
      <c r="A14" s="790"/>
      <c r="B14" s="777"/>
      <c r="C14" s="732" t="s">
        <v>1376</v>
      </c>
      <c r="D14" s="740">
        <v>2.1709999999999998</v>
      </c>
      <c r="E14" s="740">
        <f t="shared" si="1"/>
        <v>3.82</v>
      </c>
      <c r="F14" s="740">
        <f t="shared" si="5"/>
        <v>2.1709999999999998</v>
      </c>
      <c r="G14" s="740">
        <v>1.649</v>
      </c>
      <c r="H14" s="740">
        <f t="shared" si="2"/>
        <v>6.1129999999999995</v>
      </c>
      <c r="I14" s="740">
        <f t="shared" si="6"/>
        <v>3.82</v>
      </c>
      <c r="J14" s="740">
        <v>2.2930000000000001</v>
      </c>
      <c r="K14" s="740">
        <f t="shared" si="3"/>
        <v>6.68</v>
      </c>
      <c r="L14" s="740">
        <f t="shared" si="7"/>
        <v>6.1129999999999995</v>
      </c>
      <c r="M14" s="740">
        <v>0.56699999999999995</v>
      </c>
      <c r="N14" s="740">
        <f t="shared" si="4"/>
        <v>6.68</v>
      </c>
      <c r="O14" s="740">
        <f t="shared" si="8"/>
        <v>6.68</v>
      </c>
      <c r="P14" s="740">
        <v>0</v>
      </c>
      <c r="Q14" s="670"/>
    </row>
    <row r="15" spans="1:17" ht="20.100000000000001" customHeight="1">
      <c r="A15" s="790"/>
      <c r="B15" s="777"/>
      <c r="C15" s="732" t="s">
        <v>1377</v>
      </c>
      <c r="D15" s="740">
        <v>0.61</v>
      </c>
      <c r="E15" s="740">
        <f t="shared" si="1"/>
        <v>3.415</v>
      </c>
      <c r="F15" s="740">
        <f t="shared" si="5"/>
        <v>0.61</v>
      </c>
      <c r="G15" s="740">
        <v>2.8050000000000002</v>
      </c>
      <c r="H15" s="740">
        <f t="shared" si="2"/>
        <v>4.1260000000000003</v>
      </c>
      <c r="I15" s="740">
        <f t="shared" si="6"/>
        <v>3.415</v>
      </c>
      <c r="J15" s="740">
        <v>0.71099999999999997</v>
      </c>
      <c r="K15" s="740">
        <f t="shared" si="3"/>
        <v>4.633</v>
      </c>
      <c r="L15" s="740">
        <f t="shared" si="7"/>
        <v>4.1260000000000003</v>
      </c>
      <c r="M15" s="740">
        <v>0.50700000000000001</v>
      </c>
      <c r="N15" s="740">
        <f t="shared" si="4"/>
        <v>4.633</v>
      </c>
      <c r="O15" s="740">
        <f t="shared" si="8"/>
        <v>4.633</v>
      </c>
      <c r="P15" s="740">
        <v>0</v>
      </c>
      <c r="Q15" s="670"/>
    </row>
    <row r="16" spans="1:17" ht="20.100000000000001" customHeight="1">
      <c r="A16" s="790"/>
      <c r="B16" s="777"/>
      <c r="C16" s="732" t="s">
        <v>1378</v>
      </c>
      <c r="D16" s="740">
        <v>1.4730000000000001</v>
      </c>
      <c r="E16" s="740">
        <f t="shared" si="1"/>
        <v>1.4730000000000001</v>
      </c>
      <c r="F16" s="740">
        <f t="shared" si="5"/>
        <v>1.4730000000000001</v>
      </c>
      <c r="G16" s="740">
        <v>0</v>
      </c>
      <c r="H16" s="740">
        <f t="shared" si="2"/>
        <v>1.7950000000000002</v>
      </c>
      <c r="I16" s="740">
        <f t="shared" si="6"/>
        <v>1.4730000000000001</v>
      </c>
      <c r="J16" s="740">
        <v>0.32200000000000001</v>
      </c>
      <c r="K16" s="740">
        <f t="shared" si="3"/>
        <v>1.7950000000000002</v>
      </c>
      <c r="L16" s="740">
        <f t="shared" si="7"/>
        <v>1.7950000000000002</v>
      </c>
      <c r="M16" s="740">
        <v>0</v>
      </c>
      <c r="N16" s="740">
        <f t="shared" si="4"/>
        <v>1.7950000000000002</v>
      </c>
      <c r="O16" s="740">
        <f t="shared" si="8"/>
        <v>1.7950000000000002</v>
      </c>
      <c r="P16" s="740">
        <v>0</v>
      </c>
      <c r="Q16" s="670"/>
    </row>
    <row r="17" spans="1:17" ht="20.100000000000001" customHeight="1">
      <c r="A17" s="790"/>
      <c r="B17" s="778"/>
      <c r="C17" s="732" t="s">
        <v>1379</v>
      </c>
      <c r="D17" s="740">
        <v>0.55700000000000005</v>
      </c>
      <c r="E17" s="740">
        <f>SUM(F17:G17)</f>
        <v>0.55700000000000005</v>
      </c>
      <c r="F17" s="740">
        <f>D17</f>
        <v>0.55700000000000005</v>
      </c>
      <c r="G17" s="740">
        <v>0</v>
      </c>
      <c r="H17" s="740">
        <f>SUM(I17:J17)</f>
        <v>0.78800000000000003</v>
      </c>
      <c r="I17" s="740">
        <f>E17</f>
        <v>0.55700000000000005</v>
      </c>
      <c r="J17" s="740">
        <v>0.23100000000000001</v>
      </c>
      <c r="K17" s="740">
        <f>SUM(L17:M17)</f>
        <v>0.78800000000000003</v>
      </c>
      <c r="L17" s="740">
        <f>H17</f>
        <v>0.78800000000000003</v>
      </c>
      <c r="M17" s="740">
        <v>0</v>
      </c>
      <c r="N17" s="740">
        <f>SUM(O17:P17)</f>
        <v>0.78800000000000003</v>
      </c>
      <c r="O17" s="740">
        <f>K17</f>
        <v>0.78800000000000003</v>
      </c>
      <c r="P17" s="740">
        <v>0</v>
      </c>
      <c r="Q17" s="670"/>
    </row>
    <row r="18" spans="1:17" ht="20.100000000000001" customHeight="1">
      <c r="A18" s="790"/>
      <c r="B18" s="771" t="s">
        <v>1380</v>
      </c>
      <c r="C18" s="732" t="s">
        <v>1370</v>
      </c>
      <c r="D18" s="740">
        <f>SUM(D19:D21)</f>
        <v>12.574999999999999</v>
      </c>
      <c r="E18" s="740">
        <f t="shared" si="1"/>
        <v>14.821999999999999</v>
      </c>
      <c r="F18" s="740">
        <f>SUM(F19:F21)</f>
        <v>12.574999999999999</v>
      </c>
      <c r="G18" s="740">
        <f>SUM(G19:G21)</f>
        <v>2.2469999999999999</v>
      </c>
      <c r="H18" s="740">
        <f t="shared" si="2"/>
        <v>17.866999999999997</v>
      </c>
      <c r="I18" s="740">
        <f>SUM(I19:I21)</f>
        <v>14.821999999999999</v>
      </c>
      <c r="J18" s="740">
        <f>SUM(J19:J21)</f>
        <v>3.0449999999999999</v>
      </c>
      <c r="K18" s="740">
        <f t="shared" si="3"/>
        <v>25.624999999999996</v>
      </c>
      <c r="L18" s="740">
        <f>SUM(L19:L21)</f>
        <v>17.866999999999997</v>
      </c>
      <c r="M18" s="740">
        <f>SUM(M19:M21)</f>
        <v>7.7579999999999991</v>
      </c>
      <c r="N18" s="740">
        <f t="shared" si="4"/>
        <v>25.625</v>
      </c>
      <c r="O18" s="740">
        <f>SUM(O19:O21)</f>
        <v>25.625</v>
      </c>
      <c r="P18" s="740">
        <f>SUM(P19:P21)</f>
        <v>0</v>
      </c>
      <c r="Q18" s="670"/>
    </row>
    <row r="19" spans="1:17" ht="20.100000000000001" customHeight="1">
      <c r="A19" s="790"/>
      <c r="B19" s="772"/>
      <c r="C19" s="732" t="s">
        <v>1381</v>
      </c>
      <c r="D19" s="740">
        <v>7.5640000000000001</v>
      </c>
      <c r="E19" s="740">
        <f t="shared" si="1"/>
        <v>7.9889999999999999</v>
      </c>
      <c r="F19" s="740">
        <f t="shared" si="5"/>
        <v>7.5640000000000001</v>
      </c>
      <c r="G19" s="740">
        <v>0.42499999999999999</v>
      </c>
      <c r="H19" s="740">
        <f t="shared" si="2"/>
        <v>9.8640000000000008</v>
      </c>
      <c r="I19" s="740">
        <f>E19</f>
        <v>7.9889999999999999</v>
      </c>
      <c r="J19" s="740">
        <v>1.875</v>
      </c>
      <c r="K19" s="740">
        <f t="shared" si="3"/>
        <v>11.818000000000001</v>
      </c>
      <c r="L19" s="740">
        <f>H19</f>
        <v>9.8640000000000008</v>
      </c>
      <c r="M19" s="740">
        <v>1.954</v>
      </c>
      <c r="N19" s="740">
        <f t="shared" si="4"/>
        <v>11.818000000000001</v>
      </c>
      <c r="O19" s="740">
        <f>K19</f>
        <v>11.818000000000001</v>
      </c>
      <c r="P19" s="740">
        <v>0</v>
      </c>
      <c r="Q19" s="670"/>
    </row>
    <row r="20" spans="1:17" ht="20.100000000000001" customHeight="1">
      <c r="A20" s="790"/>
      <c r="B20" s="772"/>
      <c r="C20" s="732" t="s">
        <v>1382</v>
      </c>
      <c r="D20" s="740">
        <v>5.0110000000000001</v>
      </c>
      <c r="E20" s="740">
        <f t="shared" si="1"/>
        <v>5.5369999999999999</v>
      </c>
      <c r="F20" s="740">
        <f t="shared" si="5"/>
        <v>5.0110000000000001</v>
      </c>
      <c r="G20" s="740">
        <v>0.52600000000000002</v>
      </c>
      <c r="H20" s="740">
        <f t="shared" si="2"/>
        <v>6.3469999999999995</v>
      </c>
      <c r="I20" s="740">
        <f>E20</f>
        <v>5.5369999999999999</v>
      </c>
      <c r="J20" s="740">
        <v>0.81</v>
      </c>
      <c r="K20" s="740">
        <f t="shared" si="3"/>
        <v>8.9959999999999987</v>
      </c>
      <c r="L20" s="740">
        <f>H20</f>
        <v>6.3469999999999995</v>
      </c>
      <c r="M20" s="740">
        <v>2.649</v>
      </c>
      <c r="N20" s="740">
        <f t="shared" si="4"/>
        <v>8.9959999999999987</v>
      </c>
      <c r="O20" s="740">
        <f>K20</f>
        <v>8.9959999999999987</v>
      </c>
      <c r="P20" s="740">
        <v>0</v>
      </c>
      <c r="Q20" s="670"/>
    </row>
    <row r="21" spans="1:17" ht="20.100000000000001" customHeight="1">
      <c r="A21" s="790"/>
      <c r="B21" s="772"/>
      <c r="C21" s="732" t="s">
        <v>1383</v>
      </c>
      <c r="D21" s="740">
        <v>0</v>
      </c>
      <c r="E21" s="740">
        <f t="shared" si="1"/>
        <v>1.296</v>
      </c>
      <c r="F21" s="740">
        <f t="shared" si="5"/>
        <v>0</v>
      </c>
      <c r="G21" s="740">
        <v>1.296</v>
      </c>
      <c r="H21" s="740">
        <f t="shared" si="2"/>
        <v>1.6560000000000001</v>
      </c>
      <c r="I21" s="740">
        <f>E21</f>
        <v>1.296</v>
      </c>
      <c r="J21" s="740">
        <v>0.36</v>
      </c>
      <c r="K21" s="740">
        <f t="shared" si="3"/>
        <v>4.8109999999999999</v>
      </c>
      <c r="L21" s="740">
        <f>H21</f>
        <v>1.6560000000000001</v>
      </c>
      <c r="M21" s="740">
        <v>3.1549999999999998</v>
      </c>
      <c r="N21" s="740">
        <f t="shared" si="4"/>
        <v>4.8109999999999999</v>
      </c>
      <c r="O21" s="740">
        <f>K21</f>
        <v>4.8109999999999999</v>
      </c>
      <c r="P21" s="740">
        <v>0</v>
      </c>
      <c r="Q21" s="670"/>
    </row>
    <row r="22" spans="1:17" ht="20.100000000000001" customHeight="1">
      <c r="A22" s="790"/>
      <c r="B22" s="771" t="s">
        <v>1384</v>
      </c>
      <c r="C22" s="732" t="s">
        <v>1370</v>
      </c>
      <c r="D22" s="740">
        <f>SUM(D23:D25)</f>
        <v>3.9169999999999998</v>
      </c>
      <c r="E22" s="740">
        <f t="shared" si="1"/>
        <v>7.2850000000000001</v>
      </c>
      <c r="F22" s="740">
        <f>SUM(F23:F25)</f>
        <v>3.9169999999999998</v>
      </c>
      <c r="G22" s="740">
        <f>SUM(G23:G25)</f>
        <v>3.3679999999999999</v>
      </c>
      <c r="H22" s="740">
        <f t="shared" si="2"/>
        <v>8.8730000000000011</v>
      </c>
      <c r="I22" s="740">
        <f>SUM(I23:I25)</f>
        <v>7.2850000000000001</v>
      </c>
      <c r="J22" s="740">
        <f>SUM(J23:J25)</f>
        <v>1.5880000000000001</v>
      </c>
      <c r="K22" s="740">
        <f t="shared" si="3"/>
        <v>10.221</v>
      </c>
      <c r="L22" s="740">
        <f>SUM(L23:L25)</f>
        <v>8.8729999999999993</v>
      </c>
      <c r="M22" s="740">
        <f>SUM(M23:M25)</f>
        <v>1.3479999999999999</v>
      </c>
      <c r="N22" s="740">
        <f t="shared" si="4"/>
        <v>10.221</v>
      </c>
      <c r="O22" s="740">
        <f>SUM(O23:O25)</f>
        <v>10.221</v>
      </c>
      <c r="P22" s="740">
        <f>SUM(P23:P25)</f>
        <v>0</v>
      </c>
      <c r="Q22" s="670"/>
    </row>
    <row r="23" spans="1:17" ht="20.100000000000001" customHeight="1">
      <c r="A23" s="790"/>
      <c r="B23" s="772"/>
      <c r="C23" s="732" t="s">
        <v>1385</v>
      </c>
      <c r="D23" s="740">
        <v>2.1179999999999999</v>
      </c>
      <c r="E23" s="740">
        <f t="shared" si="1"/>
        <v>2.528</v>
      </c>
      <c r="F23" s="740">
        <f t="shared" si="5"/>
        <v>2.1179999999999999</v>
      </c>
      <c r="G23" s="740">
        <v>0.41</v>
      </c>
      <c r="H23" s="740">
        <f t="shared" si="2"/>
        <v>2.8159999999999998</v>
      </c>
      <c r="I23" s="740">
        <f>E23</f>
        <v>2.528</v>
      </c>
      <c r="J23" s="740">
        <v>0.28799999999999998</v>
      </c>
      <c r="K23" s="740">
        <f t="shared" si="3"/>
        <v>4.0670000000000002</v>
      </c>
      <c r="L23" s="740">
        <f>H23</f>
        <v>2.8159999999999998</v>
      </c>
      <c r="M23" s="740">
        <v>1.2509999999999999</v>
      </c>
      <c r="N23" s="740">
        <f t="shared" si="4"/>
        <v>4.0670000000000002</v>
      </c>
      <c r="O23" s="740">
        <f>K23</f>
        <v>4.0670000000000002</v>
      </c>
      <c r="P23" s="740">
        <v>0</v>
      </c>
      <c r="Q23" s="670"/>
    </row>
    <row r="24" spans="1:17" ht="20.100000000000001" customHeight="1">
      <c r="A24" s="790"/>
      <c r="B24" s="772"/>
      <c r="C24" s="732" t="s">
        <v>1386</v>
      </c>
      <c r="D24" s="740">
        <v>0.86799999999999999</v>
      </c>
      <c r="E24" s="740">
        <f t="shared" si="1"/>
        <v>3.4939999999999998</v>
      </c>
      <c r="F24" s="740">
        <f t="shared" si="5"/>
        <v>0.86799999999999999</v>
      </c>
      <c r="G24" s="740">
        <v>2.6259999999999999</v>
      </c>
      <c r="H24" s="740">
        <f t="shared" si="2"/>
        <v>4.7939999999999996</v>
      </c>
      <c r="I24" s="740">
        <f>E24</f>
        <v>3.4939999999999998</v>
      </c>
      <c r="J24" s="740">
        <v>1.3</v>
      </c>
      <c r="K24" s="740">
        <f t="shared" si="3"/>
        <v>4.7939999999999996</v>
      </c>
      <c r="L24" s="740">
        <f>H24</f>
        <v>4.7939999999999996</v>
      </c>
      <c r="M24" s="740">
        <v>0</v>
      </c>
      <c r="N24" s="740">
        <f t="shared" si="4"/>
        <v>4.7939999999999996</v>
      </c>
      <c r="O24" s="740">
        <f>K24</f>
        <v>4.7939999999999996</v>
      </c>
      <c r="P24" s="740">
        <v>0</v>
      </c>
      <c r="Q24" s="670"/>
    </row>
    <row r="25" spans="1:17" ht="20.100000000000001" customHeight="1">
      <c r="A25" s="791"/>
      <c r="B25" s="773"/>
      <c r="C25" s="736" t="s">
        <v>1387</v>
      </c>
      <c r="D25" s="746">
        <v>0.93100000000000005</v>
      </c>
      <c r="E25" s="746">
        <f t="shared" si="1"/>
        <v>1.2630000000000001</v>
      </c>
      <c r="F25" s="746">
        <f t="shared" si="5"/>
        <v>0.93100000000000005</v>
      </c>
      <c r="G25" s="746">
        <v>0.33200000000000002</v>
      </c>
      <c r="H25" s="746">
        <f t="shared" si="2"/>
        <v>1.2630000000000001</v>
      </c>
      <c r="I25" s="746">
        <f>E25</f>
        <v>1.2630000000000001</v>
      </c>
      <c r="J25" s="746">
        <v>0</v>
      </c>
      <c r="K25" s="746">
        <f t="shared" si="3"/>
        <v>1.36</v>
      </c>
      <c r="L25" s="746">
        <f>H25</f>
        <v>1.2630000000000001</v>
      </c>
      <c r="M25" s="746">
        <v>9.7000000000000003E-2</v>
      </c>
      <c r="N25" s="746">
        <f t="shared" si="4"/>
        <v>1.36</v>
      </c>
      <c r="O25" s="741">
        <f>K25</f>
        <v>1.36</v>
      </c>
      <c r="P25" s="741">
        <v>0</v>
      </c>
      <c r="Q25" s="742"/>
    </row>
    <row r="26" spans="1:17" ht="20.100000000000001" customHeight="1">
      <c r="A26" s="800" t="s">
        <v>1388</v>
      </c>
      <c r="B26" s="801"/>
      <c r="C26" s="802"/>
      <c r="D26" s="743">
        <f>D42</f>
        <v>0.69300000000000006</v>
      </c>
      <c r="E26" s="743">
        <f>E42</f>
        <v>2.5540000000000003</v>
      </c>
      <c r="F26" s="743"/>
      <c r="G26" s="743"/>
      <c r="H26" s="743">
        <f>H42</f>
        <v>2.9120000000000004</v>
      </c>
      <c r="I26" s="743"/>
      <c r="J26" s="743"/>
      <c r="K26" s="743">
        <f>K42</f>
        <v>2.9120000000000004</v>
      </c>
      <c r="L26" s="743"/>
      <c r="M26" s="743"/>
      <c r="N26" s="743">
        <f>N42</f>
        <v>2.9120000000000004</v>
      </c>
      <c r="O26" s="743"/>
      <c r="P26" s="743"/>
      <c r="Q26" s="673"/>
    </row>
    <row r="27" spans="1:17" ht="20.100000000000001" customHeight="1">
      <c r="B27" s="256"/>
      <c r="C27" s="256"/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4"/>
      <c r="O27" s="674"/>
      <c r="P27" s="674"/>
      <c r="Q27" s="675"/>
    </row>
    <row r="28" spans="1:17" ht="20.100000000000001" customHeight="1">
      <c r="B28" s="256"/>
      <c r="C28" s="256"/>
      <c r="D28" s="674"/>
      <c r="E28" s="674"/>
      <c r="F28" s="674"/>
      <c r="G28" s="674"/>
      <c r="H28" s="674"/>
      <c r="I28" s="674"/>
      <c r="J28" s="674"/>
      <c r="K28" s="674"/>
      <c r="L28" s="674"/>
      <c r="M28" s="674"/>
      <c r="N28" s="674"/>
      <c r="O28" s="674"/>
      <c r="P28" s="674"/>
      <c r="Q28" s="675"/>
    </row>
    <row r="29" spans="1:17" ht="20.100000000000001" customHeight="1">
      <c r="B29" s="256"/>
      <c r="C29" s="256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5"/>
    </row>
    <row r="30" spans="1:17" ht="20.100000000000001" customHeight="1">
      <c r="B30" s="256"/>
      <c r="C30" s="256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5"/>
    </row>
    <row r="31" spans="1:17" ht="20.100000000000001" customHeight="1">
      <c r="B31" s="256"/>
      <c r="C31" s="256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5"/>
    </row>
    <row r="32" spans="1:17" ht="20.100000000000001" customHeight="1">
      <c r="B32" s="256"/>
      <c r="C32" s="256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5"/>
    </row>
    <row r="33" spans="2:17" ht="20.100000000000001" customHeight="1">
      <c r="B33" s="256"/>
      <c r="C33" s="256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5"/>
    </row>
    <row r="34" spans="2:17" ht="20.100000000000001" customHeight="1">
      <c r="B34" s="256"/>
      <c r="C34" s="256"/>
      <c r="D34" s="674"/>
      <c r="E34" s="674"/>
      <c r="F34" s="674"/>
      <c r="G34" s="674"/>
      <c r="H34" s="674"/>
      <c r="I34" s="674"/>
      <c r="J34" s="674"/>
      <c r="K34" s="674"/>
      <c r="L34" s="674"/>
      <c r="M34" s="674"/>
      <c r="N34" s="674"/>
      <c r="O34" s="674"/>
      <c r="P34" s="674"/>
      <c r="Q34" s="675"/>
    </row>
    <row r="35" spans="2:17" ht="20.100000000000001" customHeight="1">
      <c r="B35" s="256"/>
      <c r="C35" s="256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5"/>
    </row>
    <row r="36" spans="2:17" ht="20.100000000000001" customHeight="1">
      <c r="B36" s="256"/>
      <c r="C36" s="256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5"/>
    </row>
    <row r="37" spans="2:17" ht="20.100000000000001" customHeight="1">
      <c r="B37" s="256"/>
      <c r="C37" s="256"/>
      <c r="D37" s="674"/>
      <c r="E37" s="674"/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5"/>
    </row>
    <row r="38" spans="2:17" ht="18.95" customHeight="1">
      <c r="B38" s="3" t="s">
        <v>1389</v>
      </c>
      <c r="F38" s="401"/>
      <c r="G38" s="401"/>
      <c r="I38" s="401"/>
      <c r="J38" s="401"/>
      <c r="L38" s="401"/>
      <c r="M38" s="401"/>
      <c r="O38" s="401"/>
      <c r="P38" s="401"/>
    </row>
    <row r="39" spans="2:17" ht="18.95" customHeight="1">
      <c r="B39" s="3"/>
      <c r="D39" s="404"/>
      <c r="E39" s="404"/>
      <c r="F39" s="405"/>
      <c r="G39" s="401"/>
      <c r="H39" s="404"/>
      <c r="I39" s="405"/>
      <c r="J39" s="401"/>
      <c r="K39" s="404"/>
      <c r="L39" s="405"/>
      <c r="M39" s="401"/>
      <c r="N39" s="404"/>
      <c r="O39" s="405"/>
      <c r="P39" s="401"/>
      <c r="Q39" s="313" t="s">
        <v>1356</v>
      </c>
    </row>
    <row r="40" spans="2:17" ht="18.95" customHeight="1">
      <c r="B40" s="792" t="s">
        <v>1357</v>
      </c>
      <c r="C40" s="793"/>
      <c r="D40" s="793" t="s">
        <v>1358</v>
      </c>
      <c r="E40" s="774" t="s">
        <v>1359</v>
      </c>
      <c r="F40" s="775"/>
      <c r="G40" s="775"/>
      <c r="H40" s="774" t="s">
        <v>1360</v>
      </c>
      <c r="I40" s="775"/>
      <c r="J40" s="788"/>
      <c r="K40" s="774" t="s">
        <v>1361</v>
      </c>
      <c r="L40" s="775"/>
      <c r="M40" s="788"/>
      <c r="N40" s="774" t="s">
        <v>1362</v>
      </c>
      <c r="O40" s="775"/>
      <c r="P40" s="788"/>
      <c r="Q40" s="798" t="s">
        <v>1363</v>
      </c>
    </row>
    <row r="41" spans="2:17" ht="18.95" customHeight="1">
      <c r="B41" s="794"/>
      <c r="C41" s="795"/>
      <c r="D41" s="795"/>
      <c r="E41" s="731" t="s">
        <v>1364</v>
      </c>
      <c r="F41" s="731"/>
      <c r="G41" s="731"/>
      <c r="H41" s="731" t="s">
        <v>1364</v>
      </c>
      <c r="I41" s="731"/>
      <c r="J41" s="731"/>
      <c r="K41" s="731" t="s">
        <v>1364</v>
      </c>
      <c r="L41" s="731"/>
      <c r="M41" s="731"/>
      <c r="N41" s="731" t="s">
        <v>1364</v>
      </c>
      <c r="O41" s="731"/>
      <c r="P41" s="731"/>
      <c r="Q41" s="799"/>
    </row>
    <row r="42" spans="2:17" ht="18.95" customHeight="1">
      <c r="B42" s="792" t="s">
        <v>1367</v>
      </c>
      <c r="C42" s="793"/>
      <c r="D42" s="751">
        <f>D43+D46+D64</f>
        <v>0.69300000000000006</v>
      </c>
      <c r="E42" s="751">
        <f>E43+E46+E64</f>
        <v>2.5540000000000003</v>
      </c>
      <c r="F42" s="751"/>
      <c r="G42" s="751"/>
      <c r="H42" s="751">
        <f>H43+H46+H64</f>
        <v>2.9120000000000004</v>
      </c>
      <c r="I42" s="751"/>
      <c r="J42" s="751"/>
      <c r="K42" s="751">
        <f>K43+K46+K64</f>
        <v>2.9120000000000004</v>
      </c>
      <c r="L42" s="751"/>
      <c r="M42" s="751"/>
      <c r="N42" s="751">
        <f>N43+N46+N64</f>
        <v>2.9120000000000004</v>
      </c>
      <c r="O42" s="744"/>
      <c r="P42" s="744"/>
      <c r="Q42" s="745"/>
    </row>
    <row r="43" spans="2:17" ht="18.95" customHeight="1">
      <c r="B43" s="796" t="s">
        <v>1380</v>
      </c>
      <c r="C43" s="732" t="s">
        <v>1370</v>
      </c>
      <c r="D43" s="748">
        <f>SUM(D44:D45)</f>
        <v>9.8000000000000004E-2</v>
      </c>
      <c r="E43" s="748">
        <f>SUM(E44:E45)</f>
        <v>9.8000000000000004E-2</v>
      </c>
      <c r="F43" s="748"/>
      <c r="G43" s="748"/>
      <c r="H43" s="748">
        <f>SUM(H44:H45)</f>
        <v>0.183</v>
      </c>
      <c r="I43" s="748"/>
      <c r="J43" s="748"/>
      <c r="K43" s="748">
        <f>SUM(K44:K45)</f>
        <v>0.183</v>
      </c>
      <c r="L43" s="748"/>
      <c r="M43" s="748"/>
      <c r="N43" s="748">
        <f>SUM(N44:N45)</f>
        <v>0.183</v>
      </c>
      <c r="O43" s="740"/>
      <c r="P43" s="740"/>
      <c r="Q43" s="670"/>
    </row>
    <row r="44" spans="2:17" ht="18.95" customHeight="1">
      <c r="B44" s="789"/>
      <c r="C44" s="732" t="s">
        <v>1390</v>
      </c>
      <c r="D44" s="748">
        <v>9.8000000000000004E-2</v>
      </c>
      <c r="E44" s="748">
        <f>D44</f>
        <v>9.8000000000000004E-2</v>
      </c>
      <c r="F44" s="748"/>
      <c r="G44" s="748"/>
      <c r="H44" s="748">
        <f>E44</f>
        <v>9.8000000000000004E-2</v>
      </c>
      <c r="I44" s="748"/>
      <c r="J44" s="748"/>
      <c r="K44" s="748">
        <f>H44</f>
        <v>9.8000000000000004E-2</v>
      </c>
      <c r="L44" s="748"/>
      <c r="M44" s="748"/>
      <c r="N44" s="748">
        <f>K44</f>
        <v>9.8000000000000004E-2</v>
      </c>
      <c r="O44" s="740"/>
      <c r="P44" s="740"/>
      <c r="Q44" s="670"/>
    </row>
    <row r="45" spans="2:17" ht="18.95" customHeight="1">
      <c r="B45" s="797"/>
      <c r="C45" s="732" t="s">
        <v>1391</v>
      </c>
      <c r="D45" s="748">
        <v>0</v>
      </c>
      <c r="E45" s="748">
        <f>D45</f>
        <v>0</v>
      </c>
      <c r="F45" s="748"/>
      <c r="G45" s="748"/>
      <c r="H45" s="748">
        <v>8.5000000000000006E-2</v>
      </c>
      <c r="I45" s="748"/>
      <c r="J45" s="748"/>
      <c r="K45" s="748">
        <f>H45</f>
        <v>8.5000000000000006E-2</v>
      </c>
      <c r="L45" s="748"/>
      <c r="M45" s="748"/>
      <c r="N45" s="748">
        <f>K45</f>
        <v>8.5000000000000006E-2</v>
      </c>
      <c r="O45" s="740"/>
      <c r="P45" s="740"/>
      <c r="Q45" s="670" t="s">
        <v>1392</v>
      </c>
    </row>
    <row r="46" spans="2:17" ht="18.95" customHeight="1">
      <c r="B46" s="796" t="s">
        <v>1384</v>
      </c>
      <c r="C46" s="732" t="s">
        <v>1370</v>
      </c>
      <c r="D46" s="748">
        <f>SUM(D47:D63)</f>
        <v>0.24399999999999999</v>
      </c>
      <c r="E46" s="748">
        <f>SUM(E47:E63)</f>
        <v>1.871</v>
      </c>
      <c r="F46" s="748"/>
      <c r="G46" s="748"/>
      <c r="H46" s="748">
        <f>SUM(H47:H63)</f>
        <v>1.8360000000000001</v>
      </c>
      <c r="I46" s="748"/>
      <c r="J46" s="748"/>
      <c r="K46" s="748">
        <f>SUM(K47:K63)</f>
        <v>1.8360000000000001</v>
      </c>
      <c r="L46" s="748"/>
      <c r="M46" s="748"/>
      <c r="N46" s="748">
        <f>SUM(N47:N63)</f>
        <v>1.8360000000000001</v>
      </c>
      <c r="O46" s="740"/>
      <c r="P46" s="740"/>
      <c r="Q46" s="670"/>
    </row>
    <row r="47" spans="2:17" ht="18.95" customHeight="1">
      <c r="B47" s="789"/>
      <c r="C47" s="732" t="s">
        <v>1393</v>
      </c>
      <c r="D47" s="748">
        <v>2.5999999999999999E-2</v>
      </c>
      <c r="E47" s="748">
        <f t="shared" ref="E47:E71" si="9">D47</f>
        <v>2.5999999999999999E-2</v>
      </c>
      <c r="F47" s="748"/>
      <c r="G47" s="748"/>
      <c r="H47" s="748">
        <f t="shared" ref="H47:H74" si="10">E47</f>
        <v>2.5999999999999999E-2</v>
      </c>
      <c r="I47" s="748"/>
      <c r="J47" s="748"/>
      <c r="K47" s="748">
        <f t="shared" ref="K47:K74" si="11">H47</f>
        <v>2.5999999999999999E-2</v>
      </c>
      <c r="L47" s="748"/>
      <c r="M47" s="748"/>
      <c r="N47" s="748">
        <f t="shared" ref="N47:N74" si="12">K47</f>
        <v>2.5999999999999999E-2</v>
      </c>
      <c r="O47" s="740"/>
      <c r="P47" s="740"/>
      <c r="Q47" s="670"/>
    </row>
    <row r="48" spans="2:17" ht="18.95" customHeight="1">
      <c r="B48" s="789"/>
      <c r="C48" s="732" t="s">
        <v>1394</v>
      </c>
      <c r="D48" s="748">
        <v>2.3E-2</v>
      </c>
      <c r="E48" s="748">
        <f>D48</f>
        <v>2.3E-2</v>
      </c>
      <c r="F48" s="748"/>
      <c r="G48" s="748"/>
      <c r="H48" s="748">
        <f>E48</f>
        <v>2.3E-2</v>
      </c>
      <c r="I48" s="748"/>
      <c r="J48" s="748"/>
      <c r="K48" s="748">
        <f>H48</f>
        <v>2.3E-2</v>
      </c>
      <c r="L48" s="748"/>
      <c r="M48" s="748"/>
      <c r="N48" s="748">
        <f>K48</f>
        <v>2.3E-2</v>
      </c>
      <c r="O48" s="740"/>
      <c r="P48" s="740"/>
      <c r="Q48" s="670"/>
    </row>
    <row r="49" spans="2:17" ht="18.95" customHeight="1">
      <c r="B49" s="789"/>
      <c r="C49" s="732" t="s">
        <v>1395</v>
      </c>
      <c r="D49" s="748">
        <v>3.7999999999999999E-2</v>
      </c>
      <c r="E49" s="748">
        <f t="shared" si="9"/>
        <v>3.7999999999999999E-2</v>
      </c>
      <c r="F49" s="748"/>
      <c r="G49" s="748"/>
      <c r="H49" s="748">
        <f t="shared" si="10"/>
        <v>3.7999999999999999E-2</v>
      </c>
      <c r="I49" s="748"/>
      <c r="J49" s="748"/>
      <c r="K49" s="748">
        <f t="shared" si="11"/>
        <v>3.7999999999999999E-2</v>
      </c>
      <c r="L49" s="748"/>
      <c r="M49" s="748"/>
      <c r="N49" s="748">
        <f t="shared" si="12"/>
        <v>3.7999999999999999E-2</v>
      </c>
      <c r="O49" s="740"/>
      <c r="P49" s="740"/>
      <c r="Q49" s="670"/>
    </row>
    <row r="50" spans="2:17" ht="18.95" customHeight="1">
      <c r="B50" s="789"/>
      <c r="C50" s="732" t="s">
        <v>1396</v>
      </c>
      <c r="D50" s="748">
        <v>2.5999999999999999E-2</v>
      </c>
      <c r="E50" s="748">
        <f t="shared" si="9"/>
        <v>2.5999999999999999E-2</v>
      </c>
      <c r="F50" s="748"/>
      <c r="G50" s="748"/>
      <c r="H50" s="748">
        <f t="shared" si="10"/>
        <v>2.5999999999999999E-2</v>
      </c>
      <c r="I50" s="748"/>
      <c r="J50" s="748"/>
      <c r="K50" s="748">
        <f t="shared" si="11"/>
        <v>2.5999999999999999E-2</v>
      </c>
      <c r="L50" s="748"/>
      <c r="M50" s="748"/>
      <c r="N50" s="748">
        <f t="shared" si="12"/>
        <v>2.5999999999999999E-2</v>
      </c>
      <c r="O50" s="740"/>
      <c r="P50" s="740"/>
      <c r="Q50" s="670"/>
    </row>
    <row r="51" spans="2:17" ht="18.95" customHeight="1">
      <c r="B51" s="789"/>
      <c r="C51" s="732" t="s">
        <v>1397</v>
      </c>
      <c r="D51" s="748">
        <v>3.5000000000000003E-2</v>
      </c>
      <c r="E51" s="748">
        <f>+D51+0.013</f>
        <v>4.8000000000000001E-2</v>
      </c>
      <c r="F51" s="748"/>
      <c r="G51" s="748"/>
      <c r="H51" s="748">
        <f t="shared" si="10"/>
        <v>4.8000000000000001E-2</v>
      </c>
      <c r="I51" s="748"/>
      <c r="J51" s="748"/>
      <c r="K51" s="748">
        <f t="shared" si="11"/>
        <v>4.8000000000000001E-2</v>
      </c>
      <c r="L51" s="748"/>
      <c r="M51" s="748"/>
      <c r="N51" s="748">
        <f t="shared" si="12"/>
        <v>4.8000000000000001E-2</v>
      </c>
      <c r="O51" s="740"/>
      <c r="P51" s="740"/>
      <c r="Q51" s="670"/>
    </row>
    <row r="52" spans="2:17" ht="18.95" customHeight="1">
      <c r="B52" s="789"/>
      <c r="C52" s="732" t="s">
        <v>1398</v>
      </c>
      <c r="D52" s="748">
        <v>6.0999999999999999E-2</v>
      </c>
      <c r="E52" s="748">
        <f t="shared" si="9"/>
        <v>6.0999999999999999E-2</v>
      </c>
      <c r="F52" s="748"/>
      <c r="G52" s="748"/>
      <c r="H52" s="748">
        <f t="shared" si="10"/>
        <v>6.0999999999999999E-2</v>
      </c>
      <c r="I52" s="748"/>
      <c r="J52" s="748"/>
      <c r="K52" s="748">
        <f t="shared" si="11"/>
        <v>6.0999999999999999E-2</v>
      </c>
      <c r="L52" s="748"/>
      <c r="M52" s="748"/>
      <c r="N52" s="748">
        <f t="shared" si="12"/>
        <v>6.0999999999999999E-2</v>
      </c>
      <c r="O52" s="740"/>
      <c r="P52" s="740"/>
      <c r="Q52" s="670"/>
    </row>
    <row r="53" spans="2:17" ht="18.95" customHeight="1">
      <c r="B53" s="789"/>
      <c r="C53" s="732" t="s">
        <v>1399</v>
      </c>
      <c r="D53" s="748">
        <v>3.5000000000000003E-2</v>
      </c>
      <c r="E53" s="748">
        <f t="shared" si="9"/>
        <v>3.5000000000000003E-2</v>
      </c>
      <c r="F53" s="748"/>
      <c r="G53" s="748"/>
      <c r="H53" s="748">
        <v>0</v>
      </c>
      <c r="I53" s="748"/>
      <c r="J53" s="748"/>
      <c r="K53" s="748">
        <f t="shared" si="11"/>
        <v>0</v>
      </c>
      <c r="L53" s="748"/>
      <c r="M53" s="748"/>
      <c r="N53" s="748">
        <f t="shared" si="12"/>
        <v>0</v>
      </c>
      <c r="O53" s="740"/>
      <c r="P53" s="740"/>
      <c r="Q53" s="670" t="s">
        <v>1400</v>
      </c>
    </row>
    <row r="54" spans="2:17" ht="18.95" customHeight="1">
      <c r="B54" s="789"/>
      <c r="C54" s="732" t="s">
        <v>1401</v>
      </c>
      <c r="D54" s="748">
        <v>0</v>
      </c>
      <c r="E54" s="748">
        <v>0.112</v>
      </c>
      <c r="F54" s="748"/>
      <c r="G54" s="748"/>
      <c r="H54" s="748">
        <f>E54</f>
        <v>0.112</v>
      </c>
      <c r="I54" s="748"/>
      <c r="J54" s="748"/>
      <c r="K54" s="748">
        <f>H54</f>
        <v>0.112</v>
      </c>
      <c r="L54" s="748"/>
      <c r="M54" s="748"/>
      <c r="N54" s="748">
        <f>K54</f>
        <v>0.112</v>
      </c>
      <c r="O54" s="740"/>
      <c r="P54" s="740"/>
      <c r="Q54" s="670" t="s">
        <v>1392</v>
      </c>
    </row>
    <row r="55" spans="2:17" ht="18.95" customHeight="1">
      <c r="B55" s="789"/>
      <c r="C55" s="732" t="s">
        <v>1402</v>
      </c>
      <c r="D55" s="748">
        <v>0</v>
      </c>
      <c r="E55" s="748">
        <v>0.113</v>
      </c>
      <c r="F55" s="748"/>
      <c r="G55" s="748"/>
      <c r="H55" s="748">
        <f>E55</f>
        <v>0.113</v>
      </c>
      <c r="I55" s="748"/>
      <c r="J55" s="748"/>
      <c r="K55" s="748">
        <f>H55</f>
        <v>0.113</v>
      </c>
      <c r="L55" s="748"/>
      <c r="M55" s="748"/>
      <c r="N55" s="748">
        <f>K55</f>
        <v>0.113</v>
      </c>
      <c r="O55" s="740"/>
      <c r="P55" s="740"/>
      <c r="Q55" s="670" t="s">
        <v>1392</v>
      </c>
    </row>
    <row r="56" spans="2:17" ht="18.95" customHeight="1">
      <c r="B56" s="789"/>
      <c r="C56" s="732" t="s">
        <v>1403</v>
      </c>
      <c r="D56" s="748">
        <v>0</v>
      </c>
      <c r="E56" s="748">
        <v>6.3E-2</v>
      </c>
      <c r="F56" s="748"/>
      <c r="G56" s="748"/>
      <c r="H56" s="748">
        <f>E56</f>
        <v>6.3E-2</v>
      </c>
      <c r="I56" s="748"/>
      <c r="J56" s="748"/>
      <c r="K56" s="748">
        <f>H56</f>
        <v>6.3E-2</v>
      </c>
      <c r="L56" s="748"/>
      <c r="M56" s="748"/>
      <c r="N56" s="748">
        <f>K56</f>
        <v>6.3E-2</v>
      </c>
      <c r="O56" s="740"/>
      <c r="P56" s="740"/>
      <c r="Q56" s="670" t="s">
        <v>1392</v>
      </c>
    </row>
    <row r="57" spans="2:17" ht="18.95" customHeight="1">
      <c r="B57" s="789"/>
      <c r="C57" s="732" t="s">
        <v>1404</v>
      </c>
      <c r="D57" s="748">
        <v>0</v>
      </c>
      <c r="E57" s="748">
        <v>0.23300000000000001</v>
      </c>
      <c r="F57" s="748"/>
      <c r="G57" s="748"/>
      <c r="H57" s="748">
        <f t="shared" si="10"/>
        <v>0.23300000000000001</v>
      </c>
      <c r="I57" s="748"/>
      <c r="J57" s="748"/>
      <c r="K57" s="748">
        <f t="shared" si="11"/>
        <v>0.23300000000000001</v>
      </c>
      <c r="L57" s="748"/>
      <c r="M57" s="748"/>
      <c r="N57" s="748">
        <f t="shared" si="12"/>
        <v>0.23300000000000001</v>
      </c>
      <c r="O57" s="740"/>
      <c r="P57" s="740"/>
      <c r="Q57" s="670" t="s">
        <v>1405</v>
      </c>
    </row>
    <row r="58" spans="2:17" ht="18.95" customHeight="1">
      <c r="B58" s="789"/>
      <c r="C58" s="732" t="s">
        <v>1406</v>
      </c>
      <c r="D58" s="748">
        <v>0</v>
      </c>
      <c r="E58" s="748">
        <v>0.108</v>
      </c>
      <c r="F58" s="748"/>
      <c r="G58" s="748"/>
      <c r="H58" s="748">
        <f>E58</f>
        <v>0.108</v>
      </c>
      <c r="I58" s="748"/>
      <c r="J58" s="748"/>
      <c r="K58" s="748">
        <f>H58</f>
        <v>0.108</v>
      </c>
      <c r="L58" s="748"/>
      <c r="M58" s="748"/>
      <c r="N58" s="748">
        <f>K58</f>
        <v>0.108</v>
      </c>
      <c r="O58" s="740"/>
      <c r="P58" s="740"/>
      <c r="Q58" s="670" t="s">
        <v>1392</v>
      </c>
    </row>
    <row r="59" spans="2:17" ht="18.95" customHeight="1">
      <c r="B59" s="789"/>
      <c r="C59" s="732" t="s">
        <v>1407</v>
      </c>
      <c r="D59" s="748">
        <v>0</v>
      </c>
      <c r="E59" s="748">
        <v>6.2E-2</v>
      </c>
      <c r="F59" s="748"/>
      <c r="G59" s="748"/>
      <c r="H59" s="748">
        <f>E59</f>
        <v>6.2E-2</v>
      </c>
      <c r="I59" s="748"/>
      <c r="J59" s="748"/>
      <c r="K59" s="748">
        <f>H59</f>
        <v>6.2E-2</v>
      </c>
      <c r="L59" s="748"/>
      <c r="M59" s="748"/>
      <c r="N59" s="748">
        <f>K59</f>
        <v>6.2E-2</v>
      </c>
      <c r="O59" s="740"/>
      <c r="P59" s="740"/>
      <c r="Q59" s="670" t="s">
        <v>1392</v>
      </c>
    </row>
    <row r="60" spans="2:17" ht="18.95" customHeight="1">
      <c r="B60" s="789"/>
      <c r="C60" s="732" t="s">
        <v>1408</v>
      </c>
      <c r="D60" s="748">
        <v>0</v>
      </c>
      <c r="E60" s="748">
        <v>0.63100000000000001</v>
      </c>
      <c r="F60" s="748"/>
      <c r="G60" s="748"/>
      <c r="H60" s="748">
        <f t="shared" si="10"/>
        <v>0.63100000000000001</v>
      </c>
      <c r="I60" s="748"/>
      <c r="J60" s="748"/>
      <c r="K60" s="748">
        <f t="shared" si="11"/>
        <v>0.63100000000000001</v>
      </c>
      <c r="L60" s="748"/>
      <c r="M60" s="748"/>
      <c r="N60" s="748">
        <f t="shared" si="12"/>
        <v>0.63100000000000001</v>
      </c>
      <c r="O60" s="740"/>
      <c r="P60" s="740"/>
      <c r="Q60" s="670" t="s">
        <v>1405</v>
      </c>
    </row>
    <row r="61" spans="2:17" ht="18.95" customHeight="1">
      <c r="B61" s="789"/>
      <c r="C61" s="732" t="s">
        <v>1409</v>
      </c>
      <c r="D61" s="748">
        <v>0</v>
      </c>
      <c r="E61" s="748">
        <v>6.3E-2</v>
      </c>
      <c r="F61" s="748"/>
      <c r="G61" s="748"/>
      <c r="H61" s="748">
        <f t="shared" si="10"/>
        <v>6.3E-2</v>
      </c>
      <c r="I61" s="748"/>
      <c r="J61" s="748"/>
      <c r="K61" s="748">
        <f t="shared" si="11"/>
        <v>6.3E-2</v>
      </c>
      <c r="L61" s="748"/>
      <c r="M61" s="748"/>
      <c r="N61" s="748">
        <f t="shared" si="12"/>
        <v>6.3E-2</v>
      </c>
      <c r="O61" s="740"/>
      <c r="P61" s="740"/>
      <c r="Q61" s="670" t="s">
        <v>1392</v>
      </c>
    </row>
    <row r="62" spans="2:17" ht="18.95" customHeight="1">
      <c r="B62" s="789"/>
      <c r="C62" s="732" t="s">
        <v>585</v>
      </c>
      <c r="D62" s="748">
        <v>0</v>
      </c>
      <c r="E62" s="748">
        <v>0.17100000000000001</v>
      </c>
      <c r="F62" s="748"/>
      <c r="G62" s="748"/>
      <c r="H62" s="748">
        <f>E62</f>
        <v>0.17100000000000001</v>
      </c>
      <c r="I62" s="748"/>
      <c r="J62" s="748"/>
      <c r="K62" s="748">
        <f>H62</f>
        <v>0.17100000000000001</v>
      </c>
      <c r="L62" s="748"/>
      <c r="M62" s="748"/>
      <c r="N62" s="748">
        <f>K62</f>
        <v>0.17100000000000001</v>
      </c>
      <c r="O62" s="740"/>
      <c r="P62" s="740"/>
      <c r="Q62" s="670" t="s">
        <v>1392</v>
      </c>
    </row>
    <row r="63" spans="2:17" ht="18.95" customHeight="1">
      <c r="B63" s="797"/>
      <c r="C63" s="732" t="s">
        <v>1410</v>
      </c>
      <c r="D63" s="748">
        <v>0</v>
      </c>
      <c r="E63" s="748">
        <v>5.8000000000000003E-2</v>
      </c>
      <c r="F63" s="748"/>
      <c r="G63" s="748"/>
      <c r="H63" s="748">
        <f>E63</f>
        <v>5.8000000000000003E-2</v>
      </c>
      <c r="I63" s="748"/>
      <c r="J63" s="748"/>
      <c r="K63" s="748">
        <f>H63</f>
        <v>5.8000000000000003E-2</v>
      </c>
      <c r="L63" s="748"/>
      <c r="M63" s="748"/>
      <c r="N63" s="748">
        <f>K63</f>
        <v>5.8000000000000003E-2</v>
      </c>
      <c r="O63" s="740"/>
      <c r="P63" s="740"/>
      <c r="Q63" s="670" t="s">
        <v>1392</v>
      </c>
    </row>
    <row r="64" spans="2:17" ht="18.95" customHeight="1">
      <c r="B64" s="796" t="s">
        <v>1411</v>
      </c>
      <c r="C64" s="732" t="s">
        <v>1370</v>
      </c>
      <c r="D64" s="748">
        <f>SUM(D65:D75)</f>
        <v>0.35100000000000003</v>
      </c>
      <c r="E64" s="748">
        <f>SUM(E65:E75)</f>
        <v>0.58499999999999996</v>
      </c>
      <c r="F64" s="748"/>
      <c r="G64" s="748"/>
      <c r="H64" s="748">
        <f>SUM(H65:H75)</f>
        <v>0.89300000000000013</v>
      </c>
      <c r="I64" s="748"/>
      <c r="J64" s="748"/>
      <c r="K64" s="748">
        <f>SUM(K65:K75)</f>
        <v>0.89300000000000013</v>
      </c>
      <c r="L64" s="748"/>
      <c r="M64" s="748"/>
      <c r="N64" s="748">
        <f>SUM(N65:N75)</f>
        <v>0.89300000000000013</v>
      </c>
      <c r="O64" s="740"/>
      <c r="P64" s="740"/>
      <c r="Q64" s="670"/>
    </row>
    <row r="65" spans="2:17" ht="18.95" customHeight="1">
      <c r="B65" s="789"/>
      <c r="C65" s="732" t="s">
        <v>1412</v>
      </c>
      <c r="D65" s="748">
        <v>0.11</v>
      </c>
      <c r="E65" s="748">
        <f t="shared" si="9"/>
        <v>0.11</v>
      </c>
      <c r="F65" s="748"/>
      <c r="G65" s="748"/>
      <c r="H65" s="748">
        <f t="shared" si="10"/>
        <v>0.11</v>
      </c>
      <c r="I65" s="748"/>
      <c r="J65" s="748"/>
      <c r="K65" s="748">
        <f t="shared" si="11"/>
        <v>0.11</v>
      </c>
      <c r="L65" s="748"/>
      <c r="M65" s="748"/>
      <c r="N65" s="748">
        <f t="shared" si="12"/>
        <v>0.11</v>
      </c>
      <c r="O65" s="740"/>
      <c r="P65" s="740"/>
      <c r="Q65" s="670"/>
    </row>
    <row r="66" spans="2:17" ht="18.95" customHeight="1">
      <c r="B66" s="789"/>
      <c r="C66" s="732" t="s">
        <v>1413</v>
      </c>
      <c r="D66" s="748">
        <v>4.4999999999999998E-2</v>
      </c>
      <c r="E66" s="748">
        <f>D66</f>
        <v>4.4999999999999998E-2</v>
      </c>
      <c r="F66" s="748"/>
      <c r="G66" s="748"/>
      <c r="H66" s="748">
        <f>E66</f>
        <v>4.4999999999999998E-2</v>
      </c>
      <c r="I66" s="748"/>
      <c r="J66" s="748"/>
      <c r="K66" s="748">
        <f>H66</f>
        <v>4.4999999999999998E-2</v>
      </c>
      <c r="L66" s="748"/>
      <c r="M66" s="748"/>
      <c r="N66" s="748">
        <f>K66</f>
        <v>4.4999999999999998E-2</v>
      </c>
      <c r="O66" s="740"/>
      <c r="P66" s="740"/>
      <c r="Q66" s="670"/>
    </row>
    <row r="67" spans="2:17" ht="18.95" customHeight="1">
      <c r="B67" s="789"/>
      <c r="C67" s="732" t="s">
        <v>1414</v>
      </c>
      <c r="D67" s="748">
        <v>6.6000000000000003E-2</v>
      </c>
      <c r="E67" s="748">
        <f t="shared" si="9"/>
        <v>6.6000000000000003E-2</v>
      </c>
      <c r="F67" s="748"/>
      <c r="G67" s="748"/>
      <c r="H67" s="748">
        <f t="shared" si="10"/>
        <v>6.6000000000000003E-2</v>
      </c>
      <c r="I67" s="748"/>
      <c r="J67" s="748"/>
      <c r="K67" s="748">
        <f t="shared" si="11"/>
        <v>6.6000000000000003E-2</v>
      </c>
      <c r="L67" s="748"/>
      <c r="M67" s="748"/>
      <c r="N67" s="748">
        <f t="shared" si="12"/>
        <v>6.6000000000000003E-2</v>
      </c>
      <c r="O67" s="740"/>
      <c r="P67" s="740"/>
      <c r="Q67" s="670"/>
    </row>
    <row r="68" spans="2:17" ht="18.95" customHeight="1">
      <c r="B68" s="789"/>
      <c r="C68" s="732" t="s">
        <v>1415</v>
      </c>
      <c r="D68" s="748">
        <v>9.8000000000000004E-2</v>
      </c>
      <c r="E68" s="748">
        <f>+D68+0.052</f>
        <v>0.15</v>
      </c>
      <c r="F68" s="748"/>
      <c r="G68" s="748"/>
      <c r="H68" s="748">
        <f>E68</f>
        <v>0.15</v>
      </c>
      <c r="I68" s="748"/>
      <c r="J68" s="748"/>
      <c r="K68" s="748">
        <f>H68</f>
        <v>0.15</v>
      </c>
      <c r="L68" s="748"/>
      <c r="M68" s="748"/>
      <c r="N68" s="748">
        <f>K68</f>
        <v>0.15</v>
      </c>
      <c r="O68" s="740"/>
      <c r="P68" s="740"/>
      <c r="Q68" s="670" t="s">
        <v>1416</v>
      </c>
    </row>
    <row r="69" spans="2:17" ht="18.95" customHeight="1">
      <c r="B69" s="789"/>
      <c r="C69" s="732" t="s">
        <v>1417</v>
      </c>
      <c r="D69" s="748">
        <v>0.02</v>
      </c>
      <c r="E69" s="807">
        <v>7.8E-2</v>
      </c>
      <c r="F69" s="807"/>
      <c r="G69" s="807"/>
      <c r="H69" s="807">
        <f t="shared" si="10"/>
        <v>7.8E-2</v>
      </c>
      <c r="I69" s="807"/>
      <c r="J69" s="807"/>
      <c r="K69" s="807">
        <f t="shared" si="11"/>
        <v>7.8E-2</v>
      </c>
      <c r="L69" s="807"/>
      <c r="M69" s="807"/>
      <c r="N69" s="807">
        <f t="shared" si="12"/>
        <v>7.8E-2</v>
      </c>
      <c r="O69" s="805"/>
      <c r="P69" s="805"/>
      <c r="Q69" s="803" t="s">
        <v>1418</v>
      </c>
    </row>
    <row r="70" spans="2:17" ht="18.95" customHeight="1">
      <c r="B70" s="789"/>
      <c r="C70" s="732" t="s">
        <v>1419</v>
      </c>
      <c r="D70" s="748">
        <v>1.2E-2</v>
      </c>
      <c r="E70" s="808"/>
      <c r="F70" s="808"/>
      <c r="G70" s="808"/>
      <c r="H70" s="808"/>
      <c r="I70" s="808"/>
      <c r="J70" s="808"/>
      <c r="K70" s="808"/>
      <c r="L70" s="808"/>
      <c r="M70" s="808"/>
      <c r="N70" s="808"/>
      <c r="O70" s="806"/>
      <c r="P70" s="806"/>
      <c r="Q70" s="804"/>
    </row>
    <row r="71" spans="2:17" ht="18.95" customHeight="1">
      <c r="B71" s="789"/>
      <c r="C71" s="732" t="s">
        <v>1420</v>
      </c>
      <c r="D71" s="748">
        <v>0</v>
      </c>
      <c r="E71" s="748">
        <f t="shared" si="9"/>
        <v>0</v>
      </c>
      <c r="F71" s="748"/>
      <c r="G71" s="748"/>
      <c r="H71" s="748">
        <v>0.105</v>
      </c>
      <c r="I71" s="748"/>
      <c r="J71" s="748"/>
      <c r="K71" s="748">
        <f t="shared" si="11"/>
        <v>0.105</v>
      </c>
      <c r="L71" s="748"/>
      <c r="M71" s="748"/>
      <c r="N71" s="748">
        <f t="shared" si="12"/>
        <v>0.105</v>
      </c>
      <c r="O71" s="740"/>
      <c r="P71" s="740"/>
      <c r="Q71" s="670" t="s">
        <v>1392</v>
      </c>
    </row>
    <row r="72" spans="2:17" ht="18.95" customHeight="1">
      <c r="B72" s="789"/>
      <c r="C72" s="733" t="s">
        <v>1421</v>
      </c>
      <c r="D72" s="749">
        <v>0</v>
      </c>
      <c r="E72" s="749">
        <f>D72</f>
        <v>0</v>
      </c>
      <c r="F72" s="749"/>
      <c r="G72" s="749"/>
      <c r="H72" s="749">
        <v>0.151</v>
      </c>
      <c r="I72" s="749"/>
      <c r="J72" s="749"/>
      <c r="K72" s="749">
        <f>H72</f>
        <v>0.151</v>
      </c>
      <c r="L72" s="749"/>
      <c r="M72" s="749"/>
      <c r="N72" s="749">
        <f>K72</f>
        <v>0.151</v>
      </c>
      <c r="O72" s="738"/>
      <c r="P72" s="738"/>
      <c r="Q72" s="670" t="s">
        <v>1392</v>
      </c>
    </row>
    <row r="73" spans="2:17" ht="18.95" customHeight="1">
      <c r="B73" s="789"/>
      <c r="C73" s="732" t="s">
        <v>1422</v>
      </c>
      <c r="D73" s="748">
        <v>0</v>
      </c>
      <c r="E73" s="748">
        <v>0.04</v>
      </c>
      <c r="F73" s="748"/>
      <c r="G73" s="748"/>
      <c r="H73" s="748">
        <f t="shared" si="10"/>
        <v>0.04</v>
      </c>
      <c r="I73" s="748"/>
      <c r="J73" s="748"/>
      <c r="K73" s="748">
        <f t="shared" si="11"/>
        <v>0.04</v>
      </c>
      <c r="L73" s="748"/>
      <c r="M73" s="748"/>
      <c r="N73" s="748">
        <f t="shared" si="12"/>
        <v>0.04</v>
      </c>
      <c r="O73" s="740"/>
      <c r="P73" s="740"/>
      <c r="Q73" s="670" t="s">
        <v>1392</v>
      </c>
    </row>
    <row r="74" spans="2:17" ht="18.95" customHeight="1">
      <c r="B74" s="789"/>
      <c r="C74" s="732" t="s">
        <v>1423</v>
      </c>
      <c r="D74" s="748">
        <v>0</v>
      </c>
      <c r="E74" s="748">
        <v>9.6000000000000002E-2</v>
      </c>
      <c r="F74" s="748"/>
      <c r="G74" s="748"/>
      <c r="H74" s="748">
        <f t="shared" si="10"/>
        <v>9.6000000000000002E-2</v>
      </c>
      <c r="I74" s="748"/>
      <c r="J74" s="748"/>
      <c r="K74" s="748">
        <f t="shared" si="11"/>
        <v>9.6000000000000002E-2</v>
      </c>
      <c r="L74" s="748"/>
      <c r="M74" s="748"/>
      <c r="N74" s="748">
        <f t="shared" si="12"/>
        <v>9.6000000000000002E-2</v>
      </c>
      <c r="O74" s="740"/>
      <c r="P74" s="740"/>
      <c r="Q74" s="670" t="s">
        <v>1392</v>
      </c>
    </row>
    <row r="75" spans="2:17" ht="18.95" customHeight="1">
      <c r="B75" s="809"/>
      <c r="C75" s="735" t="s">
        <v>1424</v>
      </c>
      <c r="D75" s="750">
        <v>0</v>
      </c>
      <c r="E75" s="750">
        <v>0</v>
      </c>
      <c r="F75" s="750"/>
      <c r="G75" s="750"/>
      <c r="H75" s="750">
        <v>5.1999999999999998E-2</v>
      </c>
      <c r="I75" s="750"/>
      <c r="J75" s="750"/>
      <c r="K75" s="750">
        <f>H75</f>
        <v>5.1999999999999998E-2</v>
      </c>
      <c r="L75" s="750"/>
      <c r="M75" s="750"/>
      <c r="N75" s="750">
        <f>K75</f>
        <v>5.1999999999999998E-2</v>
      </c>
      <c r="O75" s="743"/>
      <c r="P75" s="743"/>
      <c r="Q75" s="673" t="s">
        <v>1392</v>
      </c>
    </row>
  </sheetData>
  <mergeCells count="38">
    <mergeCell ref="A26:C26"/>
    <mergeCell ref="Q69:Q70"/>
    <mergeCell ref="P69:P70"/>
    <mergeCell ref="O69:O70"/>
    <mergeCell ref="M69:M70"/>
    <mergeCell ref="L69:L70"/>
    <mergeCell ref="B64:B75"/>
    <mergeCell ref="N69:N70"/>
    <mergeCell ref="K69:K70"/>
    <mergeCell ref="H69:H70"/>
    <mergeCell ref="E69:E70"/>
    <mergeCell ref="J69:J70"/>
    <mergeCell ref="I69:I70"/>
    <mergeCell ref="G69:G70"/>
    <mergeCell ref="F69:F70"/>
    <mergeCell ref="B46:B63"/>
    <mergeCell ref="N40:P40"/>
    <mergeCell ref="Q40:Q41"/>
    <mergeCell ref="D4:D5"/>
    <mergeCell ref="Q4:Q5"/>
    <mergeCell ref="N4:P4"/>
    <mergeCell ref="K4:M4"/>
    <mergeCell ref="H4:J4"/>
    <mergeCell ref="H40:J40"/>
    <mergeCell ref="K40:M40"/>
    <mergeCell ref="B40:C41"/>
    <mergeCell ref="D40:D41"/>
    <mergeCell ref="E40:G40"/>
    <mergeCell ref="B42:C42"/>
    <mergeCell ref="B43:B45"/>
    <mergeCell ref="B18:B21"/>
    <mergeCell ref="B22:B25"/>
    <mergeCell ref="E4:G4"/>
    <mergeCell ref="B8:B17"/>
    <mergeCell ref="B7:C7"/>
    <mergeCell ref="A4:C5"/>
    <mergeCell ref="A6:C6"/>
    <mergeCell ref="A7:A25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0"/>
  </sheetPr>
  <dimension ref="A1:U48"/>
  <sheetViews>
    <sheetView showGridLines="0" view="pageBreakPreview" workbookViewId="0">
      <selection activeCell="E28" sqref="E28"/>
    </sheetView>
  </sheetViews>
  <sheetFormatPr defaultRowHeight="13.5" customHeight="1"/>
  <cols>
    <col min="1" max="1" width="2.6640625" style="18" customWidth="1"/>
    <col min="2" max="2" width="7.77734375" style="18" bestFit="1" customWidth="1"/>
    <col min="3" max="11" width="9.5546875" style="18" bestFit="1" customWidth="1"/>
    <col min="12" max="12" width="9.77734375" style="18" bestFit="1" customWidth="1"/>
    <col min="13" max="13" width="8" style="18" bestFit="1" customWidth="1"/>
    <col min="14" max="14" width="8.109375" style="18" bestFit="1" customWidth="1"/>
    <col min="15" max="15" width="3.5546875" style="18" customWidth="1"/>
    <col min="16" max="16" width="8.6640625" style="18" customWidth="1"/>
    <col min="17" max="16384" width="8.88671875" style="18"/>
  </cols>
  <sheetData>
    <row r="1" spans="1:21" ht="15" customHeight="1">
      <c r="A1" s="17" t="s">
        <v>212</v>
      </c>
      <c r="O1" s="17"/>
    </row>
    <row r="2" spans="1:21" ht="15" customHeight="1">
      <c r="A2" s="19" t="s">
        <v>213</v>
      </c>
      <c r="O2" s="19"/>
    </row>
    <row r="3" spans="1:21" ht="12" customHeight="1">
      <c r="A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7"/>
      <c r="N3" s="7" t="s">
        <v>214</v>
      </c>
      <c r="O3" s="20"/>
    </row>
    <row r="4" spans="1:21" s="2" customFormat="1" ht="12" customHeight="1">
      <c r="A4" s="823" t="s">
        <v>215</v>
      </c>
      <c r="B4" s="824"/>
      <c r="C4" s="810">
        <v>1998</v>
      </c>
      <c r="D4" s="810">
        <v>1999</v>
      </c>
      <c r="E4" s="810">
        <v>2000</v>
      </c>
      <c r="F4" s="810">
        <v>2001</v>
      </c>
      <c r="G4" s="810">
        <v>2002</v>
      </c>
      <c r="H4" s="810">
        <v>2003</v>
      </c>
      <c r="I4" s="810">
        <v>2004</v>
      </c>
      <c r="J4" s="810">
        <v>2005</v>
      </c>
      <c r="K4" s="810">
        <v>2006</v>
      </c>
      <c r="L4" s="810">
        <v>2007</v>
      </c>
      <c r="M4" s="810" t="s">
        <v>216</v>
      </c>
      <c r="N4" s="821"/>
      <c r="O4" s="813" t="s">
        <v>215</v>
      </c>
      <c r="P4" s="814"/>
      <c r="Q4" s="22" t="s">
        <v>217</v>
      </c>
      <c r="R4" s="22" t="s">
        <v>218</v>
      </c>
      <c r="S4" s="22" t="s">
        <v>219</v>
      </c>
      <c r="T4" s="22" t="s">
        <v>220</v>
      </c>
      <c r="U4" s="23" t="s">
        <v>221</v>
      </c>
    </row>
    <row r="5" spans="1:21" s="2" customFormat="1" ht="12" customHeight="1">
      <c r="A5" s="825"/>
      <c r="B5" s="826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24" t="s">
        <v>222</v>
      </c>
      <c r="N5" s="25" t="s">
        <v>223</v>
      </c>
      <c r="O5" s="26"/>
      <c r="P5" s="27"/>
      <c r="Q5" s="28"/>
      <c r="R5" s="28"/>
      <c r="S5" s="28"/>
      <c r="T5" s="28"/>
      <c r="U5" s="29"/>
    </row>
    <row r="6" spans="1:21" ht="12" customHeight="1">
      <c r="A6" s="792" t="s">
        <v>224</v>
      </c>
      <c r="B6" s="793"/>
      <c r="C6" s="30">
        <f>+C13+C25</f>
        <v>386517</v>
      </c>
      <c r="D6" s="30">
        <f t="shared" ref="D6:L6" si="0">+D13+D25</f>
        <v>406052</v>
      </c>
      <c r="E6" s="30">
        <f t="shared" si="0"/>
        <v>425135</v>
      </c>
      <c r="F6" s="30">
        <f t="shared" si="0"/>
        <v>436708</v>
      </c>
      <c r="G6" s="30">
        <f t="shared" si="0"/>
        <v>445485</v>
      </c>
      <c r="H6" s="30">
        <f t="shared" si="0"/>
        <v>462714</v>
      </c>
      <c r="I6" s="30">
        <f t="shared" si="0"/>
        <v>509744</v>
      </c>
      <c r="J6" s="30">
        <f t="shared" si="0"/>
        <v>518818</v>
      </c>
      <c r="K6" s="30">
        <f t="shared" si="0"/>
        <v>531193</v>
      </c>
      <c r="L6" s="30">
        <f t="shared" si="0"/>
        <v>540742</v>
      </c>
      <c r="M6" s="31">
        <f>ROUND(((L6/C6)^(1/9)-1)*100,2)</f>
        <v>3.8</v>
      </c>
      <c r="N6" s="32">
        <f>ROUND(((L6/H6)^(1/4)-1)*100,2)</f>
        <v>3.97</v>
      </c>
      <c r="O6" s="815" t="s">
        <v>225</v>
      </c>
      <c r="P6" s="816"/>
      <c r="Q6" s="33">
        <f>Q10+Q11+Q12</f>
        <v>1</v>
      </c>
      <c r="R6" s="33">
        <f>R10+R11+R12</f>
        <v>1</v>
      </c>
      <c r="S6" s="33">
        <f>S10+S11+S12</f>
        <v>1</v>
      </c>
      <c r="T6" s="33">
        <f>T10+T11+T12</f>
        <v>1</v>
      </c>
      <c r="U6" s="34">
        <f>U10+U11+U12</f>
        <v>1</v>
      </c>
    </row>
    <row r="7" spans="1:21" ht="12" customHeight="1">
      <c r="A7" s="827" t="s">
        <v>226</v>
      </c>
      <c r="B7" s="772"/>
      <c r="C7" s="35">
        <v>124047</v>
      </c>
      <c r="D7" s="35">
        <v>132292</v>
      </c>
      <c r="E7" s="35">
        <v>140891</v>
      </c>
      <c r="F7" s="35">
        <v>146412</v>
      </c>
      <c r="G7" s="35">
        <v>151536</v>
      </c>
      <c r="H7" s="35">
        <v>162102</v>
      </c>
      <c r="I7" s="35">
        <v>187837</v>
      </c>
      <c r="J7" s="35">
        <v>194101</v>
      </c>
      <c r="K7" s="35">
        <v>200280</v>
      </c>
      <c r="L7" s="35">
        <v>204645</v>
      </c>
      <c r="M7" s="36"/>
      <c r="N7" s="37"/>
      <c r="O7" s="38"/>
      <c r="P7" s="39"/>
      <c r="Q7" s="33"/>
      <c r="R7" s="33"/>
      <c r="S7" s="33"/>
      <c r="T7" s="33"/>
      <c r="U7" s="34"/>
    </row>
    <row r="8" spans="1:21" ht="12" customHeight="1">
      <c r="A8" s="827" t="s">
        <v>227</v>
      </c>
      <c r="B8" s="772"/>
      <c r="C8" s="36">
        <f>ROUND(C6/C7,2)</f>
        <v>3.12</v>
      </c>
      <c r="D8" s="36">
        <f t="shared" ref="D8:K8" si="1">ROUND(D6/D7,2)</f>
        <v>3.07</v>
      </c>
      <c r="E8" s="36">
        <f t="shared" si="1"/>
        <v>3.02</v>
      </c>
      <c r="F8" s="36">
        <f t="shared" si="1"/>
        <v>2.98</v>
      </c>
      <c r="G8" s="36">
        <f t="shared" si="1"/>
        <v>2.94</v>
      </c>
      <c r="H8" s="36">
        <f t="shared" si="1"/>
        <v>2.85</v>
      </c>
      <c r="I8" s="36">
        <f t="shared" si="1"/>
        <v>2.71</v>
      </c>
      <c r="J8" s="36">
        <f t="shared" si="1"/>
        <v>2.67</v>
      </c>
      <c r="K8" s="36">
        <f t="shared" si="1"/>
        <v>2.65</v>
      </c>
      <c r="L8" s="36">
        <f>ROUND(L6/L7,2)</f>
        <v>2.64</v>
      </c>
      <c r="M8" s="36"/>
      <c r="N8" s="37"/>
      <c r="O8" s="38"/>
      <c r="P8" s="39"/>
      <c r="Q8" s="33"/>
      <c r="R8" s="33"/>
      <c r="S8" s="33"/>
      <c r="T8" s="33"/>
      <c r="U8" s="34"/>
    </row>
    <row r="9" spans="1:21" ht="12" customHeight="1">
      <c r="A9" s="784" t="s">
        <v>228</v>
      </c>
      <c r="B9" s="786"/>
      <c r="C9" s="40">
        <f>(C6-C44)/C44*100</f>
        <v>3.5150726314436302</v>
      </c>
      <c r="D9" s="40">
        <f>(D6-C6)/C6*100</f>
        <v>5.0541114621090406</v>
      </c>
      <c r="E9" s="40">
        <f t="shared" ref="E9:L9" si="2">(E6-D6)/D6*100</f>
        <v>4.6996443805226917</v>
      </c>
      <c r="F9" s="40">
        <f t="shared" si="2"/>
        <v>2.7221941265715595</v>
      </c>
      <c r="G9" s="40">
        <f t="shared" si="2"/>
        <v>2.0098097584656109</v>
      </c>
      <c r="H9" s="40">
        <f t="shared" si="2"/>
        <v>3.8674702851947877</v>
      </c>
      <c r="I9" s="40">
        <f t="shared" si="2"/>
        <v>10.163945763473766</v>
      </c>
      <c r="J9" s="40">
        <f t="shared" si="2"/>
        <v>1.7801092313004176</v>
      </c>
      <c r="K9" s="40">
        <f t="shared" si="2"/>
        <v>2.3852295024459442</v>
      </c>
      <c r="L9" s="40">
        <f t="shared" si="2"/>
        <v>1.7976517009825055</v>
      </c>
      <c r="M9" s="41"/>
      <c r="N9" s="42"/>
      <c r="O9" s="38"/>
      <c r="P9" s="39"/>
      <c r="Q9" s="33"/>
      <c r="R9" s="33"/>
      <c r="S9" s="33"/>
      <c r="T9" s="33"/>
      <c r="U9" s="34"/>
    </row>
    <row r="10" spans="1:21" ht="12" customHeight="1">
      <c r="A10" s="43" t="s">
        <v>229</v>
      </c>
      <c r="B10" s="44"/>
      <c r="C10" s="30">
        <f>SUM(C14:C16,C26)</f>
        <v>75467</v>
      </c>
      <c r="D10" s="30">
        <f t="shared" ref="D10:L10" si="3">SUM(D14:D16,D26)</f>
        <v>80873</v>
      </c>
      <c r="E10" s="30">
        <f t="shared" si="3"/>
        <v>89741</v>
      </c>
      <c r="F10" s="30">
        <f t="shared" si="3"/>
        <v>94397</v>
      </c>
      <c r="G10" s="30">
        <f t="shared" si="3"/>
        <v>94952</v>
      </c>
      <c r="H10" s="30">
        <f t="shared" si="3"/>
        <v>96232</v>
      </c>
      <c r="I10" s="30">
        <f t="shared" si="3"/>
        <v>100443</v>
      </c>
      <c r="J10" s="30">
        <f t="shared" si="3"/>
        <v>103174</v>
      </c>
      <c r="K10" s="30">
        <f t="shared" si="3"/>
        <v>105781</v>
      </c>
      <c r="L10" s="30">
        <f t="shared" si="3"/>
        <v>105303</v>
      </c>
      <c r="M10" s="31">
        <f t="shared" ref="M10:M20" si="4">ROUND(((L10/C10)^(1/9)-1)*100,2)</f>
        <v>3.77</v>
      </c>
      <c r="N10" s="32">
        <f t="shared" ref="N10:N21" si="5">ROUND(((L10/H10)^(1/4)-1)*100,2)</f>
        <v>2.2799999999999998</v>
      </c>
      <c r="O10" s="45" t="s">
        <v>230</v>
      </c>
      <c r="P10" s="46"/>
      <c r="Q10" s="47">
        <f t="shared" ref="Q10:T13" si="6">ROUND(H10/H$6,3)</f>
        <v>0.20799999999999999</v>
      </c>
      <c r="R10" s="47">
        <f t="shared" si="6"/>
        <v>0.19700000000000001</v>
      </c>
      <c r="S10" s="47">
        <f t="shared" si="6"/>
        <v>0.19900000000000001</v>
      </c>
      <c r="T10" s="47">
        <f t="shared" si="6"/>
        <v>0.19900000000000001</v>
      </c>
      <c r="U10" s="48">
        <f>ROUND(L10/L$6,3)</f>
        <v>0.19500000000000001</v>
      </c>
    </row>
    <row r="11" spans="1:21" ht="12" customHeight="1">
      <c r="A11" s="49" t="s">
        <v>231</v>
      </c>
      <c r="B11" s="50"/>
      <c r="C11" s="35">
        <f>SUM(C17,C27:C33)</f>
        <v>45922</v>
      </c>
      <c r="D11" s="35">
        <f t="shared" ref="D11:L11" si="7">SUM(D17,D27:D33)</f>
        <v>46044</v>
      </c>
      <c r="E11" s="35">
        <f t="shared" si="7"/>
        <v>46424</v>
      </c>
      <c r="F11" s="35">
        <f t="shared" si="7"/>
        <v>46060</v>
      </c>
      <c r="G11" s="35">
        <f t="shared" si="7"/>
        <v>45421</v>
      </c>
      <c r="H11" s="35">
        <f t="shared" si="7"/>
        <v>45707</v>
      </c>
      <c r="I11" s="35">
        <f t="shared" si="7"/>
        <v>49074</v>
      </c>
      <c r="J11" s="35">
        <f t="shared" si="7"/>
        <v>46575</v>
      </c>
      <c r="K11" s="35">
        <f t="shared" si="7"/>
        <v>45664</v>
      </c>
      <c r="L11" s="35">
        <f t="shared" si="7"/>
        <v>44974</v>
      </c>
      <c r="M11" s="36">
        <f t="shared" si="4"/>
        <v>-0.23</v>
      </c>
      <c r="N11" s="37">
        <f t="shared" si="5"/>
        <v>-0.4</v>
      </c>
      <c r="O11" s="45" t="s">
        <v>232</v>
      </c>
      <c r="P11" s="46"/>
      <c r="Q11" s="47">
        <f t="shared" si="6"/>
        <v>9.9000000000000005E-2</v>
      </c>
      <c r="R11" s="47">
        <f t="shared" si="6"/>
        <v>9.6000000000000002E-2</v>
      </c>
      <c r="S11" s="47">
        <f t="shared" si="6"/>
        <v>0.09</v>
      </c>
      <c r="T11" s="47">
        <f t="shared" si="6"/>
        <v>8.5999999999999993E-2</v>
      </c>
      <c r="U11" s="48">
        <f>ROUND(L11/L$6,3)</f>
        <v>8.3000000000000004E-2</v>
      </c>
    </row>
    <row r="12" spans="1:21" ht="12" customHeight="1">
      <c r="A12" s="51" t="s">
        <v>233</v>
      </c>
      <c r="B12" s="52"/>
      <c r="C12" s="53">
        <f>SUM(C18:C24,C34:C42)</f>
        <v>265128</v>
      </c>
      <c r="D12" s="53">
        <f t="shared" ref="D12:L12" si="8">SUM(D18:D24,D34:D42)</f>
        <v>279135</v>
      </c>
      <c r="E12" s="53">
        <f t="shared" si="8"/>
        <v>288970</v>
      </c>
      <c r="F12" s="53">
        <f t="shared" si="8"/>
        <v>296251</v>
      </c>
      <c r="G12" s="53">
        <f t="shared" si="8"/>
        <v>305112</v>
      </c>
      <c r="H12" s="53">
        <f t="shared" si="8"/>
        <v>320775</v>
      </c>
      <c r="I12" s="53">
        <f t="shared" si="8"/>
        <v>360227</v>
      </c>
      <c r="J12" s="53">
        <f t="shared" si="8"/>
        <v>369069</v>
      </c>
      <c r="K12" s="53">
        <f t="shared" si="8"/>
        <v>379748</v>
      </c>
      <c r="L12" s="53">
        <f t="shared" si="8"/>
        <v>390465</v>
      </c>
      <c r="M12" s="54">
        <f t="shared" si="4"/>
        <v>4.4000000000000004</v>
      </c>
      <c r="N12" s="55">
        <f t="shared" si="5"/>
        <v>5.04</v>
      </c>
      <c r="O12" s="45" t="s">
        <v>234</v>
      </c>
      <c r="P12" s="46"/>
      <c r="Q12" s="47">
        <f t="shared" si="6"/>
        <v>0.69299999999999995</v>
      </c>
      <c r="R12" s="47">
        <f t="shared" si="6"/>
        <v>0.70699999999999996</v>
      </c>
      <c r="S12" s="47">
        <f t="shared" si="6"/>
        <v>0.71099999999999997</v>
      </c>
      <c r="T12" s="47">
        <f t="shared" si="6"/>
        <v>0.71499999999999997</v>
      </c>
      <c r="U12" s="48">
        <f>ROUND(L12/L$6,3)</f>
        <v>0.72199999999999998</v>
      </c>
    </row>
    <row r="13" spans="1:21" s="2" customFormat="1" ht="12" customHeight="1">
      <c r="A13" s="830" t="s">
        <v>1139</v>
      </c>
      <c r="B13" s="56" t="s">
        <v>235</v>
      </c>
      <c r="C13" s="57">
        <f>SUM(C14:C24)</f>
        <v>193233</v>
      </c>
      <c r="D13" s="57">
        <f t="shared" ref="D13:L13" si="9">SUM(D14:D24)</f>
        <v>208809</v>
      </c>
      <c r="E13" s="57">
        <f t="shared" si="9"/>
        <v>218108</v>
      </c>
      <c r="F13" s="57">
        <f t="shared" si="9"/>
        <v>222522</v>
      </c>
      <c r="G13" s="57">
        <f t="shared" si="9"/>
        <v>230462</v>
      </c>
      <c r="H13" s="57">
        <f t="shared" si="9"/>
        <v>246262</v>
      </c>
      <c r="I13" s="57">
        <f t="shared" si="9"/>
        <v>286220</v>
      </c>
      <c r="J13" s="57">
        <f t="shared" si="9"/>
        <v>293599</v>
      </c>
      <c r="K13" s="57">
        <f t="shared" si="9"/>
        <v>299403</v>
      </c>
      <c r="L13" s="57">
        <f t="shared" si="9"/>
        <v>304540</v>
      </c>
      <c r="M13" s="40">
        <f t="shared" si="4"/>
        <v>5.18</v>
      </c>
      <c r="N13" s="58">
        <f t="shared" si="5"/>
        <v>5.45</v>
      </c>
      <c r="O13" s="817" t="s">
        <v>236</v>
      </c>
      <c r="P13" s="59" t="s">
        <v>235</v>
      </c>
      <c r="Q13" s="47">
        <f t="shared" si="6"/>
        <v>0.53200000000000003</v>
      </c>
      <c r="R13" s="47">
        <f t="shared" si="6"/>
        <v>0.56100000000000005</v>
      </c>
      <c r="S13" s="47">
        <f t="shared" si="6"/>
        <v>0.56599999999999995</v>
      </c>
      <c r="T13" s="47">
        <f t="shared" si="6"/>
        <v>0.56399999999999995</v>
      </c>
      <c r="U13" s="48">
        <f>ROUND(L13/L$6,3)</f>
        <v>0.56299999999999994</v>
      </c>
    </row>
    <row r="14" spans="1:21" ht="12" customHeight="1">
      <c r="A14" s="831"/>
      <c r="B14" s="10" t="s">
        <v>125</v>
      </c>
      <c r="C14" s="35">
        <v>27049</v>
      </c>
      <c r="D14" s="35">
        <v>28119</v>
      </c>
      <c r="E14" s="35">
        <v>27899</v>
      </c>
      <c r="F14" s="35">
        <v>29614</v>
      </c>
      <c r="G14" s="35">
        <v>29474</v>
      </c>
      <c r="H14" s="35">
        <v>29563</v>
      </c>
      <c r="I14" s="35">
        <v>30906</v>
      </c>
      <c r="J14" s="35">
        <v>30696</v>
      </c>
      <c r="K14" s="35">
        <v>30656</v>
      </c>
      <c r="L14" s="35">
        <v>30579</v>
      </c>
      <c r="M14" s="36">
        <f t="shared" si="4"/>
        <v>1.37</v>
      </c>
      <c r="N14" s="37">
        <f t="shared" si="5"/>
        <v>0.85</v>
      </c>
      <c r="O14" s="817"/>
      <c r="P14" s="60" t="s">
        <v>125</v>
      </c>
      <c r="Q14" s="61"/>
      <c r="R14" s="61"/>
      <c r="S14" s="61"/>
      <c r="T14" s="61"/>
      <c r="U14" s="62"/>
    </row>
    <row r="15" spans="1:21" ht="12" customHeight="1">
      <c r="A15" s="831"/>
      <c r="B15" s="10" t="s">
        <v>126</v>
      </c>
      <c r="C15" s="35">
        <v>14115</v>
      </c>
      <c r="D15" s="35">
        <v>15395</v>
      </c>
      <c r="E15" s="35">
        <v>16666</v>
      </c>
      <c r="F15" s="35">
        <v>17111</v>
      </c>
      <c r="G15" s="35">
        <v>17370</v>
      </c>
      <c r="H15" s="35">
        <v>18437</v>
      </c>
      <c r="I15" s="35">
        <v>19816</v>
      </c>
      <c r="J15" s="35">
        <v>20108</v>
      </c>
      <c r="K15" s="35">
        <v>21841</v>
      </c>
      <c r="L15" s="35">
        <v>22151</v>
      </c>
      <c r="M15" s="36">
        <f t="shared" si="4"/>
        <v>5.13</v>
      </c>
      <c r="N15" s="37">
        <f t="shared" si="5"/>
        <v>4.6900000000000004</v>
      </c>
      <c r="O15" s="817"/>
      <c r="P15" s="60" t="s">
        <v>126</v>
      </c>
      <c r="Q15" s="61"/>
      <c r="R15" s="61"/>
      <c r="S15" s="61"/>
      <c r="T15" s="61"/>
      <c r="U15" s="62"/>
    </row>
    <row r="16" spans="1:21" ht="12" customHeight="1">
      <c r="A16" s="831"/>
      <c r="B16" s="10" t="s">
        <v>127</v>
      </c>
      <c r="C16" s="35">
        <v>21655</v>
      </c>
      <c r="D16" s="35">
        <v>23083</v>
      </c>
      <c r="E16" s="35">
        <v>24102</v>
      </c>
      <c r="F16" s="35">
        <v>24189</v>
      </c>
      <c r="G16" s="35">
        <v>24101</v>
      </c>
      <c r="H16" s="35">
        <v>23772</v>
      </c>
      <c r="I16" s="35">
        <v>24340</v>
      </c>
      <c r="J16" s="35">
        <v>24381</v>
      </c>
      <c r="K16" s="35">
        <v>24761</v>
      </c>
      <c r="L16" s="35">
        <v>24712</v>
      </c>
      <c r="M16" s="36">
        <f t="shared" si="4"/>
        <v>1.48</v>
      </c>
      <c r="N16" s="37">
        <f t="shared" si="5"/>
        <v>0.97</v>
      </c>
      <c r="O16" s="817"/>
      <c r="P16" s="60" t="s">
        <v>127</v>
      </c>
      <c r="Q16" s="61"/>
      <c r="R16" s="61"/>
      <c r="S16" s="61"/>
      <c r="T16" s="61"/>
      <c r="U16" s="62"/>
    </row>
    <row r="17" spans="1:21" ht="12" customHeight="1">
      <c r="A17" s="831"/>
      <c r="B17" s="10" t="s">
        <v>129</v>
      </c>
      <c r="C17" s="35">
        <v>11781</v>
      </c>
      <c r="D17" s="35">
        <v>12113</v>
      </c>
      <c r="E17" s="35">
        <v>12983</v>
      </c>
      <c r="F17" s="35">
        <v>13054</v>
      </c>
      <c r="G17" s="35">
        <v>12916</v>
      </c>
      <c r="H17" s="35">
        <v>13080</v>
      </c>
      <c r="I17" s="35">
        <v>13611</v>
      </c>
      <c r="J17" s="35">
        <v>12899</v>
      </c>
      <c r="K17" s="35">
        <v>12623</v>
      </c>
      <c r="L17" s="35">
        <v>12375</v>
      </c>
      <c r="M17" s="36">
        <f t="shared" si="4"/>
        <v>0.55000000000000004</v>
      </c>
      <c r="N17" s="37">
        <f t="shared" si="5"/>
        <v>-1.38</v>
      </c>
      <c r="O17" s="817"/>
      <c r="P17" s="60" t="s">
        <v>129</v>
      </c>
      <c r="Q17" s="61"/>
      <c r="R17" s="61"/>
      <c r="S17" s="61"/>
      <c r="T17" s="61"/>
      <c r="U17" s="62"/>
    </row>
    <row r="18" spans="1:21" ht="12" customHeight="1">
      <c r="A18" s="831"/>
      <c r="B18" s="10" t="s">
        <v>139</v>
      </c>
      <c r="C18" s="35">
        <v>20150</v>
      </c>
      <c r="D18" s="35">
        <v>19431</v>
      </c>
      <c r="E18" s="35">
        <v>18830</v>
      </c>
      <c r="F18" s="35">
        <v>18505</v>
      </c>
      <c r="G18" s="35">
        <v>18503</v>
      </c>
      <c r="H18" s="35">
        <v>18713</v>
      </c>
      <c r="I18" s="35">
        <v>19495</v>
      </c>
      <c r="J18" s="35">
        <v>20667</v>
      </c>
      <c r="K18" s="35">
        <v>20167</v>
      </c>
      <c r="L18" s="35">
        <v>20033</v>
      </c>
      <c r="M18" s="36">
        <f t="shared" si="4"/>
        <v>-0.06</v>
      </c>
      <c r="N18" s="37">
        <f t="shared" si="5"/>
        <v>1.72</v>
      </c>
      <c r="O18" s="817"/>
      <c r="P18" s="60" t="s">
        <v>139</v>
      </c>
      <c r="Q18" s="61"/>
      <c r="R18" s="61"/>
      <c r="S18" s="61"/>
      <c r="T18" s="61"/>
      <c r="U18" s="62"/>
    </row>
    <row r="19" spans="1:21" ht="12" customHeight="1">
      <c r="A19" s="831"/>
      <c r="B19" s="10" t="s">
        <v>140</v>
      </c>
      <c r="C19" s="35">
        <v>20531</v>
      </c>
      <c r="D19" s="35">
        <v>20000</v>
      </c>
      <c r="E19" s="35">
        <v>19618</v>
      </c>
      <c r="F19" s="35">
        <v>19330</v>
      </c>
      <c r="G19" s="35">
        <v>19852</v>
      </c>
      <c r="H19" s="35">
        <v>20865</v>
      </c>
      <c r="I19" s="35">
        <v>21685</v>
      </c>
      <c r="J19" s="35">
        <v>21508</v>
      </c>
      <c r="K19" s="35">
        <v>21206</v>
      </c>
      <c r="L19" s="35">
        <v>21438</v>
      </c>
      <c r="M19" s="36">
        <f t="shared" si="4"/>
        <v>0.48</v>
      </c>
      <c r="N19" s="37">
        <f t="shared" si="5"/>
        <v>0.68</v>
      </c>
      <c r="O19" s="817"/>
      <c r="P19" s="60" t="s">
        <v>140</v>
      </c>
      <c r="Q19" s="61"/>
      <c r="R19" s="61"/>
      <c r="S19" s="61"/>
      <c r="T19" s="61"/>
      <c r="U19" s="62"/>
    </row>
    <row r="20" spans="1:21" ht="12" customHeight="1">
      <c r="A20" s="831"/>
      <c r="B20" s="10" t="s">
        <v>142</v>
      </c>
      <c r="C20" s="35">
        <v>17622</v>
      </c>
      <c r="D20" s="35">
        <v>17706</v>
      </c>
      <c r="E20" s="35">
        <v>17347</v>
      </c>
      <c r="F20" s="35">
        <v>17266</v>
      </c>
      <c r="G20" s="35">
        <v>17371</v>
      </c>
      <c r="H20" s="35">
        <v>17267</v>
      </c>
      <c r="I20" s="35">
        <v>17387</v>
      </c>
      <c r="J20" s="35">
        <v>16905</v>
      </c>
      <c r="K20" s="35">
        <v>16451</v>
      </c>
      <c r="L20" s="35">
        <v>16213</v>
      </c>
      <c r="M20" s="36">
        <f t="shared" si="4"/>
        <v>-0.92</v>
      </c>
      <c r="N20" s="37">
        <f t="shared" si="5"/>
        <v>-1.56</v>
      </c>
      <c r="O20" s="817"/>
      <c r="P20" s="60" t="s">
        <v>142</v>
      </c>
      <c r="Q20" s="61"/>
      <c r="R20" s="61"/>
      <c r="S20" s="61"/>
      <c r="T20" s="61"/>
      <c r="U20" s="62"/>
    </row>
    <row r="21" spans="1:21" ht="12" customHeight="1">
      <c r="A21" s="831"/>
      <c r="B21" s="10" t="s">
        <v>143</v>
      </c>
      <c r="C21" s="812">
        <v>39372</v>
      </c>
      <c r="D21" s="812">
        <v>51516</v>
      </c>
      <c r="E21" s="812">
        <v>58874</v>
      </c>
      <c r="F21" s="812">
        <v>61294</v>
      </c>
      <c r="G21" s="812">
        <v>65801</v>
      </c>
      <c r="H21" s="35">
        <v>35401</v>
      </c>
      <c r="I21" s="35">
        <v>39939</v>
      </c>
      <c r="J21" s="35">
        <v>40859</v>
      </c>
      <c r="K21" s="35">
        <v>40850</v>
      </c>
      <c r="L21" s="35">
        <v>44658</v>
      </c>
      <c r="M21" s="822">
        <f>ROUND((((L21+L22+L23)/C21)^(1/9)-1)*100,2)</f>
        <v>11.66</v>
      </c>
      <c r="N21" s="37">
        <f t="shared" si="5"/>
        <v>5.98</v>
      </c>
      <c r="O21" s="817"/>
      <c r="P21" s="60" t="s">
        <v>143</v>
      </c>
      <c r="Q21" s="61"/>
      <c r="R21" s="61"/>
      <c r="S21" s="61"/>
      <c r="T21" s="61"/>
      <c r="U21" s="62"/>
    </row>
    <row r="22" spans="1:21" ht="12" customHeight="1">
      <c r="A22" s="831"/>
      <c r="B22" s="10" t="s">
        <v>144</v>
      </c>
      <c r="C22" s="812"/>
      <c r="D22" s="812"/>
      <c r="E22" s="812"/>
      <c r="F22" s="812"/>
      <c r="G22" s="812"/>
      <c r="H22" s="812">
        <v>34526</v>
      </c>
      <c r="I22" s="812">
        <v>52684</v>
      </c>
      <c r="J22" s="812">
        <v>56587</v>
      </c>
      <c r="K22" s="35">
        <v>20653</v>
      </c>
      <c r="L22" s="35">
        <v>20440</v>
      </c>
      <c r="M22" s="822"/>
      <c r="N22" s="820">
        <f>ROUND((((L22+L23)/H22)^(1/4)-1)*100,2)</f>
        <v>15.54</v>
      </c>
      <c r="O22" s="817"/>
      <c r="P22" s="60" t="s">
        <v>144</v>
      </c>
      <c r="Q22" s="61"/>
      <c r="R22" s="61"/>
      <c r="S22" s="61"/>
      <c r="T22" s="61"/>
      <c r="U22" s="62"/>
    </row>
    <row r="23" spans="1:21" ht="12" customHeight="1">
      <c r="A23" s="831"/>
      <c r="B23" s="10" t="s">
        <v>145</v>
      </c>
      <c r="C23" s="812"/>
      <c r="D23" s="812"/>
      <c r="E23" s="812"/>
      <c r="F23" s="812"/>
      <c r="G23" s="812"/>
      <c r="H23" s="812"/>
      <c r="I23" s="812"/>
      <c r="J23" s="812"/>
      <c r="K23" s="35">
        <v>40052</v>
      </c>
      <c r="L23" s="35">
        <v>41098</v>
      </c>
      <c r="M23" s="822"/>
      <c r="N23" s="820"/>
      <c r="O23" s="817"/>
      <c r="P23" s="60" t="s">
        <v>145</v>
      </c>
      <c r="Q23" s="61"/>
      <c r="R23" s="61"/>
      <c r="S23" s="61"/>
      <c r="T23" s="61"/>
      <c r="U23" s="62"/>
    </row>
    <row r="24" spans="1:21" ht="12" customHeight="1">
      <c r="A24" s="831"/>
      <c r="B24" s="10" t="s">
        <v>148</v>
      </c>
      <c r="C24" s="35">
        <v>20958</v>
      </c>
      <c r="D24" s="35">
        <v>21446</v>
      </c>
      <c r="E24" s="35">
        <v>21789</v>
      </c>
      <c r="F24" s="35">
        <v>22159</v>
      </c>
      <c r="G24" s="35">
        <v>25074</v>
      </c>
      <c r="H24" s="35">
        <v>34638</v>
      </c>
      <c r="I24" s="35">
        <v>46357</v>
      </c>
      <c r="J24" s="35">
        <v>48989</v>
      </c>
      <c r="K24" s="35">
        <v>50143</v>
      </c>
      <c r="L24" s="35">
        <v>50843</v>
      </c>
      <c r="M24" s="36">
        <f t="shared" ref="M24:M38" si="10">ROUND(((L24/C24)^(1/9)-1)*100,2)</f>
        <v>10.35</v>
      </c>
      <c r="N24" s="37">
        <f t="shared" ref="N24:N38" si="11">ROUND(((L24/H24)^(1/4)-1)*100,2)</f>
        <v>10.07</v>
      </c>
      <c r="O24" s="817"/>
      <c r="P24" s="60" t="s">
        <v>148</v>
      </c>
      <c r="Q24" s="61"/>
      <c r="R24" s="61"/>
      <c r="S24" s="61"/>
      <c r="T24" s="61"/>
      <c r="U24" s="62"/>
    </row>
    <row r="25" spans="1:21" ht="12" customHeight="1">
      <c r="A25" s="828" t="s">
        <v>1140</v>
      </c>
      <c r="B25" s="10" t="s">
        <v>235</v>
      </c>
      <c r="C25" s="35">
        <f>SUM(C26:C42)</f>
        <v>193284</v>
      </c>
      <c r="D25" s="35">
        <f t="shared" ref="D25:L25" si="12">SUM(D26:D42)</f>
        <v>197243</v>
      </c>
      <c r="E25" s="35">
        <f t="shared" si="12"/>
        <v>207027</v>
      </c>
      <c r="F25" s="35">
        <f t="shared" si="12"/>
        <v>214186</v>
      </c>
      <c r="G25" s="35">
        <f t="shared" si="12"/>
        <v>215023</v>
      </c>
      <c r="H25" s="35">
        <f t="shared" si="12"/>
        <v>216452</v>
      </c>
      <c r="I25" s="35">
        <f t="shared" si="12"/>
        <v>223524</v>
      </c>
      <c r="J25" s="35">
        <f t="shared" si="12"/>
        <v>225219</v>
      </c>
      <c r="K25" s="35">
        <f t="shared" si="12"/>
        <v>231790</v>
      </c>
      <c r="L25" s="35">
        <f t="shared" si="12"/>
        <v>236202</v>
      </c>
      <c r="M25" s="36">
        <f t="shared" si="10"/>
        <v>2.25</v>
      </c>
      <c r="N25" s="37">
        <f t="shared" si="11"/>
        <v>2.21</v>
      </c>
      <c r="O25" s="818" t="s">
        <v>237</v>
      </c>
      <c r="P25" s="60" t="s">
        <v>235</v>
      </c>
      <c r="Q25" s="47">
        <f>ROUND(H25/H$6,3)</f>
        <v>0.46800000000000003</v>
      </c>
      <c r="R25" s="47">
        <f>ROUND(I25/I$6,3)</f>
        <v>0.439</v>
      </c>
      <c r="S25" s="47">
        <f>ROUND(J25/J$6,3)</f>
        <v>0.434</v>
      </c>
      <c r="T25" s="47">
        <f>ROUND(K25/K$6,3)</f>
        <v>0.436</v>
      </c>
      <c r="U25" s="48">
        <f>ROUND(L25/L$6,3)</f>
        <v>0.437</v>
      </c>
    </row>
    <row r="26" spans="1:21" ht="12" customHeight="1">
      <c r="A26" s="828"/>
      <c r="B26" s="10" t="s">
        <v>128</v>
      </c>
      <c r="C26" s="35">
        <v>12648</v>
      </c>
      <c r="D26" s="35">
        <v>14276</v>
      </c>
      <c r="E26" s="35">
        <v>21074</v>
      </c>
      <c r="F26" s="35">
        <v>23483</v>
      </c>
      <c r="G26" s="35">
        <v>24007</v>
      </c>
      <c r="H26" s="35">
        <v>24460</v>
      </c>
      <c r="I26" s="35">
        <v>25381</v>
      </c>
      <c r="J26" s="35">
        <v>27989</v>
      </c>
      <c r="K26" s="35">
        <v>28523</v>
      </c>
      <c r="L26" s="35">
        <v>27861</v>
      </c>
      <c r="M26" s="36">
        <f t="shared" si="10"/>
        <v>9.17</v>
      </c>
      <c r="N26" s="37">
        <f t="shared" si="11"/>
        <v>3.31</v>
      </c>
      <c r="O26" s="818"/>
      <c r="P26" s="60" t="s">
        <v>128</v>
      </c>
      <c r="Q26" s="61"/>
      <c r="R26" s="61"/>
      <c r="S26" s="61"/>
      <c r="T26" s="61"/>
      <c r="U26" s="62"/>
    </row>
    <row r="27" spans="1:21" ht="12" customHeight="1">
      <c r="A27" s="828"/>
      <c r="B27" s="10" t="s">
        <v>130</v>
      </c>
      <c r="C27" s="35">
        <v>5805</v>
      </c>
      <c r="D27" s="35">
        <v>5753</v>
      </c>
      <c r="E27" s="35">
        <v>5598</v>
      </c>
      <c r="F27" s="35">
        <v>5489</v>
      </c>
      <c r="G27" s="35">
        <v>5325</v>
      </c>
      <c r="H27" s="35">
        <v>5268</v>
      </c>
      <c r="I27" s="35">
        <v>5582</v>
      </c>
      <c r="J27" s="35">
        <v>5309</v>
      </c>
      <c r="K27" s="35">
        <v>5236</v>
      </c>
      <c r="L27" s="35">
        <v>5181</v>
      </c>
      <c r="M27" s="36">
        <f t="shared" si="10"/>
        <v>-1.26</v>
      </c>
      <c r="N27" s="37">
        <f t="shared" si="11"/>
        <v>-0.42</v>
      </c>
      <c r="O27" s="818"/>
      <c r="P27" s="60" t="s">
        <v>130</v>
      </c>
      <c r="Q27" s="61"/>
      <c r="R27" s="61"/>
      <c r="S27" s="61"/>
      <c r="T27" s="61"/>
      <c r="U27" s="62"/>
    </row>
    <row r="28" spans="1:21" ht="12" customHeight="1">
      <c r="A28" s="828"/>
      <c r="B28" s="10" t="s">
        <v>131</v>
      </c>
      <c r="C28" s="35">
        <v>4789</v>
      </c>
      <c r="D28" s="35">
        <v>4751</v>
      </c>
      <c r="E28" s="35">
        <v>4674</v>
      </c>
      <c r="F28" s="35">
        <v>4582</v>
      </c>
      <c r="G28" s="35">
        <v>4537</v>
      </c>
      <c r="H28" s="35">
        <v>4560</v>
      </c>
      <c r="I28" s="35">
        <v>4848</v>
      </c>
      <c r="J28" s="35">
        <v>4711</v>
      </c>
      <c r="K28" s="35">
        <v>4691</v>
      </c>
      <c r="L28" s="35">
        <v>4658</v>
      </c>
      <c r="M28" s="36">
        <f t="shared" si="10"/>
        <v>-0.31</v>
      </c>
      <c r="N28" s="37">
        <f t="shared" si="11"/>
        <v>0.53</v>
      </c>
      <c r="O28" s="818"/>
      <c r="P28" s="60" t="s">
        <v>131</v>
      </c>
      <c r="Q28" s="61"/>
      <c r="R28" s="61"/>
      <c r="S28" s="61"/>
      <c r="T28" s="61"/>
      <c r="U28" s="62"/>
    </row>
    <row r="29" spans="1:21" ht="12" customHeight="1">
      <c r="A29" s="828"/>
      <c r="B29" s="10" t="s">
        <v>238</v>
      </c>
      <c r="C29" s="35">
        <v>5308</v>
      </c>
      <c r="D29" s="35">
        <v>5502</v>
      </c>
      <c r="E29" s="35">
        <v>5712</v>
      </c>
      <c r="F29" s="35">
        <v>5744</v>
      </c>
      <c r="G29" s="35">
        <v>5692</v>
      </c>
      <c r="H29" s="35">
        <v>5667</v>
      </c>
      <c r="I29" s="35">
        <v>5918</v>
      </c>
      <c r="J29" s="35">
        <v>5668</v>
      </c>
      <c r="K29" s="35">
        <v>5537</v>
      </c>
      <c r="L29" s="35">
        <v>5540</v>
      </c>
      <c r="M29" s="36">
        <f t="shared" si="10"/>
        <v>0.48</v>
      </c>
      <c r="N29" s="37">
        <f t="shared" si="11"/>
        <v>-0.56999999999999995</v>
      </c>
      <c r="O29" s="818"/>
      <c r="P29" s="60" t="s">
        <v>238</v>
      </c>
      <c r="Q29" s="61"/>
      <c r="R29" s="61"/>
      <c r="S29" s="61"/>
      <c r="T29" s="61"/>
      <c r="U29" s="62"/>
    </row>
    <row r="30" spans="1:21" ht="12" customHeight="1">
      <c r="A30" s="828"/>
      <c r="B30" s="10" t="s">
        <v>132</v>
      </c>
      <c r="C30" s="35">
        <v>4871</v>
      </c>
      <c r="D30" s="35">
        <v>4815</v>
      </c>
      <c r="E30" s="35">
        <v>4700</v>
      </c>
      <c r="F30" s="35">
        <v>4569</v>
      </c>
      <c r="G30" s="35">
        <v>4537</v>
      </c>
      <c r="H30" s="35">
        <v>4486</v>
      </c>
      <c r="I30" s="35">
        <v>4789</v>
      </c>
      <c r="J30" s="35">
        <v>4629</v>
      </c>
      <c r="K30" s="35">
        <v>4662</v>
      </c>
      <c r="L30" s="35">
        <v>4480</v>
      </c>
      <c r="M30" s="36">
        <f t="shared" si="10"/>
        <v>-0.93</v>
      </c>
      <c r="N30" s="37">
        <f t="shared" si="11"/>
        <v>-0.03</v>
      </c>
      <c r="O30" s="818"/>
      <c r="P30" s="60" t="s">
        <v>132</v>
      </c>
      <c r="Q30" s="61"/>
      <c r="R30" s="61"/>
      <c r="S30" s="61"/>
      <c r="T30" s="61"/>
      <c r="U30" s="62"/>
    </row>
    <row r="31" spans="1:21" ht="12" customHeight="1">
      <c r="A31" s="828"/>
      <c r="B31" s="10" t="s">
        <v>133</v>
      </c>
      <c r="C31" s="35">
        <v>3441</v>
      </c>
      <c r="D31" s="35">
        <v>3390</v>
      </c>
      <c r="E31" s="35">
        <v>3262</v>
      </c>
      <c r="F31" s="35">
        <v>3172</v>
      </c>
      <c r="G31" s="35">
        <v>3097</v>
      </c>
      <c r="H31" s="35">
        <v>3184</v>
      </c>
      <c r="I31" s="35">
        <v>3549</v>
      </c>
      <c r="J31" s="35">
        <v>3212</v>
      </c>
      <c r="K31" s="35">
        <v>3165</v>
      </c>
      <c r="L31" s="35">
        <v>3113</v>
      </c>
      <c r="M31" s="36">
        <f t="shared" si="10"/>
        <v>-1.1100000000000001</v>
      </c>
      <c r="N31" s="37">
        <f t="shared" si="11"/>
        <v>-0.56000000000000005</v>
      </c>
      <c r="O31" s="818"/>
      <c r="P31" s="60" t="s">
        <v>133</v>
      </c>
      <c r="Q31" s="61"/>
      <c r="R31" s="61"/>
      <c r="S31" s="61"/>
      <c r="T31" s="61"/>
      <c r="U31" s="62"/>
    </row>
    <row r="32" spans="1:21" ht="12" customHeight="1">
      <c r="A32" s="828"/>
      <c r="B32" s="10" t="s">
        <v>134</v>
      </c>
      <c r="C32" s="35">
        <v>6663</v>
      </c>
      <c r="D32" s="35">
        <v>6565</v>
      </c>
      <c r="E32" s="35">
        <v>6403</v>
      </c>
      <c r="F32" s="35">
        <v>6443</v>
      </c>
      <c r="G32" s="35">
        <v>6412</v>
      </c>
      <c r="H32" s="35">
        <v>6491</v>
      </c>
      <c r="I32" s="35">
        <v>7486</v>
      </c>
      <c r="J32" s="35">
        <v>7035</v>
      </c>
      <c r="K32" s="35">
        <v>6759</v>
      </c>
      <c r="L32" s="35">
        <v>6742</v>
      </c>
      <c r="M32" s="36">
        <f t="shared" si="10"/>
        <v>0.13</v>
      </c>
      <c r="N32" s="37">
        <f t="shared" si="11"/>
        <v>0.95</v>
      </c>
      <c r="O32" s="818"/>
      <c r="P32" s="60" t="s">
        <v>134</v>
      </c>
      <c r="Q32" s="61"/>
      <c r="R32" s="61"/>
      <c r="S32" s="61"/>
      <c r="T32" s="61"/>
      <c r="U32" s="62"/>
    </row>
    <row r="33" spans="1:21" ht="12" customHeight="1">
      <c r="A33" s="828"/>
      <c r="B33" s="10" t="s">
        <v>239</v>
      </c>
      <c r="C33" s="35">
        <v>3264</v>
      </c>
      <c r="D33" s="35">
        <v>3155</v>
      </c>
      <c r="E33" s="35">
        <v>3092</v>
      </c>
      <c r="F33" s="35">
        <v>3007</v>
      </c>
      <c r="G33" s="35">
        <v>2905</v>
      </c>
      <c r="H33" s="35">
        <v>2971</v>
      </c>
      <c r="I33" s="35">
        <v>3291</v>
      </c>
      <c r="J33" s="35">
        <v>3112</v>
      </c>
      <c r="K33" s="35">
        <v>2991</v>
      </c>
      <c r="L33" s="35">
        <v>2885</v>
      </c>
      <c r="M33" s="36">
        <f t="shared" si="10"/>
        <v>-1.36</v>
      </c>
      <c r="N33" s="37">
        <f t="shared" si="11"/>
        <v>-0.73</v>
      </c>
      <c r="O33" s="818"/>
      <c r="P33" s="60" t="s">
        <v>239</v>
      </c>
      <c r="Q33" s="61"/>
      <c r="R33" s="61"/>
      <c r="S33" s="61"/>
      <c r="T33" s="61"/>
      <c r="U33" s="62"/>
    </row>
    <row r="34" spans="1:21" ht="12" customHeight="1">
      <c r="A34" s="828"/>
      <c r="B34" s="10" t="s">
        <v>135</v>
      </c>
      <c r="C34" s="35">
        <v>9607</v>
      </c>
      <c r="D34" s="35">
        <v>8971</v>
      </c>
      <c r="E34" s="35">
        <v>8506</v>
      </c>
      <c r="F34" s="35">
        <v>8250</v>
      </c>
      <c r="G34" s="35">
        <v>8030</v>
      </c>
      <c r="H34" s="35">
        <v>7935</v>
      </c>
      <c r="I34" s="35">
        <v>7955</v>
      </c>
      <c r="J34" s="35">
        <v>7550</v>
      </c>
      <c r="K34" s="35">
        <v>7228</v>
      </c>
      <c r="L34" s="35">
        <v>7103</v>
      </c>
      <c r="M34" s="36">
        <f t="shared" si="10"/>
        <v>-3.3</v>
      </c>
      <c r="N34" s="37">
        <f t="shared" si="11"/>
        <v>-2.73</v>
      </c>
      <c r="O34" s="818"/>
      <c r="P34" s="60" t="s">
        <v>135</v>
      </c>
      <c r="Q34" s="61"/>
      <c r="R34" s="61"/>
      <c r="S34" s="61"/>
      <c r="T34" s="61"/>
      <c r="U34" s="62"/>
    </row>
    <row r="35" spans="1:21" ht="12" customHeight="1">
      <c r="A35" s="828"/>
      <c r="B35" s="10" t="s">
        <v>136</v>
      </c>
      <c r="C35" s="35">
        <v>7212</v>
      </c>
      <c r="D35" s="35">
        <v>6685</v>
      </c>
      <c r="E35" s="35">
        <v>6405</v>
      </c>
      <c r="F35" s="35">
        <v>6374</v>
      </c>
      <c r="G35" s="35">
        <v>6294</v>
      </c>
      <c r="H35" s="35">
        <v>6492</v>
      </c>
      <c r="I35" s="35">
        <v>6740</v>
      </c>
      <c r="J35" s="35">
        <v>6520</v>
      </c>
      <c r="K35" s="35">
        <v>6260</v>
      </c>
      <c r="L35" s="35">
        <v>6195</v>
      </c>
      <c r="M35" s="36">
        <f t="shared" si="10"/>
        <v>-1.67</v>
      </c>
      <c r="N35" s="37">
        <f t="shared" si="11"/>
        <v>-1.1599999999999999</v>
      </c>
      <c r="O35" s="818"/>
      <c r="P35" s="60" t="s">
        <v>136</v>
      </c>
      <c r="Q35" s="61"/>
      <c r="R35" s="61"/>
      <c r="S35" s="61"/>
      <c r="T35" s="61"/>
      <c r="U35" s="62"/>
    </row>
    <row r="36" spans="1:21" ht="12" customHeight="1">
      <c r="A36" s="828"/>
      <c r="B36" s="10" t="s">
        <v>137</v>
      </c>
      <c r="C36" s="35">
        <v>12284</v>
      </c>
      <c r="D36" s="35">
        <v>11891</v>
      </c>
      <c r="E36" s="35">
        <v>11501</v>
      </c>
      <c r="F36" s="35">
        <v>11432</v>
      </c>
      <c r="G36" s="35">
        <v>11524</v>
      </c>
      <c r="H36" s="35">
        <v>11684</v>
      </c>
      <c r="I36" s="35">
        <v>12201</v>
      </c>
      <c r="J36" s="35">
        <v>11881</v>
      </c>
      <c r="K36" s="35">
        <v>11577</v>
      </c>
      <c r="L36" s="35">
        <v>11408</v>
      </c>
      <c r="M36" s="36">
        <f t="shared" si="10"/>
        <v>-0.82</v>
      </c>
      <c r="N36" s="37">
        <f t="shared" si="11"/>
        <v>-0.6</v>
      </c>
      <c r="O36" s="818"/>
      <c r="P36" s="60" t="s">
        <v>137</v>
      </c>
      <c r="Q36" s="61"/>
      <c r="R36" s="61"/>
      <c r="S36" s="61"/>
      <c r="T36" s="61"/>
      <c r="U36" s="62"/>
    </row>
    <row r="37" spans="1:21" ht="12" customHeight="1">
      <c r="A37" s="828"/>
      <c r="B37" s="10" t="s">
        <v>138</v>
      </c>
      <c r="C37" s="35">
        <v>15139</v>
      </c>
      <c r="D37" s="35">
        <v>14531</v>
      </c>
      <c r="E37" s="35">
        <v>14103</v>
      </c>
      <c r="F37" s="35">
        <v>13902</v>
      </c>
      <c r="G37" s="35">
        <v>13852</v>
      </c>
      <c r="H37" s="35">
        <v>14179</v>
      </c>
      <c r="I37" s="35">
        <v>14789</v>
      </c>
      <c r="J37" s="35">
        <v>14212</v>
      </c>
      <c r="K37" s="35">
        <v>14112</v>
      </c>
      <c r="L37" s="35">
        <v>13839</v>
      </c>
      <c r="M37" s="36">
        <f t="shared" si="10"/>
        <v>-0.99</v>
      </c>
      <c r="N37" s="37">
        <f t="shared" si="11"/>
        <v>-0.6</v>
      </c>
      <c r="O37" s="818"/>
      <c r="P37" s="60" t="s">
        <v>138</v>
      </c>
      <c r="Q37" s="61"/>
      <c r="R37" s="61"/>
      <c r="S37" s="61"/>
      <c r="T37" s="61"/>
      <c r="U37" s="62"/>
    </row>
    <row r="38" spans="1:21" ht="12" customHeight="1">
      <c r="A38" s="828"/>
      <c r="B38" s="10" t="s">
        <v>141</v>
      </c>
      <c r="C38" s="35">
        <v>18925</v>
      </c>
      <c r="D38" s="35">
        <v>18529</v>
      </c>
      <c r="E38" s="35">
        <v>18259</v>
      </c>
      <c r="F38" s="35">
        <v>21409</v>
      </c>
      <c r="G38" s="35">
        <v>22291</v>
      </c>
      <c r="H38" s="35">
        <v>23506</v>
      </c>
      <c r="I38" s="35">
        <v>22956</v>
      </c>
      <c r="J38" s="35">
        <v>23364</v>
      </c>
      <c r="K38" s="35">
        <v>22803</v>
      </c>
      <c r="L38" s="35">
        <v>22589</v>
      </c>
      <c r="M38" s="36">
        <f t="shared" si="10"/>
        <v>1.99</v>
      </c>
      <c r="N38" s="37">
        <f t="shared" si="11"/>
        <v>-0.99</v>
      </c>
      <c r="O38" s="818"/>
      <c r="P38" s="60" t="s">
        <v>141</v>
      </c>
      <c r="Q38" s="61"/>
      <c r="R38" s="61"/>
      <c r="S38" s="61"/>
      <c r="T38" s="61"/>
      <c r="U38" s="62"/>
    </row>
    <row r="39" spans="1:21" ht="12" customHeight="1">
      <c r="A39" s="828"/>
      <c r="B39" s="10" t="s">
        <v>240</v>
      </c>
      <c r="C39" s="812">
        <v>35958</v>
      </c>
      <c r="D39" s="812">
        <v>39104</v>
      </c>
      <c r="E39" s="812">
        <v>43688</v>
      </c>
      <c r="F39" s="812">
        <v>45851</v>
      </c>
      <c r="G39" s="812">
        <v>46083</v>
      </c>
      <c r="H39" s="812">
        <v>45648</v>
      </c>
      <c r="I39" s="812">
        <v>45781</v>
      </c>
      <c r="J39" s="812">
        <v>46305</v>
      </c>
      <c r="K39" s="812">
        <v>50808</v>
      </c>
      <c r="L39" s="35">
        <v>17710</v>
      </c>
      <c r="M39" s="822">
        <f>ROUND((((L39+L40)/C39)^(1/9)-1)*100,2)</f>
        <v>4.3</v>
      </c>
      <c r="N39" s="820">
        <f>ROUND((((L39+L40)/H39)^(1/4)-1)*100,2)</f>
        <v>3.57</v>
      </c>
      <c r="O39" s="818"/>
      <c r="P39" s="60" t="s">
        <v>241</v>
      </c>
      <c r="Q39" s="61"/>
      <c r="R39" s="61"/>
      <c r="S39" s="61"/>
      <c r="T39" s="61"/>
      <c r="U39" s="62"/>
    </row>
    <row r="40" spans="1:21" ht="12" customHeight="1">
      <c r="A40" s="828"/>
      <c r="B40" s="10" t="s">
        <v>242</v>
      </c>
      <c r="C40" s="812"/>
      <c r="D40" s="812"/>
      <c r="E40" s="812"/>
      <c r="F40" s="812"/>
      <c r="G40" s="812"/>
      <c r="H40" s="812"/>
      <c r="I40" s="812"/>
      <c r="J40" s="812"/>
      <c r="K40" s="812"/>
      <c r="L40" s="35">
        <v>34819</v>
      </c>
      <c r="M40" s="822"/>
      <c r="N40" s="820"/>
      <c r="O40" s="818"/>
      <c r="P40" s="60" t="s">
        <v>243</v>
      </c>
      <c r="Q40" s="61"/>
      <c r="R40" s="61"/>
      <c r="S40" s="61"/>
      <c r="T40" s="61"/>
      <c r="U40" s="62"/>
    </row>
    <row r="41" spans="1:21" ht="12" customHeight="1">
      <c r="A41" s="828"/>
      <c r="B41" s="10" t="s">
        <v>146</v>
      </c>
      <c r="C41" s="35">
        <v>20748</v>
      </c>
      <c r="D41" s="35">
        <v>23059</v>
      </c>
      <c r="E41" s="35">
        <v>22594</v>
      </c>
      <c r="F41" s="35">
        <v>22625</v>
      </c>
      <c r="G41" s="35">
        <v>22493</v>
      </c>
      <c r="H41" s="35">
        <v>21297</v>
      </c>
      <c r="I41" s="35">
        <v>21130</v>
      </c>
      <c r="J41" s="35">
        <v>21699</v>
      </c>
      <c r="K41" s="35">
        <v>25298</v>
      </c>
      <c r="L41" s="35">
        <v>29660</v>
      </c>
      <c r="M41" s="36">
        <f>ROUND(((L41/C41)^(1/9)-1)*100,2)</f>
        <v>4.05</v>
      </c>
      <c r="N41" s="37">
        <f>ROUND(((L41/H41)^(1/4)-1)*100,2)</f>
        <v>8.6300000000000008</v>
      </c>
      <c r="O41" s="818"/>
      <c r="P41" s="60" t="s">
        <v>146</v>
      </c>
      <c r="Q41" s="61"/>
      <c r="R41" s="61"/>
      <c r="S41" s="61"/>
      <c r="T41" s="61"/>
      <c r="U41" s="62"/>
    </row>
    <row r="42" spans="1:21" ht="12" customHeight="1">
      <c r="A42" s="829"/>
      <c r="B42" s="12" t="s">
        <v>147</v>
      </c>
      <c r="C42" s="53">
        <v>26622</v>
      </c>
      <c r="D42" s="53">
        <v>26266</v>
      </c>
      <c r="E42" s="53">
        <v>27456</v>
      </c>
      <c r="F42" s="53">
        <v>27854</v>
      </c>
      <c r="G42" s="53">
        <v>27944</v>
      </c>
      <c r="H42" s="53">
        <v>28624</v>
      </c>
      <c r="I42" s="53">
        <v>31128</v>
      </c>
      <c r="J42" s="53">
        <v>32023</v>
      </c>
      <c r="K42" s="53">
        <v>32140</v>
      </c>
      <c r="L42" s="53">
        <v>32419</v>
      </c>
      <c r="M42" s="54">
        <f>ROUND(((L42/C42)^(1/9)-1)*100,2)</f>
        <v>2.21</v>
      </c>
      <c r="N42" s="55">
        <f>ROUND(((L42/H42)^(1/4)-1)*100,2)</f>
        <v>3.16</v>
      </c>
      <c r="O42" s="819"/>
      <c r="P42" s="63" t="s">
        <v>147</v>
      </c>
      <c r="Q42" s="64"/>
      <c r="R42" s="64"/>
      <c r="S42" s="64"/>
      <c r="T42" s="64"/>
      <c r="U42" s="65"/>
    </row>
    <row r="43" spans="1:21" ht="12" customHeight="1"/>
    <row r="44" spans="1:21" ht="13.5" customHeight="1">
      <c r="B44" s="66" t="s">
        <v>244</v>
      </c>
      <c r="C44" s="67">
        <v>373392</v>
      </c>
    </row>
    <row r="48" spans="1:21" ht="13.5" customHeight="1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</sheetData>
  <mergeCells count="43">
    <mergeCell ref="K39:K40"/>
    <mergeCell ref="J39:J40"/>
    <mergeCell ref="E21:E23"/>
    <mergeCell ref="C21:C23"/>
    <mergeCell ref="C39:C40"/>
    <mergeCell ref="H22:H23"/>
    <mergeCell ref="A25:A42"/>
    <mergeCell ref="A13:A24"/>
    <mergeCell ref="I39:I40"/>
    <mergeCell ref="H39:H40"/>
    <mergeCell ref="G39:G40"/>
    <mergeCell ref="A4:B5"/>
    <mergeCell ref="N22:N23"/>
    <mergeCell ref="M21:M23"/>
    <mergeCell ref="H4:H5"/>
    <mergeCell ref="G4:G5"/>
    <mergeCell ref="A6:B6"/>
    <mergeCell ref="A8:B8"/>
    <mergeCell ref="A7:B7"/>
    <mergeCell ref="A9:B9"/>
    <mergeCell ref="L4:L5"/>
    <mergeCell ref="K4:K5"/>
    <mergeCell ref="J4:J5"/>
    <mergeCell ref="I4:I5"/>
    <mergeCell ref="J22:J23"/>
    <mergeCell ref="I22:I23"/>
    <mergeCell ref="G21:G23"/>
    <mergeCell ref="O4:P4"/>
    <mergeCell ref="O6:P6"/>
    <mergeCell ref="O13:O24"/>
    <mergeCell ref="O25:O42"/>
    <mergeCell ref="N39:N40"/>
    <mergeCell ref="M4:N4"/>
    <mergeCell ref="M39:M40"/>
    <mergeCell ref="D4:D5"/>
    <mergeCell ref="C4:C5"/>
    <mergeCell ref="F4:F5"/>
    <mergeCell ref="E4:E5"/>
    <mergeCell ref="F39:F40"/>
    <mergeCell ref="D21:D23"/>
    <mergeCell ref="D39:D40"/>
    <mergeCell ref="E39:E40"/>
    <mergeCell ref="F21:F23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442"/>
  <sheetViews>
    <sheetView showGridLines="0" view="pageBreakPreview" topLeftCell="A250" workbookViewId="0">
      <selection activeCell="E432" sqref="E432"/>
    </sheetView>
  </sheetViews>
  <sheetFormatPr defaultRowHeight="24.6" customHeight="1"/>
  <cols>
    <col min="1" max="1" width="7.44140625" style="68" customWidth="1"/>
    <col min="2" max="2" width="8.44140625" style="68" customWidth="1"/>
    <col min="3" max="3" width="7.77734375" style="68" customWidth="1"/>
    <col min="4" max="4" width="5.77734375" style="68" customWidth="1"/>
    <col min="5" max="6" width="8.44140625" style="68" customWidth="1"/>
    <col min="7" max="7" width="5.77734375" style="68" customWidth="1"/>
    <col min="8" max="12" width="7.77734375" style="68" customWidth="1"/>
    <col min="13" max="16384" width="8.88671875" style="68"/>
  </cols>
  <sheetData>
    <row r="1" spans="1:12" ht="24.6" customHeight="1">
      <c r="A1" s="17" t="s">
        <v>107</v>
      </c>
    </row>
    <row r="2" spans="1:12" s="69" customFormat="1" ht="24.6" customHeight="1">
      <c r="A2" s="844" t="s">
        <v>245</v>
      </c>
      <c r="B2" s="847" t="s">
        <v>246</v>
      </c>
      <c r="C2" s="848"/>
      <c r="D2" s="848"/>
      <c r="E2" s="848"/>
      <c r="F2" s="848"/>
      <c r="G2" s="848"/>
      <c r="H2" s="848"/>
      <c r="I2" s="848"/>
      <c r="J2" s="848"/>
      <c r="K2" s="848"/>
      <c r="L2" s="849"/>
    </row>
    <row r="3" spans="1:12" s="69" customFormat="1" ht="24.6" customHeight="1">
      <c r="A3" s="845"/>
      <c r="B3" s="850" t="s">
        <v>247</v>
      </c>
      <c r="C3" s="851"/>
      <c r="D3" s="852"/>
      <c r="E3" s="850" t="s">
        <v>248</v>
      </c>
      <c r="F3" s="851"/>
      <c r="G3" s="852"/>
      <c r="H3" s="853" t="s">
        <v>249</v>
      </c>
      <c r="I3" s="854"/>
      <c r="J3" s="854"/>
      <c r="K3" s="854"/>
      <c r="L3" s="855"/>
    </row>
    <row r="4" spans="1:12" s="69" customFormat="1" ht="24.6" customHeight="1">
      <c r="A4" s="846"/>
      <c r="B4" s="70" t="s">
        <v>250</v>
      </c>
      <c r="C4" s="71" t="s">
        <v>251</v>
      </c>
      <c r="D4" s="71" t="s">
        <v>252</v>
      </c>
      <c r="E4" s="70" t="s">
        <v>250</v>
      </c>
      <c r="F4" s="71" t="s">
        <v>251</v>
      </c>
      <c r="G4" s="71" t="s">
        <v>252</v>
      </c>
      <c r="H4" s="856"/>
      <c r="I4" s="857"/>
      <c r="J4" s="857"/>
      <c r="K4" s="857"/>
      <c r="L4" s="858"/>
    </row>
    <row r="5" spans="1:12" s="80" customFormat="1" ht="24.6" customHeight="1">
      <c r="A5" s="72">
        <f>'[14]1.과거인구'!$C$2</f>
        <v>1998</v>
      </c>
      <c r="B5" s="73"/>
      <c r="C5" s="73"/>
      <c r="D5" s="73"/>
      <c r="E5" s="74">
        <f>'1.과거인구'!C6</f>
        <v>386517</v>
      </c>
      <c r="F5" s="75">
        <v>0</v>
      </c>
      <c r="G5" s="76">
        <v>0</v>
      </c>
      <c r="H5" s="77"/>
      <c r="I5" s="78"/>
      <c r="J5" s="78"/>
      <c r="K5" s="78"/>
      <c r="L5" s="79"/>
    </row>
    <row r="6" spans="1:12" s="80" customFormat="1" ht="24.6" customHeight="1">
      <c r="A6" s="81">
        <f>'[14]1.과거인구'!$D$2</f>
        <v>1999</v>
      </c>
      <c r="B6" s="82"/>
      <c r="C6" s="82"/>
      <c r="D6" s="82"/>
      <c r="E6" s="83">
        <f>'1.과거인구'!D6</f>
        <v>406052</v>
      </c>
      <c r="F6" s="84">
        <f t="shared" ref="F6:F14" si="0">(E6-E5)</f>
        <v>19535</v>
      </c>
      <c r="G6" s="85">
        <f t="shared" ref="G6:G14" si="1">ROUND(F6/E5*100,3)</f>
        <v>5.0540000000000003</v>
      </c>
      <c r="H6" s="77"/>
      <c r="I6" s="78"/>
      <c r="J6" s="78"/>
      <c r="K6" s="78"/>
      <c r="L6" s="79"/>
    </row>
    <row r="7" spans="1:12" s="80" customFormat="1" ht="24.6" customHeight="1">
      <c r="A7" s="81">
        <f>'[14]1.과거인구'!$E$2</f>
        <v>2000</v>
      </c>
      <c r="B7" s="82"/>
      <c r="C7" s="82"/>
      <c r="D7" s="82"/>
      <c r="E7" s="83">
        <f>'1.과거인구'!E6</f>
        <v>425135</v>
      </c>
      <c r="F7" s="84">
        <f t="shared" si="0"/>
        <v>19083</v>
      </c>
      <c r="G7" s="85">
        <f t="shared" si="1"/>
        <v>4.7</v>
      </c>
      <c r="H7" s="77"/>
      <c r="I7" s="78"/>
      <c r="J7" s="78"/>
      <c r="K7" s="78"/>
      <c r="L7" s="79"/>
    </row>
    <row r="8" spans="1:12" s="80" customFormat="1" ht="24.6" customHeight="1">
      <c r="A8" s="81">
        <f>'[14]1.과거인구'!$F$2</f>
        <v>2001</v>
      </c>
      <c r="B8" s="82"/>
      <c r="C8" s="82"/>
      <c r="D8" s="82"/>
      <c r="E8" s="83">
        <f>'1.과거인구'!F6</f>
        <v>436708</v>
      </c>
      <c r="F8" s="84">
        <f t="shared" si="0"/>
        <v>11573</v>
      </c>
      <c r="G8" s="85">
        <f t="shared" si="1"/>
        <v>2.722</v>
      </c>
      <c r="H8" s="77"/>
      <c r="I8" s="78"/>
      <c r="J8" s="78"/>
      <c r="K8" s="78"/>
      <c r="L8" s="79"/>
    </row>
    <row r="9" spans="1:12" s="80" customFormat="1" ht="24.6" customHeight="1">
      <c r="A9" s="81">
        <f>'[14]1.과거인구'!$G$2</f>
        <v>2002</v>
      </c>
      <c r="B9" s="82"/>
      <c r="C9" s="82"/>
      <c r="D9" s="82"/>
      <c r="E9" s="83">
        <f>'1.과거인구'!G6</f>
        <v>445485</v>
      </c>
      <c r="F9" s="84">
        <f t="shared" si="0"/>
        <v>8777</v>
      </c>
      <c r="G9" s="85">
        <f t="shared" si="1"/>
        <v>2.0099999999999998</v>
      </c>
      <c r="H9" s="77"/>
      <c r="I9" s="78"/>
      <c r="J9" s="78"/>
      <c r="K9" s="78"/>
      <c r="L9" s="79"/>
    </row>
    <row r="10" spans="1:12" s="80" customFormat="1" ht="24.6" customHeight="1">
      <c r="A10" s="81">
        <f>'[14]1.과거인구'!$H$2</f>
        <v>2003</v>
      </c>
      <c r="B10" s="82">
        <f>'1.과거인구'!H6</f>
        <v>462714</v>
      </c>
      <c r="C10" s="84">
        <v>0</v>
      </c>
      <c r="D10" s="85">
        <v>0</v>
      </c>
      <c r="E10" s="83">
        <f>'1.과거인구'!H6</f>
        <v>462714</v>
      </c>
      <c r="F10" s="84">
        <f t="shared" si="0"/>
        <v>17229</v>
      </c>
      <c r="G10" s="85">
        <f t="shared" si="1"/>
        <v>3.867</v>
      </c>
      <c r="H10" s="77"/>
      <c r="I10" s="78"/>
      <c r="J10" s="78"/>
      <c r="K10" s="78"/>
      <c r="L10" s="79"/>
    </row>
    <row r="11" spans="1:12" s="80" customFormat="1" ht="24.6" customHeight="1">
      <c r="A11" s="81">
        <f>'[14]1.과거인구'!$I$2</f>
        <v>2004</v>
      </c>
      <c r="B11" s="82">
        <f>'1.과거인구'!I6</f>
        <v>509744</v>
      </c>
      <c r="C11" s="84">
        <f>(B11-B10)</f>
        <v>47030</v>
      </c>
      <c r="D11" s="85">
        <f>ROUND(C11/B10*100,3)</f>
        <v>10.164</v>
      </c>
      <c r="E11" s="83">
        <f>'1.과거인구'!I6</f>
        <v>509744</v>
      </c>
      <c r="F11" s="84">
        <f t="shared" si="0"/>
        <v>47030</v>
      </c>
      <c r="G11" s="85">
        <f t="shared" si="1"/>
        <v>10.164</v>
      </c>
      <c r="H11" s="77"/>
      <c r="I11" s="78"/>
      <c r="J11" s="78"/>
      <c r="K11" s="78"/>
      <c r="L11" s="79"/>
    </row>
    <row r="12" spans="1:12" s="80" customFormat="1" ht="24.6" customHeight="1">
      <c r="A12" s="81">
        <f>'[14]1.과거인구'!$J$2</f>
        <v>2005</v>
      </c>
      <c r="B12" s="82">
        <f>'1.과거인구'!J6</f>
        <v>518818</v>
      </c>
      <c r="C12" s="84">
        <f>(B12-B11)</f>
        <v>9074</v>
      </c>
      <c r="D12" s="85">
        <f>ROUND(C12/B11*100,3)</f>
        <v>1.78</v>
      </c>
      <c r="E12" s="83">
        <f>'1.과거인구'!J6</f>
        <v>518818</v>
      </c>
      <c r="F12" s="84">
        <f t="shared" si="0"/>
        <v>9074</v>
      </c>
      <c r="G12" s="85">
        <f t="shared" si="1"/>
        <v>1.78</v>
      </c>
      <c r="H12" s="77"/>
      <c r="I12" s="78"/>
      <c r="J12" s="78"/>
      <c r="K12" s="78"/>
      <c r="L12" s="79"/>
    </row>
    <row r="13" spans="1:12" s="80" customFormat="1" ht="24.6" customHeight="1">
      <c r="A13" s="81">
        <f>'[14]1.과거인구'!K$2</f>
        <v>2006</v>
      </c>
      <c r="B13" s="82">
        <f>'1.과거인구'!K6</f>
        <v>531193</v>
      </c>
      <c r="C13" s="84">
        <f>(B13-B12)</f>
        <v>12375</v>
      </c>
      <c r="D13" s="85">
        <f>ROUND(C13/B12*100,3)</f>
        <v>2.3849999999999998</v>
      </c>
      <c r="E13" s="83">
        <f>'1.과거인구'!K6</f>
        <v>531193</v>
      </c>
      <c r="F13" s="84">
        <f t="shared" si="0"/>
        <v>12375</v>
      </c>
      <c r="G13" s="85">
        <f t="shared" si="1"/>
        <v>2.3849999999999998</v>
      </c>
      <c r="H13" s="77"/>
      <c r="I13" s="78"/>
      <c r="J13" s="78"/>
      <c r="K13" s="78"/>
      <c r="L13" s="79"/>
    </row>
    <row r="14" spans="1:12" s="80" customFormat="1" ht="24.6" customHeight="1">
      <c r="A14" s="81">
        <f>'[14]1.과거인구'!$L$2</f>
        <v>2007</v>
      </c>
      <c r="B14" s="82">
        <f>'1.과거인구'!L6</f>
        <v>540742</v>
      </c>
      <c r="C14" s="84">
        <f>(B14-B13)</f>
        <v>9549</v>
      </c>
      <c r="D14" s="85">
        <f>ROUND(C14/B13*100,3)</f>
        <v>1.798</v>
      </c>
      <c r="E14" s="83">
        <f>'1.과거인구'!L6</f>
        <v>540742</v>
      </c>
      <c r="F14" s="84">
        <f t="shared" si="0"/>
        <v>9549</v>
      </c>
      <c r="G14" s="85">
        <f t="shared" si="1"/>
        <v>1.798</v>
      </c>
      <c r="H14" s="77"/>
      <c r="I14" s="78"/>
      <c r="J14" s="78"/>
      <c r="K14" s="78"/>
      <c r="L14" s="79"/>
    </row>
    <row r="15" spans="1:12" s="80" customFormat="1" ht="24.6" customHeight="1">
      <c r="A15" s="86" t="s">
        <v>253</v>
      </c>
      <c r="B15" s="87"/>
      <c r="C15" s="88">
        <f>SUM(C10:C14)</f>
        <v>78028</v>
      </c>
      <c r="D15" s="89">
        <f>ROUND(((B14/B10)^(1/4)-1)*100,2)</f>
        <v>3.97</v>
      </c>
      <c r="E15" s="87"/>
      <c r="F15" s="88">
        <f>SUM(F5:F14)</f>
        <v>154225</v>
      </c>
      <c r="G15" s="89">
        <f>ROUND(((E14/E5)^(1/9)-1)*100,2)</f>
        <v>3.8</v>
      </c>
      <c r="H15" s="832"/>
      <c r="I15" s="832"/>
      <c r="J15" s="832"/>
      <c r="K15" s="832"/>
      <c r="L15" s="833"/>
    </row>
    <row r="16" spans="1:12" s="80" customFormat="1" ht="24.6" customHeight="1">
      <c r="A16" s="834" t="s">
        <v>254</v>
      </c>
      <c r="B16" s="835"/>
      <c r="C16" s="836"/>
      <c r="D16" s="840" t="s">
        <v>255</v>
      </c>
      <c r="E16" s="840"/>
      <c r="F16" s="840"/>
      <c r="G16" s="840"/>
      <c r="H16" s="840"/>
      <c r="I16" s="840"/>
      <c r="J16" s="840"/>
      <c r="K16" s="840"/>
      <c r="L16" s="841"/>
    </row>
    <row r="17" spans="1:14" s="80" customFormat="1" ht="24.6" customHeight="1">
      <c r="A17" s="837"/>
      <c r="B17" s="838"/>
      <c r="C17" s="839"/>
      <c r="D17" s="842"/>
      <c r="E17" s="842"/>
      <c r="F17" s="842"/>
      <c r="G17" s="842"/>
      <c r="H17" s="842"/>
      <c r="I17" s="842"/>
      <c r="J17" s="842"/>
      <c r="K17" s="842"/>
      <c r="L17" s="843"/>
      <c r="N17" s="90"/>
    </row>
    <row r="18" spans="1:14" s="80" customFormat="1" ht="24.6" customHeight="1">
      <c r="A18" s="91"/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2"/>
      <c r="N18" s="90"/>
    </row>
    <row r="19" spans="1:14" s="69" customFormat="1" ht="24.6" customHeight="1">
      <c r="A19" s="844" t="s">
        <v>256</v>
      </c>
      <c r="B19" s="847" t="str">
        <f>'[14]과거인구 (2)'!C3</f>
        <v>성환읍</v>
      </c>
      <c r="C19" s="848"/>
      <c r="D19" s="848"/>
      <c r="E19" s="848"/>
      <c r="F19" s="848"/>
      <c r="G19" s="848"/>
      <c r="H19" s="848"/>
      <c r="I19" s="848"/>
      <c r="J19" s="848"/>
      <c r="K19" s="848"/>
      <c r="L19" s="849"/>
    </row>
    <row r="20" spans="1:14" s="69" customFormat="1" ht="24.6" customHeight="1">
      <c r="A20" s="845"/>
      <c r="B20" s="850" t="s">
        <v>247</v>
      </c>
      <c r="C20" s="851"/>
      <c r="D20" s="852"/>
      <c r="E20" s="850" t="s">
        <v>248</v>
      </c>
      <c r="F20" s="851"/>
      <c r="G20" s="852"/>
      <c r="H20" s="853" t="s">
        <v>249</v>
      </c>
      <c r="I20" s="854"/>
      <c r="J20" s="854"/>
      <c r="K20" s="854"/>
      <c r="L20" s="855"/>
    </row>
    <row r="21" spans="1:14" s="69" customFormat="1" ht="24.6" customHeight="1">
      <c r="A21" s="846"/>
      <c r="B21" s="70" t="s">
        <v>250</v>
      </c>
      <c r="C21" s="71" t="s">
        <v>251</v>
      </c>
      <c r="D21" s="71" t="s">
        <v>252</v>
      </c>
      <c r="E21" s="70" t="s">
        <v>250</v>
      </c>
      <c r="F21" s="71" t="s">
        <v>251</v>
      </c>
      <c r="G21" s="71" t="s">
        <v>252</v>
      </c>
      <c r="H21" s="856"/>
      <c r="I21" s="857"/>
      <c r="J21" s="857"/>
      <c r="K21" s="857"/>
      <c r="L21" s="858"/>
    </row>
    <row r="22" spans="1:14" s="80" customFormat="1" ht="24.6" customHeight="1">
      <c r="A22" s="72">
        <f>'[14]1.과거인구'!$C$2</f>
        <v>1998</v>
      </c>
      <c r="B22" s="73"/>
      <c r="C22" s="73"/>
      <c r="D22" s="73"/>
      <c r="E22" s="74">
        <f>'[14]과거인구 (2)'!C4</f>
        <v>27049</v>
      </c>
      <c r="F22" s="75">
        <v>0</v>
      </c>
      <c r="G22" s="76">
        <v>0</v>
      </c>
      <c r="H22" s="77"/>
      <c r="I22" s="78"/>
      <c r="J22" s="78"/>
      <c r="K22" s="78"/>
      <c r="L22" s="79"/>
    </row>
    <row r="23" spans="1:14" s="80" customFormat="1" ht="24.6" customHeight="1">
      <c r="A23" s="81">
        <f>'[14]1.과거인구'!$D$2</f>
        <v>1999</v>
      </c>
      <c r="B23" s="82"/>
      <c r="C23" s="82"/>
      <c r="D23" s="82"/>
      <c r="E23" s="83">
        <f>'[14]과거인구 (2)'!C5</f>
        <v>28119</v>
      </c>
      <c r="F23" s="84">
        <f t="shared" ref="F23:F31" si="2">(E23-E22)</f>
        <v>1070</v>
      </c>
      <c r="G23" s="85">
        <f t="shared" ref="G23:G31" si="3">ROUND(F23/E22*100,3)</f>
        <v>3.956</v>
      </c>
      <c r="H23" s="77"/>
      <c r="I23" s="78"/>
      <c r="J23" s="78"/>
      <c r="K23" s="78"/>
      <c r="L23" s="79"/>
    </row>
    <row r="24" spans="1:14" s="80" customFormat="1" ht="24.6" customHeight="1">
      <c r="A24" s="81">
        <f>'[14]1.과거인구'!$E$2</f>
        <v>2000</v>
      </c>
      <c r="B24" s="82"/>
      <c r="C24" s="82"/>
      <c r="D24" s="82"/>
      <c r="E24" s="83">
        <f>'[14]과거인구 (2)'!C6</f>
        <v>27899</v>
      </c>
      <c r="F24" s="84">
        <f t="shared" si="2"/>
        <v>-220</v>
      </c>
      <c r="G24" s="85">
        <f t="shared" si="3"/>
        <v>-0.78200000000000003</v>
      </c>
      <c r="H24" s="77"/>
      <c r="I24" s="78"/>
      <c r="J24" s="78"/>
      <c r="K24" s="78"/>
      <c r="L24" s="79"/>
    </row>
    <row r="25" spans="1:14" s="80" customFormat="1" ht="24.6" customHeight="1">
      <c r="A25" s="81">
        <f>'[14]1.과거인구'!$F$2</f>
        <v>2001</v>
      </c>
      <c r="B25" s="82"/>
      <c r="C25" s="82"/>
      <c r="D25" s="82"/>
      <c r="E25" s="83">
        <f>'[14]과거인구 (2)'!C7</f>
        <v>29614</v>
      </c>
      <c r="F25" s="84">
        <f t="shared" si="2"/>
        <v>1715</v>
      </c>
      <c r="G25" s="85">
        <f t="shared" si="3"/>
        <v>6.1470000000000002</v>
      </c>
      <c r="H25" s="77"/>
      <c r="I25" s="78"/>
      <c r="J25" s="78"/>
      <c r="K25" s="78"/>
      <c r="L25" s="79"/>
    </row>
    <row r="26" spans="1:14" s="80" customFormat="1" ht="24.6" customHeight="1">
      <c r="A26" s="81">
        <f>'[14]1.과거인구'!$G$2</f>
        <v>2002</v>
      </c>
      <c r="B26" s="82"/>
      <c r="C26" s="82"/>
      <c r="D26" s="82"/>
      <c r="E26" s="83">
        <f>'[14]과거인구 (2)'!C8</f>
        <v>29474</v>
      </c>
      <c r="F26" s="84">
        <f t="shared" si="2"/>
        <v>-140</v>
      </c>
      <c r="G26" s="85">
        <f t="shared" si="3"/>
        <v>-0.47299999999999998</v>
      </c>
      <c r="H26" s="77"/>
      <c r="I26" s="78"/>
      <c r="J26" s="78"/>
      <c r="K26" s="78"/>
      <c r="L26" s="79"/>
    </row>
    <row r="27" spans="1:14" s="80" customFormat="1" ht="24.6" customHeight="1">
      <c r="A27" s="81">
        <f>'[14]1.과거인구'!$H$2</f>
        <v>2003</v>
      </c>
      <c r="B27" s="82">
        <f>E27</f>
        <v>29563</v>
      </c>
      <c r="C27" s="84">
        <v>0</v>
      </c>
      <c r="D27" s="85">
        <v>0</v>
      </c>
      <c r="E27" s="83">
        <f>'[14]과거인구 (2)'!C9</f>
        <v>29563</v>
      </c>
      <c r="F27" s="84">
        <f t="shared" si="2"/>
        <v>89</v>
      </c>
      <c r="G27" s="85">
        <f t="shared" si="3"/>
        <v>0.30199999999999999</v>
      </c>
      <c r="H27" s="77"/>
      <c r="I27" s="78"/>
      <c r="J27" s="78"/>
      <c r="K27" s="78"/>
      <c r="L27" s="79"/>
    </row>
    <row r="28" spans="1:14" s="80" customFormat="1" ht="24.6" customHeight="1">
      <c r="A28" s="81">
        <f>'[14]1.과거인구'!$I$2</f>
        <v>2004</v>
      </c>
      <c r="B28" s="82">
        <f>E28</f>
        <v>30906</v>
      </c>
      <c r="C28" s="84">
        <f>(B28-B27)</f>
        <v>1343</v>
      </c>
      <c r="D28" s="85">
        <f>ROUND(C28/B27*100,3)</f>
        <v>4.5430000000000001</v>
      </c>
      <c r="E28" s="83">
        <f>'[14]과거인구 (2)'!C10</f>
        <v>30906</v>
      </c>
      <c r="F28" s="84">
        <f t="shared" si="2"/>
        <v>1343</v>
      </c>
      <c r="G28" s="85">
        <f t="shared" si="3"/>
        <v>4.5430000000000001</v>
      </c>
      <c r="H28" s="77"/>
      <c r="I28" s="78"/>
      <c r="J28" s="78"/>
      <c r="K28" s="78"/>
      <c r="L28" s="79"/>
    </row>
    <row r="29" spans="1:14" s="80" customFormat="1" ht="24.6" customHeight="1">
      <c r="A29" s="81">
        <f>'[14]1.과거인구'!$J$2</f>
        <v>2005</v>
      </c>
      <c r="B29" s="82">
        <f>E29</f>
        <v>30696</v>
      </c>
      <c r="C29" s="84">
        <f>(B29-B28)</f>
        <v>-210</v>
      </c>
      <c r="D29" s="85">
        <f>ROUND(C29/B28*100,3)</f>
        <v>-0.67900000000000005</v>
      </c>
      <c r="E29" s="83">
        <f>'[14]과거인구 (2)'!C11</f>
        <v>30696</v>
      </c>
      <c r="F29" s="84">
        <f t="shared" si="2"/>
        <v>-210</v>
      </c>
      <c r="G29" s="85">
        <f t="shared" si="3"/>
        <v>-0.67900000000000005</v>
      </c>
      <c r="H29" s="77"/>
      <c r="I29" s="78"/>
      <c r="J29" s="78"/>
      <c r="K29" s="78"/>
      <c r="L29" s="79"/>
    </row>
    <row r="30" spans="1:14" s="80" customFormat="1" ht="24.6" customHeight="1">
      <c r="A30" s="81">
        <f>'[14]1.과거인구'!K$2</f>
        <v>2006</v>
      </c>
      <c r="B30" s="82">
        <f>E30</f>
        <v>30656</v>
      </c>
      <c r="C30" s="84">
        <f>(B30-B29)</f>
        <v>-40</v>
      </c>
      <c r="D30" s="85">
        <f>ROUND(C30/B29*100,3)</f>
        <v>-0.13</v>
      </c>
      <c r="E30" s="83">
        <f>'[14]과거인구 (2)'!C12</f>
        <v>30656</v>
      </c>
      <c r="F30" s="84">
        <f t="shared" si="2"/>
        <v>-40</v>
      </c>
      <c r="G30" s="85">
        <f t="shared" si="3"/>
        <v>-0.13</v>
      </c>
      <c r="H30" s="77"/>
      <c r="I30" s="78"/>
      <c r="J30" s="78"/>
      <c r="K30" s="78"/>
      <c r="L30" s="79"/>
    </row>
    <row r="31" spans="1:14" s="80" customFormat="1" ht="24.6" customHeight="1">
      <c r="A31" s="81">
        <f>'[14]1.과거인구'!$L$2</f>
        <v>2007</v>
      </c>
      <c r="B31" s="82">
        <f>E31</f>
        <v>30579</v>
      </c>
      <c r="C31" s="84">
        <f>(B31-B30)</f>
        <v>-77</v>
      </c>
      <c r="D31" s="85">
        <f>ROUND(C31/B30*100,3)</f>
        <v>-0.251</v>
      </c>
      <c r="E31" s="83">
        <f>'[14]과거인구 (2)'!C13</f>
        <v>30579</v>
      </c>
      <c r="F31" s="84">
        <f t="shared" si="2"/>
        <v>-77</v>
      </c>
      <c r="G31" s="85">
        <f t="shared" si="3"/>
        <v>-0.251</v>
      </c>
      <c r="H31" s="77"/>
      <c r="I31" s="78"/>
      <c r="J31" s="78"/>
      <c r="K31" s="78"/>
      <c r="L31" s="79"/>
    </row>
    <row r="32" spans="1:14" s="80" customFormat="1" ht="24.6" customHeight="1">
      <c r="A32" s="86" t="s">
        <v>253</v>
      </c>
      <c r="B32" s="87"/>
      <c r="C32" s="88">
        <f>SUM(C27:C31)</f>
        <v>1016</v>
      </c>
      <c r="D32" s="89">
        <f>ROUND(((B31/B27)^(1/4)-1)*100,2)</f>
        <v>0.85</v>
      </c>
      <c r="E32" s="87"/>
      <c r="F32" s="88">
        <f>SUM(F22:F31)</f>
        <v>3530</v>
      </c>
      <c r="G32" s="89">
        <f>ROUND(((E31/E22)^(1/9)-1)*100,2)</f>
        <v>1.37</v>
      </c>
      <c r="H32" s="832"/>
      <c r="I32" s="832"/>
      <c r="J32" s="832"/>
      <c r="K32" s="832"/>
      <c r="L32" s="833"/>
    </row>
    <row r="33" spans="1:14" s="80" customFormat="1" ht="24.6" customHeight="1">
      <c r="A33" s="834" t="s">
        <v>254</v>
      </c>
      <c r="B33" s="835"/>
      <c r="C33" s="836"/>
      <c r="D33" s="840" t="s">
        <v>257</v>
      </c>
      <c r="E33" s="840"/>
      <c r="F33" s="840"/>
      <c r="G33" s="840"/>
      <c r="H33" s="840"/>
      <c r="I33" s="840"/>
      <c r="J33" s="840"/>
      <c r="K33" s="840"/>
      <c r="L33" s="841"/>
    </row>
    <row r="34" spans="1:14" s="80" customFormat="1" ht="24.6" customHeight="1">
      <c r="A34" s="837"/>
      <c r="B34" s="838"/>
      <c r="C34" s="839"/>
      <c r="D34" s="842"/>
      <c r="E34" s="842"/>
      <c r="F34" s="842"/>
      <c r="G34" s="842"/>
      <c r="H34" s="842"/>
      <c r="I34" s="842"/>
      <c r="J34" s="842"/>
      <c r="K34" s="842"/>
      <c r="L34" s="843"/>
      <c r="N34" s="90"/>
    </row>
    <row r="35" spans="1:14" s="80" customFormat="1" ht="24.6" customHeight="1">
      <c r="G35" s="93"/>
    </row>
    <row r="36" spans="1:14" s="69" customFormat="1" ht="24.6" customHeight="1">
      <c r="A36" s="844" t="s">
        <v>256</v>
      </c>
      <c r="B36" s="847" t="str">
        <f>'[14]과거인구 (2)'!D3</f>
        <v>성거읍</v>
      </c>
      <c r="C36" s="848"/>
      <c r="D36" s="848"/>
      <c r="E36" s="848"/>
      <c r="F36" s="848"/>
      <c r="G36" s="848"/>
      <c r="H36" s="848"/>
      <c r="I36" s="848"/>
      <c r="J36" s="848"/>
      <c r="K36" s="848"/>
      <c r="L36" s="849"/>
    </row>
    <row r="37" spans="1:14" s="69" customFormat="1" ht="24.6" customHeight="1">
      <c r="A37" s="845"/>
      <c r="B37" s="850" t="s">
        <v>247</v>
      </c>
      <c r="C37" s="851"/>
      <c r="D37" s="852"/>
      <c r="E37" s="850" t="s">
        <v>248</v>
      </c>
      <c r="F37" s="851"/>
      <c r="G37" s="852"/>
      <c r="H37" s="853" t="s">
        <v>249</v>
      </c>
      <c r="I37" s="854"/>
      <c r="J37" s="854"/>
      <c r="K37" s="854"/>
      <c r="L37" s="855"/>
    </row>
    <row r="38" spans="1:14" s="69" customFormat="1" ht="24.6" customHeight="1">
      <c r="A38" s="846"/>
      <c r="B38" s="70" t="s">
        <v>250</v>
      </c>
      <c r="C38" s="71" t="s">
        <v>251</v>
      </c>
      <c r="D38" s="71" t="s">
        <v>252</v>
      </c>
      <c r="E38" s="70" t="s">
        <v>250</v>
      </c>
      <c r="F38" s="71" t="s">
        <v>251</v>
      </c>
      <c r="G38" s="71" t="s">
        <v>252</v>
      </c>
      <c r="H38" s="856"/>
      <c r="I38" s="857"/>
      <c r="J38" s="857"/>
      <c r="K38" s="857"/>
      <c r="L38" s="858"/>
    </row>
    <row r="39" spans="1:14" s="80" customFormat="1" ht="24.6" customHeight="1">
      <c r="A39" s="72">
        <f>'[14]1.과거인구'!$C$2</f>
        <v>1998</v>
      </c>
      <c r="B39" s="73"/>
      <c r="C39" s="73"/>
      <c r="D39" s="73"/>
      <c r="E39" s="74">
        <f>'[14]과거인구 (2)'!D4</f>
        <v>14115</v>
      </c>
      <c r="F39" s="75">
        <v>0</v>
      </c>
      <c r="G39" s="76">
        <v>0</v>
      </c>
      <c r="H39" s="77"/>
      <c r="I39" s="78"/>
      <c r="J39" s="78"/>
      <c r="K39" s="78"/>
      <c r="L39" s="79"/>
    </row>
    <row r="40" spans="1:14" s="80" customFormat="1" ht="24.6" customHeight="1">
      <c r="A40" s="81">
        <f>'[14]1.과거인구'!$D$2</f>
        <v>1999</v>
      </c>
      <c r="B40" s="82"/>
      <c r="C40" s="82"/>
      <c r="D40" s="82"/>
      <c r="E40" s="83">
        <f>'[14]과거인구 (2)'!D5</f>
        <v>15395</v>
      </c>
      <c r="F40" s="84">
        <f t="shared" ref="F40:F48" si="4">(E40-E39)</f>
        <v>1280</v>
      </c>
      <c r="G40" s="85">
        <f t="shared" ref="G40:G48" si="5">ROUND(F40/E39*100,3)</f>
        <v>9.0679999999999996</v>
      </c>
      <c r="H40" s="77"/>
      <c r="I40" s="78"/>
      <c r="J40" s="78"/>
      <c r="K40" s="78"/>
      <c r="L40" s="79"/>
    </row>
    <row r="41" spans="1:14" s="80" customFormat="1" ht="24.6" customHeight="1">
      <c r="A41" s="81">
        <f>'[14]1.과거인구'!$E$2</f>
        <v>2000</v>
      </c>
      <c r="B41" s="82"/>
      <c r="C41" s="82"/>
      <c r="D41" s="82"/>
      <c r="E41" s="83">
        <f>'[14]과거인구 (2)'!D6</f>
        <v>16666</v>
      </c>
      <c r="F41" s="84">
        <f t="shared" si="4"/>
        <v>1271</v>
      </c>
      <c r="G41" s="85">
        <f t="shared" si="5"/>
        <v>8.2560000000000002</v>
      </c>
      <c r="H41" s="77"/>
      <c r="I41" s="78"/>
      <c r="J41" s="78"/>
      <c r="K41" s="78"/>
      <c r="L41" s="79"/>
    </row>
    <row r="42" spans="1:14" s="80" customFormat="1" ht="24.6" customHeight="1">
      <c r="A42" s="81">
        <f>'[14]1.과거인구'!$F$2</f>
        <v>2001</v>
      </c>
      <c r="B42" s="82"/>
      <c r="C42" s="82"/>
      <c r="D42" s="82"/>
      <c r="E42" s="83">
        <f>'[14]과거인구 (2)'!D7</f>
        <v>17111</v>
      </c>
      <c r="F42" s="84">
        <f t="shared" si="4"/>
        <v>445</v>
      </c>
      <c r="G42" s="85">
        <f t="shared" si="5"/>
        <v>2.67</v>
      </c>
      <c r="H42" s="77"/>
      <c r="I42" s="78"/>
      <c r="J42" s="78"/>
      <c r="K42" s="78"/>
      <c r="L42" s="79"/>
    </row>
    <row r="43" spans="1:14" s="80" customFormat="1" ht="24.6" customHeight="1">
      <c r="A43" s="81">
        <f>'[14]1.과거인구'!$G$2</f>
        <v>2002</v>
      </c>
      <c r="B43" s="82"/>
      <c r="C43" s="82"/>
      <c r="D43" s="82"/>
      <c r="E43" s="83">
        <f>'[14]과거인구 (2)'!D8</f>
        <v>17370</v>
      </c>
      <c r="F43" s="84">
        <f t="shared" si="4"/>
        <v>259</v>
      </c>
      <c r="G43" s="85">
        <f t="shared" si="5"/>
        <v>1.514</v>
      </c>
      <c r="H43" s="77"/>
      <c r="I43" s="78"/>
      <c r="J43" s="78"/>
      <c r="K43" s="78"/>
      <c r="L43" s="79"/>
    </row>
    <row r="44" spans="1:14" s="80" customFormat="1" ht="24.6" customHeight="1">
      <c r="A44" s="81">
        <f>'[14]1.과거인구'!$H$2</f>
        <v>2003</v>
      </c>
      <c r="B44" s="82">
        <f>E44</f>
        <v>18437</v>
      </c>
      <c r="C44" s="84">
        <v>0</v>
      </c>
      <c r="D44" s="85">
        <v>0</v>
      </c>
      <c r="E44" s="83">
        <f>'[14]과거인구 (2)'!D9</f>
        <v>18437</v>
      </c>
      <c r="F44" s="84">
        <f t="shared" si="4"/>
        <v>1067</v>
      </c>
      <c r="G44" s="85">
        <f t="shared" si="5"/>
        <v>6.1429999999999998</v>
      </c>
      <c r="H44" s="77"/>
      <c r="I44" s="78"/>
      <c r="J44" s="78"/>
      <c r="K44" s="78"/>
      <c r="L44" s="79"/>
    </row>
    <row r="45" spans="1:14" s="80" customFormat="1" ht="24.6" customHeight="1">
      <c r="A45" s="81">
        <f>'[14]1.과거인구'!$I$2</f>
        <v>2004</v>
      </c>
      <c r="B45" s="82">
        <f>E45</f>
        <v>19816</v>
      </c>
      <c r="C45" s="84">
        <f>(B45-B44)</f>
        <v>1379</v>
      </c>
      <c r="D45" s="85">
        <f>ROUND(C45/B44*100,3)</f>
        <v>7.48</v>
      </c>
      <c r="E45" s="83">
        <f>'[14]과거인구 (2)'!D10</f>
        <v>19816</v>
      </c>
      <c r="F45" s="84">
        <f t="shared" si="4"/>
        <v>1379</v>
      </c>
      <c r="G45" s="85">
        <f t="shared" si="5"/>
        <v>7.48</v>
      </c>
      <c r="H45" s="77"/>
      <c r="I45" s="78"/>
      <c r="J45" s="78"/>
      <c r="K45" s="78"/>
      <c r="L45" s="79"/>
    </row>
    <row r="46" spans="1:14" s="80" customFormat="1" ht="24.6" customHeight="1">
      <c r="A46" s="81">
        <f>'[14]1.과거인구'!$J$2</f>
        <v>2005</v>
      </c>
      <c r="B46" s="82">
        <f>E46</f>
        <v>20108</v>
      </c>
      <c r="C46" s="84">
        <f>(B46-B45)</f>
        <v>292</v>
      </c>
      <c r="D46" s="85">
        <f>ROUND(C46/B45*100,3)</f>
        <v>1.474</v>
      </c>
      <c r="E46" s="83">
        <f>'[14]과거인구 (2)'!D11</f>
        <v>20108</v>
      </c>
      <c r="F46" s="84">
        <f t="shared" si="4"/>
        <v>292</v>
      </c>
      <c r="G46" s="85">
        <f t="shared" si="5"/>
        <v>1.474</v>
      </c>
      <c r="H46" s="77"/>
      <c r="I46" s="78"/>
      <c r="J46" s="78"/>
      <c r="K46" s="78"/>
      <c r="L46" s="79"/>
    </row>
    <row r="47" spans="1:14" s="80" customFormat="1" ht="24.6" customHeight="1">
      <c r="A47" s="81">
        <f>'[14]1.과거인구'!K$2</f>
        <v>2006</v>
      </c>
      <c r="B47" s="82">
        <f>E47</f>
        <v>21841</v>
      </c>
      <c r="C47" s="84">
        <f>(B47-B46)</f>
        <v>1733</v>
      </c>
      <c r="D47" s="85">
        <f>ROUND(C47/B46*100,3)</f>
        <v>8.6180000000000003</v>
      </c>
      <c r="E47" s="83">
        <f>'[14]과거인구 (2)'!D12</f>
        <v>21841</v>
      </c>
      <c r="F47" s="84">
        <f t="shared" si="4"/>
        <v>1733</v>
      </c>
      <c r="G47" s="85">
        <f t="shared" si="5"/>
        <v>8.6180000000000003</v>
      </c>
      <c r="H47" s="77"/>
      <c r="I47" s="78"/>
      <c r="J47" s="78"/>
      <c r="K47" s="78"/>
      <c r="L47" s="79"/>
    </row>
    <row r="48" spans="1:14" s="80" customFormat="1" ht="24.6" customHeight="1">
      <c r="A48" s="81">
        <f>'[14]1.과거인구'!$L$2</f>
        <v>2007</v>
      </c>
      <c r="B48" s="82">
        <f>E48</f>
        <v>22151</v>
      </c>
      <c r="C48" s="84">
        <f>(B48-B47)</f>
        <v>310</v>
      </c>
      <c r="D48" s="85">
        <f>ROUND(C48/B47*100,3)</f>
        <v>1.419</v>
      </c>
      <c r="E48" s="83">
        <f>'[14]과거인구 (2)'!D13</f>
        <v>22151</v>
      </c>
      <c r="F48" s="84">
        <f t="shared" si="4"/>
        <v>310</v>
      </c>
      <c r="G48" s="85">
        <f t="shared" si="5"/>
        <v>1.419</v>
      </c>
      <c r="H48" s="77"/>
      <c r="I48" s="78"/>
      <c r="J48" s="78"/>
      <c r="K48" s="78"/>
      <c r="L48" s="79"/>
    </row>
    <row r="49" spans="1:14" s="80" customFormat="1" ht="24.6" customHeight="1">
      <c r="A49" s="86" t="s">
        <v>253</v>
      </c>
      <c r="B49" s="87"/>
      <c r="C49" s="88">
        <f>SUM(C44:C48)</f>
        <v>3714</v>
      </c>
      <c r="D49" s="89">
        <f>ROUND(((B48/B44)^(1/4)-1)*100,2)</f>
        <v>4.6900000000000004</v>
      </c>
      <c r="E49" s="87"/>
      <c r="F49" s="88">
        <f>SUM(F39:F48)</f>
        <v>8036</v>
      </c>
      <c r="G49" s="89">
        <f>ROUND(((E48/E39)^(1/9)-1)*100,2)</f>
        <v>5.13</v>
      </c>
      <c r="H49" s="832"/>
      <c r="I49" s="832"/>
      <c r="J49" s="832"/>
      <c r="K49" s="832"/>
      <c r="L49" s="833"/>
    </row>
    <row r="50" spans="1:14" s="80" customFormat="1" ht="24.6" customHeight="1">
      <c r="A50" s="834" t="s">
        <v>254</v>
      </c>
      <c r="B50" s="835"/>
      <c r="C50" s="836"/>
      <c r="D50" s="840" t="s">
        <v>258</v>
      </c>
      <c r="E50" s="840"/>
      <c r="F50" s="840"/>
      <c r="G50" s="840"/>
      <c r="H50" s="840"/>
      <c r="I50" s="840"/>
      <c r="J50" s="840"/>
      <c r="K50" s="840"/>
      <c r="L50" s="841"/>
    </row>
    <row r="51" spans="1:14" s="80" customFormat="1" ht="24.6" customHeight="1">
      <c r="A51" s="837"/>
      <c r="B51" s="838"/>
      <c r="C51" s="839"/>
      <c r="D51" s="842"/>
      <c r="E51" s="842"/>
      <c r="F51" s="842"/>
      <c r="G51" s="842"/>
      <c r="H51" s="842"/>
      <c r="I51" s="842"/>
      <c r="J51" s="842"/>
      <c r="K51" s="842"/>
      <c r="L51" s="843"/>
      <c r="N51" s="90"/>
    </row>
    <row r="52" spans="1:14" s="80" customFormat="1" ht="24.6" customHeight="1">
      <c r="G52" s="93"/>
    </row>
    <row r="53" spans="1:14" s="69" customFormat="1" ht="24.6" customHeight="1">
      <c r="A53" s="844" t="s">
        <v>256</v>
      </c>
      <c r="B53" s="847" t="str">
        <f>'[14]과거인구 (2)'!E3</f>
        <v>직산읍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9"/>
    </row>
    <row r="54" spans="1:14" s="69" customFormat="1" ht="24.6" customHeight="1">
      <c r="A54" s="845"/>
      <c r="B54" s="850" t="s">
        <v>247</v>
      </c>
      <c r="C54" s="851"/>
      <c r="D54" s="852"/>
      <c r="E54" s="850" t="s">
        <v>248</v>
      </c>
      <c r="F54" s="851"/>
      <c r="G54" s="852"/>
      <c r="H54" s="853" t="s">
        <v>249</v>
      </c>
      <c r="I54" s="854"/>
      <c r="J54" s="854"/>
      <c r="K54" s="854"/>
      <c r="L54" s="855"/>
    </row>
    <row r="55" spans="1:14" s="69" customFormat="1" ht="24.6" customHeight="1">
      <c r="A55" s="846"/>
      <c r="B55" s="70" t="s">
        <v>250</v>
      </c>
      <c r="C55" s="71" t="s">
        <v>251</v>
      </c>
      <c r="D55" s="71" t="s">
        <v>252</v>
      </c>
      <c r="E55" s="70" t="s">
        <v>250</v>
      </c>
      <c r="F55" s="71" t="s">
        <v>251</v>
      </c>
      <c r="G55" s="71" t="s">
        <v>252</v>
      </c>
      <c r="H55" s="856"/>
      <c r="I55" s="857"/>
      <c r="J55" s="857"/>
      <c r="K55" s="857"/>
      <c r="L55" s="858"/>
    </row>
    <row r="56" spans="1:14" s="80" customFormat="1" ht="24.6" customHeight="1">
      <c r="A56" s="72">
        <f>'[14]1.과거인구'!$C$2</f>
        <v>1998</v>
      </c>
      <c r="B56" s="73"/>
      <c r="C56" s="73"/>
      <c r="D56" s="73"/>
      <c r="E56" s="74">
        <f>'[14]과거인구 (2)'!E4</f>
        <v>21655</v>
      </c>
      <c r="F56" s="75">
        <v>0</v>
      </c>
      <c r="G56" s="76">
        <v>0</v>
      </c>
      <c r="H56" s="77"/>
      <c r="I56" s="78"/>
      <c r="J56" s="78"/>
      <c r="K56" s="78"/>
      <c r="L56" s="79"/>
    </row>
    <row r="57" spans="1:14" s="80" customFormat="1" ht="24.6" customHeight="1">
      <c r="A57" s="81">
        <f>'[14]1.과거인구'!$D$2</f>
        <v>1999</v>
      </c>
      <c r="B57" s="82"/>
      <c r="C57" s="82"/>
      <c r="D57" s="82"/>
      <c r="E57" s="83">
        <f>'[14]과거인구 (2)'!E5</f>
        <v>23083</v>
      </c>
      <c r="F57" s="84">
        <f t="shared" ref="F57:F65" si="6">(E57-E56)</f>
        <v>1428</v>
      </c>
      <c r="G57" s="85">
        <f t="shared" ref="G57:G65" si="7">ROUND(F57/E56*100,3)</f>
        <v>6.5940000000000003</v>
      </c>
      <c r="H57" s="77"/>
      <c r="I57" s="78"/>
      <c r="J57" s="78"/>
      <c r="K57" s="78"/>
      <c r="L57" s="79"/>
    </row>
    <row r="58" spans="1:14" s="80" customFormat="1" ht="24.6" customHeight="1">
      <c r="A58" s="81">
        <f>'[14]1.과거인구'!$E$2</f>
        <v>2000</v>
      </c>
      <c r="B58" s="82"/>
      <c r="C58" s="82"/>
      <c r="D58" s="82"/>
      <c r="E58" s="83">
        <f>'[14]과거인구 (2)'!E6</f>
        <v>24102</v>
      </c>
      <c r="F58" s="84">
        <f t="shared" si="6"/>
        <v>1019</v>
      </c>
      <c r="G58" s="85">
        <f t="shared" si="7"/>
        <v>4.415</v>
      </c>
      <c r="H58" s="77"/>
      <c r="I58" s="78"/>
      <c r="J58" s="78"/>
      <c r="K58" s="78"/>
      <c r="L58" s="79"/>
    </row>
    <row r="59" spans="1:14" s="80" customFormat="1" ht="24.6" customHeight="1">
      <c r="A59" s="81">
        <f>'[14]1.과거인구'!$F$2</f>
        <v>2001</v>
      </c>
      <c r="B59" s="82"/>
      <c r="C59" s="82"/>
      <c r="D59" s="82"/>
      <c r="E59" s="83">
        <f>'[14]과거인구 (2)'!E7</f>
        <v>24189</v>
      </c>
      <c r="F59" s="84">
        <f t="shared" si="6"/>
        <v>87</v>
      </c>
      <c r="G59" s="85">
        <f t="shared" si="7"/>
        <v>0.36099999999999999</v>
      </c>
      <c r="H59" s="77"/>
      <c r="I59" s="78"/>
      <c r="J59" s="78"/>
      <c r="K59" s="78"/>
      <c r="L59" s="79"/>
    </row>
    <row r="60" spans="1:14" s="80" customFormat="1" ht="24.6" customHeight="1">
      <c r="A60" s="81">
        <f>'[14]1.과거인구'!$G$2</f>
        <v>2002</v>
      </c>
      <c r="B60" s="82"/>
      <c r="C60" s="82"/>
      <c r="D60" s="82"/>
      <c r="E60" s="83">
        <f>'[14]과거인구 (2)'!E8</f>
        <v>24101</v>
      </c>
      <c r="F60" s="84">
        <f t="shared" si="6"/>
        <v>-88</v>
      </c>
      <c r="G60" s="85">
        <f t="shared" si="7"/>
        <v>-0.36399999999999999</v>
      </c>
      <c r="H60" s="77"/>
      <c r="I60" s="78"/>
      <c r="J60" s="78"/>
      <c r="K60" s="78"/>
      <c r="L60" s="79"/>
    </row>
    <row r="61" spans="1:14" s="80" customFormat="1" ht="24.6" customHeight="1">
      <c r="A61" s="81">
        <f>'[14]1.과거인구'!$H$2</f>
        <v>2003</v>
      </c>
      <c r="B61" s="82">
        <f>E61</f>
        <v>23772</v>
      </c>
      <c r="C61" s="84">
        <v>0</v>
      </c>
      <c r="D61" s="85">
        <v>0</v>
      </c>
      <c r="E61" s="83">
        <f>'[14]과거인구 (2)'!E9</f>
        <v>23772</v>
      </c>
      <c r="F61" s="84">
        <f t="shared" si="6"/>
        <v>-329</v>
      </c>
      <c r="G61" s="85">
        <f t="shared" si="7"/>
        <v>-1.365</v>
      </c>
      <c r="H61" s="77"/>
      <c r="I61" s="78"/>
      <c r="J61" s="78"/>
      <c r="K61" s="78"/>
      <c r="L61" s="79"/>
    </row>
    <row r="62" spans="1:14" s="80" customFormat="1" ht="24.6" customHeight="1">
      <c r="A62" s="81">
        <f>'[14]1.과거인구'!$I$2</f>
        <v>2004</v>
      </c>
      <c r="B62" s="82">
        <f>E62</f>
        <v>24340</v>
      </c>
      <c r="C62" s="84">
        <f>(B62-B61)</f>
        <v>568</v>
      </c>
      <c r="D62" s="85">
        <f>ROUND(C62/B61*100,3)</f>
        <v>2.3889999999999998</v>
      </c>
      <c r="E62" s="83">
        <f>'[14]과거인구 (2)'!E10</f>
        <v>24340</v>
      </c>
      <c r="F62" s="84">
        <f t="shared" si="6"/>
        <v>568</v>
      </c>
      <c r="G62" s="85">
        <f t="shared" si="7"/>
        <v>2.3889999999999998</v>
      </c>
      <c r="H62" s="77"/>
      <c r="I62" s="78"/>
      <c r="J62" s="78"/>
      <c r="K62" s="78"/>
      <c r="L62" s="79"/>
    </row>
    <row r="63" spans="1:14" s="80" customFormat="1" ht="24.6" customHeight="1">
      <c r="A63" s="81">
        <f>'[14]1.과거인구'!$J$2</f>
        <v>2005</v>
      </c>
      <c r="B63" s="82">
        <f>E63</f>
        <v>24381</v>
      </c>
      <c r="C63" s="84">
        <f>(B63-B62)</f>
        <v>41</v>
      </c>
      <c r="D63" s="85">
        <f>ROUND(C63/B62*100,3)</f>
        <v>0.16800000000000001</v>
      </c>
      <c r="E63" s="83">
        <f>'[14]과거인구 (2)'!E11</f>
        <v>24381</v>
      </c>
      <c r="F63" s="84">
        <f t="shared" si="6"/>
        <v>41</v>
      </c>
      <c r="G63" s="85">
        <f t="shared" si="7"/>
        <v>0.16800000000000001</v>
      </c>
      <c r="H63" s="77"/>
      <c r="I63" s="78"/>
      <c r="J63" s="78"/>
      <c r="K63" s="78"/>
      <c r="L63" s="79"/>
    </row>
    <row r="64" spans="1:14" s="80" customFormat="1" ht="24.6" customHeight="1">
      <c r="A64" s="81">
        <f>'[14]1.과거인구'!K$2</f>
        <v>2006</v>
      </c>
      <c r="B64" s="82">
        <f>E64</f>
        <v>24761</v>
      </c>
      <c r="C64" s="84">
        <f>(B64-B63)</f>
        <v>380</v>
      </c>
      <c r="D64" s="85">
        <f>ROUND(C64/B63*100,3)</f>
        <v>1.5589999999999999</v>
      </c>
      <c r="E64" s="83">
        <f>'[14]과거인구 (2)'!E12</f>
        <v>24761</v>
      </c>
      <c r="F64" s="84">
        <f t="shared" si="6"/>
        <v>380</v>
      </c>
      <c r="G64" s="85">
        <f t="shared" si="7"/>
        <v>1.5589999999999999</v>
      </c>
      <c r="H64" s="77"/>
      <c r="I64" s="78"/>
      <c r="J64" s="78"/>
      <c r="K64" s="78"/>
      <c r="L64" s="79"/>
    </row>
    <row r="65" spans="1:14" s="80" customFormat="1" ht="24.6" customHeight="1">
      <c r="A65" s="81">
        <f>'[14]1.과거인구'!$L$2</f>
        <v>2007</v>
      </c>
      <c r="B65" s="82">
        <f>E65</f>
        <v>24712</v>
      </c>
      <c r="C65" s="84">
        <f>(B65-B64)</f>
        <v>-49</v>
      </c>
      <c r="D65" s="85">
        <f>ROUND(C65/B64*100,3)</f>
        <v>-0.19800000000000001</v>
      </c>
      <c r="E65" s="83">
        <f>'[14]과거인구 (2)'!E13</f>
        <v>24712</v>
      </c>
      <c r="F65" s="84">
        <f t="shared" si="6"/>
        <v>-49</v>
      </c>
      <c r="G65" s="85">
        <f t="shared" si="7"/>
        <v>-0.19800000000000001</v>
      </c>
      <c r="H65" s="77"/>
      <c r="I65" s="78"/>
      <c r="J65" s="78"/>
      <c r="K65" s="78"/>
      <c r="L65" s="79"/>
    </row>
    <row r="66" spans="1:14" s="80" customFormat="1" ht="24.6" customHeight="1">
      <c r="A66" s="86" t="s">
        <v>253</v>
      </c>
      <c r="B66" s="87"/>
      <c r="C66" s="88">
        <f>SUM(C61:C65)</f>
        <v>940</v>
      </c>
      <c r="D66" s="89">
        <f>ROUND(((B65/B61)^(1/4)-1)*100,2)</f>
        <v>0.97</v>
      </c>
      <c r="E66" s="87"/>
      <c r="F66" s="88">
        <f>SUM(F56:F65)</f>
        <v>3057</v>
      </c>
      <c r="G66" s="89">
        <f>ROUND(((E65/E56)^(1/9)-1)*100,2)</f>
        <v>1.48</v>
      </c>
      <c r="H66" s="832"/>
      <c r="I66" s="832"/>
      <c r="J66" s="832"/>
      <c r="K66" s="832"/>
      <c r="L66" s="833"/>
    </row>
    <row r="67" spans="1:14" s="80" customFormat="1" ht="24.6" customHeight="1">
      <c r="A67" s="834" t="s">
        <v>254</v>
      </c>
      <c r="B67" s="835"/>
      <c r="C67" s="836"/>
      <c r="D67" s="840" t="s">
        <v>259</v>
      </c>
      <c r="E67" s="840"/>
      <c r="F67" s="840"/>
      <c r="G67" s="840"/>
      <c r="H67" s="840"/>
      <c r="I67" s="840"/>
      <c r="J67" s="840"/>
      <c r="K67" s="840"/>
      <c r="L67" s="841"/>
    </row>
    <row r="68" spans="1:14" s="80" customFormat="1" ht="24.6" customHeight="1">
      <c r="A68" s="837"/>
      <c r="B68" s="838"/>
      <c r="C68" s="839"/>
      <c r="D68" s="842"/>
      <c r="E68" s="842"/>
      <c r="F68" s="842"/>
      <c r="G68" s="842"/>
      <c r="H68" s="842"/>
      <c r="I68" s="842"/>
      <c r="J68" s="842"/>
      <c r="K68" s="842"/>
      <c r="L68" s="843"/>
      <c r="N68" s="90"/>
    </row>
    <row r="69" spans="1:14" s="80" customFormat="1" ht="24.6" customHeight="1">
      <c r="G69" s="93"/>
    </row>
    <row r="70" spans="1:14" s="69" customFormat="1" ht="24.6" customHeight="1">
      <c r="A70" s="844" t="s">
        <v>256</v>
      </c>
      <c r="B70" s="847" t="str">
        <f>'[14]과거인구 (2)'!F3</f>
        <v>목천읍</v>
      </c>
      <c r="C70" s="848"/>
      <c r="D70" s="848"/>
      <c r="E70" s="848"/>
      <c r="F70" s="848"/>
      <c r="G70" s="848"/>
      <c r="H70" s="848"/>
      <c r="I70" s="848"/>
      <c r="J70" s="848"/>
      <c r="K70" s="848"/>
      <c r="L70" s="849"/>
    </row>
    <row r="71" spans="1:14" s="69" customFormat="1" ht="24.6" customHeight="1">
      <c r="A71" s="845"/>
      <c r="B71" s="850" t="s">
        <v>247</v>
      </c>
      <c r="C71" s="851"/>
      <c r="D71" s="852"/>
      <c r="E71" s="850" t="s">
        <v>248</v>
      </c>
      <c r="F71" s="851"/>
      <c r="G71" s="852"/>
      <c r="H71" s="853" t="s">
        <v>249</v>
      </c>
      <c r="I71" s="854"/>
      <c r="J71" s="854"/>
      <c r="K71" s="854"/>
      <c r="L71" s="855"/>
    </row>
    <row r="72" spans="1:14" s="69" customFormat="1" ht="24.6" customHeight="1">
      <c r="A72" s="846"/>
      <c r="B72" s="70" t="s">
        <v>250</v>
      </c>
      <c r="C72" s="71" t="s">
        <v>251</v>
      </c>
      <c r="D72" s="71" t="s">
        <v>252</v>
      </c>
      <c r="E72" s="70" t="s">
        <v>250</v>
      </c>
      <c r="F72" s="71" t="s">
        <v>251</v>
      </c>
      <c r="G72" s="71" t="s">
        <v>252</v>
      </c>
      <c r="H72" s="856"/>
      <c r="I72" s="857"/>
      <c r="J72" s="857"/>
      <c r="K72" s="857"/>
      <c r="L72" s="858"/>
    </row>
    <row r="73" spans="1:14" s="80" customFormat="1" ht="24.6" customHeight="1">
      <c r="A73" s="72">
        <f>'[14]1.과거인구'!$C$2</f>
        <v>1998</v>
      </c>
      <c r="B73" s="73"/>
      <c r="C73" s="73"/>
      <c r="D73" s="73"/>
      <c r="E73" s="74">
        <f>'[14]과거인구 (2)'!F4</f>
        <v>12648</v>
      </c>
      <c r="F73" s="75">
        <v>0</v>
      </c>
      <c r="G73" s="76">
        <v>0</v>
      </c>
      <c r="H73" s="77"/>
      <c r="I73" s="78"/>
      <c r="J73" s="78"/>
      <c r="K73" s="78"/>
      <c r="L73" s="79"/>
    </row>
    <row r="74" spans="1:14" s="80" customFormat="1" ht="24.6" customHeight="1">
      <c r="A74" s="81">
        <f>'[14]1.과거인구'!$D$2</f>
        <v>1999</v>
      </c>
      <c r="B74" s="82"/>
      <c r="C74" s="82"/>
      <c r="D74" s="82"/>
      <c r="E74" s="83">
        <f>'[14]과거인구 (2)'!F5</f>
        <v>14276</v>
      </c>
      <c r="F74" s="84">
        <f t="shared" ref="F74:F82" si="8">(E74-E73)</f>
        <v>1628</v>
      </c>
      <c r="G74" s="85">
        <f t="shared" ref="G74:G82" si="9">ROUND(F74/E73*100,3)</f>
        <v>12.872</v>
      </c>
      <c r="H74" s="77"/>
      <c r="I74" s="78"/>
      <c r="J74" s="78"/>
      <c r="K74" s="78"/>
      <c r="L74" s="79"/>
    </row>
    <row r="75" spans="1:14" s="80" customFormat="1" ht="24.6" customHeight="1">
      <c r="A75" s="81">
        <f>'[14]1.과거인구'!$E$2</f>
        <v>2000</v>
      </c>
      <c r="B75" s="82"/>
      <c r="C75" s="82"/>
      <c r="D75" s="82"/>
      <c r="E75" s="83">
        <f>'[14]과거인구 (2)'!F6</f>
        <v>21074</v>
      </c>
      <c r="F75" s="84">
        <f t="shared" si="8"/>
        <v>6798</v>
      </c>
      <c r="G75" s="85">
        <f t="shared" si="9"/>
        <v>47.618000000000002</v>
      </c>
      <c r="H75" s="77"/>
      <c r="I75" s="78"/>
      <c r="J75" s="78"/>
      <c r="K75" s="78"/>
      <c r="L75" s="79"/>
    </row>
    <row r="76" spans="1:14" s="80" customFormat="1" ht="24.6" customHeight="1">
      <c r="A76" s="81">
        <f>'[14]1.과거인구'!$F$2</f>
        <v>2001</v>
      </c>
      <c r="B76" s="82"/>
      <c r="C76" s="82"/>
      <c r="D76" s="82"/>
      <c r="E76" s="83">
        <f>'[14]과거인구 (2)'!F7</f>
        <v>23483</v>
      </c>
      <c r="F76" s="84">
        <f t="shared" si="8"/>
        <v>2409</v>
      </c>
      <c r="G76" s="85">
        <f t="shared" si="9"/>
        <v>11.430999999999999</v>
      </c>
      <c r="H76" s="77"/>
      <c r="I76" s="78"/>
      <c r="J76" s="78"/>
      <c r="K76" s="78"/>
      <c r="L76" s="79"/>
    </row>
    <row r="77" spans="1:14" s="80" customFormat="1" ht="24.6" customHeight="1">
      <c r="A77" s="81">
        <f>'[14]1.과거인구'!$G$2</f>
        <v>2002</v>
      </c>
      <c r="B77" s="82"/>
      <c r="C77" s="82"/>
      <c r="D77" s="82"/>
      <c r="E77" s="83">
        <f>'[14]과거인구 (2)'!F8</f>
        <v>24007</v>
      </c>
      <c r="F77" s="84">
        <f t="shared" si="8"/>
        <v>524</v>
      </c>
      <c r="G77" s="85">
        <f t="shared" si="9"/>
        <v>2.2309999999999999</v>
      </c>
      <c r="H77" s="77"/>
      <c r="I77" s="78"/>
      <c r="J77" s="78"/>
      <c r="K77" s="78"/>
      <c r="L77" s="79"/>
    </row>
    <row r="78" spans="1:14" s="80" customFormat="1" ht="24.6" customHeight="1">
      <c r="A78" s="81">
        <f>'[14]1.과거인구'!$H$2</f>
        <v>2003</v>
      </c>
      <c r="B78" s="82">
        <f>E78</f>
        <v>24460</v>
      </c>
      <c r="C78" s="84">
        <v>0</v>
      </c>
      <c r="D78" s="85">
        <v>0</v>
      </c>
      <c r="E78" s="83">
        <f>'[14]과거인구 (2)'!F9</f>
        <v>24460</v>
      </c>
      <c r="F78" s="84">
        <f t="shared" si="8"/>
        <v>453</v>
      </c>
      <c r="G78" s="85">
        <f t="shared" si="9"/>
        <v>1.887</v>
      </c>
      <c r="H78" s="77"/>
      <c r="I78" s="78"/>
      <c r="J78" s="78"/>
      <c r="K78" s="78"/>
      <c r="L78" s="79"/>
    </row>
    <row r="79" spans="1:14" s="80" customFormat="1" ht="24.6" customHeight="1">
      <c r="A79" s="81">
        <f>'[14]1.과거인구'!$I$2</f>
        <v>2004</v>
      </c>
      <c r="B79" s="82">
        <f>E79</f>
        <v>25381</v>
      </c>
      <c r="C79" s="84">
        <f>(B79-B78)</f>
        <v>921</v>
      </c>
      <c r="D79" s="85">
        <f>ROUND(C79/B78*100,3)</f>
        <v>3.7650000000000001</v>
      </c>
      <c r="E79" s="83">
        <f>'[14]과거인구 (2)'!F10</f>
        <v>25381</v>
      </c>
      <c r="F79" s="84">
        <f t="shared" si="8"/>
        <v>921</v>
      </c>
      <c r="G79" s="85">
        <f t="shared" si="9"/>
        <v>3.7650000000000001</v>
      </c>
      <c r="H79" s="77"/>
      <c r="I79" s="78"/>
      <c r="J79" s="78"/>
      <c r="K79" s="78"/>
      <c r="L79" s="79"/>
    </row>
    <row r="80" spans="1:14" s="80" customFormat="1" ht="24.6" customHeight="1">
      <c r="A80" s="81">
        <f>'[14]1.과거인구'!$J$2</f>
        <v>2005</v>
      </c>
      <c r="B80" s="82">
        <f>E80</f>
        <v>27989</v>
      </c>
      <c r="C80" s="84">
        <f>(B80-B79)</f>
        <v>2608</v>
      </c>
      <c r="D80" s="85">
        <f>ROUND(C80/B79*100,3)</f>
        <v>10.275</v>
      </c>
      <c r="E80" s="83">
        <f>'[14]과거인구 (2)'!F11</f>
        <v>27989</v>
      </c>
      <c r="F80" s="84">
        <f t="shared" si="8"/>
        <v>2608</v>
      </c>
      <c r="G80" s="85">
        <f t="shared" si="9"/>
        <v>10.275</v>
      </c>
      <c r="H80" s="77"/>
      <c r="I80" s="78"/>
      <c r="J80" s="78"/>
      <c r="K80" s="78"/>
      <c r="L80" s="79"/>
    </row>
    <row r="81" spans="1:14" s="80" customFormat="1" ht="24.6" customHeight="1">
      <c r="A81" s="81">
        <f>'[14]1.과거인구'!K$2</f>
        <v>2006</v>
      </c>
      <c r="B81" s="82">
        <f>E81</f>
        <v>28523</v>
      </c>
      <c r="C81" s="84">
        <f>(B81-B80)</f>
        <v>534</v>
      </c>
      <c r="D81" s="85">
        <f>ROUND(C81/B80*100,3)</f>
        <v>1.9079999999999999</v>
      </c>
      <c r="E81" s="83">
        <f>'[14]과거인구 (2)'!F12</f>
        <v>28523</v>
      </c>
      <c r="F81" s="84">
        <f t="shared" si="8"/>
        <v>534</v>
      </c>
      <c r="G81" s="85">
        <f t="shared" si="9"/>
        <v>1.9079999999999999</v>
      </c>
      <c r="H81" s="77"/>
      <c r="I81" s="78"/>
      <c r="J81" s="78"/>
      <c r="K81" s="78"/>
      <c r="L81" s="79"/>
    </row>
    <row r="82" spans="1:14" s="80" customFormat="1" ht="24.6" customHeight="1">
      <c r="A82" s="81">
        <f>'[14]1.과거인구'!$L$2</f>
        <v>2007</v>
      </c>
      <c r="B82" s="82">
        <f>E82</f>
        <v>27861</v>
      </c>
      <c r="C82" s="84">
        <f>(B82-B81)</f>
        <v>-662</v>
      </c>
      <c r="D82" s="85">
        <f>ROUND(C82/B81*100,3)</f>
        <v>-2.3210000000000002</v>
      </c>
      <c r="E82" s="83">
        <f>'[14]과거인구 (2)'!F13</f>
        <v>27861</v>
      </c>
      <c r="F82" s="84">
        <f t="shared" si="8"/>
        <v>-662</v>
      </c>
      <c r="G82" s="85">
        <f t="shared" si="9"/>
        <v>-2.3210000000000002</v>
      </c>
      <c r="H82" s="77"/>
      <c r="I82" s="78"/>
      <c r="J82" s="78"/>
      <c r="K82" s="78"/>
      <c r="L82" s="79"/>
    </row>
    <row r="83" spans="1:14" s="80" customFormat="1" ht="24.6" customHeight="1">
      <c r="A83" s="86" t="s">
        <v>253</v>
      </c>
      <c r="B83" s="87"/>
      <c r="C83" s="88">
        <f>SUM(C78:C82)</f>
        <v>3401</v>
      </c>
      <c r="D83" s="89">
        <f>ROUND(((B82/B78)^(1/4)-1)*100,2)</f>
        <v>3.31</v>
      </c>
      <c r="E83" s="87"/>
      <c r="F83" s="88">
        <f>SUM(F73:F82)</f>
        <v>15213</v>
      </c>
      <c r="G83" s="89">
        <f>ROUND(((E82/E73)^(1/9)-1)*100,2)</f>
        <v>9.17</v>
      </c>
      <c r="H83" s="832"/>
      <c r="I83" s="832"/>
      <c r="J83" s="832"/>
      <c r="K83" s="832"/>
      <c r="L83" s="833"/>
    </row>
    <row r="84" spans="1:14" s="80" customFormat="1" ht="24.6" customHeight="1">
      <c r="A84" s="834" t="s">
        <v>254</v>
      </c>
      <c r="B84" s="835"/>
      <c r="C84" s="836"/>
      <c r="D84" s="840" t="s">
        <v>260</v>
      </c>
      <c r="E84" s="840"/>
      <c r="F84" s="840"/>
      <c r="G84" s="840"/>
      <c r="H84" s="840"/>
      <c r="I84" s="840"/>
      <c r="J84" s="840"/>
      <c r="K84" s="840"/>
      <c r="L84" s="841"/>
    </row>
    <row r="85" spans="1:14" s="80" customFormat="1" ht="24.6" customHeight="1">
      <c r="A85" s="837"/>
      <c r="B85" s="838"/>
      <c r="C85" s="839"/>
      <c r="D85" s="842"/>
      <c r="E85" s="842"/>
      <c r="F85" s="842"/>
      <c r="G85" s="842"/>
      <c r="H85" s="842"/>
      <c r="I85" s="842"/>
      <c r="J85" s="842"/>
      <c r="K85" s="842"/>
      <c r="L85" s="843"/>
      <c r="N85" s="90"/>
    </row>
    <row r="86" spans="1:14" s="80" customFormat="1" ht="24.6" customHeight="1">
      <c r="G86" s="93"/>
    </row>
    <row r="87" spans="1:14" s="69" customFormat="1" ht="24.6" customHeight="1">
      <c r="A87" s="844" t="s">
        <v>256</v>
      </c>
      <c r="B87" s="847" t="str">
        <f>'[14]과거인구 (2)'!G3</f>
        <v>입장면</v>
      </c>
      <c r="C87" s="848"/>
      <c r="D87" s="848"/>
      <c r="E87" s="848"/>
      <c r="F87" s="848"/>
      <c r="G87" s="848"/>
      <c r="H87" s="848"/>
      <c r="I87" s="848"/>
      <c r="J87" s="848"/>
      <c r="K87" s="848"/>
      <c r="L87" s="849"/>
    </row>
    <row r="88" spans="1:14" s="69" customFormat="1" ht="24.6" customHeight="1">
      <c r="A88" s="845"/>
      <c r="B88" s="850" t="s">
        <v>247</v>
      </c>
      <c r="C88" s="851"/>
      <c r="D88" s="852"/>
      <c r="E88" s="850" t="s">
        <v>248</v>
      </c>
      <c r="F88" s="851"/>
      <c r="G88" s="852"/>
      <c r="H88" s="853" t="s">
        <v>249</v>
      </c>
      <c r="I88" s="854"/>
      <c r="J88" s="854"/>
      <c r="K88" s="854"/>
      <c r="L88" s="855"/>
    </row>
    <row r="89" spans="1:14" s="69" customFormat="1" ht="24.6" customHeight="1">
      <c r="A89" s="846"/>
      <c r="B89" s="70" t="s">
        <v>250</v>
      </c>
      <c r="C89" s="71" t="s">
        <v>251</v>
      </c>
      <c r="D89" s="71" t="s">
        <v>252</v>
      </c>
      <c r="E89" s="70" t="s">
        <v>250</v>
      </c>
      <c r="F89" s="71" t="s">
        <v>251</v>
      </c>
      <c r="G89" s="71" t="s">
        <v>252</v>
      </c>
      <c r="H89" s="856"/>
      <c r="I89" s="857"/>
      <c r="J89" s="857"/>
      <c r="K89" s="857"/>
      <c r="L89" s="858"/>
    </row>
    <row r="90" spans="1:14" s="80" customFormat="1" ht="24.6" customHeight="1">
      <c r="A90" s="72">
        <f>'[14]1.과거인구'!$C$2</f>
        <v>1998</v>
      </c>
      <c r="B90" s="73"/>
      <c r="C90" s="73"/>
      <c r="D90" s="73"/>
      <c r="E90" s="74">
        <f>'[14]과거인구 (2)'!G4</f>
        <v>11781</v>
      </c>
      <c r="F90" s="75">
        <v>0</v>
      </c>
      <c r="G90" s="76">
        <v>0</v>
      </c>
      <c r="H90" s="77"/>
      <c r="I90" s="78"/>
      <c r="J90" s="78"/>
      <c r="K90" s="78"/>
      <c r="L90" s="79"/>
    </row>
    <row r="91" spans="1:14" s="80" customFormat="1" ht="24.6" customHeight="1">
      <c r="A91" s="81">
        <f>'[14]1.과거인구'!$D$2</f>
        <v>1999</v>
      </c>
      <c r="B91" s="82"/>
      <c r="C91" s="82"/>
      <c r="D91" s="82"/>
      <c r="E91" s="83">
        <f>'[14]과거인구 (2)'!G5</f>
        <v>12113</v>
      </c>
      <c r="F91" s="84">
        <f t="shared" ref="F91:F99" si="10">(E91-E90)</f>
        <v>332</v>
      </c>
      <c r="G91" s="85">
        <f t="shared" ref="G91:G99" si="11">ROUND(F91/E90*100,3)</f>
        <v>2.8180000000000001</v>
      </c>
      <c r="H91" s="77"/>
      <c r="I91" s="78"/>
      <c r="J91" s="78"/>
      <c r="K91" s="78"/>
      <c r="L91" s="79"/>
    </row>
    <row r="92" spans="1:14" s="80" customFormat="1" ht="24.6" customHeight="1">
      <c r="A92" s="81">
        <f>'[14]1.과거인구'!$E$2</f>
        <v>2000</v>
      </c>
      <c r="B92" s="82"/>
      <c r="C92" s="82"/>
      <c r="D92" s="82"/>
      <c r="E92" s="83">
        <f>'[14]과거인구 (2)'!G6</f>
        <v>12983</v>
      </c>
      <c r="F92" s="84">
        <f t="shared" si="10"/>
        <v>870</v>
      </c>
      <c r="G92" s="85">
        <f t="shared" si="11"/>
        <v>7.1820000000000004</v>
      </c>
      <c r="H92" s="77"/>
      <c r="I92" s="78"/>
      <c r="J92" s="78"/>
      <c r="K92" s="78"/>
      <c r="L92" s="79"/>
    </row>
    <row r="93" spans="1:14" s="80" customFormat="1" ht="24.6" customHeight="1">
      <c r="A93" s="81">
        <f>'[14]1.과거인구'!$F$2</f>
        <v>2001</v>
      </c>
      <c r="B93" s="82"/>
      <c r="C93" s="82"/>
      <c r="D93" s="82"/>
      <c r="E93" s="83">
        <f>'[14]과거인구 (2)'!G7</f>
        <v>13054</v>
      </c>
      <c r="F93" s="84">
        <f t="shared" si="10"/>
        <v>71</v>
      </c>
      <c r="G93" s="85">
        <f t="shared" si="11"/>
        <v>0.54700000000000004</v>
      </c>
      <c r="H93" s="77"/>
      <c r="I93" s="78"/>
      <c r="J93" s="78"/>
      <c r="K93" s="78"/>
      <c r="L93" s="79"/>
    </row>
    <row r="94" spans="1:14" s="80" customFormat="1" ht="24.6" customHeight="1">
      <c r="A94" s="81">
        <f>'[14]1.과거인구'!$G$2</f>
        <v>2002</v>
      </c>
      <c r="B94" s="82"/>
      <c r="C94" s="82"/>
      <c r="D94" s="82"/>
      <c r="E94" s="83">
        <f>'[14]과거인구 (2)'!G8</f>
        <v>12916</v>
      </c>
      <c r="F94" s="84">
        <f t="shared" si="10"/>
        <v>-138</v>
      </c>
      <c r="G94" s="85">
        <f t="shared" si="11"/>
        <v>-1.0569999999999999</v>
      </c>
      <c r="H94" s="77"/>
      <c r="I94" s="78"/>
      <c r="J94" s="78"/>
      <c r="K94" s="78"/>
      <c r="L94" s="79"/>
    </row>
    <row r="95" spans="1:14" s="80" customFormat="1" ht="24.6" customHeight="1">
      <c r="A95" s="81">
        <f>'[14]1.과거인구'!$H$2</f>
        <v>2003</v>
      </c>
      <c r="B95" s="82">
        <f>E95</f>
        <v>13080</v>
      </c>
      <c r="C95" s="84">
        <v>0</v>
      </c>
      <c r="D95" s="85">
        <v>0</v>
      </c>
      <c r="E95" s="83">
        <f>'[14]과거인구 (2)'!G9</f>
        <v>13080</v>
      </c>
      <c r="F95" s="84">
        <f t="shared" si="10"/>
        <v>164</v>
      </c>
      <c r="G95" s="85">
        <f t="shared" si="11"/>
        <v>1.27</v>
      </c>
      <c r="H95" s="77"/>
      <c r="I95" s="78"/>
      <c r="J95" s="78"/>
      <c r="K95" s="78"/>
      <c r="L95" s="79"/>
    </row>
    <row r="96" spans="1:14" s="80" customFormat="1" ht="24.6" customHeight="1">
      <c r="A96" s="81">
        <f>'[14]1.과거인구'!$I$2</f>
        <v>2004</v>
      </c>
      <c r="B96" s="82">
        <f>E96</f>
        <v>13611</v>
      </c>
      <c r="C96" s="84">
        <f>(B96-B95)</f>
        <v>531</v>
      </c>
      <c r="D96" s="85">
        <f>ROUND(C96/B95*100,3)</f>
        <v>4.0599999999999996</v>
      </c>
      <c r="E96" s="83">
        <f>'[14]과거인구 (2)'!G10</f>
        <v>13611</v>
      </c>
      <c r="F96" s="84">
        <f t="shared" si="10"/>
        <v>531</v>
      </c>
      <c r="G96" s="85">
        <f t="shared" si="11"/>
        <v>4.0599999999999996</v>
      </c>
      <c r="H96" s="77"/>
      <c r="I96" s="78"/>
      <c r="J96" s="78"/>
      <c r="K96" s="78"/>
      <c r="L96" s="79"/>
    </row>
    <row r="97" spans="1:14" s="80" customFormat="1" ht="24.6" customHeight="1">
      <c r="A97" s="81">
        <f>'[14]1.과거인구'!$J$2</f>
        <v>2005</v>
      </c>
      <c r="B97" s="82">
        <f>E97</f>
        <v>12899</v>
      </c>
      <c r="C97" s="84">
        <f>(B97-B96)</f>
        <v>-712</v>
      </c>
      <c r="D97" s="85">
        <f>ROUND(C97/B96*100,3)</f>
        <v>-5.2309999999999999</v>
      </c>
      <c r="E97" s="83">
        <f>'[14]과거인구 (2)'!G11</f>
        <v>12899</v>
      </c>
      <c r="F97" s="84">
        <f t="shared" si="10"/>
        <v>-712</v>
      </c>
      <c r="G97" s="85">
        <f t="shared" si="11"/>
        <v>-5.2309999999999999</v>
      </c>
      <c r="H97" s="77"/>
      <c r="I97" s="78"/>
      <c r="J97" s="78"/>
      <c r="K97" s="78"/>
      <c r="L97" s="79"/>
    </row>
    <row r="98" spans="1:14" s="80" customFormat="1" ht="24.6" customHeight="1">
      <c r="A98" s="81">
        <f>'[14]1.과거인구'!K$2</f>
        <v>2006</v>
      </c>
      <c r="B98" s="82">
        <f>E98</f>
        <v>12623</v>
      </c>
      <c r="C98" s="84">
        <f>(B98-B97)</f>
        <v>-276</v>
      </c>
      <c r="D98" s="85">
        <f>ROUND(C98/B97*100,3)</f>
        <v>-2.14</v>
      </c>
      <c r="E98" s="83">
        <f>'[14]과거인구 (2)'!G12</f>
        <v>12623</v>
      </c>
      <c r="F98" s="84">
        <f t="shared" si="10"/>
        <v>-276</v>
      </c>
      <c r="G98" s="85">
        <f t="shared" si="11"/>
        <v>-2.14</v>
      </c>
      <c r="H98" s="77"/>
      <c r="I98" s="78"/>
      <c r="J98" s="78"/>
      <c r="K98" s="78"/>
      <c r="L98" s="79"/>
    </row>
    <row r="99" spans="1:14" s="80" customFormat="1" ht="24.6" customHeight="1">
      <c r="A99" s="81">
        <f>'[14]1.과거인구'!$L$2</f>
        <v>2007</v>
      </c>
      <c r="B99" s="82">
        <f>E99</f>
        <v>12375</v>
      </c>
      <c r="C99" s="84">
        <f>(B99-B98)</f>
        <v>-248</v>
      </c>
      <c r="D99" s="85">
        <f>ROUND(C99/B98*100,3)</f>
        <v>-1.9650000000000001</v>
      </c>
      <c r="E99" s="83">
        <f>'[14]과거인구 (2)'!G13</f>
        <v>12375</v>
      </c>
      <c r="F99" s="84">
        <f t="shared" si="10"/>
        <v>-248</v>
      </c>
      <c r="G99" s="85">
        <f t="shared" si="11"/>
        <v>-1.9650000000000001</v>
      </c>
      <c r="H99" s="77"/>
      <c r="I99" s="78"/>
      <c r="J99" s="78"/>
      <c r="K99" s="78"/>
      <c r="L99" s="79"/>
    </row>
    <row r="100" spans="1:14" s="80" customFormat="1" ht="24.6" customHeight="1">
      <c r="A100" s="86" t="s">
        <v>253</v>
      </c>
      <c r="B100" s="87"/>
      <c r="C100" s="88">
        <f>SUM(C95:C99)</f>
        <v>-705</v>
      </c>
      <c r="D100" s="89">
        <f>ROUND(((B99/B95)^(1/4)-1)*100,2)</f>
        <v>-1.38</v>
      </c>
      <c r="E100" s="87"/>
      <c r="F100" s="88">
        <f>SUM(F90:F99)</f>
        <v>594</v>
      </c>
      <c r="G100" s="89">
        <f>ROUND(((E99/E90)^(1/9)-1)*100,2)</f>
        <v>0.55000000000000004</v>
      </c>
      <c r="H100" s="832"/>
      <c r="I100" s="832"/>
      <c r="J100" s="832"/>
      <c r="K100" s="832"/>
      <c r="L100" s="833"/>
    </row>
    <row r="101" spans="1:14" s="80" customFormat="1" ht="24.6" customHeight="1">
      <c r="A101" s="834" t="s">
        <v>254</v>
      </c>
      <c r="B101" s="835"/>
      <c r="C101" s="836"/>
      <c r="D101" s="840" t="s">
        <v>261</v>
      </c>
      <c r="E101" s="840"/>
      <c r="F101" s="840"/>
      <c r="G101" s="840"/>
      <c r="H101" s="840"/>
      <c r="I101" s="840"/>
      <c r="J101" s="840"/>
      <c r="K101" s="840"/>
      <c r="L101" s="841"/>
    </row>
    <row r="102" spans="1:14" s="80" customFormat="1" ht="24.6" customHeight="1">
      <c r="A102" s="837"/>
      <c r="B102" s="838"/>
      <c r="C102" s="839"/>
      <c r="D102" s="842"/>
      <c r="E102" s="842"/>
      <c r="F102" s="842"/>
      <c r="G102" s="842"/>
      <c r="H102" s="842"/>
      <c r="I102" s="842"/>
      <c r="J102" s="842"/>
      <c r="K102" s="842"/>
      <c r="L102" s="843"/>
      <c r="N102" s="90"/>
    </row>
    <row r="103" spans="1:14" s="80" customFormat="1" ht="24.6" customHeight="1">
      <c r="G103" s="93"/>
    </row>
    <row r="104" spans="1:14" s="69" customFormat="1" ht="24.6" customHeight="1">
      <c r="A104" s="844" t="s">
        <v>256</v>
      </c>
      <c r="B104" s="847" t="str">
        <f>'[14]과거인구 (2)'!H3</f>
        <v>풍세면</v>
      </c>
      <c r="C104" s="848"/>
      <c r="D104" s="848"/>
      <c r="E104" s="848"/>
      <c r="F104" s="848"/>
      <c r="G104" s="848"/>
      <c r="H104" s="848"/>
      <c r="I104" s="848"/>
      <c r="J104" s="848"/>
      <c r="K104" s="848"/>
      <c r="L104" s="849"/>
    </row>
    <row r="105" spans="1:14" s="69" customFormat="1" ht="24.6" customHeight="1">
      <c r="A105" s="845"/>
      <c r="B105" s="850" t="s">
        <v>247</v>
      </c>
      <c r="C105" s="851"/>
      <c r="D105" s="852"/>
      <c r="E105" s="850" t="s">
        <v>248</v>
      </c>
      <c r="F105" s="851"/>
      <c r="G105" s="852"/>
      <c r="H105" s="853" t="s">
        <v>249</v>
      </c>
      <c r="I105" s="854"/>
      <c r="J105" s="854"/>
      <c r="K105" s="854"/>
      <c r="L105" s="855"/>
    </row>
    <row r="106" spans="1:14" s="69" customFormat="1" ht="24.6" customHeight="1">
      <c r="A106" s="846"/>
      <c r="B106" s="70" t="s">
        <v>250</v>
      </c>
      <c r="C106" s="71" t="s">
        <v>251</v>
      </c>
      <c r="D106" s="71" t="s">
        <v>252</v>
      </c>
      <c r="E106" s="70" t="s">
        <v>250</v>
      </c>
      <c r="F106" s="71" t="s">
        <v>251</v>
      </c>
      <c r="G106" s="71" t="s">
        <v>252</v>
      </c>
      <c r="H106" s="856"/>
      <c r="I106" s="857"/>
      <c r="J106" s="857"/>
      <c r="K106" s="857"/>
      <c r="L106" s="858"/>
    </row>
    <row r="107" spans="1:14" s="80" customFormat="1" ht="24.6" customHeight="1">
      <c r="A107" s="72">
        <f>'[14]1.과거인구'!$C$2</f>
        <v>1998</v>
      </c>
      <c r="B107" s="73"/>
      <c r="C107" s="73"/>
      <c r="D107" s="73"/>
      <c r="E107" s="74">
        <f>'[14]과거인구 (2)'!H4</f>
        <v>5805</v>
      </c>
      <c r="F107" s="75">
        <v>0</v>
      </c>
      <c r="G107" s="76">
        <v>0</v>
      </c>
      <c r="H107" s="77"/>
      <c r="I107" s="78"/>
      <c r="J107" s="78"/>
      <c r="K107" s="78"/>
      <c r="L107" s="79"/>
    </row>
    <row r="108" spans="1:14" s="80" customFormat="1" ht="24.6" customHeight="1">
      <c r="A108" s="81">
        <f>'[14]1.과거인구'!$D$2</f>
        <v>1999</v>
      </c>
      <c r="B108" s="82"/>
      <c r="C108" s="82"/>
      <c r="D108" s="82"/>
      <c r="E108" s="83">
        <f>'[14]과거인구 (2)'!H5</f>
        <v>5753</v>
      </c>
      <c r="F108" s="84">
        <f t="shared" ref="F108:F116" si="12">(E108-E107)</f>
        <v>-52</v>
      </c>
      <c r="G108" s="85">
        <f t="shared" ref="G108:G116" si="13">ROUND(F108/E107*100,3)</f>
        <v>-0.89600000000000002</v>
      </c>
      <c r="H108" s="77"/>
      <c r="I108" s="78"/>
      <c r="J108" s="78"/>
      <c r="K108" s="78"/>
      <c r="L108" s="79"/>
    </row>
    <row r="109" spans="1:14" s="80" customFormat="1" ht="24.6" customHeight="1">
      <c r="A109" s="81">
        <f>'[14]1.과거인구'!$E$2</f>
        <v>2000</v>
      </c>
      <c r="B109" s="82"/>
      <c r="C109" s="82"/>
      <c r="D109" s="82"/>
      <c r="E109" s="83">
        <f>'[14]과거인구 (2)'!H6</f>
        <v>5598</v>
      </c>
      <c r="F109" s="84">
        <f t="shared" si="12"/>
        <v>-155</v>
      </c>
      <c r="G109" s="85">
        <f t="shared" si="13"/>
        <v>-2.694</v>
      </c>
      <c r="H109" s="77"/>
      <c r="I109" s="78"/>
      <c r="J109" s="78"/>
      <c r="K109" s="78"/>
      <c r="L109" s="79"/>
    </row>
    <row r="110" spans="1:14" s="80" customFormat="1" ht="24.6" customHeight="1">
      <c r="A110" s="81">
        <f>'[14]1.과거인구'!$F$2</f>
        <v>2001</v>
      </c>
      <c r="B110" s="82"/>
      <c r="C110" s="82"/>
      <c r="D110" s="82"/>
      <c r="E110" s="83">
        <f>'[14]과거인구 (2)'!H7</f>
        <v>5489</v>
      </c>
      <c r="F110" s="84">
        <f t="shared" si="12"/>
        <v>-109</v>
      </c>
      <c r="G110" s="85">
        <f t="shared" si="13"/>
        <v>-1.9470000000000001</v>
      </c>
      <c r="H110" s="77"/>
      <c r="I110" s="78"/>
      <c r="J110" s="78"/>
      <c r="K110" s="78"/>
      <c r="L110" s="79"/>
    </row>
    <row r="111" spans="1:14" s="80" customFormat="1" ht="24.6" customHeight="1">
      <c r="A111" s="81">
        <f>'[14]1.과거인구'!$G$2</f>
        <v>2002</v>
      </c>
      <c r="B111" s="82"/>
      <c r="C111" s="82"/>
      <c r="D111" s="82"/>
      <c r="E111" s="83">
        <f>'[14]과거인구 (2)'!H8</f>
        <v>5325</v>
      </c>
      <c r="F111" s="84">
        <f t="shared" si="12"/>
        <v>-164</v>
      </c>
      <c r="G111" s="85">
        <f t="shared" si="13"/>
        <v>-2.988</v>
      </c>
      <c r="H111" s="77"/>
      <c r="I111" s="78"/>
      <c r="J111" s="78"/>
      <c r="K111" s="78"/>
      <c r="L111" s="79"/>
    </row>
    <row r="112" spans="1:14" s="80" customFormat="1" ht="24.6" customHeight="1">
      <c r="A112" s="81">
        <f>'[14]1.과거인구'!$H$2</f>
        <v>2003</v>
      </c>
      <c r="B112" s="82">
        <f>E112</f>
        <v>5268</v>
      </c>
      <c r="C112" s="84">
        <v>0</v>
      </c>
      <c r="D112" s="85">
        <v>0</v>
      </c>
      <c r="E112" s="83">
        <f>'[14]과거인구 (2)'!H9</f>
        <v>5268</v>
      </c>
      <c r="F112" s="84">
        <f t="shared" si="12"/>
        <v>-57</v>
      </c>
      <c r="G112" s="85">
        <f t="shared" si="13"/>
        <v>-1.07</v>
      </c>
      <c r="H112" s="77"/>
      <c r="I112" s="78"/>
      <c r="J112" s="78"/>
      <c r="K112" s="78"/>
      <c r="L112" s="79"/>
    </row>
    <row r="113" spans="1:14" s="80" customFormat="1" ht="24.6" customHeight="1">
      <c r="A113" s="81">
        <f>'[14]1.과거인구'!$I$2</f>
        <v>2004</v>
      </c>
      <c r="B113" s="82">
        <f>E113</f>
        <v>5582</v>
      </c>
      <c r="C113" s="84">
        <f>(B113-B112)</f>
        <v>314</v>
      </c>
      <c r="D113" s="85">
        <f>ROUND(C113/B112*100,3)</f>
        <v>5.9610000000000003</v>
      </c>
      <c r="E113" s="83">
        <f>'[14]과거인구 (2)'!H10</f>
        <v>5582</v>
      </c>
      <c r="F113" s="84">
        <f t="shared" si="12"/>
        <v>314</v>
      </c>
      <c r="G113" s="85">
        <f t="shared" si="13"/>
        <v>5.9610000000000003</v>
      </c>
      <c r="H113" s="77"/>
      <c r="I113" s="78"/>
      <c r="J113" s="78"/>
      <c r="K113" s="78"/>
      <c r="L113" s="79"/>
    </row>
    <row r="114" spans="1:14" s="80" customFormat="1" ht="24.6" customHeight="1">
      <c r="A114" s="81">
        <f>'[14]1.과거인구'!$J$2</f>
        <v>2005</v>
      </c>
      <c r="B114" s="82">
        <f>E114</f>
        <v>5309</v>
      </c>
      <c r="C114" s="84">
        <f>(B114-B113)</f>
        <v>-273</v>
      </c>
      <c r="D114" s="85">
        <f>ROUND(C114/B113*100,3)</f>
        <v>-4.891</v>
      </c>
      <c r="E114" s="83">
        <f>'[14]과거인구 (2)'!H11</f>
        <v>5309</v>
      </c>
      <c r="F114" s="84">
        <f t="shared" si="12"/>
        <v>-273</v>
      </c>
      <c r="G114" s="85">
        <f t="shared" si="13"/>
        <v>-4.891</v>
      </c>
      <c r="H114" s="77"/>
      <c r="I114" s="78"/>
      <c r="J114" s="78"/>
      <c r="K114" s="78"/>
      <c r="L114" s="79"/>
    </row>
    <row r="115" spans="1:14" s="80" customFormat="1" ht="24.6" customHeight="1">
      <c r="A115" s="81">
        <f>'[14]1.과거인구'!K$2</f>
        <v>2006</v>
      </c>
      <c r="B115" s="82">
        <f>E115</f>
        <v>5236</v>
      </c>
      <c r="C115" s="84">
        <f>(B115-B114)</f>
        <v>-73</v>
      </c>
      <c r="D115" s="85">
        <f>ROUND(C115/B114*100,3)</f>
        <v>-1.375</v>
      </c>
      <c r="E115" s="83">
        <f>'[14]과거인구 (2)'!H12</f>
        <v>5236</v>
      </c>
      <c r="F115" s="84">
        <f t="shared" si="12"/>
        <v>-73</v>
      </c>
      <c r="G115" s="85">
        <f t="shared" si="13"/>
        <v>-1.375</v>
      </c>
      <c r="H115" s="77"/>
      <c r="I115" s="78"/>
      <c r="J115" s="78"/>
      <c r="K115" s="78"/>
      <c r="L115" s="79"/>
    </row>
    <row r="116" spans="1:14" s="80" customFormat="1" ht="24.6" customHeight="1">
      <c r="A116" s="81">
        <f>'[14]1.과거인구'!$L$2</f>
        <v>2007</v>
      </c>
      <c r="B116" s="82">
        <f>E116</f>
        <v>5181</v>
      </c>
      <c r="C116" s="84">
        <f>(B116-B115)</f>
        <v>-55</v>
      </c>
      <c r="D116" s="85">
        <f>ROUND(C116/B115*100,3)</f>
        <v>-1.05</v>
      </c>
      <c r="E116" s="83">
        <f>'[14]과거인구 (2)'!H13</f>
        <v>5181</v>
      </c>
      <c r="F116" s="84">
        <f t="shared" si="12"/>
        <v>-55</v>
      </c>
      <c r="G116" s="85">
        <f t="shared" si="13"/>
        <v>-1.05</v>
      </c>
      <c r="H116" s="77"/>
      <c r="I116" s="78"/>
      <c r="J116" s="78"/>
      <c r="K116" s="78"/>
      <c r="L116" s="79"/>
    </row>
    <row r="117" spans="1:14" s="80" customFormat="1" ht="24.6" customHeight="1">
      <c r="A117" s="86" t="s">
        <v>253</v>
      </c>
      <c r="B117" s="87"/>
      <c r="C117" s="88">
        <f>SUM(C112:C116)</f>
        <v>-87</v>
      </c>
      <c r="D117" s="89">
        <f>ROUND(((B116/B112)^(1/4)-1)*100,2)</f>
        <v>-0.42</v>
      </c>
      <c r="E117" s="87"/>
      <c r="F117" s="88">
        <f>SUM(F107:F116)</f>
        <v>-624</v>
      </c>
      <c r="G117" s="89">
        <f>ROUND(((E116/E107)^(1/9)-1)*100,2)</f>
        <v>-1.26</v>
      </c>
      <c r="H117" s="832"/>
      <c r="I117" s="832"/>
      <c r="J117" s="832"/>
      <c r="K117" s="832"/>
      <c r="L117" s="833"/>
    </row>
    <row r="118" spans="1:14" s="80" customFormat="1" ht="24.6" customHeight="1">
      <c r="A118" s="834" t="s">
        <v>254</v>
      </c>
      <c r="B118" s="835"/>
      <c r="C118" s="836"/>
      <c r="D118" s="840" t="s">
        <v>262</v>
      </c>
      <c r="E118" s="840"/>
      <c r="F118" s="840"/>
      <c r="G118" s="840"/>
      <c r="H118" s="840"/>
      <c r="I118" s="840"/>
      <c r="J118" s="840"/>
      <c r="K118" s="840"/>
      <c r="L118" s="841"/>
    </row>
    <row r="119" spans="1:14" s="80" customFormat="1" ht="24.6" customHeight="1">
      <c r="A119" s="837"/>
      <c r="B119" s="838"/>
      <c r="C119" s="839"/>
      <c r="D119" s="842"/>
      <c r="E119" s="842"/>
      <c r="F119" s="842"/>
      <c r="G119" s="842"/>
      <c r="H119" s="842"/>
      <c r="I119" s="842"/>
      <c r="J119" s="842"/>
      <c r="K119" s="842"/>
      <c r="L119" s="843"/>
      <c r="N119" s="90"/>
    </row>
    <row r="120" spans="1:14" s="80" customFormat="1" ht="24.6" customHeight="1">
      <c r="G120" s="93"/>
    </row>
    <row r="121" spans="1:14" s="69" customFormat="1" ht="24.6" customHeight="1">
      <c r="A121" s="844" t="s">
        <v>256</v>
      </c>
      <c r="B121" s="847" t="str">
        <f>'[14]과거인구 (2)'!I3</f>
        <v>광덕면</v>
      </c>
      <c r="C121" s="848"/>
      <c r="D121" s="848"/>
      <c r="E121" s="848"/>
      <c r="F121" s="848"/>
      <c r="G121" s="848"/>
      <c r="H121" s="848"/>
      <c r="I121" s="848"/>
      <c r="J121" s="848"/>
      <c r="K121" s="848"/>
      <c r="L121" s="849"/>
    </row>
    <row r="122" spans="1:14" s="69" customFormat="1" ht="24.6" customHeight="1">
      <c r="A122" s="845"/>
      <c r="B122" s="850" t="s">
        <v>247</v>
      </c>
      <c r="C122" s="851"/>
      <c r="D122" s="852"/>
      <c r="E122" s="850" t="s">
        <v>248</v>
      </c>
      <c r="F122" s="851"/>
      <c r="G122" s="852"/>
      <c r="H122" s="853" t="s">
        <v>249</v>
      </c>
      <c r="I122" s="854"/>
      <c r="J122" s="854"/>
      <c r="K122" s="854"/>
      <c r="L122" s="855"/>
    </row>
    <row r="123" spans="1:14" s="69" customFormat="1" ht="24.6" customHeight="1">
      <c r="A123" s="846"/>
      <c r="B123" s="70" t="s">
        <v>250</v>
      </c>
      <c r="C123" s="71" t="s">
        <v>251</v>
      </c>
      <c r="D123" s="71" t="s">
        <v>252</v>
      </c>
      <c r="E123" s="70" t="s">
        <v>250</v>
      </c>
      <c r="F123" s="71" t="s">
        <v>251</v>
      </c>
      <c r="G123" s="71" t="s">
        <v>252</v>
      </c>
      <c r="H123" s="856"/>
      <c r="I123" s="857"/>
      <c r="J123" s="857"/>
      <c r="K123" s="857"/>
      <c r="L123" s="858"/>
    </row>
    <row r="124" spans="1:14" s="80" customFormat="1" ht="24.6" customHeight="1">
      <c r="A124" s="72">
        <f>'[14]1.과거인구'!$C$2</f>
        <v>1998</v>
      </c>
      <c r="B124" s="73"/>
      <c r="C124" s="73"/>
      <c r="D124" s="73"/>
      <c r="E124" s="74">
        <f>'[14]과거인구 (2)'!I4</f>
        <v>4789</v>
      </c>
      <c r="F124" s="75">
        <v>0</v>
      </c>
      <c r="G124" s="76">
        <v>0</v>
      </c>
      <c r="H124" s="77"/>
      <c r="I124" s="78"/>
      <c r="J124" s="78"/>
      <c r="K124" s="78"/>
      <c r="L124" s="79"/>
    </row>
    <row r="125" spans="1:14" s="80" customFormat="1" ht="24.6" customHeight="1">
      <c r="A125" s="81">
        <f>'[14]1.과거인구'!$D$2</f>
        <v>1999</v>
      </c>
      <c r="B125" s="82"/>
      <c r="C125" s="82"/>
      <c r="D125" s="82"/>
      <c r="E125" s="83">
        <f>'[14]과거인구 (2)'!I5</f>
        <v>4751</v>
      </c>
      <c r="F125" s="84">
        <f t="shared" ref="F125:F133" si="14">(E125-E124)</f>
        <v>-38</v>
      </c>
      <c r="G125" s="85">
        <f t="shared" ref="G125:G133" si="15">ROUND(F125/E124*100,3)</f>
        <v>-0.79300000000000004</v>
      </c>
      <c r="H125" s="77"/>
      <c r="I125" s="78"/>
      <c r="J125" s="78"/>
      <c r="K125" s="78"/>
      <c r="L125" s="79"/>
    </row>
    <row r="126" spans="1:14" s="80" customFormat="1" ht="24.6" customHeight="1">
      <c r="A126" s="81">
        <f>'[14]1.과거인구'!$E$2</f>
        <v>2000</v>
      </c>
      <c r="B126" s="82"/>
      <c r="C126" s="82"/>
      <c r="D126" s="82"/>
      <c r="E126" s="83">
        <f>'[14]과거인구 (2)'!I6</f>
        <v>4674</v>
      </c>
      <c r="F126" s="84">
        <f t="shared" si="14"/>
        <v>-77</v>
      </c>
      <c r="G126" s="85">
        <f t="shared" si="15"/>
        <v>-1.621</v>
      </c>
      <c r="H126" s="77"/>
      <c r="I126" s="78"/>
      <c r="J126" s="78"/>
      <c r="K126" s="78"/>
      <c r="L126" s="79"/>
    </row>
    <row r="127" spans="1:14" s="80" customFormat="1" ht="24.6" customHeight="1">
      <c r="A127" s="81">
        <f>'[14]1.과거인구'!$F$2</f>
        <v>2001</v>
      </c>
      <c r="B127" s="82"/>
      <c r="C127" s="82"/>
      <c r="D127" s="82"/>
      <c r="E127" s="83">
        <f>'[14]과거인구 (2)'!I7</f>
        <v>4582</v>
      </c>
      <c r="F127" s="84">
        <f t="shared" si="14"/>
        <v>-92</v>
      </c>
      <c r="G127" s="85">
        <f t="shared" si="15"/>
        <v>-1.968</v>
      </c>
      <c r="H127" s="77"/>
      <c r="I127" s="78"/>
      <c r="J127" s="78"/>
      <c r="K127" s="78"/>
      <c r="L127" s="79"/>
    </row>
    <row r="128" spans="1:14" s="80" customFormat="1" ht="24.6" customHeight="1">
      <c r="A128" s="81">
        <f>'[14]1.과거인구'!$G$2</f>
        <v>2002</v>
      </c>
      <c r="B128" s="82"/>
      <c r="C128" s="82"/>
      <c r="D128" s="82"/>
      <c r="E128" s="83">
        <f>'[14]과거인구 (2)'!I8</f>
        <v>4537</v>
      </c>
      <c r="F128" s="84">
        <f t="shared" si="14"/>
        <v>-45</v>
      </c>
      <c r="G128" s="85">
        <f t="shared" si="15"/>
        <v>-0.98199999999999998</v>
      </c>
      <c r="H128" s="77"/>
      <c r="I128" s="78"/>
      <c r="J128" s="78"/>
      <c r="K128" s="78"/>
      <c r="L128" s="79"/>
    </row>
    <row r="129" spans="1:14" s="80" customFormat="1" ht="24.6" customHeight="1">
      <c r="A129" s="81">
        <f>'[14]1.과거인구'!$H$2</f>
        <v>2003</v>
      </c>
      <c r="B129" s="82">
        <f>E129</f>
        <v>4560</v>
      </c>
      <c r="C129" s="84">
        <v>0</v>
      </c>
      <c r="D129" s="85">
        <v>0</v>
      </c>
      <c r="E129" s="83">
        <f>'[14]과거인구 (2)'!I9</f>
        <v>4560</v>
      </c>
      <c r="F129" s="84">
        <f t="shared" si="14"/>
        <v>23</v>
      </c>
      <c r="G129" s="85">
        <f t="shared" si="15"/>
        <v>0.50700000000000001</v>
      </c>
      <c r="H129" s="77"/>
      <c r="I129" s="78"/>
      <c r="J129" s="78"/>
      <c r="K129" s="78"/>
      <c r="L129" s="79"/>
    </row>
    <row r="130" spans="1:14" s="80" customFormat="1" ht="24.6" customHeight="1">
      <c r="A130" s="81">
        <f>'[14]1.과거인구'!$I$2</f>
        <v>2004</v>
      </c>
      <c r="B130" s="82">
        <f>E130</f>
        <v>4848</v>
      </c>
      <c r="C130" s="84">
        <f>(B130-B129)</f>
        <v>288</v>
      </c>
      <c r="D130" s="85">
        <f>ROUND(C130/B129*100,3)</f>
        <v>6.3159999999999998</v>
      </c>
      <c r="E130" s="83">
        <f>'[14]과거인구 (2)'!I10</f>
        <v>4848</v>
      </c>
      <c r="F130" s="84">
        <f t="shared" si="14"/>
        <v>288</v>
      </c>
      <c r="G130" s="85">
        <f t="shared" si="15"/>
        <v>6.3159999999999998</v>
      </c>
      <c r="H130" s="77"/>
      <c r="I130" s="78"/>
      <c r="J130" s="78"/>
      <c r="K130" s="78"/>
      <c r="L130" s="79"/>
    </row>
    <row r="131" spans="1:14" s="80" customFormat="1" ht="24.6" customHeight="1">
      <c r="A131" s="81">
        <f>'[14]1.과거인구'!$J$2</f>
        <v>2005</v>
      </c>
      <c r="B131" s="82">
        <f>E131</f>
        <v>4711</v>
      </c>
      <c r="C131" s="84">
        <f>(B131-B130)</f>
        <v>-137</v>
      </c>
      <c r="D131" s="85">
        <f>ROUND(C131/B130*100,3)</f>
        <v>-2.8260000000000001</v>
      </c>
      <c r="E131" s="83">
        <f>'[14]과거인구 (2)'!I11</f>
        <v>4711</v>
      </c>
      <c r="F131" s="84">
        <f t="shared" si="14"/>
        <v>-137</v>
      </c>
      <c r="G131" s="85">
        <f t="shared" si="15"/>
        <v>-2.8260000000000001</v>
      </c>
      <c r="H131" s="77"/>
      <c r="I131" s="78"/>
      <c r="J131" s="78"/>
      <c r="K131" s="78"/>
      <c r="L131" s="79"/>
    </row>
    <row r="132" spans="1:14" s="80" customFormat="1" ht="24.6" customHeight="1">
      <c r="A132" s="81">
        <f>'[14]1.과거인구'!K$2</f>
        <v>2006</v>
      </c>
      <c r="B132" s="82">
        <f>E132</f>
        <v>4691</v>
      </c>
      <c r="C132" s="84">
        <f>(B132-B131)</f>
        <v>-20</v>
      </c>
      <c r="D132" s="85">
        <f>ROUND(C132/B131*100,3)</f>
        <v>-0.42499999999999999</v>
      </c>
      <c r="E132" s="83">
        <f>'[14]과거인구 (2)'!I12</f>
        <v>4691</v>
      </c>
      <c r="F132" s="84">
        <f t="shared" si="14"/>
        <v>-20</v>
      </c>
      <c r="G132" s="85">
        <f t="shared" si="15"/>
        <v>-0.42499999999999999</v>
      </c>
      <c r="H132" s="77"/>
      <c r="I132" s="78"/>
      <c r="J132" s="78"/>
      <c r="K132" s="78"/>
      <c r="L132" s="79"/>
    </row>
    <row r="133" spans="1:14" s="80" customFormat="1" ht="24.6" customHeight="1">
      <c r="A133" s="81">
        <f>'[14]1.과거인구'!$L$2</f>
        <v>2007</v>
      </c>
      <c r="B133" s="82">
        <f>E133</f>
        <v>4658</v>
      </c>
      <c r="C133" s="84">
        <f>(B133-B132)</f>
        <v>-33</v>
      </c>
      <c r="D133" s="85">
        <f>ROUND(C133/B132*100,3)</f>
        <v>-0.70299999999999996</v>
      </c>
      <c r="E133" s="83">
        <f>'[14]과거인구 (2)'!I13</f>
        <v>4658</v>
      </c>
      <c r="F133" s="84">
        <f t="shared" si="14"/>
        <v>-33</v>
      </c>
      <c r="G133" s="85">
        <f t="shared" si="15"/>
        <v>-0.70299999999999996</v>
      </c>
      <c r="H133" s="77"/>
      <c r="I133" s="78"/>
      <c r="J133" s="78"/>
      <c r="K133" s="78"/>
      <c r="L133" s="79"/>
    </row>
    <row r="134" spans="1:14" s="80" customFormat="1" ht="24.6" customHeight="1">
      <c r="A134" s="86" t="s">
        <v>253</v>
      </c>
      <c r="B134" s="87"/>
      <c r="C134" s="88">
        <f>SUM(C129:C133)</f>
        <v>98</v>
      </c>
      <c r="D134" s="89">
        <f>ROUND(((B133/B129)^(1/4)-1)*100,2)</f>
        <v>0.53</v>
      </c>
      <c r="E134" s="87"/>
      <c r="F134" s="88">
        <f>SUM(F124:F133)</f>
        <v>-131</v>
      </c>
      <c r="G134" s="89">
        <f>ROUND(((E133/E124)^(1/9)-1)*100,2)</f>
        <v>-0.31</v>
      </c>
      <c r="H134" s="832"/>
      <c r="I134" s="832"/>
      <c r="J134" s="832"/>
      <c r="K134" s="832"/>
      <c r="L134" s="833"/>
    </row>
    <row r="135" spans="1:14" s="80" customFormat="1" ht="24.6" customHeight="1">
      <c r="A135" s="834" t="s">
        <v>254</v>
      </c>
      <c r="B135" s="835"/>
      <c r="C135" s="836"/>
      <c r="D135" s="840" t="s">
        <v>263</v>
      </c>
      <c r="E135" s="840"/>
      <c r="F135" s="840"/>
      <c r="G135" s="840"/>
      <c r="H135" s="840"/>
      <c r="I135" s="840"/>
      <c r="J135" s="840"/>
      <c r="K135" s="840"/>
      <c r="L135" s="841"/>
    </row>
    <row r="136" spans="1:14" s="80" customFormat="1" ht="24.6" customHeight="1">
      <c r="A136" s="837"/>
      <c r="B136" s="838"/>
      <c r="C136" s="839"/>
      <c r="D136" s="842"/>
      <c r="E136" s="842"/>
      <c r="F136" s="842"/>
      <c r="G136" s="842"/>
      <c r="H136" s="842"/>
      <c r="I136" s="842"/>
      <c r="J136" s="842"/>
      <c r="K136" s="842"/>
      <c r="L136" s="843"/>
      <c r="N136" s="90"/>
    </row>
    <row r="137" spans="1:14" s="80" customFormat="1" ht="24.6" customHeight="1">
      <c r="G137" s="93"/>
    </row>
    <row r="138" spans="1:14" s="69" customFormat="1" ht="24.6" customHeight="1">
      <c r="A138" s="844" t="s">
        <v>256</v>
      </c>
      <c r="B138" s="847" t="str">
        <f>'[14]과거인구 (2)'!J3</f>
        <v>북면</v>
      </c>
      <c r="C138" s="848"/>
      <c r="D138" s="848"/>
      <c r="E138" s="848"/>
      <c r="F138" s="848"/>
      <c r="G138" s="848"/>
      <c r="H138" s="848"/>
      <c r="I138" s="848"/>
      <c r="J138" s="848"/>
      <c r="K138" s="848"/>
      <c r="L138" s="849"/>
    </row>
    <row r="139" spans="1:14" s="69" customFormat="1" ht="24.6" customHeight="1">
      <c r="A139" s="845"/>
      <c r="B139" s="850" t="s">
        <v>247</v>
      </c>
      <c r="C139" s="851"/>
      <c r="D139" s="852"/>
      <c r="E139" s="850" t="s">
        <v>248</v>
      </c>
      <c r="F139" s="851"/>
      <c r="G139" s="852"/>
      <c r="H139" s="853" t="s">
        <v>249</v>
      </c>
      <c r="I139" s="854"/>
      <c r="J139" s="854"/>
      <c r="K139" s="854"/>
      <c r="L139" s="855"/>
    </row>
    <row r="140" spans="1:14" s="69" customFormat="1" ht="24.6" customHeight="1">
      <c r="A140" s="846"/>
      <c r="B140" s="70" t="s">
        <v>250</v>
      </c>
      <c r="C140" s="71" t="s">
        <v>251</v>
      </c>
      <c r="D140" s="71" t="s">
        <v>252</v>
      </c>
      <c r="E140" s="70" t="s">
        <v>250</v>
      </c>
      <c r="F140" s="71" t="s">
        <v>251</v>
      </c>
      <c r="G140" s="71" t="s">
        <v>252</v>
      </c>
      <c r="H140" s="856"/>
      <c r="I140" s="857"/>
      <c r="J140" s="857"/>
      <c r="K140" s="857"/>
      <c r="L140" s="858"/>
    </row>
    <row r="141" spans="1:14" s="80" customFormat="1" ht="24.6" customHeight="1">
      <c r="A141" s="72">
        <f>'[14]1.과거인구'!$C$2</f>
        <v>1998</v>
      </c>
      <c r="B141" s="73"/>
      <c r="C141" s="73"/>
      <c r="D141" s="73"/>
      <c r="E141" s="74">
        <f>'[14]과거인구 (2)'!J4</f>
        <v>5308</v>
      </c>
      <c r="F141" s="75">
        <v>0</v>
      </c>
      <c r="G141" s="76">
        <v>0</v>
      </c>
      <c r="H141" s="77"/>
      <c r="I141" s="78"/>
      <c r="J141" s="78"/>
      <c r="K141" s="78"/>
      <c r="L141" s="79"/>
    </row>
    <row r="142" spans="1:14" s="80" customFormat="1" ht="24.6" customHeight="1">
      <c r="A142" s="81">
        <f>'[14]1.과거인구'!$D$2</f>
        <v>1999</v>
      </c>
      <c r="B142" s="82"/>
      <c r="C142" s="82"/>
      <c r="D142" s="82"/>
      <c r="E142" s="83">
        <f>'[14]과거인구 (2)'!J5</f>
        <v>5502</v>
      </c>
      <c r="F142" s="84">
        <f t="shared" ref="F142:F150" si="16">(E142-E141)</f>
        <v>194</v>
      </c>
      <c r="G142" s="85">
        <f t="shared" ref="G142:G150" si="17">ROUND(F142/E141*100,3)</f>
        <v>3.6549999999999998</v>
      </c>
      <c r="H142" s="77"/>
      <c r="I142" s="78"/>
      <c r="J142" s="78"/>
      <c r="K142" s="78"/>
      <c r="L142" s="79"/>
    </row>
    <row r="143" spans="1:14" s="80" customFormat="1" ht="24.6" customHeight="1">
      <c r="A143" s="81">
        <f>'[14]1.과거인구'!$E$2</f>
        <v>2000</v>
      </c>
      <c r="B143" s="82"/>
      <c r="C143" s="82"/>
      <c r="D143" s="82"/>
      <c r="E143" s="83">
        <f>'[14]과거인구 (2)'!J6</f>
        <v>5712</v>
      </c>
      <c r="F143" s="84">
        <f t="shared" si="16"/>
        <v>210</v>
      </c>
      <c r="G143" s="85">
        <f t="shared" si="17"/>
        <v>3.8170000000000002</v>
      </c>
      <c r="H143" s="77"/>
      <c r="I143" s="78"/>
      <c r="J143" s="78"/>
      <c r="K143" s="78"/>
      <c r="L143" s="79"/>
    </row>
    <row r="144" spans="1:14" s="80" customFormat="1" ht="24.6" customHeight="1">
      <c r="A144" s="81">
        <f>'[14]1.과거인구'!$F$2</f>
        <v>2001</v>
      </c>
      <c r="B144" s="82"/>
      <c r="C144" s="82"/>
      <c r="D144" s="82"/>
      <c r="E144" s="83">
        <f>'[14]과거인구 (2)'!J7</f>
        <v>5744</v>
      </c>
      <c r="F144" s="84">
        <f t="shared" si="16"/>
        <v>32</v>
      </c>
      <c r="G144" s="85">
        <f t="shared" si="17"/>
        <v>0.56000000000000005</v>
      </c>
      <c r="H144" s="77"/>
      <c r="I144" s="78"/>
      <c r="J144" s="78"/>
      <c r="K144" s="78"/>
      <c r="L144" s="79"/>
    </row>
    <row r="145" spans="1:14" s="80" customFormat="1" ht="24.6" customHeight="1">
      <c r="A145" s="81">
        <f>'[14]1.과거인구'!$G$2</f>
        <v>2002</v>
      </c>
      <c r="B145" s="82"/>
      <c r="C145" s="82"/>
      <c r="D145" s="82"/>
      <c r="E145" s="83">
        <f>'[14]과거인구 (2)'!J8</f>
        <v>5692</v>
      </c>
      <c r="F145" s="84">
        <f t="shared" si="16"/>
        <v>-52</v>
      </c>
      <c r="G145" s="85">
        <f t="shared" si="17"/>
        <v>-0.90500000000000003</v>
      </c>
      <c r="H145" s="77"/>
      <c r="I145" s="78"/>
      <c r="J145" s="78"/>
      <c r="K145" s="78"/>
      <c r="L145" s="79"/>
    </row>
    <row r="146" spans="1:14" s="80" customFormat="1" ht="24.6" customHeight="1">
      <c r="A146" s="81">
        <f>'[14]1.과거인구'!$H$2</f>
        <v>2003</v>
      </c>
      <c r="B146" s="82">
        <f>E146</f>
        <v>5667</v>
      </c>
      <c r="C146" s="84">
        <v>0</v>
      </c>
      <c r="D146" s="85">
        <v>0</v>
      </c>
      <c r="E146" s="83">
        <f>'[14]과거인구 (2)'!J9</f>
        <v>5667</v>
      </c>
      <c r="F146" s="84">
        <f t="shared" si="16"/>
        <v>-25</v>
      </c>
      <c r="G146" s="85">
        <f t="shared" si="17"/>
        <v>-0.439</v>
      </c>
      <c r="H146" s="77"/>
      <c r="I146" s="78"/>
      <c r="J146" s="78"/>
      <c r="K146" s="78"/>
      <c r="L146" s="79"/>
    </row>
    <row r="147" spans="1:14" s="80" customFormat="1" ht="24.6" customHeight="1">
      <c r="A147" s="81">
        <f>'[14]1.과거인구'!$I$2</f>
        <v>2004</v>
      </c>
      <c r="B147" s="82">
        <f>E147</f>
        <v>5918</v>
      </c>
      <c r="C147" s="84">
        <f>(B147-B146)</f>
        <v>251</v>
      </c>
      <c r="D147" s="85">
        <f>ROUND(C147/B146*100,3)</f>
        <v>4.4290000000000003</v>
      </c>
      <c r="E147" s="83">
        <f>'[14]과거인구 (2)'!J10</f>
        <v>5918</v>
      </c>
      <c r="F147" s="84">
        <f t="shared" si="16"/>
        <v>251</v>
      </c>
      <c r="G147" s="85">
        <f t="shared" si="17"/>
        <v>4.4290000000000003</v>
      </c>
      <c r="H147" s="77"/>
      <c r="I147" s="78"/>
      <c r="J147" s="78"/>
      <c r="K147" s="78"/>
      <c r="L147" s="79"/>
    </row>
    <row r="148" spans="1:14" s="80" customFormat="1" ht="24.6" customHeight="1">
      <c r="A148" s="81">
        <f>'[14]1.과거인구'!$J$2</f>
        <v>2005</v>
      </c>
      <c r="B148" s="82">
        <f>E148</f>
        <v>5668</v>
      </c>
      <c r="C148" s="84">
        <f>(B148-B147)</f>
        <v>-250</v>
      </c>
      <c r="D148" s="85">
        <f>ROUND(C148/B147*100,3)</f>
        <v>-4.2240000000000002</v>
      </c>
      <c r="E148" s="83">
        <f>'[14]과거인구 (2)'!J11</f>
        <v>5668</v>
      </c>
      <c r="F148" s="84">
        <f t="shared" si="16"/>
        <v>-250</v>
      </c>
      <c r="G148" s="85">
        <f t="shared" si="17"/>
        <v>-4.2240000000000002</v>
      </c>
      <c r="H148" s="77"/>
      <c r="I148" s="78"/>
      <c r="J148" s="78"/>
      <c r="K148" s="78"/>
      <c r="L148" s="79"/>
    </row>
    <row r="149" spans="1:14" s="80" customFormat="1" ht="24.6" customHeight="1">
      <c r="A149" s="81">
        <f>'[14]1.과거인구'!K$2</f>
        <v>2006</v>
      </c>
      <c r="B149" s="82">
        <f>E149</f>
        <v>5537</v>
      </c>
      <c r="C149" s="84">
        <f>(B149-B148)</f>
        <v>-131</v>
      </c>
      <c r="D149" s="85">
        <f>ROUND(C149/B148*100,3)</f>
        <v>-2.3109999999999999</v>
      </c>
      <c r="E149" s="83">
        <f>'[14]과거인구 (2)'!J12</f>
        <v>5537</v>
      </c>
      <c r="F149" s="84">
        <f t="shared" si="16"/>
        <v>-131</v>
      </c>
      <c r="G149" s="85">
        <f t="shared" si="17"/>
        <v>-2.3109999999999999</v>
      </c>
      <c r="H149" s="77"/>
      <c r="I149" s="78"/>
      <c r="J149" s="78"/>
      <c r="K149" s="78"/>
      <c r="L149" s="79"/>
    </row>
    <row r="150" spans="1:14" s="80" customFormat="1" ht="24.6" customHeight="1">
      <c r="A150" s="81">
        <f>'[14]1.과거인구'!$L$2</f>
        <v>2007</v>
      </c>
      <c r="B150" s="82">
        <f>E150</f>
        <v>5540</v>
      </c>
      <c r="C150" s="84">
        <f>(B150-B149)</f>
        <v>3</v>
      </c>
      <c r="D150" s="85">
        <f>ROUND(C150/B149*100,3)</f>
        <v>5.3999999999999999E-2</v>
      </c>
      <c r="E150" s="83">
        <f>'[14]과거인구 (2)'!J13</f>
        <v>5540</v>
      </c>
      <c r="F150" s="84">
        <f t="shared" si="16"/>
        <v>3</v>
      </c>
      <c r="G150" s="85">
        <f t="shared" si="17"/>
        <v>5.3999999999999999E-2</v>
      </c>
      <c r="H150" s="77"/>
      <c r="I150" s="78"/>
      <c r="J150" s="78"/>
      <c r="K150" s="78"/>
      <c r="L150" s="79"/>
    </row>
    <row r="151" spans="1:14" s="80" customFormat="1" ht="24.6" customHeight="1">
      <c r="A151" s="86" t="s">
        <v>253</v>
      </c>
      <c r="B151" s="87"/>
      <c r="C151" s="88">
        <f>SUM(C146:C150)</f>
        <v>-127</v>
      </c>
      <c r="D151" s="89">
        <f>ROUND(((B150/B146)^(1/4)-1)*100,2)</f>
        <v>-0.56999999999999995</v>
      </c>
      <c r="E151" s="87"/>
      <c r="F151" s="88">
        <f>SUM(F141:F150)</f>
        <v>232</v>
      </c>
      <c r="G151" s="89">
        <f>ROUND(((E150/E141)^(1/9)-1)*100,2)</f>
        <v>0.48</v>
      </c>
      <c r="H151" s="832"/>
      <c r="I151" s="832"/>
      <c r="J151" s="832"/>
      <c r="K151" s="832"/>
      <c r="L151" s="833"/>
    </row>
    <row r="152" spans="1:14" s="80" customFormat="1" ht="24.6" customHeight="1">
      <c r="A152" s="834" t="s">
        <v>254</v>
      </c>
      <c r="B152" s="835"/>
      <c r="C152" s="836"/>
      <c r="D152" s="840" t="s">
        <v>264</v>
      </c>
      <c r="E152" s="840"/>
      <c r="F152" s="840"/>
      <c r="G152" s="840"/>
      <c r="H152" s="840"/>
      <c r="I152" s="840"/>
      <c r="J152" s="840"/>
      <c r="K152" s="840"/>
      <c r="L152" s="841"/>
    </row>
    <row r="153" spans="1:14" s="80" customFormat="1" ht="24.6" customHeight="1">
      <c r="A153" s="837"/>
      <c r="B153" s="838"/>
      <c r="C153" s="839"/>
      <c r="D153" s="842"/>
      <c r="E153" s="842"/>
      <c r="F153" s="842"/>
      <c r="G153" s="842"/>
      <c r="H153" s="842"/>
      <c r="I153" s="842"/>
      <c r="J153" s="842"/>
      <c r="K153" s="842"/>
      <c r="L153" s="843"/>
      <c r="N153" s="90"/>
    </row>
    <row r="154" spans="1:14" s="80" customFormat="1" ht="24.6" customHeight="1">
      <c r="G154" s="93"/>
    </row>
    <row r="155" spans="1:14" s="69" customFormat="1" ht="24.6" customHeight="1">
      <c r="A155" s="844" t="s">
        <v>256</v>
      </c>
      <c r="B155" s="847" t="str">
        <f>'[14]과거인구 (2)'!K3</f>
        <v>성남면</v>
      </c>
      <c r="C155" s="848"/>
      <c r="D155" s="848"/>
      <c r="E155" s="848"/>
      <c r="F155" s="848"/>
      <c r="G155" s="848"/>
      <c r="H155" s="848"/>
      <c r="I155" s="848"/>
      <c r="J155" s="848"/>
      <c r="K155" s="848"/>
      <c r="L155" s="849"/>
    </row>
    <row r="156" spans="1:14" s="69" customFormat="1" ht="24.6" customHeight="1">
      <c r="A156" s="845"/>
      <c r="B156" s="850" t="s">
        <v>247</v>
      </c>
      <c r="C156" s="851"/>
      <c r="D156" s="852"/>
      <c r="E156" s="850" t="s">
        <v>248</v>
      </c>
      <c r="F156" s="851"/>
      <c r="G156" s="852"/>
      <c r="H156" s="853" t="s">
        <v>249</v>
      </c>
      <c r="I156" s="854"/>
      <c r="J156" s="854"/>
      <c r="K156" s="854"/>
      <c r="L156" s="855"/>
    </row>
    <row r="157" spans="1:14" s="69" customFormat="1" ht="24.6" customHeight="1">
      <c r="A157" s="846"/>
      <c r="B157" s="70" t="s">
        <v>250</v>
      </c>
      <c r="C157" s="71" t="s">
        <v>251</v>
      </c>
      <c r="D157" s="71" t="s">
        <v>252</v>
      </c>
      <c r="E157" s="70" t="s">
        <v>250</v>
      </c>
      <c r="F157" s="71" t="s">
        <v>251</v>
      </c>
      <c r="G157" s="71" t="s">
        <v>252</v>
      </c>
      <c r="H157" s="856"/>
      <c r="I157" s="857"/>
      <c r="J157" s="857"/>
      <c r="K157" s="857"/>
      <c r="L157" s="858"/>
    </row>
    <row r="158" spans="1:14" s="80" customFormat="1" ht="24.6" customHeight="1">
      <c r="A158" s="72">
        <f>'[14]1.과거인구'!$C$2</f>
        <v>1998</v>
      </c>
      <c r="B158" s="73"/>
      <c r="C158" s="73"/>
      <c r="D158" s="73"/>
      <c r="E158" s="74">
        <f>'[14]과거인구 (2)'!K4</f>
        <v>4871</v>
      </c>
      <c r="F158" s="75">
        <v>0</v>
      </c>
      <c r="G158" s="76">
        <v>0</v>
      </c>
      <c r="H158" s="77"/>
      <c r="I158" s="78"/>
      <c r="J158" s="78"/>
      <c r="K158" s="78"/>
      <c r="L158" s="79"/>
    </row>
    <row r="159" spans="1:14" s="80" customFormat="1" ht="24.6" customHeight="1">
      <c r="A159" s="81">
        <f>'[14]1.과거인구'!$D$2</f>
        <v>1999</v>
      </c>
      <c r="B159" s="82"/>
      <c r="C159" s="82"/>
      <c r="D159" s="82"/>
      <c r="E159" s="83">
        <f>'[14]과거인구 (2)'!K5</f>
        <v>4815</v>
      </c>
      <c r="F159" s="84">
        <f t="shared" ref="F159:F167" si="18">(E159-E158)</f>
        <v>-56</v>
      </c>
      <c r="G159" s="85">
        <f t="shared" ref="G159:G167" si="19">ROUND(F159/E158*100,3)</f>
        <v>-1.1499999999999999</v>
      </c>
      <c r="H159" s="77"/>
      <c r="I159" s="78"/>
      <c r="J159" s="78"/>
      <c r="K159" s="78"/>
      <c r="L159" s="79"/>
    </row>
    <row r="160" spans="1:14" s="80" customFormat="1" ht="24.6" customHeight="1">
      <c r="A160" s="81">
        <f>'[14]1.과거인구'!$E$2</f>
        <v>2000</v>
      </c>
      <c r="B160" s="82"/>
      <c r="C160" s="82"/>
      <c r="D160" s="82"/>
      <c r="E160" s="83">
        <f>'[14]과거인구 (2)'!K6</f>
        <v>4700</v>
      </c>
      <c r="F160" s="84">
        <f t="shared" si="18"/>
        <v>-115</v>
      </c>
      <c r="G160" s="85">
        <f t="shared" si="19"/>
        <v>-2.3879999999999999</v>
      </c>
      <c r="H160" s="77"/>
      <c r="I160" s="78"/>
      <c r="J160" s="78"/>
      <c r="K160" s="78"/>
      <c r="L160" s="79"/>
    </row>
    <row r="161" spans="1:14" s="80" customFormat="1" ht="24.6" customHeight="1">
      <c r="A161" s="81">
        <f>'[14]1.과거인구'!$F$2</f>
        <v>2001</v>
      </c>
      <c r="B161" s="82"/>
      <c r="C161" s="82"/>
      <c r="D161" s="82"/>
      <c r="E161" s="83">
        <f>'[14]과거인구 (2)'!K7</f>
        <v>4569</v>
      </c>
      <c r="F161" s="84">
        <f t="shared" si="18"/>
        <v>-131</v>
      </c>
      <c r="G161" s="85">
        <f t="shared" si="19"/>
        <v>-2.7869999999999999</v>
      </c>
      <c r="H161" s="77"/>
      <c r="I161" s="78"/>
      <c r="J161" s="78"/>
      <c r="K161" s="78"/>
      <c r="L161" s="79"/>
    </row>
    <row r="162" spans="1:14" s="80" customFormat="1" ht="24.6" customHeight="1">
      <c r="A162" s="81">
        <f>'[14]1.과거인구'!$G$2</f>
        <v>2002</v>
      </c>
      <c r="B162" s="82"/>
      <c r="C162" s="82"/>
      <c r="D162" s="82"/>
      <c r="E162" s="83">
        <f>'[14]과거인구 (2)'!K8</f>
        <v>4537</v>
      </c>
      <c r="F162" s="84">
        <f t="shared" si="18"/>
        <v>-32</v>
      </c>
      <c r="G162" s="85">
        <f t="shared" si="19"/>
        <v>-0.7</v>
      </c>
      <c r="H162" s="77"/>
      <c r="I162" s="78"/>
      <c r="J162" s="78"/>
      <c r="K162" s="78"/>
      <c r="L162" s="79"/>
    </row>
    <row r="163" spans="1:14" s="80" customFormat="1" ht="24.6" customHeight="1">
      <c r="A163" s="81">
        <f>'[14]1.과거인구'!$H$2</f>
        <v>2003</v>
      </c>
      <c r="B163" s="82">
        <f>E163</f>
        <v>4486</v>
      </c>
      <c r="C163" s="84">
        <v>0</v>
      </c>
      <c r="D163" s="85">
        <v>0</v>
      </c>
      <c r="E163" s="83">
        <f>'[14]과거인구 (2)'!K9</f>
        <v>4486</v>
      </c>
      <c r="F163" s="84">
        <f t="shared" si="18"/>
        <v>-51</v>
      </c>
      <c r="G163" s="85">
        <f t="shared" si="19"/>
        <v>-1.1240000000000001</v>
      </c>
      <c r="H163" s="77"/>
      <c r="I163" s="78"/>
      <c r="J163" s="78"/>
      <c r="K163" s="78"/>
      <c r="L163" s="79"/>
    </row>
    <row r="164" spans="1:14" s="80" customFormat="1" ht="24.6" customHeight="1">
      <c r="A164" s="81">
        <f>'[14]1.과거인구'!$I$2</f>
        <v>2004</v>
      </c>
      <c r="B164" s="82">
        <f>E164</f>
        <v>4789</v>
      </c>
      <c r="C164" s="84">
        <f>(B164-B163)</f>
        <v>303</v>
      </c>
      <c r="D164" s="85">
        <f>ROUND(C164/B163*100,3)</f>
        <v>6.7539999999999996</v>
      </c>
      <c r="E164" s="83">
        <f>'[14]과거인구 (2)'!K10</f>
        <v>4789</v>
      </c>
      <c r="F164" s="84">
        <f t="shared" si="18"/>
        <v>303</v>
      </c>
      <c r="G164" s="85">
        <f t="shared" si="19"/>
        <v>6.7539999999999996</v>
      </c>
      <c r="H164" s="77"/>
      <c r="I164" s="78"/>
      <c r="J164" s="78"/>
      <c r="K164" s="78"/>
      <c r="L164" s="79"/>
    </row>
    <row r="165" spans="1:14" s="80" customFormat="1" ht="24.6" customHeight="1">
      <c r="A165" s="81">
        <f>'[14]1.과거인구'!$J$2</f>
        <v>2005</v>
      </c>
      <c r="B165" s="82">
        <f>E165</f>
        <v>4629</v>
      </c>
      <c r="C165" s="84">
        <f>(B165-B164)</f>
        <v>-160</v>
      </c>
      <c r="D165" s="85">
        <f>ROUND(C165/B164*100,3)</f>
        <v>-3.3410000000000002</v>
      </c>
      <c r="E165" s="83">
        <f>'[14]과거인구 (2)'!K11</f>
        <v>4629</v>
      </c>
      <c r="F165" s="84">
        <f t="shared" si="18"/>
        <v>-160</v>
      </c>
      <c r="G165" s="85">
        <f t="shared" si="19"/>
        <v>-3.3410000000000002</v>
      </c>
      <c r="H165" s="77"/>
      <c r="I165" s="78"/>
      <c r="J165" s="78"/>
      <c r="K165" s="78"/>
      <c r="L165" s="79"/>
    </row>
    <row r="166" spans="1:14" s="80" customFormat="1" ht="24.6" customHeight="1">
      <c r="A166" s="81">
        <f>'[14]1.과거인구'!K$2</f>
        <v>2006</v>
      </c>
      <c r="B166" s="82">
        <f>E166</f>
        <v>4662</v>
      </c>
      <c r="C166" s="84">
        <f>(B166-B165)</f>
        <v>33</v>
      </c>
      <c r="D166" s="85">
        <f>ROUND(C166/B165*100,3)</f>
        <v>0.71299999999999997</v>
      </c>
      <c r="E166" s="83">
        <f>'[14]과거인구 (2)'!K12</f>
        <v>4662</v>
      </c>
      <c r="F166" s="84">
        <f t="shared" si="18"/>
        <v>33</v>
      </c>
      <c r="G166" s="85">
        <f t="shared" si="19"/>
        <v>0.71299999999999997</v>
      </c>
      <c r="H166" s="77"/>
      <c r="I166" s="78"/>
      <c r="J166" s="78"/>
      <c r="K166" s="78"/>
      <c r="L166" s="79"/>
    </row>
    <row r="167" spans="1:14" s="80" customFormat="1" ht="24.6" customHeight="1">
      <c r="A167" s="81">
        <f>'[14]1.과거인구'!$L$2</f>
        <v>2007</v>
      </c>
      <c r="B167" s="82">
        <f>E167</f>
        <v>4480</v>
      </c>
      <c r="C167" s="84">
        <f>(B167-B166)</f>
        <v>-182</v>
      </c>
      <c r="D167" s="85">
        <f>ROUND(C167/B166*100,3)</f>
        <v>-3.9039999999999999</v>
      </c>
      <c r="E167" s="83">
        <f>'[14]과거인구 (2)'!K13</f>
        <v>4480</v>
      </c>
      <c r="F167" s="84">
        <f t="shared" si="18"/>
        <v>-182</v>
      </c>
      <c r="G167" s="85">
        <f t="shared" si="19"/>
        <v>-3.9039999999999999</v>
      </c>
      <c r="H167" s="77"/>
      <c r="I167" s="78"/>
      <c r="J167" s="78"/>
      <c r="K167" s="78"/>
      <c r="L167" s="79"/>
    </row>
    <row r="168" spans="1:14" s="80" customFormat="1" ht="24.6" customHeight="1">
      <c r="A168" s="86" t="s">
        <v>253</v>
      </c>
      <c r="B168" s="87"/>
      <c r="C168" s="88">
        <f>SUM(C163:C167)</f>
        <v>-6</v>
      </c>
      <c r="D168" s="89">
        <f>ROUND(((B167/B163)^(1/4)-1)*100,2)</f>
        <v>-0.03</v>
      </c>
      <c r="E168" s="87"/>
      <c r="F168" s="88">
        <f>SUM(F158:F167)</f>
        <v>-391</v>
      </c>
      <c r="G168" s="89">
        <f>ROUND(((E167/E158)^(1/9)-1)*100,2)</f>
        <v>-0.93</v>
      </c>
      <c r="H168" s="832"/>
      <c r="I168" s="832"/>
      <c r="J168" s="832"/>
      <c r="K168" s="832"/>
      <c r="L168" s="833"/>
    </row>
    <row r="169" spans="1:14" s="80" customFormat="1" ht="24.6" customHeight="1">
      <c r="A169" s="834" t="s">
        <v>254</v>
      </c>
      <c r="B169" s="835"/>
      <c r="C169" s="836"/>
      <c r="D169" s="840" t="s">
        <v>265</v>
      </c>
      <c r="E169" s="840"/>
      <c r="F169" s="840"/>
      <c r="G169" s="840"/>
      <c r="H169" s="840"/>
      <c r="I169" s="840"/>
      <c r="J169" s="840"/>
      <c r="K169" s="840"/>
      <c r="L169" s="841"/>
    </row>
    <row r="170" spans="1:14" s="80" customFormat="1" ht="24.6" customHeight="1">
      <c r="A170" s="837"/>
      <c r="B170" s="838"/>
      <c r="C170" s="839"/>
      <c r="D170" s="842"/>
      <c r="E170" s="842"/>
      <c r="F170" s="842"/>
      <c r="G170" s="842"/>
      <c r="H170" s="842"/>
      <c r="I170" s="842"/>
      <c r="J170" s="842"/>
      <c r="K170" s="842"/>
      <c r="L170" s="843"/>
      <c r="N170" s="90"/>
    </row>
    <row r="171" spans="1:14" s="80" customFormat="1" ht="24.6" customHeight="1">
      <c r="G171" s="93"/>
      <c r="N171" s="90"/>
    </row>
    <row r="172" spans="1:14" s="69" customFormat="1" ht="24.6" customHeight="1">
      <c r="A172" s="844" t="s">
        <v>256</v>
      </c>
      <c r="B172" s="847" t="str">
        <f>'[14]과거인구 (2)'!L3</f>
        <v>수신면</v>
      </c>
      <c r="C172" s="848"/>
      <c r="D172" s="848"/>
      <c r="E172" s="848"/>
      <c r="F172" s="848"/>
      <c r="G172" s="848"/>
      <c r="H172" s="848"/>
      <c r="I172" s="848"/>
      <c r="J172" s="848"/>
      <c r="K172" s="848"/>
      <c r="L172" s="849"/>
    </row>
    <row r="173" spans="1:14" s="69" customFormat="1" ht="24.6" customHeight="1">
      <c r="A173" s="845"/>
      <c r="B173" s="850" t="s">
        <v>247</v>
      </c>
      <c r="C173" s="851"/>
      <c r="D173" s="852"/>
      <c r="E173" s="850" t="s">
        <v>248</v>
      </c>
      <c r="F173" s="851"/>
      <c r="G173" s="852"/>
      <c r="H173" s="853" t="s">
        <v>249</v>
      </c>
      <c r="I173" s="854"/>
      <c r="J173" s="854"/>
      <c r="K173" s="854"/>
      <c r="L173" s="855"/>
    </row>
    <row r="174" spans="1:14" s="69" customFormat="1" ht="24.6" customHeight="1">
      <c r="A174" s="846"/>
      <c r="B174" s="70" t="s">
        <v>250</v>
      </c>
      <c r="C174" s="71" t="s">
        <v>251</v>
      </c>
      <c r="D174" s="71" t="s">
        <v>252</v>
      </c>
      <c r="E174" s="70" t="s">
        <v>250</v>
      </c>
      <c r="F174" s="71" t="s">
        <v>251</v>
      </c>
      <c r="G174" s="71" t="s">
        <v>252</v>
      </c>
      <c r="H174" s="856"/>
      <c r="I174" s="857"/>
      <c r="J174" s="857"/>
      <c r="K174" s="857"/>
      <c r="L174" s="858"/>
    </row>
    <row r="175" spans="1:14" s="80" customFormat="1" ht="24.6" customHeight="1">
      <c r="A175" s="72">
        <f>'[14]1.과거인구'!$C$2</f>
        <v>1998</v>
      </c>
      <c r="B175" s="73"/>
      <c r="C175" s="73"/>
      <c r="D175" s="73"/>
      <c r="E175" s="74">
        <f>'[14]과거인구 (2)'!L4</f>
        <v>3441</v>
      </c>
      <c r="F175" s="75">
        <v>0</v>
      </c>
      <c r="G175" s="76">
        <v>0</v>
      </c>
      <c r="H175" s="77"/>
      <c r="I175" s="78"/>
      <c r="J175" s="78"/>
      <c r="K175" s="78"/>
      <c r="L175" s="79"/>
    </row>
    <row r="176" spans="1:14" s="80" customFormat="1" ht="24.6" customHeight="1">
      <c r="A176" s="81">
        <f>'[14]1.과거인구'!$D$2</f>
        <v>1999</v>
      </c>
      <c r="B176" s="82"/>
      <c r="C176" s="82"/>
      <c r="D176" s="82"/>
      <c r="E176" s="83">
        <f>'[14]과거인구 (2)'!L5</f>
        <v>3390</v>
      </c>
      <c r="F176" s="84">
        <f t="shared" ref="F176:F184" si="20">(E176-E175)</f>
        <v>-51</v>
      </c>
      <c r="G176" s="85">
        <f t="shared" ref="G176:G184" si="21">ROUND(F176/E175*100,3)</f>
        <v>-1.482</v>
      </c>
      <c r="H176" s="77"/>
      <c r="I176" s="78"/>
      <c r="J176" s="78"/>
      <c r="K176" s="78"/>
      <c r="L176" s="79"/>
    </row>
    <row r="177" spans="1:14" s="80" customFormat="1" ht="24.6" customHeight="1">
      <c r="A177" s="81">
        <f>'[14]1.과거인구'!$E$2</f>
        <v>2000</v>
      </c>
      <c r="B177" s="82"/>
      <c r="C177" s="82"/>
      <c r="D177" s="82"/>
      <c r="E177" s="83">
        <f>'[14]과거인구 (2)'!L6</f>
        <v>3262</v>
      </c>
      <c r="F177" s="84">
        <f t="shared" si="20"/>
        <v>-128</v>
      </c>
      <c r="G177" s="85">
        <f t="shared" si="21"/>
        <v>-3.7759999999999998</v>
      </c>
      <c r="H177" s="77"/>
      <c r="I177" s="78"/>
      <c r="J177" s="78"/>
      <c r="K177" s="78"/>
      <c r="L177" s="79"/>
    </row>
    <row r="178" spans="1:14" s="80" customFormat="1" ht="24.6" customHeight="1">
      <c r="A178" s="81">
        <f>'[14]1.과거인구'!$F$2</f>
        <v>2001</v>
      </c>
      <c r="B178" s="82"/>
      <c r="C178" s="82"/>
      <c r="D178" s="82"/>
      <c r="E178" s="83">
        <f>'[14]과거인구 (2)'!L7</f>
        <v>3172</v>
      </c>
      <c r="F178" s="84">
        <f t="shared" si="20"/>
        <v>-90</v>
      </c>
      <c r="G178" s="85">
        <f t="shared" si="21"/>
        <v>-2.7589999999999999</v>
      </c>
      <c r="H178" s="77"/>
      <c r="I178" s="78"/>
      <c r="J178" s="78"/>
      <c r="K178" s="78"/>
      <c r="L178" s="79"/>
    </row>
    <row r="179" spans="1:14" s="80" customFormat="1" ht="24.6" customHeight="1">
      <c r="A179" s="81">
        <f>'[14]1.과거인구'!$G$2</f>
        <v>2002</v>
      </c>
      <c r="B179" s="82"/>
      <c r="C179" s="82"/>
      <c r="D179" s="82"/>
      <c r="E179" s="83">
        <f>'[14]과거인구 (2)'!L8</f>
        <v>3097</v>
      </c>
      <c r="F179" s="84">
        <f t="shared" si="20"/>
        <v>-75</v>
      </c>
      <c r="G179" s="85">
        <f t="shared" si="21"/>
        <v>-2.3639999999999999</v>
      </c>
      <c r="H179" s="77"/>
      <c r="I179" s="78"/>
      <c r="J179" s="78"/>
      <c r="K179" s="78"/>
      <c r="L179" s="79"/>
    </row>
    <row r="180" spans="1:14" s="80" customFormat="1" ht="24.6" customHeight="1">
      <c r="A180" s="81">
        <f>'[14]1.과거인구'!$H$2</f>
        <v>2003</v>
      </c>
      <c r="B180" s="82">
        <f>E180</f>
        <v>3184</v>
      </c>
      <c r="C180" s="84">
        <v>0</v>
      </c>
      <c r="D180" s="85">
        <v>0</v>
      </c>
      <c r="E180" s="83">
        <f>'[14]과거인구 (2)'!L9</f>
        <v>3184</v>
      </c>
      <c r="F180" s="84">
        <f t="shared" si="20"/>
        <v>87</v>
      </c>
      <c r="G180" s="85">
        <f t="shared" si="21"/>
        <v>2.8090000000000002</v>
      </c>
      <c r="H180" s="77"/>
      <c r="I180" s="78"/>
      <c r="J180" s="78"/>
      <c r="K180" s="78"/>
      <c r="L180" s="79"/>
    </row>
    <row r="181" spans="1:14" s="80" customFormat="1" ht="24.6" customHeight="1">
      <c r="A181" s="81">
        <f>'[14]1.과거인구'!$I$2</f>
        <v>2004</v>
      </c>
      <c r="B181" s="82">
        <f>E181</f>
        <v>3549</v>
      </c>
      <c r="C181" s="84">
        <f>(B181-B180)</f>
        <v>365</v>
      </c>
      <c r="D181" s="85">
        <f>ROUND(C181/B180*100,3)</f>
        <v>11.464</v>
      </c>
      <c r="E181" s="83">
        <f>'[14]과거인구 (2)'!L10</f>
        <v>3549</v>
      </c>
      <c r="F181" s="84">
        <f t="shared" si="20"/>
        <v>365</v>
      </c>
      <c r="G181" s="85">
        <f t="shared" si="21"/>
        <v>11.464</v>
      </c>
      <c r="H181" s="77"/>
      <c r="I181" s="78"/>
      <c r="J181" s="78"/>
      <c r="K181" s="78"/>
      <c r="L181" s="79"/>
    </row>
    <row r="182" spans="1:14" s="80" customFormat="1" ht="24.6" customHeight="1">
      <c r="A182" s="81">
        <f>'[14]1.과거인구'!$J$2</f>
        <v>2005</v>
      </c>
      <c r="B182" s="82">
        <f>E182</f>
        <v>3212</v>
      </c>
      <c r="C182" s="84">
        <f>(B182-B181)</f>
        <v>-337</v>
      </c>
      <c r="D182" s="85">
        <f>ROUND(C182/B181*100,3)</f>
        <v>-9.4960000000000004</v>
      </c>
      <c r="E182" s="83">
        <f>'[14]과거인구 (2)'!L11</f>
        <v>3212</v>
      </c>
      <c r="F182" s="84">
        <f t="shared" si="20"/>
        <v>-337</v>
      </c>
      <c r="G182" s="85">
        <f t="shared" si="21"/>
        <v>-9.4960000000000004</v>
      </c>
      <c r="H182" s="77"/>
      <c r="I182" s="78"/>
      <c r="J182" s="78"/>
      <c r="K182" s="78"/>
      <c r="L182" s="79"/>
    </row>
    <row r="183" spans="1:14" s="80" customFormat="1" ht="24.6" customHeight="1">
      <c r="A183" s="81">
        <f>'[14]1.과거인구'!K$2</f>
        <v>2006</v>
      </c>
      <c r="B183" s="82">
        <f>E183</f>
        <v>3165</v>
      </c>
      <c r="C183" s="84">
        <f>(B183-B182)</f>
        <v>-47</v>
      </c>
      <c r="D183" s="85">
        <f>ROUND(C183/B182*100,3)</f>
        <v>-1.4630000000000001</v>
      </c>
      <c r="E183" s="83">
        <f>'[14]과거인구 (2)'!L12</f>
        <v>3165</v>
      </c>
      <c r="F183" s="84">
        <f t="shared" si="20"/>
        <v>-47</v>
      </c>
      <c r="G183" s="85">
        <f t="shared" si="21"/>
        <v>-1.4630000000000001</v>
      </c>
      <c r="H183" s="77"/>
      <c r="I183" s="78"/>
      <c r="J183" s="78"/>
      <c r="K183" s="78"/>
      <c r="L183" s="79"/>
    </row>
    <row r="184" spans="1:14" s="80" customFormat="1" ht="24.6" customHeight="1">
      <c r="A184" s="81">
        <f>'[14]1.과거인구'!$L$2</f>
        <v>2007</v>
      </c>
      <c r="B184" s="82">
        <f>E184</f>
        <v>3113</v>
      </c>
      <c r="C184" s="84">
        <f>(B184-B183)</f>
        <v>-52</v>
      </c>
      <c r="D184" s="85">
        <f>ROUND(C184/B183*100,3)</f>
        <v>-1.643</v>
      </c>
      <c r="E184" s="83">
        <f>'[14]과거인구 (2)'!L13</f>
        <v>3113</v>
      </c>
      <c r="F184" s="84">
        <f t="shared" si="20"/>
        <v>-52</v>
      </c>
      <c r="G184" s="85">
        <f t="shared" si="21"/>
        <v>-1.643</v>
      </c>
      <c r="H184" s="77"/>
      <c r="I184" s="78"/>
      <c r="J184" s="78"/>
      <c r="K184" s="78"/>
      <c r="L184" s="79"/>
    </row>
    <row r="185" spans="1:14" s="80" customFormat="1" ht="24.6" customHeight="1">
      <c r="A185" s="86" t="s">
        <v>253</v>
      </c>
      <c r="B185" s="87"/>
      <c r="C185" s="88">
        <f>SUM(C180:C184)</f>
        <v>-71</v>
      </c>
      <c r="D185" s="89">
        <f>ROUND(((B184/B180)^(1/4)-1)*100,2)</f>
        <v>-0.56000000000000005</v>
      </c>
      <c r="E185" s="87"/>
      <c r="F185" s="88">
        <f>SUM(F175:F184)</f>
        <v>-328</v>
      </c>
      <c r="G185" s="89">
        <f>ROUND(((E184/E175)^(1/9)-1)*100,2)</f>
        <v>-1.1100000000000001</v>
      </c>
      <c r="H185" s="832"/>
      <c r="I185" s="832"/>
      <c r="J185" s="832"/>
      <c r="K185" s="832"/>
      <c r="L185" s="833"/>
    </row>
    <row r="186" spans="1:14" s="80" customFormat="1" ht="24.6" customHeight="1">
      <c r="A186" s="834" t="s">
        <v>254</v>
      </c>
      <c r="B186" s="835"/>
      <c r="C186" s="836"/>
      <c r="D186" s="840" t="s">
        <v>266</v>
      </c>
      <c r="E186" s="840"/>
      <c r="F186" s="840"/>
      <c r="G186" s="840"/>
      <c r="H186" s="840"/>
      <c r="I186" s="840"/>
      <c r="J186" s="840"/>
      <c r="K186" s="840"/>
      <c r="L186" s="841"/>
    </row>
    <row r="187" spans="1:14" s="80" customFormat="1" ht="24.6" customHeight="1">
      <c r="A187" s="837"/>
      <c r="B187" s="838"/>
      <c r="C187" s="839"/>
      <c r="D187" s="842"/>
      <c r="E187" s="842"/>
      <c r="F187" s="842"/>
      <c r="G187" s="842"/>
      <c r="H187" s="842"/>
      <c r="I187" s="842"/>
      <c r="J187" s="842"/>
      <c r="K187" s="842"/>
      <c r="L187" s="843"/>
      <c r="N187" s="90"/>
    </row>
    <row r="188" spans="1:14" s="80" customFormat="1" ht="24.6" customHeight="1">
      <c r="G188" s="93"/>
      <c r="N188" s="90"/>
    </row>
    <row r="189" spans="1:14" s="69" customFormat="1" ht="24.6" customHeight="1">
      <c r="A189" s="844" t="s">
        <v>256</v>
      </c>
      <c r="B189" s="847" t="str">
        <f>'[14]과거인구 (2)'!M3</f>
        <v>병천면</v>
      </c>
      <c r="C189" s="848"/>
      <c r="D189" s="848"/>
      <c r="E189" s="848"/>
      <c r="F189" s="848"/>
      <c r="G189" s="848"/>
      <c r="H189" s="848"/>
      <c r="I189" s="848"/>
      <c r="J189" s="848"/>
      <c r="K189" s="848"/>
      <c r="L189" s="849"/>
    </row>
    <row r="190" spans="1:14" s="69" customFormat="1" ht="24.6" customHeight="1">
      <c r="A190" s="845"/>
      <c r="B190" s="850" t="s">
        <v>247</v>
      </c>
      <c r="C190" s="851"/>
      <c r="D190" s="852"/>
      <c r="E190" s="850" t="s">
        <v>248</v>
      </c>
      <c r="F190" s="851"/>
      <c r="G190" s="852"/>
      <c r="H190" s="853" t="s">
        <v>249</v>
      </c>
      <c r="I190" s="854"/>
      <c r="J190" s="854"/>
      <c r="K190" s="854"/>
      <c r="L190" s="855"/>
    </row>
    <row r="191" spans="1:14" s="69" customFormat="1" ht="24.6" customHeight="1">
      <c r="A191" s="846"/>
      <c r="B191" s="70" t="s">
        <v>250</v>
      </c>
      <c r="C191" s="71" t="s">
        <v>251</v>
      </c>
      <c r="D191" s="71" t="s">
        <v>252</v>
      </c>
      <c r="E191" s="70" t="s">
        <v>250</v>
      </c>
      <c r="F191" s="71" t="s">
        <v>251</v>
      </c>
      <c r="G191" s="71" t="s">
        <v>252</v>
      </c>
      <c r="H191" s="856"/>
      <c r="I191" s="857"/>
      <c r="J191" s="857"/>
      <c r="K191" s="857"/>
      <c r="L191" s="858"/>
    </row>
    <row r="192" spans="1:14" s="80" customFormat="1" ht="24.6" customHeight="1">
      <c r="A192" s="72">
        <f>'[14]1.과거인구'!$C$2</f>
        <v>1998</v>
      </c>
      <c r="B192" s="73"/>
      <c r="C192" s="73"/>
      <c r="D192" s="73"/>
      <c r="E192" s="74">
        <f>'[14]과거인구 (2)'!M4</f>
        <v>6663</v>
      </c>
      <c r="F192" s="75">
        <v>0</v>
      </c>
      <c r="G192" s="76">
        <v>0</v>
      </c>
      <c r="H192" s="77"/>
      <c r="I192" s="78"/>
      <c r="J192" s="78"/>
      <c r="K192" s="78"/>
      <c r="L192" s="79"/>
    </row>
    <row r="193" spans="1:14" s="80" customFormat="1" ht="24.6" customHeight="1">
      <c r="A193" s="81">
        <f>'[14]1.과거인구'!$D$2</f>
        <v>1999</v>
      </c>
      <c r="B193" s="82"/>
      <c r="C193" s="82"/>
      <c r="D193" s="82"/>
      <c r="E193" s="83">
        <f>'[14]과거인구 (2)'!M5</f>
        <v>6565</v>
      </c>
      <c r="F193" s="84">
        <f t="shared" ref="F193:F201" si="22">(E193-E192)</f>
        <v>-98</v>
      </c>
      <c r="G193" s="85">
        <f t="shared" ref="G193:G201" si="23">ROUND(F193/E192*100,3)</f>
        <v>-1.4710000000000001</v>
      </c>
      <c r="H193" s="77"/>
      <c r="I193" s="78"/>
      <c r="J193" s="78"/>
      <c r="K193" s="78"/>
      <c r="L193" s="79"/>
    </row>
    <row r="194" spans="1:14" s="80" customFormat="1" ht="24.6" customHeight="1">
      <c r="A194" s="81">
        <f>'[14]1.과거인구'!$E$2</f>
        <v>2000</v>
      </c>
      <c r="B194" s="82"/>
      <c r="C194" s="82"/>
      <c r="D194" s="82"/>
      <c r="E194" s="83">
        <f>'[14]과거인구 (2)'!M6</f>
        <v>6403</v>
      </c>
      <c r="F194" s="84">
        <f t="shared" si="22"/>
        <v>-162</v>
      </c>
      <c r="G194" s="85">
        <f t="shared" si="23"/>
        <v>-2.468</v>
      </c>
      <c r="H194" s="77"/>
      <c r="I194" s="78"/>
      <c r="J194" s="78"/>
      <c r="K194" s="78"/>
      <c r="L194" s="79"/>
    </row>
    <row r="195" spans="1:14" s="80" customFormat="1" ht="24.6" customHeight="1">
      <c r="A195" s="81">
        <f>'[14]1.과거인구'!$F$2</f>
        <v>2001</v>
      </c>
      <c r="B195" s="82"/>
      <c r="C195" s="82"/>
      <c r="D195" s="82"/>
      <c r="E195" s="83">
        <f>'[14]과거인구 (2)'!M7</f>
        <v>6443</v>
      </c>
      <c r="F195" s="84">
        <f t="shared" si="22"/>
        <v>40</v>
      </c>
      <c r="G195" s="85">
        <f t="shared" si="23"/>
        <v>0.625</v>
      </c>
      <c r="H195" s="77"/>
      <c r="I195" s="78"/>
      <c r="J195" s="78"/>
      <c r="K195" s="78"/>
      <c r="L195" s="79"/>
    </row>
    <row r="196" spans="1:14" s="80" customFormat="1" ht="24.6" customHeight="1">
      <c r="A196" s="81">
        <f>'[14]1.과거인구'!$G$2</f>
        <v>2002</v>
      </c>
      <c r="B196" s="82"/>
      <c r="C196" s="82"/>
      <c r="D196" s="82"/>
      <c r="E196" s="83">
        <f>'[14]과거인구 (2)'!M8</f>
        <v>6412</v>
      </c>
      <c r="F196" s="84">
        <f t="shared" si="22"/>
        <v>-31</v>
      </c>
      <c r="G196" s="85">
        <f t="shared" si="23"/>
        <v>-0.48099999999999998</v>
      </c>
      <c r="H196" s="77"/>
      <c r="I196" s="78"/>
      <c r="J196" s="78"/>
      <c r="K196" s="78"/>
      <c r="L196" s="79"/>
    </row>
    <row r="197" spans="1:14" s="80" customFormat="1" ht="24.6" customHeight="1">
      <c r="A197" s="81">
        <f>'[14]1.과거인구'!$H$2</f>
        <v>2003</v>
      </c>
      <c r="B197" s="82">
        <f>E197</f>
        <v>6491</v>
      </c>
      <c r="C197" s="84">
        <v>0</v>
      </c>
      <c r="D197" s="85">
        <v>0</v>
      </c>
      <c r="E197" s="83">
        <f>'[14]과거인구 (2)'!M9</f>
        <v>6491</v>
      </c>
      <c r="F197" s="84">
        <f t="shared" si="22"/>
        <v>79</v>
      </c>
      <c r="G197" s="85">
        <f t="shared" si="23"/>
        <v>1.232</v>
      </c>
      <c r="H197" s="77"/>
      <c r="I197" s="78"/>
      <c r="J197" s="78"/>
      <c r="K197" s="78"/>
      <c r="L197" s="79"/>
    </row>
    <row r="198" spans="1:14" s="80" customFormat="1" ht="24.6" customHeight="1">
      <c r="A198" s="81">
        <f>'[14]1.과거인구'!$I$2</f>
        <v>2004</v>
      </c>
      <c r="B198" s="82">
        <f>E198</f>
        <v>7486</v>
      </c>
      <c r="C198" s="84">
        <f>(B198-B197)</f>
        <v>995</v>
      </c>
      <c r="D198" s="85">
        <f>ROUND(C198/B197*100,3)</f>
        <v>15.329000000000001</v>
      </c>
      <c r="E198" s="83">
        <f>'[14]과거인구 (2)'!M10</f>
        <v>7486</v>
      </c>
      <c r="F198" s="84">
        <f t="shared" si="22"/>
        <v>995</v>
      </c>
      <c r="G198" s="85">
        <f t="shared" si="23"/>
        <v>15.329000000000001</v>
      </c>
      <c r="H198" s="77"/>
      <c r="I198" s="78"/>
      <c r="J198" s="78"/>
      <c r="K198" s="78"/>
      <c r="L198" s="79"/>
    </row>
    <row r="199" spans="1:14" s="80" customFormat="1" ht="24.6" customHeight="1">
      <c r="A199" s="81">
        <f>'[14]1.과거인구'!$J$2</f>
        <v>2005</v>
      </c>
      <c r="B199" s="82">
        <f>E199</f>
        <v>7035</v>
      </c>
      <c r="C199" s="84">
        <f>(B199-B198)</f>
        <v>-451</v>
      </c>
      <c r="D199" s="85">
        <f>ROUND(C199/B198*100,3)</f>
        <v>-6.0250000000000004</v>
      </c>
      <c r="E199" s="83">
        <f>'[14]과거인구 (2)'!M11</f>
        <v>7035</v>
      </c>
      <c r="F199" s="84">
        <f t="shared" si="22"/>
        <v>-451</v>
      </c>
      <c r="G199" s="85">
        <f t="shared" si="23"/>
        <v>-6.0250000000000004</v>
      </c>
      <c r="H199" s="77"/>
      <c r="I199" s="78"/>
      <c r="J199" s="78"/>
      <c r="K199" s="78"/>
      <c r="L199" s="79"/>
    </row>
    <row r="200" spans="1:14" s="80" customFormat="1" ht="24.6" customHeight="1">
      <c r="A200" s="81">
        <f>'[14]1.과거인구'!K$2</f>
        <v>2006</v>
      </c>
      <c r="B200" s="82">
        <f>E200</f>
        <v>6759</v>
      </c>
      <c r="C200" s="84">
        <f>(B200-B199)</f>
        <v>-276</v>
      </c>
      <c r="D200" s="85">
        <f>ROUND(C200/B199*100,3)</f>
        <v>-3.923</v>
      </c>
      <c r="E200" s="83">
        <f>'[14]과거인구 (2)'!M12</f>
        <v>6759</v>
      </c>
      <c r="F200" s="84">
        <f t="shared" si="22"/>
        <v>-276</v>
      </c>
      <c r="G200" s="85">
        <f t="shared" si="23"/>
        <v>-3.923</v>
      </c>
      <c r="H200" s="77"/>
      <c r="I200" s="78"/>
      <c r="J200" s="78"/>
      <c r="K200" s="78"/>
      <c r="L200" s="79"/>
    </row>
    <row r="201" spans="1:14" s="80" customFormat="1" ht="24.6" customHeight="1">
      <c r="A201" s="81">
        <f>'[14]1.과거인구'!$L$2</f>
        <v>2007</v>
      </c>
      <c r="B201" s="82">
        <f>E201</f>
        <v>6742</v>
      </c>
      <c r="C201" s="84">
        <f>(B201-B200)</f>
        <v>-17</v>
      </c>
      <c r="D201" s="85">
        <f>ROUND(C201/B200*100,3)</f>
        <v>-0.252</v>
      </c>
      <c r="E201" s="83">
        <f>'[14]과거인구 (2)'!M13</f>
        <v>6742</v>
      </c>
      <c r="F201" s="84">
        <f t="shared" si="22"/>
        <v>-17</v>
      </c>
      <c r="G201" s="85">
        <f t="shared" si="23"/>
        <v>-0.252</v>
      </c>
      <c r="H201" s="77"/>
      <c r="I201" s="78"/>
      <c r="J201" s="78"/>
      <c r="K201" s="78"/>
      <c r="L201" s="79"/>
    </row>
    <row r="202" spans="1:14" s="80" customFormat="1" ht="24.6" customHeight="1">
      <c r="A202" s="86" t="s">
        <v>253</v>
      </c>
      <c r="B202" s="87"/>
      <c r="C202" s="88">
        <f>SUM(C197:C201)</f>
        <v>251</v>
      </c>
      <c r="D202" s="89">
        <f>ROUND(((B201/B197)^(1/4)-1)*100,2)</f>
        <v>0.95</v>
      </c>
      <c r="E202" s="87"/>
      <c r="F202" s="88">
        <f>SUM(F192:F201)</f>
        <v>79</v>
      </c>
      <c r="G202" s="89">
        <f>ROUND(((E201/E192)^(1/9)-1)*100,2)</f>
        <v>0.13</v>
      </c>
      <c r="H202" s="832"/>
      <c r="I202" s="832"/>
      <c r="J202" s="832"/>
      <c r="K202" s="832"/>
      <c r="L202" s="833"/>
    </row>
    <row r="203" spans="1:14" s="80" customFormat="1" ht="24.6" customHeight="1">
      <c r="A203" s="834" t="s">
        <v>254</v>
      </c>
      <c r="B203" s="835"/>
      <c r="C203" s="836"/>
      <c r="D203" s="840" t="s">
        <v>266</v>
      </c>
      <c r="E203" s="840"/>
      <c r="F203" s="840"/>
      <c r="G203" s="840"/>
      <c r="H203" s="840"/>
      <c r="I203" s="840"/>
      <c r="J203" s="840"/>
      <c r="K203" s="840"/>
      <c r="L203" s="841"/>
    </row>
    <row r="204" spans="1:14" s="80" customFormat="1" ht="24.6" customHeight="1">
      <c r="A204" s="837"/>
      <c r="B204" s="838"/>
      <c r="C204" s="839"/>
      <c r="D204" s="842"/>
      <c r="E204" s="842"/>
      <c r="F204" s="842"/>
      <c r="G204" s="842"/>
      <c r="H204" s="842"/>
      <c r="I204" s="842"/>
      <c r="J204" s="842"/>
      <c r="K204" s="842"/>
      <c r="L204" s="843"/>
      <c r="N204" s="90"/>
    </row>
    <row r="205" spans="1:14" s="80" customFormat="1" ht="24.6" customHeight="1">
      <c r="G205" s="93"/>
      <c r="N205" s="90"/>
    </row>
    <row r="206" spans="1:14" s="69" customFormat="1" ht="24.6" customHeight="1">
      <c r="A206" s="844" t="s">
        <v>256</v>
      </c>
      <c r="B206" s="847" t="str">
        <f>'[14]과거인구 (2)'!N3</f>
        <v>동면</v>
      </c>
      <c r="C206" s="848"/>
      <c r="D206" s="848"/>
      <c r="E206" s="848"/>
      <c r="F206" s="848"/>
      <c r="G206" s="848"/>
      <c r="H206" s="848"/>
      <c r="I206" s="848"/>
      <c r="J206" s="848"/>
      <c r="K206" s="848"/>
      <c r="L206" s="849"/>
    </row>
    <row r="207" spans="1:14" s="69" customFormat="1" ht="24.6" customHeight="1">
      <c r="A207" s="845"/>
      <c r="B207" s="850" t="s">
        <v>247</v>
      </c>
      <c r="C207" s="851"/>
      <c r="D207" s="852"/>
      <c r="E207" s="850" t="s">
        <v>248</v>
      </c>
      <c r="F207" s="851"/>
      <c r="G207" s="852"/>
      <c r="H207" s="853" t="s">
        <v>249</v>
      </c>
      <c r="I207" s="854"/>
      <c r="J207" s="854"/>
      <c r="K207" s="854"/>
      <c r="L207" s="855"/>
    </row>
    <row r="208" spans="1:14" s="69" customFormat="1" ht="24.6" customHeight="1">
      <c r="A208" s="846"/>
      <c r="B208" s="70" t="s">
        <v>250</v>
      </c>
      <c r="C208" s="71" t="s">
        <v>251</v>
      </c>
      <c r="D208" s="71" t="s">
        <v>252</v>
      </c>
      <c r="E208" s="70" t="s">
        <v>250</v>
      </c>
      <c r="F208" s="71" t="s">
        <v>251</v>
      </c>
      <c r="G208" s="71" t="s">
        <v>252</v>
      </c>
      <c r="H208" s="856"/>
      <c r="I208" s="857"/>
      <c r="J208" s="857"/>
      <c r="K208" s="857"/>
      <c r="L208" s="858"/>
    </row>
    <row r="209" spans="1:14" s="80" customFormat="1" ht="24.6" customHeight="1">
      <c r="A209" s="72">
        <f>'[14]1.과거인구'!$C$2</f>
        <v>1998</v>
      </c>
      <c r="B209" s="73"/>
      <c r="C209" s="73"/>
      <c r="D209" s="73"/>
      <c r="E209" s="74">
        <f>'[14]과거인구 (2)'!N4</f>
        <v>3264</v>
      </c>
      <c r="F209" s="75">
        <v>0</v>
      </c>
      <c r="G209" s="76">
        <v>0</v>
      </c>
      <c r="H209" s="77"/>
      <c r="I209" s="78"/>
      <c r="J209" s="78"/>
      <c r="K209" s="78"/>
      <c r="L209" s="79"/>
    </row>
    <row r="210" spans="1:14" s="80" customFormat="1" ht="24.6" customHeight="1">
      <c r="A210" s="81">
        <f>'[14]1.과거인구'!$D$2</f>
        <v>1999</v>
      </c>
      <c r="B210" s="82"/>
      <c r="C210" s="82"/>
      <c r="D210" s="82"/>
      <c r="E210" s="83">
        <f>'[14]과거인구 (2)'!N5</f>
        <v>3155</v>
      </c>
      <c r="F210" s="84">
        <f t="shared" ref="F210:F218" si="24">(E210-E209)</f>
        <v>-109</v>
      </c>
      <c r="G210" s="85">
        <f t="shared" ref="G210:G218" si="25">ROUND(F210/E209*100,3)</f>
        <v>-3.339</v>
      </c>
      <c r="H210" s="77"/>
      <c r="I210" s="78"/>
      <c r="J210" s="78"/>
      <c r="K210" s="78"/>
      <c r="L210" s="79"/>
    </row>
    <row r="211" spans="1:14" s="80" customFormat="1" ht="24.6" customHeight="1">
      <c r="A211" s="81">
        <f>'[14]1.과거인구'!$E$2</f>
        <v>2000</v>
      </c>
      <c r="B211" s="82"/>
      <c r="C211" s="82"/>
      <c r="D211" s="82"/>
      <c r="E211" s="83">
        <f>'[14]과거인구 (2)'!N6</f>
        <v>3092</v>
      </c>
      <c r="F211" s="84">
        <f t="shared" si="24"/>
        <v>-63</v>
      </c>
      <c r="G211" s="85">
        <f t="shared" si="25"/>
        <v>-1.9970000000000001</v>
      </c>
      <c r="H211" s="77"/>
      <c r="I211" s="78"/>
      <c r="J211" s="78"/>
      <c r="K211" s="78"/>
      <c r="L211" s="79"/>
    </row>
    <row r="212" spans="1:14" s="80" customFormat="1" ht="24.6" customHeight="1">
      <c r="A212" s="81">
        <f>'[14]1.과거인구'!$F$2</f>
        <v>2001</v>
      </c>
      <c r="B212" s="82"/>
      <c r="C212" s="82"/>
      <c r="D212" s="82"/>
      <c r="E212" s="83">
        <f>'[14]과거인구 (2)'!N7</f>
        <v>3007</v>
      </c>
      <c r="F212" s="84">
        <f t="shared" si="24"/>
        <v>-85</v>
      </c>
      <c r="G212" s="85">
        <f t="shared" si="25"/>
        <v>-2.7490000000000001</v>
      </c>
      <c r="H212" s="77"/>
      <c r="I212" s="78"/>
      <c r="J212" s="78"/>
      <c r="K212" s="78"/>
      <c r="L212" s="79"/>
    </row>
    <row r="213" spans="1:14" s="80" customFormat="1" ht="24.6" customHeight="1">
      <c r="A213" s="81">
        <f>'[14]1.과거인구'!$G$2</f>
        <v>2002</v>
      </c>
      <c r="B213" s="82"/>
      <c r="C213" s="82"/>
      <c r="D213" s="82"/>
      <c r="E213" s="83">
        <f>'[14]과거인구 (2)'!N8</f>
        <v>2905</v>
      </c>
      <c r="F213" s="84">
        <f t="shared" si="24"/>
        <v>-102</v>
      </c>
      <c r="G213" s="85">
        <f t="shared" si="25"/>
        <v>-3.3919999999999999</v>
      </c>
      <c r="H213" s="77"/>
      <c r="I213" s="78"/>
      <c r="J213" s="78"/>
      <c r="K213" s="78"/>
      <c r="L213" s="79"/>
    </row>
    <row r="214" spans="1:14" s="80" customFormat="1" ht="24.6" customHeight="1">
      <c r="A214" s="81">
        <f>'[14]1.과거인구'!$H$2</f>
        <v>2003</v>
      </c>
      <c r="B214" s="82">
        <f>E214</f>
        <v>2971</v>
      </c>
      <c r="C214" s="84">
        <v>0</v>
      </c>
      <c r="D214" s="85">
        <v>0</v>
      </c>
      <c r="E214" s="83">
        <f>'[14]과거인구 (2)'!N9</f>
        <v>2971</v>
      </c>
      <c r="F214" s="84">
        <f t="shared" si="24"/>
        <v>66</v>
      </c>
      <c r="G214" s="85">
        <f t="shared" si="25"/>
        <v>2.2719999999999998</v>
      </c>
      <c r="H214" s="77"/>
      <c r="I214" s="78"/>
      <c r="J214" s="78"/>
      <c r="K214" s="78"/>
      <c r="L214" s="79"/>
    </row>
    <row r="215" spans="1:14" s="80" customFormat="1" ht="24.6" customHeight="1">
      <c r="A215" s="81">
        <f>'[14]1.과거인구'!$I$2</f>
        <v>2004</v>
      </c>
      <c r="B215" s="82">
        <f>E215</f>
        <v>3291</v>
      </c>
      <c r="C215" s="84">
        <f>(B215-B214)</f>
        <v>320</v>
      </c>
      <c r="D215" s="85">
        <f>ROUND(C215/B214*100,3)</f>
        <v>10.771000000000001</v>
      </c>
      <c r="E215" s="83">
        <f>'[14]과거인구 (2)'!N10</f>
        <v>3291</v>
      </c>
      <c r="F215" s="84">
        <f t="shared" si="24"/>
        <v>320</v>
      </c>
      <c r="G215" s="85">
        <f t="shared" si="25"/>
        <v>10.771000000000001</v>
      </c>
      <c r="H215" s="77"/>
      <c r="I215" s="78"/>
      <c r="J215" s="78"/>
      <c r="K215" s="78"/>
      <c r="L215" s="79"/>
    </row>
    <row r="216" spans="1:14" s="80" customFormat="1" ht="24.6" customHeight="1">
      <c r="A216" s="81">
        <f>'[14]1.과거인구'!$J$2</f>
        <v>2005</v>
      </c>
      <c r="B216" s="82">
        <f>E216</f>
        <v>3112</v>
      </c>
      <c r="C216" s="84">
        <f>(B216-B215)</f>
        <v>-179</v>
      </c>
      <c r="D216" s="85">
        <f>ROUND(C216/B215*100,3)</f>
        <v>-5.4390000000000001</v>
      </c>
      <c r="E216" s="83">
        <f>'[14]과거인구 (2)'!N11</f>
        <v>3112</v>
      </c>
      <c r="F216" s="84">
        <f t="shared" si="24"/>
        <v>-179</v>
      </c>
      <c r="G216" s="85">
        <f t="shared" si="25"/>
        <v>-5.4390000000000001</v>
      </c>
      <c r="H216" s="77"/>
      <c r="I216" s="78"/>
      <c r="J216" s="78"/>
      <c r="K216" s="78"/>
      <c r="L216" s="79"/>
    </row>
    <row r="217" spans="1:14" s="80" customFormat="1" ht="24.6" customHeight="1">
      <c r="A217" s="81">
        <f>'[14]1.과거인구'!K$2</f>
        <v>2006</v>
      </c>
      <c r="B217" s="82">
        <f>E217</f>
        <v>2991</v>
      </c>
      <c r="C217" s="84">
        <f>(B217-B216)</f>
        <v>-121</v>
      </c>
      <c r="D217" s="85">
        <f>ROUND(C217/B216*100,3)</f>
        <v>-3.8879999999999999</v>
      </c>
      <c r="E217" s="83">
        <f>'[14]과거인구 (2)'!N12</f>
        <v>2991</v>
      </c>
      <c r="F217" s="84">
        <f t="shared" si="24"/>
        <v>-121</v>
      </c>
      <c r="G217" s="85">
        <f t="shared" si="25"/>
        <v>-3.8879999999999999</v>
      </c>
      <c r="H217" s="77"/>
      <c r="I217" s="78"/>
      <c r="J217" s="78"/>
      <c r="K217" s="78"/>
      <c r="L217" s="79"/>
    </row>
    <row r="218" spans="1:14" s="80" customFormat="1" ht="24.6" customHeight="1">
      <c r="A218" s="81">
        <f>'[14]1.과거인구'!$L$2</f>
        <v>2007</v>
      </c>
      <c r="B218" s="82">
        <f>E218</f>
        <v>2885</v>
      </c>
      <c r="C218" s="84">
        <f>(B218-B217)</f>
        <v>-106</v>
      </c>
      <c r="D218" s="85">
        <f>ROUND(C218/B217*100,3)</f>
        <v>-3.544</v>
      </c>
      <c r="E218" s="83">
        <f>'[14]과거인구 (2)'!N13</f>
        <v>2885</v>
      </c>
      <c r="F218" s="84">
        <f t="shared" si="24"/>
        <v>-106</v>
      </c>
      <c r="G218" s="85">
        <f t="shared" si="25"/>
        <v>-3.544</v>
      </c>
      <c r="H218" s="77"/>
      <c r="I218" s="78"/>
      <c r="J218" s="78"/>
      <c r="K218" s="78"/>
      <c r="L218" s="79"/>
    </row>
    <row r="219" spans="1:14" s="80" customFormat="1" ht="24.6" customHeight="1">
      <c r="A219" s="86" t="s">
        <v>253</v>
      </c>
      <c r="B219" s="87"/>
      <c r="C219" s="88">
        <f>SUM(C214:C218)</f>
        <v>-86</v>
      </c>
      <c r="D219" s="89">
        <f>ROUND(((B218/B214)^(1/4)-1)*100,2)</f>
        <v>-0.73</v>
      </c>
      <c r="E219" s="87"/>
      <c r="F219" s="88">
        <f>SUM(F209:F218)</f>
        <v>-379</v>
      </c>
      <c r="G219" s="89">
        <f>ROUND(((E218/E209)^(1/9)-1)*100,2)</f>
        <v>-1.36</v>
      </c>
      <c r="H219" s="832"/>
      <c r="I219" s="832"/>
      <c r="J219" s="832"/>
      <c r="K219" s="832"/>
      <c r="L219" s="833"/>
    </row>
    <row r="220" spans="1:14" s="80" customFormat="1" ht="24.6" customHeight="1">
      <c r="A220" s="834" t="s">
        <v>254</v>
      </c>
      <c r="B220" s="835"/>
      <c r="C220" s="836"/>
      <c r="D220" s="840" t="s">
        <v>266</v>
      </c>
      <c r="E220" s="840"/>
      <c r="F220" s="840"/>
      <c r="G220" s="840"/>
      <c r="H220" s="840"/>
      <c r="I220" s="840"/>
      <c r="J220" s="840"/>
      <c r="K220" s="840"/>
      <c r="L220" s="841"/>
    </row>
    <row r="221" spans="1:14" s="80" customFormat="1" ht="24.6" customHeight="1">
      <c r="A221" s="837"/>
      <c r="B221" s="838"/>
      <c r="C221" s="839"/>
      <c r="D221" s="842"/>
      <c r="E221" s="842"/>
      <c r="F221" s="842"/>
      <c r="G221" s="842"/>
      <c r="H221" s="842"/>
      <c r="I221" s="842"/>
      <c r="J221" s="842"/>
      <c r="K221" s="842"/>
      <c r="L221" s="843"/>
      <c r="N221" s="90"/>
    </row>
    <row r="222" spans="1:14" s="80" customFormat="1" ht="24.6" customHeight="1">
      <c r="G222" s="93"/>
      <c r="N222" s="90"/>
    </row>
    <row r="223" spans="1:14" s="69" customFormat="1" ht="24.6" customHeight="1">
      <c r="A223" s="844" t="s">
        <v>256</v>
      </c>
      <c r="B223" s="847" t="str">
        <f>'[14]과거인구 (2)'!O3</f>
        <v>중앙동</v>
      </c>
      <c r="C223" s="848"/>
      <c r="D223" s="848"/>
      <c r="E223" s="848"/>
      <c r="F223" s="848"/>
      <c r="G223" s="848"/>
      <c r="H223" s="848"/>
      <c r="I223" s="848"/>
      <c r="J223" s="848"/>
      <c r="K223" s="848"/>
      <c r="L223" s="849"/>
    </row>
    <row r="224" spans="1:14" s="69" customFormat="1" ht="24.6" customHeight="1">
      <c r="A224" s="845"/>
      <c r="B224" s="850" t="s">
        <v>247</v>
      </c>
      <c r="C224" s="851"/>
      <c r="D224" s="852"/>
      <c r="E224" s="850" t="s">
        <v>248</v>
      </c>
      <c r="F224" s="851"/>
      <c r="G224" s="852"/>
      <c r="H224" s="853" t="s">
        <v>249</v>
      </c>
      <c r="I224" s="854"/>
      <c r="J224" s="854"/>
      <c r="K224" s="854"/>
      <c r="L224" s="855"/>
    </row>
    <row r="225" spans="1:14" s="69" customFormat="1" ht="24.6" customHeight="1">
      <c r="A225" s="846"/>
      <c r="B225" s="70" t="s">
        <v>250</v>
      </c>
      <c r="C225" s="71" t="s">
        <v>251</v>
      </c>
      <c r="D225" s="71" t="s">
        <v>252</v>
      </c>
      <c r="E225" s="70" t="s">
        <v>250</v>
      </c>
      <c r="F225" s="71" t="s">
        <v>251</v>
      </c>
      <c r="G225" s="71" t="s">
        <v>252</v>
      </c>
      <c r="H225" s="856"/>
      <c r="I225" s="857"/>
      <c r="J225" s="857"/>
      <c r="K225" s="857"/>
      <c r="L225" s="858"/>
    </row>
    <row r="226" spans="1:14" s="80" customFormat="1" ht="24.6" customHeight="1">
      <c r="A226" s="72">
        <f>'[14]1.과거인구'!$C$2</f>
        <v>1998</v>
      </c>
      <c r="B226" s="73"/>
      <c r="C226" s="73"/>
      <c r="D226" s="73"/>
      <c r="E226" s="74">
        <f>'[14]과거인구 (2)'!O4</f>
        <v>9607</v>
      </c>
      <c r="F226" s="75">
        <v>0</v>
      </c>
      <c r="G226" s="76">
        <v>0</v>
      </c>
      <c r="H226" s="77"/>
      <c r="I226" s="78"/>
      <c r="J226" s="78"/>
      <c r="K226" s="78"/>
      <c r="L226" s="79"/>
    </row>
    <row r="227" spans="1:14" s="80" customFormat="1" ht="24.6" customHeight="1">
      <c r="A227" s="81">
        <f>'[14]1.과거인구'!$D$2</f>
        <v>1999</v>
      </c>
      <c r="B227" s="82"/>
      <c r="C227" s="82"/>
      <c r="D227" s="82"/>
      <c r="E227" s="83">
        <f>'[14]과거인구 (2)'!O5</f>
        <v>8971</v>
      </c>
      <c r="F227" s="84">
        <f t="shared" ref="F227:F235" si="26">(E227-E226)</f>
        <v>-636</v>
      </c>
      <c r="G227" s="85">
        <f t="shared" ref="G227:G235" si="27">ROUND(F227/E226*100,3)</f>
        <v>-6.62</v>
      </c>
      <c r="H227" s="77"/>
      <c r="I227" s="78"/>
      <c r="J227" s="78"/>
      <c r="K227" s="78"/>
      <c r="L227" s="79"/>
    </row>
    <row r="228" spans="1:14" s="80" customFormat="1" ht="24.6" customHeight="1">
      <c r="A228" s="81">
        <f>'[14]1.과거인구'!$E$2</f>
        <v>2000</v>
      </c>
      <c r="B228" s="82"/>
      <c r="C228" s="82"/>
      <c r="D228" s="82"/>
      <c r="E228" s="83">
        <f>'[14]과거인구 (2)'!O6</f>
        <v>8506</v>
      </c>
      <c r="F228" s="84">
        <f t="shared" si="26"/>
        <v>-465</v>
      </c>
      <c r="G228" s="85">
        <f t="shared" si="27"/>
        <v>-5.1829999999999998</v>
      </c>
      <c r="H228" s="77"/>
      <c r="I228" s="78"/>
      <c r="J228" s="78"/>
      <c r="K228" s="78"/>
      <c r="L228" s="79"/>
    </row>
    <row r="229" spans="1:14" s="80" customFormat="1" ht="24.6" customHeight="1">
      <c r="A229" s="81">
        <f>'[14]1.과거인구'!$F$2</f>
        <v>2001</v>
      </c>
      <c r="B229" s="82"/>
      <c r="C229" s="82"/>
      <c r="D229" s="82"/>
      <c r="E229" s="83">
        <f>'[14]과거인구 (2)'!O7</f>
        <v>8250</v>
      </c>
      <c r="F229" s="84">
        <f t="shared" si="26"/>
        <v>-256</v>
      </c>
      <c r="G229" s="85">
        <f t="shared" si="27"/>
        <v>-3.01</v>
      </c>
      <c r="H229" s="77"/>
      <c r="I229" s="78"/>
      <c r="J229" s="78"/>
      <c r="K229" s="78"/>
      <c r="L229" s="79"/>
    </row>
    <row r="230" spans="1:14" s="80" customFormat="1" ht="24.6" customHeight="1">
      <c r="A230" s="81">
        <f>'[14]1.과거인구'!$G$2</f>
        <v>2002</v>
      </c>
      <c r="B230" s="82"/>
      <c r="C230" s="82"/>
      <c r="D230" s="82"/>
      <c r="E230" s="83">
        <f>'[14]과거인구 (2)'!O8</f>
        <v>8030</v>
      </c>
      <c r="F230" s="84">
        <f t="shared" si="26"/>
        <v>-220</v>
      </c>
      <c r="G230" s="85">
        <f t="shared" si="27"/>
        <v>-2.6669999999999998</v>
      </c>
      <c r="H230" s="77"/>
      <c r="I230" s="78"/>
      <c r="J230" s="78"/>
      <c r="K230" s="78"/>
      <c r="L230" s="79"/>
    </row>
    <row r="231" spans="1:14" s="80" customFormat="1" ht="24.6" customHeight="1">
      <c r="A231" s="81">
        <f>'[14]1.과거인구'!$H$2</f>
        <v>2003</v>
      </c>
      <c r="B231" s="82">
        <f>E231</f>
        <v>7935</v>
      </c>
      <c r="C231" s="84">
        <v>0</v>
      </c>
      <c r="D231" s="85">
        <v>0</v>
      </c>
      <c r="E231" s="83">
        <f>'[14]과거인구 (2)'!O9</f>
        <v>7935</v>
      </c>
      <c r="F231" s="84">
        <f t="shared" si="26"/>
        <v>-95</v>
      </c>
      <c r="G231" s="85">
        <f t="shared" si="27"/>
        <v>-1.1830000000000001</v>
      </c>
      <c r="H231" s="77"/>
      <c r="I231" s="78"/>
      <c r="J231" s="78"/>
      <c r="K231" s="78"/>
      <c r="L231" s="79"/>
    </row>
    <row r="232" spans="1:14" s="80" customFormat="1" ht="24.6" customHeight="1">
      <c r="A232" s="81">
        <f>'[14]1.과거인구'!$I$2</f>
        <v>2004</v>
      </c>
      <c r="B232" s="82">
        <f>E232</f>
        <v>7955</v>
      </c>
      <c r="C232" s="84">
        <f>(B232-B231)</f>
        <v>20</v>
      </c>
      <c r="D232" s="85">
        <f>ROUND(C232/B231*100,3)</f>
        <v>0.252</v>
      </c>
      <c r="E232" s="83">
        <f>'[14]과거인구 (2)'!O10</f>
        <v>7955</v>
      </c>
      <c r="F232" s="84">
        <f t="shared" si="26"/>
        <v>20</v>
      </c>
      <c r="G232" s="85">
        <f t="shared" si="27"/>
        <v>0.252</v>
      </c>
      <c r="H232" s="77"/>
      <c r="I232" s="78"/>
      <c r="J232" s="78"/>
      <c r="K232" s="78"/>
      <c r="L232" s="79"/>
    </row>
    <row r="233" spans="1:14" s="80" customFormat="1" ht="24.6" customHeight="1">
      <c r="A233" s="81">
        <f>'[14]1.과거인구'!$J$2</f>
        <v>2005</v>
      </c>
      <c r="B233" s="82">
        <f>E233</f>
        <v>7550</v>
      </c>
      <c r="C233" s="84">
        <f>(B233-B232)</f>
        <v>-405</v>
      </c>
      <c r="D233" s="85">
        <f>ROUND(C233/B232*100,3)</f>
        <v>-5.0910000000000002</v>
      </c>
      <c r="E233" s="83">
        <f>'[14]과거인구 (2)'!O11</f>
        <v>7550</v>
      </c>
      <c r="F233" s="84">
        <f t="shared" si="26"/>
        <v>-405</v>
      </c>
      <c r="G233" s="85">
        <f t="shared" si="27"/>
        <v>-5.0910000000000002</v>
      </c>
      <c r="H233" s="77"/>
      <c r="I233" s="78"/>
      <c r="J233" s="78"/>
      <c r="K233" s="78"/>
      <c r="L233" s="79"/>
    </row>
    <row r="234" spans="1:14" s="80" customFormat="1" ht="24.6" customHeight="1">
      <c r="A234" s="81">
        <f>'[14]1.과거인구'!K$2</f>
        <v>2006</v>
      </c>
      <c r="B234" s="82">
        <f>E234</f>
        <v>7228</v>
      </c>
      <c r="C234" s="84">
        <f>(B234-B233)</f>
        <v>-322</v>
      </c>
      <c r="D234" s="85">
        <f>ROUND(C234/B233*100,3)</f>
        <v>-4.2649999999999997</v>
      </c>
      <c r="E234" s="83">
        <f>'[14]과거인구 (2)'!O12</f>
        <v>7228</v>
      </c>
      <c r="F234" s="84">
        <f t="shared" si="26"/>
        <v>-322</v>
      </c>
      <c r="G234" s="85">
        <f t="shared" si="27"/>
        <v>-4.2649999999999997</v>
      </c>
      <c r="H234" s="77"/>
      <c r="I234" s="78"/>
      <c r="J234" s="78"/>
      <c r="K234" s="78"/>
      <c r="L234" s="79"/>
    </row>
    <row r="235" spans="1:14" s="80" customFormat="1" ht="24.6" customHeight="1">
      <c r="A235" s="81">
        <f>'[14]1.과거인구'!$L$2</f>
        <v>2007</v>
      </c>
      <c r="B235" s="82">
        <f>E235</f>
        <v>7103</v>
      </c>
      <c r="C235" s="84">
        <f>(B235-B234)</f>
        <v>-125</v>
      </c>
      <c r="D235" s="85">
        <f>ROUND(C235/B234*100,3)</f>
        <v>-1.7290000000000001</v>
      </c>
      <c r="E235" s="83">
        <f>'[14]과거인구 (2)'!O13</f>
        <v>7103</v>
      </c>
      <c r="F235" s="84">
        <f t="shared" si="26"/>
        <v>-125</v>
      </c>
      <c r="G235" s="85">
        <f t="shared" si="27"/>
        <v>-1.7290000000000001</v>
      </c>
      <c r="H235" s="77"/>
      <c r="I235" s="78"/>
      <c r="J235" s="78"/>
      <c r="K235" s="78"/>
      <c r="L235" s="79"/>
    </row>
    <row r="236" spans="1:14" s="80" customFormat="1" ht="24.6" customHeight="1">
      <c r="A236" s="86" t="s">
        <v>253</v>
      </c>
      <c r="B236" s="87"/>
      <c r="C236" s="88">
        <f>SUM(C231:C235)</f>
        <v>-832</v>
      </c>
      <c r="D236" s="89">
        <f>ROUND(((B235/B231)^(1/4)-1)*100,2)</f>
        <v>-2.73</v>
      </c>
      <c r="E236" s="87"/>
      <c r="F236" s="88">
        <f>SUM(F226:F235)</f>
        <v>-2504</v>
      </c>
      <c r="G236" s="89">
        <f>ROUND(((E235/E226)^(1/9)-1)*100,2)</f>
        <v>-3.3</v>
      </c>
      <c r="H236" s="832"/>
      <c r="I236" s="832"/>
      <c r="J236" s="832"/>
      <c r="K236" s="832"/>
      <c r="L236" s="833"/>
    </row>
    <row r="237" spans="1:14" s="80" customFormat="1" ht="24.6" customHeight="1">
      <c r="A237" s="834" t="s">
        <v>254</v>
      </c>
      <c r="B237" s="835"/>
      <c r="C237" s="836"/>
      <c r="D237" s="840" t="s">
        <v>267</v>
      </c>
      <c r="E237" s="840"/>
      <c r="F237" s="840"/>
      <c r="G237" s="840"/>
      <c r="H237" s="840"/>
      <c r="I237" s="840"/>
      <c r="J237" s="840"/>
      <c r="K237" s="840"/>
      <c r="L237" s="841"/>
    </row>
    <row r="238" spans="1:14" s="80" customFormat="1" ht="24.6" customHeight="1">
      <c r="A238" s="837"/>
      <c r="B238" s="838"/>
      <c r="C238" s="839"/>
      <c r="D238" s="842"/>
      <c r="E238" s="842"/>
      <c r="F238" s="842"/>
      <c r="G238" s="842"/>
      <c r="H238" s="842"/>
      <c r="I238" s="842"/>
      <c r="J238" s="842"/>
      <c r="K238" s="842"/>
      <c r="L238" s="843"/>
      <c r="N238" s="90"/>
    </row>
    <row r="239" spans="1:14" s="80" customFormat="1" ht="24.6" customHeight="1">
      <c r="G239" s="93"/>
      <c r="N239" s="90"/>
    </row>
    <row r="240" spans="1:14" s="69" customFormat="1" ht="24.6" customHeight="1">
      <c r="A240" s="844" t="s">
        <v>256</v>
      </c>
      <c r="B240" s="847" t="str">
        <f>'[14]과거인구 (2)'!P3</f>
        <v>문성동</v>
      </c>
      <c r="C240" s="848"/>
      <c r="D240" s="848"/>
      <c r="E240" s="848"/>
      <c r="F240" s="848"/>
      <c r="G240" s="848"/>
      <c r="H240" s="848"/>
      <c r="I240" s="848"/>
      <c r="J240" s="848"/>
      <c r="K240" s="848"/>
      <c r="L240" s="849"/>
    </row>
    <row r="241" spans="1:14" s="69" customFormat="1" ht="24.6" customHeight="1">
      <c r="A241" s="845"/>
      <c r="B241" s="850" t="s">
        <v>247</v>
      </c>
      <c r="C241" s="851"/>
      <c r="D241" s="852"/>
      <c r="E241" s="850" t="s">
        <v>248</v>
      </c>
      <c r="F241" s="851"/>
      <c r="G241" s="852"/>
      <c r="H241" s="853" t="s">
        <v>249</v>
      </c>
      <c r="I241" s="854"/>
      <c r="J241" s="854"/>
      <c r="K241" s="854"/>
      <c r="L241" s="855"/>
    </row>
    <row r="242" spans="1:14" s="69" customFormat="1" ht="24.6" customHeight="1">
      <c r="A242" s="846"/>
      <c r="B242" s="70" t="s">
        <v>250</v>
      </c>
      <c r="C242" s="71" t="s">
        <v>251</v>
      </c>
      <c r="D242" s="71" t="s">
        <v>252</v>
      </c>
      <c r="E242" s="70" t="s">
        <v>250</v>
      </c>
      <c r="F242" s="71" t="s">
        <v>251</v>
      </c>
      <c r="G242" s="71" t="s">
        <v>252</v>
      </c>
      <c r="H242" s="856"/>
      <c r="I242" s="857"/>
      <c r="J242" s="857"/>
      <c r="K242" s="857"/>
      <c r="L242" s="858"/>
    </row>
    <row r="243" spans="1:14" s="80" customFormat="1" ht="24.6" customHeight="1">
      <c r="A243" s="72">
        <f>'[14]1.과거인구'!$C$2</f>
        <v>1998</v>
      </c>
      <c r="B243" s="73"/>
      <c r="C243" s="73"/>
      <c r="D243" s="73"/>
      <c r="E243" s="74">
        <f>'[14]과거인구 (2)'!P4</f>
        <v>7212</v>
      </c>
      <c r="F243" s="75">
        <v>0</v>
      </c>
      <c r="G243" s="76">
        <v>0</v>
      </c>
      <c r="H243" s="77"/>
      <c r="I243" s="78"/>
      <c r="J243" s="78"/>
      <c r="K243" s="78"/>
      <c r="L243" s="79"/>
    </row>
    <row r="244" spans="1:14" s="80" customFormat="1" ht="24.6" customHeight="1">
      <c r="A244" s="81">
        <f>'[14]1.과거인구'!$D$2</f>
        <v>1999</v>
      </c>
      <c r="B244" s="82"/>
      <c r="C244" s="82"/>
      <c r="D244" s="82"/>
      <c r="E244" s="83">
        <f>'[14]과거인구 (2)'!P5</f>
        <v>6685</v>
      </c>
      <c r="F244" s="84">
        <f t="shared" ref="F244:F252" si="28">(E244-E243)</f>
        <v>-527</v>
      </c>
      <c r="G244" s="85">
        <f t="shared" ref="G244:G252" si="29">ROUND(F244/E243*100,3)</f>
        <v>-7.3070000000000004</v>
      </c>
      <c r="H244" s="77"/>
      <c r="I244" s="78"/>
      <c r="J244" s="78"/>
      <c r="K244" s="78"/>
      <c r="L244" s="79"/>
    </row>
    <row r="245" spans="1:14" s="80" customFormat="1" ht="24.6" customHeight="1">
      <c r="A245" s="81">
        <f>'[14]1.과거인구'!$E$2</f>
        <v>2000</v>
      </c>
      <c r="B245" s="82"/>
      <c r="C245" s="82"/>
      <c r="D245" s="82"/>
      <c r="E245" s="83">
        <f>'[14]과거인구 (2)'!P6</f>
        <v>6405</v>
      </c>
      <c r="F245" s="84">
        <f t="shared" si="28"/>
        <v>-280</v>
      </c>
      <c r="G245" s="85">
        <f t="shared" si="29"/>
        <v>-4.1879999999999997</v>
      </c>
      <c r="H245" s="77"/>
      <c r="I245" s="78"/>
      <c r="J245" s="78"/>
      <c r="K245" s="78"/>
      <c r="L245" s="79"/>
    </row>
    <row r="246" spans="1:14" s="80" customFormat="1" ht="24.6" customHeight="1">
      <c r="A246" s="81">
        <f>'[14]1.과거인구'!$F$2</f>
        <v>2001</v>
      </c>
      <c r="B246" s="82"/>
      <c r="C246" s="82"/>
      <c r="D246" s="82"/>
      <c r="E246" s="83">
        <f>'[14]과거인구 (2)'!P7</f>
        <v>6374</v>
      </c>
      <c r="F246" s="84">
        <f t="shared" si="28"/>
        <v>-31</v>
      </c>
      <c r="G246" s="85">
        <f t="shared" si="29"/>
        <v>-0.48399999999999999</v>
      </c>
      <c r="H246" s="77"/>
      <c r="I246" s="78"/>
      <c r="J246" s="78"/>
      <c r="K246" s="78"/>
      <c r="L246" s="79"/>
    </row>
    <row r="247" spans="1:14" s="80" customFormat="1" ht="24.6" customHeight="1">
      <c r="A247" s="81">
        <f>'[14]1.과거인구'!$G$2</f>
        <v>2002</v>
      </c>
      <c r="B247" s="82"/>
      <c r="C247" s="82"/>
      <c r="D247" s="82"/>
      <c r="E247" s="83">
        <f>'[14]과거인구 (2)'!P8</f>
        <v>6294</v>
      </c>
      <c r="F247" s="84">
        <f t="shared" si="28"/>
        <v>-80</v>
      </c>
      <c r="G247" s="85">
        <f t="shared" si="29"/>
        <v>-1.2549999999999999</v>
      </c>
      <c r="H247" s="77"/>
      <c r="I247" s="78"/>
      <c r="J247" s="78"/>
      <c r="K247" s="78"/>
      <c r="L247" s="79"/>
    </row>
    <row r="248" spans="1:14" s="80" customFormat="1" ht="24.6" customHeight="1">
      <c r="A248" s="81">
        <f>'[14]1.과거인구'!$H$2</f>
        <v>2003</v>
      </c>
      <c r="B248" s="82">
        <f>E248</f>
        <v>6492</v>
      </c>
      <c r="C248" s="84">
        <v>0</v>
      </c>
      <c r="D248" s="85">
        <v>0</v>
      </c>
      <c r="E248" s="83">
        <f>'[14]과거인구 (2)'!P9</f>
        <v>6492</v>
      </c>
      <c r="F248" s="84">
        <f t="shared" si="28"/>
        <v>198</v>
      </c>
      <c r="G248" s="85">
        <f t="shared" si="29"/>
        <v>3.1459999999999999</v>
      </c>
      <c r="H248" s="77"/>
      <c r="I248" s="78"/>
      <c r="J248" s="78"/>
      <c r="K248" s="78"/>
      <c r="L248" s="79"/>
    </row>
    <row r="249" spans="1:14" s="80" customFormat="1" ht="24.6" customHeight="1">
      <c r="A249" s="81">
        <f>'[14]1.과거인구'!$I$2</f>
        <v>2004</v>
      </c>
      <c r="B249" s="82">
        <f>E249</f>
        <v>6740</v>
      </c>
      <c r="C249" s="84">
        <f>(B249-B248)</f>
        <v>248</v>
      </c>
      <c r="D249" s="85">
        <f>ROUND(C249/B248*100,3)</f>
        <v>3.82</v>
      </c>
      <c r="E249" s="83">
        <f>'[14]과거인구 (2)'!P10</f>
        <v>6740</v>
      </c>
      <c r="F249" s="84">
        <f t="shared" si="28"/>
        <v>248</v>
      </c>
      <c r="G249" s="85">
        <f t="shared" si="29"/>
        <v>3.82</v>
      </c>
      <c r="H249" s="77"/>
      <c r="I249" s="78"/>
      <c r="J249" s="78"/>
      <c r="K249" s="78"/>
      <c r="L249" s="79"/>
    </row>
    <row r="250" spans="1:14" s="80" customFormat="1" ht="24.6" customHeight="1">
      <c r="A250" s="81">
        <f>'[14]1.과거인구'!$J$2</f>
        <v>2005</v>
      </c>
      <c r="B250" s="82">
        <f>E250</f>
        <v>6520</v>
      </c>
      <c r="C250" s="84">
        <f>(B250-B249)</f>
        <v>-220</v>
      </c>
      <c r="D250" s="85">
        <f>ROUND(C250/B249*100,3)</f>
        <v>-3.2639999999999998</v>
      </c>
      <c r="E250" s="83">
        <f>'[14]과거인구 (2)'!P11</f>
        <v>6520</v>
      </c>
      <c r="F250" s="84">
        <f t="shared" si="28"/>
        <v>-220</v>
      </c>
      <c r="G250" s="85">
        <f t="shared" si="29"/>
        <v>-3.2639999999999998</v>
      </c>
      <c r="H250" s="77"/>
      <c r="I250" s="78"/>
      <c r="J250" s="78"/>
      <c r="K250" s="78"/>
      <c r="L250" s="79"/>
    </row>
    <row r="251" spans="1:14" s="80" customFormat="1" ht="24.6" customHeight="1">
      <c r="A251" s="81">
        <f>'[14]1.과거인구'!K$2</f>
        <v>2006</v>
      </c>
      <c r="B251" s="82">
        <f>E251</f>
        <v>6260</v>
      </c>
      <c r="C251" s="84">
        <f>(B251-B250)</f>
        <v>-260</v>
      </c>
      <c r="D251" s="85">
        <f>ROUND(C251/B250*100,3)</f>
        <v>-3.988</v>
      </c>
      <c r="E251" s="83">
        <f>'[14]과거인구 (2)'!P12</f>
        <v>6260</v>
      </c>
      <c r="F251" s="84">
        <f t="shared" si="28"/>
        <v>-260</v>
      </c>
      <c r="G251" s="85">
        <f t="shared" si="29"/>
        <v>-3.988</v>
      </c>
      <c r="H251" s="77"/>
      <c r="I251" s="78"/>
      <c r="J251" s="78"/>
      <c r="K251" s="78"/>
      <c r="L251" s="79"/>
    </row>
    <row r="252" spans="1:14" s="80" customFormat="1" ht="24.6" customHeight="1">
      <c r="A252" s="81">
        <f>'[14]1.과거인구'!$L$2</f>
        <v>2007</v>
      </c>
      <c r="B252" s="82">
        <f>E252</f>
        <v>6195</v>
      </c>
      <c r="C252" s="84">
        <f>(B252-B251)</f>
        <v>-65</v>
      </c>
      <c r="D252" s="85">
        <f>ROUND(C252/B251*100,3)</f>
        <v>-1.038</v>
      </c>
      <c r="E252" s="83">
        <f>'[14]과거인구 (2)'!P13</f>
        <v>6195</v>
      </c>
      <c r="F252" s="84">
        <f t="shared" si="28"/>
        <v>-65</v>
      </c>
      <c r="G252" s="85">
        <f t="shared" si="29"/>
        <v>-1.038</v>
      </c>
      <c r="H252" s="77"/>
      <c r="I252" s="78"/>
      <c r="J252" s="78"/>
      <c r="K252" s="78"/>
      <c r="L252" s="79"/>
    </row>
    <row r="253" spans="1:14" s="80" customFormat="1" ht="24.6" customHeight="1">
      <c r="A253" s="86" t="s">
        <v>253</v>
      </c>
      <c r="B253" s="87"/>
      <c r="C253" s="88">
        <f>SUM(C248:C252)</f>
        <v>-297</v>
      </c>
      <c r="D253" s="89">
        <f>ROUND(((B252/B248)^(1/4)-1)*100,2)</f>
        <v>-1.1599999999999999</v>
      </c>
      <c r="E253" s="87"/>
      <c r="F253" s="88">
        <f>SUM(F243:F252)</f>
        <v>-1017</v>
      </c>
      <c r="G253" s="89">
        <f>ROUND(((E252/E243)^(1/9)-1)*100,2)</f>
        <v>-1.67</v>
      </c>
      <c r="H253" s="832"/>
      <c r="I253" s="832"/>
      <c r="J253" s="832"/>
      <c r="K253" s="832"/>
      <c r="L253" s="833"/>
    </row>
    <row r="254" spans="1:14" s="80" customFormat="1" ht="24.6" customHeight="1">
      <c r="A254" s="834" t="s">
        <v>254</v>
      </c>
      <c r="B254" s="835"/>
      <c r="C254" s="836"/>
      <c r="D254" s="840" t="s">
        <v>268</v>
      </c>
      <c r="E254" s="840"/>
      <c r="F254" s="840"/>
      <c r="G254" s="840"/>
      <c r="H254" s="840"/>
      <c r="I254" s="840"/>
      <c r="J254" s="840"/>
      <c r="K254" s="840"/>
      <c r="L254" s="841"/>
    </row>
    <row r="255" spans="1:14" s="80" customFormat="1" ht="24.6" customHeight="1">
      <c r="A255" s="837"/>
      <c r="B255" s="838"/>
      <c r="C255" s="839"/>
      <c r="D255" s="842"/>
      <c r="E255" s="842"/>
      <c r="F255" s="842"/>
      <c r="G255" s="842"/>
      <c r="H255" s="842"/>
      <c r="I255" s="842"/>
      <c r="J255" s="842"/>
      <c r="K255" s="842"/>
      <c r="L255" s="843"/>
      <c r="N255" s="90"/>
    </row>
    <row r="256" spans="1:14" s="80" customFormat="1" ht="24.6" customHeight="1">
      <c r="G256" s="93"/>
      <c r="N256" s="90"/>
    </row>
    <row r="257" spans="1:14" s="69" customFormat="1" ht="24.6" customHeight="1">
      <c r="A257" s="844" t="s">
        <v>256</v>
      </c>
      <c r="B257" s="847" t="str">
        <f>'[14]과거인구 (2)'!Q3</f>
        <v>원성1동</v>
      </c>
      <c r="C257" s="848"/>
      <c r="D257" s="848"/>
      <c r="E257" s="848"/>
      <c r="F257" s="848"/>
      <c r="G257" s="848"/>
      <c r="H257" s="848"/>
      <c r="I257" s="848"/>
      <c r="J257" s="848"/>
      <c r="K257" s="848"/>
      <c r="L257" s="849"/>
    </row>
    <row r="258" spans="1:14" s="69" customFormat="1" ht="24.6" customHeight="1">
      <c r="A258" s="845"/>
      <c r="B258" s="850" t="s">
        <v>247</v>
      </c>
      <c r="C258" s="851"/>
      <c r="D258" s="852"/>
      <c r="E258" s="850" t="s">
        <v>248</v>
      </c>
      <c r="F258" s="851"/>
      <c r="G258" s="852"/>
      <c r="H258" s="853" t="s">
        <v>249</v>
      </c>
      <c r="I258" s="854"/>
      <c r="J258" s="854"/>
      <c r="K258" s="854"/>
      <c r="L258" s="855"/>
    </row>
    <row r="259" spans="1:14" s="69" customFormat="1" ht="24.6" customHeight="1">
      <c r="A259" s="846"/>
      <c r="B259" s="70" t="s">
        <v>250</v>
      </c>
      <c r="C259" s="71" t="s">
        <v>251</v>
      </c>
      <c r="D259" s="71" t="s">
        <v>252</v>
      </c>
      <c r="E259" s="70" t="s">
        <v>250</v>
      </c>
      <c r="F259" s="71" t="s">
        <v>251</v>
      </c>
      <c r="G259" s="71" t="s">
        <v>252</v>
      </c>
      <c r="H259" s="856"/>
      <c r="I259" s="857"/>
      <c r="J259" s="857"/>
      <c r="K259" s="857"/>
      <c r="L259" s="858"/>
    </row>
    <row r="260" spans="1:14" s="80" customFormat="1" ht="24.6" customHeight="1">
      <c r="A260" s="72">
        <f>'[14]1.과거인구'!$C$2</f>
        <v>1998</v>
      </c>
      <c r="B260" s="73"/>
      <c r="C260" s="73"/>
      <c r="D260" s="73"/>
      <c r="E260" s="74">
        <f>'[14]과거인구 (2)'!Q4</f>
        <v>12284</v>
      </c>
      <c r="F260" s="75">
        <v>0</v>
      </c>
      <c r="G260" s="76">
        <v>0</v>
      </c>
      <c r="H260" s="77"/>
      <c r="I260" s="78"/>
      <c r="J260" s="78"/>
      <c r="K260" s="78"/>
      <c r="L260" s="79"/>
    </row>
    <row r="261" spans="1:14" s="80" customFormat="1" ht="24.6" customHeight="1">
      <c r="A261" s="81">
        <f>'[14]1.과거인구'!$D$2</f>
        <v>1999</v>
      </c>
      <c r="B261" s="82"/>
      <c r="C261" s="82"/>
      <c r="D261" s="82"/>
      <c r="E261" s="83">
        <f>'[14]과거인구 (2)'!Q5</f>
        <v>11891</v>
      </c>
      <c r="F261" s="84">
        <f t="shared" ref="F261:F269" si="30">(E261-E260)</f>
        <v>-393</v>
      </c>
      <c r="G261" s="85">
        <f t="shared" ref="G261:G269" si="31">ROUND(F261/E260*100,3)</f>
        <v>-3.1989999999999998</v>
      </c>
      <c r="H261" s="77"/>
      <c r="I261" s="78"/>
      <c r="J261" s="78"/>
      <c r="K261" s="78"/>
      <c r="L261" s="79"/>
    </row>
    <row r="262" spans="1:14" s="80" customFormat="1" ht="24.6" customHeight="1">
      <c r="A262" s="81">
        <f>'[14]1.과거인구'!$E$2</f>
        <v>2000</v>
      </c>
      <c r="B262" s="82"/>
      <c r="C262" s="82"/>
      <c r="D262" s="82"/>
      <c r="E262" s="83">
        <f>'[14]과거인구 (2)'!Q6</f>
        <v>11501</v>
      </c>
      <c r="F262" s="84">
        <f t="shared" si="30"/>
        <v>-390</v>
      </c>
      <c r="G262" s="85">
        <f t="shared" si="31"/>
        <v>-3.28</v>
      </c>
      <c r="H262" s="77"/>
      <c r="I262" s="78"/>
      <c r="J262" s="78"/>
      <c r="K262" s="78"/>
      <c r="L262" s="79"/>
    </row>
    <row r="263" spans="1:14" s="80" customFormat="1" ht="24.6" customHeight="1">
      <c r="A263" s="81">
        <f>'[14]1.과거인구'!$F$2</f>
        <v>2001</v>
      </c>
      <c r="B263" s="82"/>
      <c r="C263" s="82"/>
      <c r="D263" s="82"/>
      <c r="E263" s="83">
        <f>'[14]과거인구 (2)'!Q7</f>
        <v>11432</v>
      </c>
      <c r="F263" s="84">
        <f t="shared" si="30"/>
        <v>-69</v>
      </c>
      <c r="G263" s="85">
        <f t="shared" si="31"/>
        <v>-0.6</v>
      </c>
      <c r="H263" s="77"/>
      <c r="I263" s="78"/>
      <c r="J263" s="78"/>
      <c r="K263" s="78"/>
      <c r="L263" s="79"/>
    </row>
    <row r="264" spans="1:14" s="80" customFormat="1" ht="24.6" customHeight="1">
      <c r="A264" s="81">
        <f>'[14]1.과거인구'!$G$2</f>
        <v>2002</v>
      </c>
      <c r="B264" s="82"/>
      <c r="C264" s="82"/>
      <c r="D264" s="82"/>
      <c r="E264" s="83">
        <f>'[14]과거인구 (2)'!Q8</f>
        <v>11524</v>
      </c>
      <c r="F264" s="84">
        <f t="shared" si="30"/>
        <v>92</v>
      </c>
      <c r="G264" s="85">
        <f t="shared" si="31"/>
        <v>0.80500000000000005</v>
      </c>
      <c r="H264" s="77"/>
      <c r="I264" s="78"/>
      <c r="J264" s="78"/>
      <c r="K264" s="78"/>
      <c r="L264" s="79"/>
    </row>
    <row r="265" spans="1:14" s="80" customFormat="1" ht="24.6" customHeight="1">
      <c r="A265" s="81">
        <f>'[14]1.과거인구'!$H$2</f>
        <v>2003</v>
      </c>
      <c r="B265" s="82">
        <f>E265</f>
        <v>11684</v>
      </c>
      <c r="C265" s="84">
        <v>0</v>
      </c>
      <c r="D265" s="85">
        <v>0</v>
      </c>
      <c r="E265" s="83">
        <f>'[14]과거인구 (2)'!Q9</f>
        <v>11684</v>
      </c>
      <c r="F265" s="84">
        <f t="shared" si="30"/>
        <v>160</v>
      </c>
      <c r="G265" s="85">
        <f t="shared" si="31"/>
        <v>1.3879999999999999</v>
      </c>
      <c r="H265" s="77"/>
      <c r="I265" s="78"/>
      <c r="J265" s="78"/>
      <c r="K265" s="78"/>
      <c r="L265" s="79"/>
    </row>
    <row r="266" spans="1:14" s="80" customFormat="1" ht="24.6" customHeight="1">
      <c r="A266" s="81">
        <f>'[14]1.과거인구'!$I$2</f>
        <v>2004</v>
      </c>
      <c r="B266" s="82">
        <f>E266</f>
        <v>12201</v>
      </c>
      <c r="C266" s="84">
        <f>(B266-B265)</f>
        <v>517</v>
      </c>
      <c r="D266" s="85">
        <f>ROUND(C266/B265*100,3)</f>
        <v>4.4249999999999998</v>
      </c>
      <c r="E266" s="83">
        <f>'[14]과거인구 (2)'!Q10</f>
        <v>12201</v>
      </c>
      <c r="F266" s="84">
        <f t="shared" si="30"/>
        <v>517</v>
      </c>
      <c r="G266" s="85">
        <f t="shared" si="31"/>
        <v>4.4249999999999998</v>
      </c>
      <c r="H266" s="77"/>
      <c r="I266" s="78"/>
      <c r="J266" s="78"/>
      <c r="K266" s="78"/>
      <c r="L266" s="79"/>
    </row>
    <row r="267" spans="1:14" s="80" customFormat="1" ht="24.6" customHeight="1">
      <c r="A267" s="81">
        <f>'[14]1.과거인구'!$J$2</f>
        <v>2005</v>
      </c>
      <c r="B267" s="82">
        <f>E267</f>
        <v>11881</v>
      </c>
      <c r="C267" s="84">
        <f>(B267-B266)</f>
        <v>-320</v>
      </c>
      <c r="D267" s="85">
        <f>ROUND(C267/B266*100,3)</f>
        <v>-2.6230000000000002</v>
      </c>
      <c r="E267" s="83">
        <f>'[14]과거인구 (2)'!Q11</f>
        <v>11881</v>
      </c>
      <c r="F267" s="84">
        <f t="shared" si="30"/>
        <v>-320</v>
      </c>
      <c r="G267" s="85">
        <f t="shared" si="31"/>
        <v>-2.6230000000000002</v>
      </c>
      <c r="H267" s="77"/>
      <c r="I267" s="78"/>
      <c r="J267" s="78"/>
      <c r="K267" s="78"/>
      <c r="L267" s="79"/>
    </row>
    <row r="268" spans="1:14" s="80" customFormat="1" ht="24.6" customHeight="1">
      <c r="A268" s="81">
        <f>'[14]1.과거인구'!K$2</f>
        <v>2006</v>
      </c>
      <c r="B268" s="82">
        <f>E268</f>
        <v>11577</v>
      </c>
      <c r="C268" s="84">
        <f>(B268-B267)</f>
        <v>-304</v>
      </c>
      <c r="D268" s="85">
        <f>ROUND(C268/B267*100,3)</f>
        <v>-2.5590000000000002</v>
      </c>
      <c r="E268" s="83">
        <f>'[14]과거인구 (2)'!Q12</f>
        <v>11577</v>
      </c>
      <c r="F268" s="84">
        <f t="shared" si="30"/>
        <v>-304</v>
      </c>
      <c r="G268" s="85">
        <f t="shared" si="31"/>
        <v>-2.5590000000000002</v>
      </c>
      <c r="H268" s="77"/>
      <c r="I268" s="78"/>
      <c r="J268" s="78"/>
      <c r="K268" s="78"/>
      <c r="L268" s="79"/>
    </row>
    <row r="269" spans="1:14" s="80" customFormat="1" ht="24.6" customHeight="1">
      <c r="A269" s="81">
        <f>'[14]1.과거인구'!$L$2</f>
        <v>2007</v>
      </c>
      <c r="B269" s="82">
        <f>E269</f>
        <v>11408</v>
      </c>
      <c r="C269" s="84">
        <f>(B269-B268)</f>
        <v>-169</v>
      </c>
      <c r="D269" s="85">
        <f>ROUND(C269/B268*100,3)</f>
        <v>-1.46</v>
      </c>
      <c r="E269" s="83">
        <f>'[14]과거인구 (2)'!Q13</f>
        <v>11408</v>
      </c>
      <c r="F269" s="84">
        <f t="shared" si="30"/>
        <v>-169</v>
      </c>
      <c r="G269" s="85">
        <f t="shared" si="31"/>
        <v>-1.46</v>
      </c>
      <c r="H269" s="77"/>
      <c r="I269" s="78"/>
      <c r="J269" s="78"/>
      <c r="K269" s="78"/>
      <c r="L269" s="79"/>
    </row>
    <row r="270" spans="1:14" s="80" customFormat="1" ht="24.6" customHeight="1">
      <c r="A270" s="86" t="s">
        <v>253</v>
      </c>
      <c r="B270" s="87"/>
      <c r="C270" s="88">
        <f>SUM(C265:C269)</f>
        <v>-276</v>
      </c>
      <c r="D270" s="89">
        <f>ROUND(((B269/B265)^(1/4)-1)*100,2)</f>
        <v>-0.6</v>
      </c>
      <c r="E270" s="87"/>
      <c r="F270" s="88">
        <f>SUM(F260:F269)</f>
        <v>-876</v>
      </c>
      <c r="G270" s="89">
        <f>ROUND(((E269/E260)^(1/9)-1)*100,2)</f>
        <v>-0.82</v>
      </c>
      <c r="H270" s="832"/>
      <c r="I270" s="832"/>
      <c r="J270" s="832"/>
      <c r="K270" s="832"/>
      <c r="L270" s="833"/>
    </row>
    <row r="271" spans="1:14" s="80" customFormat="1" ht="24.6" customHeight="1">
      <c r="A271" s="834" t="s">
        <v>254</v>
      </c>
      <c r="B271" s="835"/>
      <c r="C271" s="836"/>
      <c r="D271" s="840" t="s">
        <v>268</v>
      </c>
      <c r="E271" s="840"/>
      <c r="F271" s="840"/>
      <c r="G271" s="840"/>
      <c r="H271" s="840"/>
      <c r="I271" s="840"/>
      <c r="J271" s="840"/>
      <c r="K271" s="840"/>
      <c r="L271" s="841"/>
    </row>
    <row r="272" spans="1:14" s="80" customFormat="1" ht="24.6" customHeight="1">
      <c r="A272" s="837"/>
      <c r="B272" s="838"/>
      <c r="C272" s="839"/>
      <c r="D272" s="842"/>
      <c r="E272" s="842"/>
      <c r="F272" s="842"/>
      <c r="G272" s="842"/>
      <c r="H272" s="842"/>
      <c r="I272" s="842"/>
      <c r="J272" s="842"/>
      <c r="K272" s="842"/>
      <c r="L272" s="843"/>
      <c r="N272" s="90"/>
    </row>
    <row r="273" spans="1:14" s="80" customFormat="1" ht="24.6" customHeight="1">
      <c r="G273" s="93"/>
      <c r="N273" s="90"/>
    </row>
    <row r="274" spans="1:14" s="69" customFormat="1" ht="24.6" customHeight="1">
      <c r="A274" s="844" t="s">
        <v>256</v>
      </c>
      <c r="B274" s="847" t="str">
        <f>'[14]과거인구 (2)'!R3</f>
        <v>원성2동</v>
      </c>
      <c r="C274" s="848"/>
      <c r="D274" s="848"/>
      <c r="E274" s="848"/>
      <c r="F274" s="848"/>
      <c r="G274" s="848"/>
      <c r="H274" s="848"/>
      <c r="I274" s="848"/>
      <c r="J274" s="848"/>
      <c r="K274" s="848"/>
      <c r="L274" s="849"/>
    </row>
    <row r="275" spans="1:14" s="69" customFormat="1" ht="24.6" customHeight="1">
      <c r="A275" s="845"/>
      <c r="B275" s="850" t="s">
        <v>247</v>
      </c>
      <c r="C275" s="851"/>
      <c r="D275" s="852"/>
      <c r="E275" s="850" t="s">
        <v>248</v>
      </c>
      <c r="F275" s="851"/>
      <c r="G275" s="852"/>
      <c r="H275" s="853" t="s">
        <v>249</v>
      </c>
      <c r="I275" s="854"/>
      <c r="J275" s="854"/>
      <c r="K275" s="854"/>
      <c r="L275" s="855"/>
    </row>
    <row r="276" spans="1:14" s="69" customFormat="1" ht="24.6" customHeight="1">
      <c r="A276" s="846"/>
      <c r="B276" s="70" t="s">
        <v>250</v>
      </c>
      <c r="C276" s="71" t="s">
        <v>251</v>
      </c>
      <c r="D276" s="71" t="s">
        <v>252</v>
      </c>
      <c r="E276" s="70" t="s">
        <v>250</v>
      </c>
      <c r="F276" s="71" t="s">
        <v>251</v>
      </c>
      <c r="G276" s="71" t="s">
        <v>252</v>
      </c>
      <c r="H276" s="856"/>
      <c r="I276" s="857"/>
      <c r="J276" s="857"/>
      <c r="K276" s="857"/>
      <c r="L276" s="858"/>
    </row>
    <row r="277" spans="1:14" s="80" customFormat="1" ht="24.6" customHeight="1">
      <c r="A277" s="72">
        <f>'[14]1.과거인구'!$C$2</f>
        <v>1998</v>
      </c>
      <c r="B277" s="73"/>
      <c r="C277" s="73"/>
      <c r="D277" s="73"/>
      <c r="E277" s="74">
        <f>'[14]과거인구 (2)'!R4</f>
        <v>15139</v>
      </c>
      <c r="F277" s="75">
        <v>0</v>
      </c>
      <c r="G277" s="76">
        <v>0</v>
      </c>
      <c r="H277" s="77"/>
      <c r="I277" s="78"/>
      <c r="J277" s="78"/>
      <c r="K277" s="78"/>
      <c r="L277" s="79"/>
    </row>
    <row r="278" spans="1:14" s="80" customFormat="1" ht="24.6" customHeight="1">
      <c r="A278" s="81">
        <f>'[14]1.과거인구'!$D$2</f>
        <v>1999</v>
      </c>
      <c r="B278" s="82"/>
      <c r="C278" s="82"/>
      <c r="D278" s="82"/>
      <c r="E278" s="83">
        <f>'[14]과거인구 (2)'!R5</f>
        <v>14531</v>
      </c>
      <c r="F278" s="84">
        <f t="shared" ref="F278:F286" si="32">(E278-E277)</f>
        <v>-608</v>
      </c>
      <c r="G278" s="85">
        <f t="shared" ref="G278:G286" si="33">ROUND(F278/E277*100,3)</f>
        <v>-4.016</v>
      </c>
      <c r="H278" s="77"/>
      <c r="I278" s="78"/>
      <c r="J278" s="78"/>
      <c r="K278" s="78"/>
      <c r="L278" s="79"/>
    </row>
    <row r="279" spans="1:14" s="80" customFormat="1" ht="24.6" customHeight="1">
      <c r="A279" s="81">
        <f>'[14]1.과거인구'!$E$2</f>
        <v>2000</v>
      </c>
      <c r="B279" s="82"/>
      <c r="C279" s="82"/>
      <c r="D279" s="82"/>
      <c r="E279" s="83">
        <f>'[14]과거인구 (2)'!R6</f>
        <v>14103</v>
      </c>
      <c r="F279" s="84">
        <f t="shared" si="32"/>
        <v>-428</v>
      </c>
      <c r="G279" s="85">
        <f t="shared" si="33"/>
        <v>-2.9449999999999998</v>
      </c>
      <c r="H279" s="77"/>
      <c r="I279" s="78"/>
      <c r="J279" s="78"/>
      <c r="K279" s="78"/>
      <c r="L279" s="79"/>
    </row>
    <row r="280" spans="1:14" s="80" customFormat="1" ht="24.6" customHeight="1">
      <c r="A280" s="81">
        <f>'[14]1.과거인구'!$F$2</f>
        <v>2001</v>
      </c>
      <c r="B280" s="82"/>
      <c r="C280" s="82"/>
      <c r="D280" s="82"/>
      <c r="E280" s="83">
        <f>'[14]과거인구 (2)'!R7</f>
        <v>13902</v>
      </c>
      <c r="F280" s="84">
        <f t="shared" si="32"/>
        <v>-201</v>
      </c>
      <c r="G280" s="85">
        <f t="shared" si="33"/>
        <v>-1.425</v>
      </c>
      <c r="H280" s="77"/>
      <c r="I280" s="78"/>
      <c r="J280" s="78"/>
      <c r="K280" s="78"/>
      <c r="L280" s="79"/>
    </row>
    <row r="281" spans="1:14" s="80" customFormat="1" ht="24.6" customHeight="1">
      <c r="A281" s="81">
        <f>'[14]1.과거인구'!$G$2</f>
        <v>2002</v>
      </c>
      <c r="B281" s="82"/>
      <c r="C281" s="82"/>
      <c r="D281" s="82"/>
      <c r="E281" s="83">
        <f>'[14]과거인구 (2)'!R8</f>
        <v>13852</v>
      </c>
      <c r="F281" s="84">
        <f t="shared" si="32"/>
        <v>-50</v>
      </c>
      <c r="G281" s="85">
        <f t="shared" si="33"/>
        <v>-0.36</v>
      </c>
      <c r="H281" s="77"/>
      <c r="I281" s="78"/>
      <c r="J281" s="78"/>
      <c r="K281" s="78"/>
      <c r="L281" s="79"/>
    </row>
    <row r="282" spans="1:14" s="80" customFormat="1" ht="24.6" customHeight="1">
      <c r="A282" s="81">
        <f>'[14]1.과거인구'!$H$2</f>
        <v>2003</v>
      </c>
      <c r="B282" s="82">
        <f>E282</f>
        <v>14179</v>
      </c>
      <c r="C282" s="84">
        <v>0</v>
      </c>
      <c r="D282" s="85">
        <v>0</v>
      </c>
      <c r="E282" s="83">
        <f>'[14]과거인구 (2)'!R9</f>
        <v>14179</v>
      </c>
      <c r="F282" s="84">
        <f t="shared" si="32"/>
        <v>327</v>
      </c>
      <c r="G282" s="85">
        <f t="shared" si="33"/>
        <v>2.3610000000000002</v>
      </c>
      <c r="H282" s="77"/>
      <c r="I282" s="78"/>
      <c r="J282" s="78"/>
      <c r="K282" s="78"/>
      <c r="L282" s="79"/>
    </row>
    <row r="283" spans="1:14" s="80" customFormat="1" ht="24.6" customHeight="1">
      <c r="A283" s="81">
        <f>'[14]1.과거인구'!$I$2</f>
        <v>2004</v>
      </c>
      <c r="B283" s="82">
        <f>E283</f>
        <v>14789</v>
      </c>
      <c r="C283" s="84">
        <f>(B283-B282)</f>
        <v>610</v>
      </c>
      <c r="D283" s="85">
        <f>ROUND(C283/B282*100,3)</f>
        <v>4.3019999999999996</v>
      </c>
      <c r="E283" s="83">
        <f>'[14]과거인구 (2)'!R10</f>
        <v>14789</v>
      </c>
      <c r="F283" s="84">
        <f t="shared" si="32"/>
        <v>610</v>
      </c>
      <c r="G283" s="85">
        <f t="shared" si="33"/>
        <v>4.3019999999999996</v>
      </c>
      <c r="H283" s="77"/>
      <c r="I283" s="78"/>
      <c r="J283" s="78"/>
      <c r="K283" s="78"/>
      <c r="L283" s="79"/>
    </row>
    <row r="284" spans="1:14" s="80" customFormat="1" ht="24.6" customHeight="1">
      <c r="A284" s="81">
        <f>'[14]1.과거인구'!$J$2</f>
        <v>2005</v>
      </c>
      <c r="B284" s="82">
        <f>E284</f>
        <v>14212</v>
      </c>
      <c r="C284" s="84">
        <f>(B284-B283)</f>
        <v>-577</v>
      </c>
      <c r="D284" s="85">
        <f>ROUND(C284/B283*100,3)</f>
        <v>-3.9020000000000001</v>
      </c>
      <c r="E284" s="83">
        <f>'[14]과거인구 (2)'!R11</f>
        <v>14212</v>
      </c>
      <c r="F284" s="84">
        <f t="shared" si="32"/>
        <v>-577</v>
      </c>
      <c r="G284" s="85">
        <f t="shared" si="33"/>
        <v>-3.9020000000000001</v>
      </c>
      <c r="H284" s="77"/>
      <c r="I284" s="78"/>
      <c r="J284" s="78"/>
      <c r="K284" s="78"/>
      <c r="L284" s="79"/>
    </row>
    <row r="285" spans="1:14" s="80" customFormat="1" ht="24.6" customHeight="1">
      <c r="A285" s="81">
        <f>'[14]1.과거인구'!K$2</f>
        <v>2006</v>
      </c>
      <c r="B285" s="82">
        <f>E285</f>
        <v>14112</v>
      </c>
      <c r="C285" s="84">
        <f>(B285-B284)</f>
        <v>-100</v>
      </c>
      <c r="D285" s="85">
        <f>ROUND(C285/B284*100,3)</f>
        <v>-0.70399999999999996</v>
      </c>
      <c r="E285" s="83">
        <f>'[14]과거인구 (2)'!R12</f>
        <v>14112</v>
      </c>
      <c r="F285" s="84">
        <f t="shared" si="32"/>
        <v>-100</v>
      </c>
      <c r="G285" s="85">
        <f t="shared" si="33"/>
        <v>-0.70399999999999996</v>
      </c>
      <c r="H285" s="77"/>
      <c r="I285" s="78"/>
      <c r="J285" s="78"/>
      <c r="K285" s="78"/>
      <c r="L285" s="79"/>
    </row>
    <row r="286" spans="1:14" s="80" customFormat="1" ht="24.6" customHeight="1">
      <c r="A286" s="81">
        <f>'[14]1.과거인구'!$L$2</f>
        <v>2007</v>
      </c>
      <c r="B286" s="82">
        <f>E286</f>
        <v>13839</v>
      </c>
      <c r="C286" s="84">
        <f>(B286-B285)</f>
        <v>-273</v>
      </c>
      <c r="D286" s="85">
        <f>ROUND(C286/B285*100,3)</f>
        <v>-1.9350000000000001</v>
      </c>
      <c r="E286" s="83">
        <f>'[14]과거인구 (2)'!R13</f>
        <v>13839</v>
      </c>
      <c r="F286" s="84">
        <f t="shared" si="32"/>
        <v>-273</v>
      </c>
      <c r="G286" s="85">
        <f t="shared" si="33"/>
        <v>-1.9350000000000001</v>
      </c>
      <c r="H286" s="77"/>
      <c r="I286" s="78"/>
      <c r="J286" s="78"/>
      <c r="K286" s="78"/>
      <c r="L286" s="79"/>
    </row>
    <row r="287" spans="1:14" s="80" customFormat="1" ht="24.6" customHeight="1">
      <c r="A287" s="86" t="s">
        <v>253</v>
      </c>
      <c r="B287" s="87"/>
      <c r="C287" s="88">
        <f>SUM(C282:C286)</f>
        <v>-340</v>
      </c>
      <c r="D287" s="89">
        <f>ROUND(((B286/B282)^(1/4)-1)*100,2)</f>
        <v>-0.6</v>
      </c>
      <c r="E287" s="87"/>
      <c r="F287" s="88">
        <f>SUM(F277:F286)</f>
        <v>-1300</v>
      </c>
      <c r="G287" s="89">
        <f>ROUND(((E286/E277)^(1/9)-1)*100,2)</f>
        <v>-0.99</v>
      </c>
      <c r="H287" s="832"/>
      <c r="I287" s="832"/>
      <c r="J287" s="832"/>
      <c r="K287" s="832"/>
      <c r="L287" s="833"/>
    </row>
    <row r="288" spans="1:14" s="80" customFormat="1" ht="24.6" customHeight="1">
      <c r="A288" s="834" t="s">
        <v>254</v>
      </c>
      <c r="B288" s="835"/>
      <c r="C288" s="836"/>
      <c r="D288" s="840" t="s">
        <v>268</v>
      </c>
      <c r="E288" s="840"/>
      <c r="F288" s="840"/>
      <c r="G288" s="840"/>
      <c r="H288" s="840"/>
      <c r="I288" s="840"/>
      <c r="J288" s="840"/>
      <c r="K288" s="840"/>
      <c r="L288" s="841"/>
    </row>
    <row r="289" spans="1:14" s="80" customFormat="1" ht="24.6" customHeight="1">
      <c r="A289" s="837"/>
      <c r="B289" s="838"/>
      <c r="C289" s="839"/>
      <c r="D289" s="842"/>
      <c r="E289" s="842"/>
      <c r="F289" s="842"/>
      <c r="G289" s="842"/>
      <c r="H289" s="842"/>
      <c r="I289" s="842"/>
      <c r="J289" s="842"/>
      <c r="K289" s="842"/>
      <c r="L289" s="843"/>
      <c r="N289" s="90"/>
    </row>
    <row r="290" spans="1:14" s="80" customFormat="1" ht="24.6" customHeight="1">
      <c r="G290" s="93"/>
      <c r="N290" s="90"/>
    </row>
    <row r="291" spans="1:14" s="69" customFormat="1" ht="24.6" customHeight="1">
      <c r="A291" s="844" t="s">
        <v>256</v>
      </c>
      <c r="B291" s="847" t="str">
        <f>'[14]과거인구 (2)'!S3</f>
        <v>성정1동</v>
      </c>
      <c r="C291" s="848"/>
      <c r="D291" s="848"/>
      <c r="E291" s="848"/>
      <c r="F291" s="848"/>
      <c r="G291" s="848"/>
      <c r="H291" s="848"/>
      <c r="I291" s="848"/>
      <c r="J291" s="848"/>
      <c r="K291" s="848"/>
      <c r="L291" s="849"/>
    </row>
    <row r="292" spans="1:14" s="69" customFormat="1" ht="24.6" customHeight="1">
      <c r="A292" s="845"/>
      <c r="B292" s="850" t="s">
        <v>247</v>
      </c>
      <c r="C292" s="851"/>
      <c r="D292" s="852"/>
      <c r="E292" s="850" t="s">
        <v>248</v>
      </c>
      <c r="F292" s="851"/>
      <c r="G292" s="852"/>
      <c r="H292" s="853" t="s">
        <v>249</v>
      </c>
      <c r="I292" s="854"/>
      <c r="J292" s="854"/>
      <c r="K292" s="854"/>
      <c r="L292" s="855"/>
    </row>
    <row r="293" spans="1:14" s="69" customFormat="1" ht="24.6" customHeight="1">
      <c r="A293" s="846"/>
      <c r="B293" s="70" t="s">
        <v>250</v>
      </c>
      <c r="C293" s="71" t="s">
        <v>251</v>
      </c>
      <c r="D293" s="71" t="s">
        <v>252</v>
      </c>
      <c r="E293" s="70" t="s">
        <v>250</v>
      </c>
      <c r="F293" s="71" t="s">
        <v>251</v>
      </c>
      <c r="G293" s="71" t="s">
        <v>252</v>
      </c>
      <c r="H293" s="856"/>
      <c r="I293" s="857"/>
      <c r="J293" s="857"/>
      <c r="K293" s="857"/>
      <c r="L293" s="858"/>
    </row>
    <row r="294" spans="1:14" s="80" customFormat="1" ht="24.6" customHeight="1">
      <c r="A294" s="72">
        <f>'[14]1.과거인구'!$C$2</f>
        <v>1998</v>
      </c>
      <c r="B294" s="73"/>
      <c r="C294" s="73"/>
      <c r="D294" s="73"/>
      <c r="E294" s="74">
        <f>'[14]과거인구 (2)'!S4</f>
        <v>20150</v>
      </c>
      <c r="F294" s="75">
        <v>0</v>
      </c>
      <c r="G294" s="76">
        <v>0</v>
      </c>
      <c r="H294" s="77"/>
      <c r="I294" s="78"/>
      <c r="J294" s="78"/>
      <c r="K294" s="78"/>
      <c r="L294" s="79"/>
    </row>
    <row r="295" spans="1:14" s="80" customFormat="1" ht="24.6" customHeight="1">
      <c r="A295" s="81">
        <f>'[14]1.과거인구'!$D$2</f>
        <v>1999</v>
      </c>
      <c r="B295" s="82"/>
      <c r="C295" s="82"/>
      <c r="D295" s="82"/>
      <c r="E295" s="83">
        <f>'[14]과거인구 (2)'!S5</f>
        <v>19431</v>
      </c>
      <c r="F295" s="84">
        <f t="shared" ref="F295:F303" si="34">(E295-E294)</f>
        <v>-719</v>
      </c>
      <c r="G295" s="85">
        <f t="shared" ref="G295:G303" si="35">ROUND(F295/E294*100,3)</f>
        <v>-3.5680000000000001</v>
      </c>
      <c r="H295" s="77"/>
      <c r="I295" s="78"/>
      <c r="J295" s="78"/>
      <c r="K295" s="78"/>
      <c r="L295" s="79"/>
    </row>
    <row r="296" spans="1:14" s="80" customFormat="1" ht="24.6" customHeight="1">
      <c r="A296" s="81">
        <f>'[14]1.과거인구'!$E$2</f>
        <v>2000</v>
      </c>
      <c r="B296" s="82"/>
      <c r="C296" s="82"/>
      <c r="D296" s="82"/>
      <c r="E296" s="83">
        <f>'[14]과거인구 (2)'!S6</f>
        <v>18830</v>
      </c>
      <c r="F296" s="84">
        <f t="shared" si="34"/>
        <v>-601</v>
      </c>
      <c r="G296" s="85">
        <f t="shared" si="35"/>
        <v>-3.093</v>
      </c>
      <c r="H296" s="77"/>
      <c r="I296" s="78"/>
      <c r="J296" s="78"/>
      <c r="K296" s="78"/>
      <c r="L296" s="79"/>
    </row>
    <row r="297" spans="1:14" s="80" customFormat="1" ht="24.6" customHeight="1">
      <c r="A297" s="81">
        <f>'[14]1.과거인구'!$F$2</f>
        <v>2001</v>
      </c>
      <c r="B297" s="82"/>
      <c r="C297" s="82"/>
      <c r="D297" s="82"/>
      <c r="E297" s="83">
        <f>'[14]과거인구 (2)'!S7</f>
        <v>18505</v>
      </c>
      <c r="F297" s="84">
        <f t="shared" si="34"/>
        <v>-325</v>
      </c>
      <c r="G297" s="85">
        <f t="shared" si="35"/>
        <v>-1.726</v>
      </c>
      <c r="H297" s="77"/>
      <c r="I297" s="78"/>
      <c r="J297" s="78"/>
      <c r="K297" s="78"/>
      <c r="L297" s="79"/>
    </row>
    <row r="298" spans="1:14" s="80" customFormat="1" ht="24.6" customHeight="1">
      <c r="A298" s="81">
        <f>'[14]1.과거인구'!$G$2</f>
        <v>2002</v>
      </c>
      <c r="B298" s="82"/>
      <c r="C298" s="82"/>
      <c r="D298" s="82"/>
      <c r="E298" s="83">
        <f>'[14]과거인구 (2)'!S8</f>
        <v>18503</v>
      </c>
      <c r="F298" s="84">
        <f t="shared" si="34"/>
        <v>-2</v>
      </c>
      <c r="G298" s="85">
        <f t="shared" si="35"/>
        <v>-1.0999999999999999E-2</v>
      </c>
      <c r="H298" s="77"/>
      <c r="I298" s="78"/>
      <c r="J298" s="78"/>
      <c r="K298" s="78"/>
      <c r="L298" s="79"/>
    </row>
    <row r="299" spans="1:14" s="80" customFormat="1" ht="24.6" customHeight="1">
      <c r="A299" s="81">
        <f>'[14]1.과거인구'!$H$2</f>
        <v>2003</v>
      </c>
      <c r="B299" s="82">
        <f>E299</f>
        <v>18713</v>
      </c>
      <c r="C299" s="84">
        <v>0</v>
      </c>
      <c r="D299" s="85">
        <v>0</v>
      </c>
      <c r="E299" s="83">
        <f>'[14]과거인구 (2)'!S9</f>
        <v>18713</v>
      </c>
      <c r="F299" s="84">
        <f t="shared" si="34"/>
        <v>210</v>
      </c>
      <c r="G299" s="85">
        <f t="shared" si="35"/>
        <v>1.135</v>
      </c>
      <c r="H299" s="77"/>
      <c r="I299" s="78"/>
      <c r="J299" s="78"/>
      <c r="K299" s="78"/>
      <c r="L299" s="79"/>
    </row>
    <row r="300" spans="1:14" s="80" customFormat="1" ht="24.6" customHeight="1">
      <c r="A300" s="81">
        <f>'[14]1.과거인구'!$I$2</f>
        <v>2004</v>
      </c>
      <c r="B300" s="82">
        <f>E300</f>
        <v>19495</v>
      </c>
      <c r="C300" s="84">
        <f>(B300-B299)</f>
        <v>782</v>
      </c>
      <c r="D300" s="85">
        <f>ROUND(C300/B299*100,3)</f>
        <v>4.1790000000000003</v>
      </c>
      <c r="E300" s="83">
        <f>'[14]과거인구 (2)'!S10</f>
        <v>19495</v>
      </c>
      <c r="F300" s="84">
        <f t="shared" si="34"/>
        <v>782</v>
      </c>
      <c r="G300" s="85">
        <f t="shared" si="35"/>
        <v>4.1790000000000003</v>
      </c>
      <c r="H300" s="77"/>
      <c r="I300" s="78"/>
      <c r="J300" s="78"/>
      <c r="K300" s="78"/>
      <c r="L300" s="79"/>
    </row>
    <row r="301" spans="1:14" s="80" customFormat="1" ht="24.6" customHeight="1">
      <c r="A301" s="81">
        <f>'[14]1.과거인구'!$J$2</f>
        <v>2005</v>
      </c>
      <c r="B301" s="82">
        <f>E301</f>
        <v>20667</v>
      </c>
      <c r="C301" s="84">
        <f>(B301-B300)</f>
        <v>1172</v>
      </c>
      <c r="D301" s="85">
        <f>ROUND(C301/B300*100,3)</f>
        <v>6.0119999999999996</v>
      </c>
      <c r="E301" s="83">
        <f>'[14]과거인구 (2)'!S11</f>
        <v>20667</v>
      </c>
      <c r="F301" s="84">
        <f t="shared" si="34"/>
        <v>1172</v>
      </c>
      <c r="G301" s="85">
        <f t="shared" si="35"/>
        <v>6.0119999999999996</v>
      </c>
      <c r="H301" s="77"/>
      <c r="I301" s="78"/>
      <c r="J301" s="78"/>
      <c r="K301" s="78"/>
      <c r="L301" s="79"/>
    </row>
    <row r="302" spans="1:14" s="80" customFormat="1" ht="24.6" customHeight="1">
      <c r="A302" s="81">
        <f>'[14]1.과거인구'!K$2</f>
        <v>2006</v>
      </c>
      <c r="B302" s="82">
        <f>E302</f>
        <v>20167</v>
      </c>
      <c r="C302" s="84">
        <f>(B302-B301)</f>
        <v>-500</v>
      </c>
      <c r="D302" s="85">
        <f>ROUND(C302/B301*100,3)</f>
        <v>-2.419</v>
      </c>
      <c r="E302" s="83">
        <f>'[14]과거인구 (2)'!S12</f>
        <v>20167</v>
      </c>
      <c r="F302" s="84">
        <f t="shared" si="34"/>
        <v>-500</v>
      </c>
      <c r="G302" s="85">
        <f t="shared" si="35"/>
        <v>-2.419</v>
      </c>
      <c r="H302" s="77"/>
      <c r="I302" s="78"/>
      <c r="J302" s="78"/>
      <c r="K302" s="78"/>
      <c r="L302" s="79"/>
    </row>
    <row r="303" spans="1:14" s="80" customFormat="1" ht="24.6" customHeight="1">
      <c r="A303" s="81">
        <f>'[14]1.과거인구'!$L$2</f>
        <v>2007</v>
      </c>
      <c r="B303" s="82">
        <f>E303</f>
        <v>20033</v>
      </c>
      <c r="C303" s="84">
        <f>(B303-B302)</f>
        <v>-134</v>
      </c>
      <c r="D303" s="85">
        <f>ROUND(C303/B302*100,3)</f>
        <v>-0.66400000000000003</v>
      </c>
      <c r="E303" s="83">
        <f>'[14]과거인구 (2)'!S13</f>
        <v>20033</v>
      </c>
      <c r="F303" s="84">
        <f t="shared" si="34"/>
        <v>-134</v>
      </c>
      <c r="G303" s="85">
        <f t="shared" si="35"/>
        <v>-0.66400000000000003</v>
      </c>
      <c r="H303" s="77"/>
      <c r="I303" s="78"/>
      <c r="J303" s="78"/>
      <c r="K303" s="78"/>
      <c r="L303" s="79"/>
    </row>
    <row r="304" spans="1:14" s="80" customFormat="1" ht="24.6" customHeight="1">
      <c r="A304" s="86" t="s">
        <v>253</v>
      </c>
      <c r="B304" s="87"/>
      <c r="C304" s="88">
        <f>SUM(C299:C303)</f>
        <v>1320</v>
      </c>
      <c r="D304" s="89">
        <f>ROUND(((B303/B299)^(1/4)-1)*100,2)</f>
        <v>1.72</v>
      </c>
      <c r="E304" s="87"/>
      <c r="F304" s="88">
        <f>SUM(F294:F303)</f>
        <v>-117</v>
      </c>
      <c r="G304" s="89">
        <f>ROUND(((E303/E294)^(1/9)-1)*100,2)</f>
        <v>-0.06</v>
      </c>
      <c r="H304" s="832"/>
      <c r="I304" s="832"/>
      <c r="J304" s="832"/>
      <c r="K304" s="832"/>
      <c r="L304" s="833"/>
    </row>
    <row r="305" spans="1:14" s="80" customFormat="1" ht="24.6" customHeight="1">
      <c r="A305" s="834" t="s">
        <v>254</v>
      </c>
      <c r="B305" s="835"/>
      <c r="C305" s="836"/>
      <c r="D305" s="840" t="s">
        <v>269</v>
      </c>
      <c r="E305" s="840"/>
      <c r="F305" s="840"/>
      <c r="G305" s="840"/>
      <c r="H305" s="840"/>
      <c r="I305" s="840"/>
      <c r="J305" s="840"/>
      <c r="K305" s="840"/>
      <c r="L305" s="841"/>
    </row>
    <row r="306" spans="1:14" s="80" customFormat="1" ht="24.6" customHeight="1">
      <c r="A306" s="837"/>
      <c r="B306" s="838"/>
      <c r="C306" s="839"/>
      <c r="D306" s="842"/>
      <c r="E306" s="842"/>
      <c r="F306" s="842"/>
      <c r="G306" s="842"/>
      <c r="H306" s="842"/>
      <c r="I306" s="842"/>
      <c r="J306" s="842"/>
      <c r="K306" s="842"/>
      <c r="L306" s="843"/>
      <c r="N306" s="90"/>
    </row>
    <row r="307" spans="1:14" s="80" customFormat="1" ht="24.6" customHeight="1">
      <c r="G307" s="93"/>
      <c r="N307" s="90"/>
    </row>
    <row r="308" spans="1:14" s="69" customFormat="1" ht="24.6" customHeight="1">
      <c r="A308" s="844" t="s">
        <v>270</v>
      </c>
      <c r="B308" s="847" t="str">
        <f>'[14]과거인구 (2)'!T3</f>
        <v>성정2동</v>
      </c>
      <c r="C308" s="848"/>
      <c r="D308" s="848"/>
      <c r="E308" s="848"/>
      <c r="F308" s="848"/>
      <c r="G308" s="848"/>
      <c r="H308" s="848"/>
      <c r="I308" s="848"/>
      <c r="J308" s="848"/>
      <c r="K308" s="848"/>
      <c r="L308" s="849"/>
    </row>
    <row r="309" spans="1:14" s="69" customFormat="1" ht="24.6" customHeight="1">
      <c r="A309" s="845"/>
      <c r="B309" s="850" t="s">
        <v>271</v>
      </c>
      <c r="C309" s="851"/>
      <c r="D309" s="852"/>
      <c r="E309" s="850" t="s">
        <v>272</v>
      </c>
      <c r="F309" s="851"/>
      <c r="G309" s="852"/>
      <c r="H309" s="853" t="s">
        <v>273</v>
      </c>
      <c r="I309" s="854"/>
      <c r="J309" s="854"/>
      <c r="K309" s="854"/>
      <c r="L309" s="855"/>
    </row>
    <row r="310" spans="1:14" s="69" customFormat="1" ht="24.6" customHeight="1">
      <c r="A310" s="846"/>
      <c r="B310" s="70" t="s">
        <v>274</v>
      </c>
      <c r="C310" s="71" t="s">
        <v>275</v>
      </c>
      <c r="D310" s="71" t="s">
        <v>276</v>
      </c>
      <c r="E310" s="70" t="s">
        <v>274</v>
      </c>
      <c r="F310" s="71" t="s">
        <v>275</v>
      </c>
      <c r="G310" s="71" t="s">
        <v>276</v>
      </c>
      <c r="H310" s="856"/>
      <c r="I310" s="857"/>
      <c r="J310" s="857"/>
      <c r="K310" s="857"/>
      <c r="L310" s="858"/>
    </row>
    <row r="311" spans="1:14" s="80" customFormat="1" ht="24.6" customHeight="1">
      <c r="A311" s="72">
        <f>'[14]1.과거인구'!$C$2</f>
        <v>1998</v>
      </c>
      <c r="B311" s="73"/>
      <c r="C311" s="73"/>
      <c r="D311" s="73"/>
      <c r="E311" s="74">
        <f>'[14]과거인구 (2)'!T4</f>
        <v>20531</v>
      </c>
      <c r="F311" s="75">
        <v>0</v>
      </c>
      <c r="G311" s="76">
        <v>0</v>
      </c>
      <c r="H311" s="77"/>
      <c r="I311" s="78"/>
      <c r="J311" s="78"/>
      <c r="K311" s="78"/>
      <c r="L311" s="79"/>
    </row>
    <row r="312" spans="1:14" s="80" customFormat="1" ht="24.6" customHeight="1">
      <c r="A312" s="81">
        <f>'[14]1.과거인구'!$D$2</f>
        <v>1999</v>
      </c>
      <c r="B312" s="82"/>
      <c r="C312" s="82"/>
      <c r="D312" s="82"/>
      <c r="E312" s="83">
        <f>'[14]과거인구 (2)'!T5</f>
        <v>20000</v>
      </c>
      <c r="F312" s="84">
        <f t="shared" ref="F312:F320" si="36">(E312-E311)</f>
        <v>-531</v>
      </c>
      <c r="G312" s="85">
        <f t="shared" ref="G312:G320" si="37">ROUND(F312/E311*100,3)</f>
        <v>-2.5859999999999999</v>
      </c>
      <c r="H312" s="77"/>
      <c r="I312" s="78"/>
      <c r="J312" s="78"/>
      <c r="K312" s="78"/>
      <c r="L312" s="79"/>
    </row>
    <row r="313" spans="1:14" s="80" customFormat="1" ht="24.6" customHeight="1">
      <c r="A313" s="81">
        <f>'[14]1.과거인구'!$E$2</f>
        <v>2000</v>
      </c>
      <c r="B313" s="82"/>
      <c r="C313" s="82"/>
      <c r="D313" s="82"/>
      <c r="E313" s="83">
        <f>'[14]과거인구 (2)'!T6</f>
        <v>19618</v>
      </c>
      <c r="F313" s="84">
        <f t="shared" si="36"/>
        <v>-382</v>
      </c>
      <c r="G313" s="85">
        <f t="shared" si="37"/>
        <v>-1.91</v>
      </c>
      <c r="H313" s="77"/>
      <c r="I313" s="78"/>
      <c r="J313" s="78"/>
      <c r="K313" s="78"/>
      <c r="L313" s="79"/>
    </row>
    <row r="314" spans="1:14" s="80" customFormat="1" ht="24.6" customHeight="1">
      <c r="A314" s="81">
        <f>'[14]1.과거인구'!$F$2</f>
        <v>2001</v>
      </c>
      <c r="B314" s="82"/>
      <c r="C314" s="82"/>
      <c r="D314" s="82"/>
      <c r="E314" s="83">
        <f>'[14]과거인구 (2)'!T7</f>
        <v>19330</v>
      </c>
      <c r="F314" s="84">
        <f t="shared" si="36"/>
        <v>-288</v>
      </c>
      <c r="G314" s="85">
        <f t="shared" si="37"/>
        <v>-1.468</v>
      </c>
      <c r="H314" s="77"/>
      <c r="I314" s="78"/>
      <c r="J314" s="78"/>
      <c r="K314" s="78"/>
      <c r="L314" s="79"/>
    </row>
    <row r="315" spans="1:14" s="80" customFormat="1" ht="24.6" customHeight="1">
      <c r="A315" s="81">
        <f>'[14]1.과거인구'!$G$2</f>
        <v>2002</v>
      </c>
      <c r="B315" s="82"/>
      <c r="C315" s="82"/>
      <c r="D315" s="82"/>
      <c r="E315" s="83">
        <f>'[14]과거인구 (2)'!T8</f>
        <v>19852</v>
      </c>
      <c r="F315" s="84">
        <f t="shared" si="36"/>
        <v>522</v>
      </c>
      <c r="G315" s="85">
        <f t="shared" si="37"/>
        <v>2.7</v>
      </c>
      <c r="H315" s="77"/>
      <c r="I315" s="78"/>
      <c r="J315" s="78"/>
      <c r="K315" s="78"/>
      <c r="L315" s="79"/>
    </row>
    <row r="316" spans="1:14" s="80" customFormat="1" ht="24.6" customHeight="1">
      <c r="A316" s="81">
        <f>'[14]1.과거인구'!$H$2</f>
        <v>2003</v>
      </c>
      <c r="B316" s="82">
        <f>E316</f>
        <v>20865</v>
      </c>
      <c r="C316" s="84">
        <v>0</v>
      </c>
      <c r="D316" s="85">
        <v>0</v>
      </c>
      <c r="E316" s="83">
        <f>'[14]과거인구 (2)'!T9</f>
        <v>20865</v>
      </c>
      <c r="F316" s="84">
        <f t="shared" si="36"/>
        <v>1013</v>
      </c>
      <c r="G316" s="85">
        <f t="shared" si="37"/>
        <v>5.1029999999999998</v>
      </c>
      <c r="H316" s="77"/>
      <c r="I316" s="78"/>
      <c r="J316" s="78"/>
      <c r="K316" s="78"/>
      <c r="L316" s="79"/>
    </row>
    <row r="317" spans="1:14" s="80" customFormat="1" ht="24.6" customHeight="1">
      <c r="A317" s="81">
        <f>'[14]1.과거인구'!$I$2</f>
        <v>2004</v>
      </c>
      <c r="B317" s="82">
        <f>E317</f>
        <v>21685</v>
      </c>
      <c r="C317" s="84">
        <f>(B317-B316)</f>
        <v>820</v>
      </c>
      <c r="D317" s="85">
        <f>ROUND(C317/B316*100,3)</f>
        <v>3.93</v>
      </c>
      <c r="E317" s="83">
        <f>'[14]과거인구 (2)'!T10</f>
        <v>21685</v>
      </c>
      <c r="F317" s="84">
        <f t="shared" si="36"/>
        <v>820</v>
      </c>
      <c r="G317" s="85">
        <f t="shared" si="37"/>
        <v>3.93</v>
      </c>
      <c r="H317" s="77"/>
      <c r="I317" s="78"/>
      <c r="J317" s="78"/>
      <c r="K317" s="78"/>
      <c r="L317" s="79"/>
    </row>
    <row r="318" spans="1:14" s="80" customFormat="1" ht="24.6" customHeight="1">
      <c r="A318" s="81">
        <f>'[14]1.과거인구'!$J$2</f>
        <v>2005</v>
      </c>
      <c r="B318" s="82">
        <f>E318</f>
        <v>21508</v>
      </c>
      <c r="C318" s="84">
        <f>(B318-B317)</f>
        <v>-177</v>
      </c>
      <c r="D318" s="85">
        <f>ROUND(C318/B317*100,3)</f>
        <v>-0.81599999999999995</v>
      </c>
      <c r="E318" s="83">
        <f>'[14]과거인구 (2)'!T11</f>
        <v>21508</v>
      </c>
      <c r="F318" s="84">
        <f t="shared" si="36"/>
        <v>-177</v>
      </c>
      <c r="G318" s="85">
        <f t="shared" si="37"/>
        <v>-0.81599999999999995</v>
      </c>
      <c r="H318" s="77"/>
      <c r="I318" s="78"/>
      <c r="J318" s="78"/>
      <c r="K318" s="78"/>
      <c r="L318" s="79"/>
    </row>
    <row r="319" spans="1:14" s="80" customFormat="1" ht="24.6" customHeight="1">
      <c r="A319" s="81">
        <f>'[14]1.과거인구'!K$2</f>
        <v>2006</v>
      </c>
      <c r="B319" s="82">
        <f>E319</f>
        <v>21206</v>
      </c>
      <c r="C319" s="84">
        <f>(B319-B318)</f>
        <v>-302</v>
      </c>
      <c r="D319" s="85">
        <f>ROUND(C319/B318*100,3)</f>
        <v>-1.4039999999999999</v>
      </c>
      <c r="E319" s="83">
        <f>'[14]과거인구 (2)'!T12</f>
        <v>21206</v>
      </c>
      <c r="F319" s="84">
        <f t="shared" si="36"/>
        <v>-302</v>
      </c>
      <c r="G319" s="85">
        <f t="shared" si="37"/>
        <v>-1.4039999999999999</v>
      </c>
      <c r="H319" s="77"/>
      <c r="I319" s="78"/>
      <c r="J319" s="78"/>
      <c r="K319" s="78"/>
      <c r="L319" s="79"/>
    </row>
    <row r="320" spans="1:14" s="80" customFormat="1" ht="24.6" customHeight="1">
      <c r="A320" s="81">
        <f>'[14]1.과거인구'!$L$2</f>
        <v>2007</v>
      </c>
      <c r="B320" s="82">
        <f>E320</f>
        <v>21438</v>
      </c>
      <c r="C320" s="84">
        <f>(B320-B319)</f>
        <v>232</v>
      </c>
      <c r="D320" s="85">
        <f>ROUND(C320/B319*100,3)</f>
        <v>1.0940000000000001</v>
      </c>
      <c r="E320" s="83">
        <f>'[14]과거인구 (2)'!T13</f>
        <v>21438</v>
      </c>
      <c r="F320" s="84">
        <f t="shared" si="36"/>
        <v>232</v>
      </c>
      <c r="G320" s="85">
        <f t="shared" si="37"/>
        <v>1.0940000000000001</v>
      </c>
      <c r="H320" s="77"/>
      <c r="I320" s="78"/>
      <c r="J320" s="78"/>
      <c r="K320" s="78"/>
      <c r="L320" s="79"/>
    </row>
    <row r="321" spans="1:14" s="80" customFormat="1" ht="24.6" customHeight="1">
      <c r="A321" s="86" t="s">
        <v>277</v>
      </c>
      <c r="B321" s="87"/>
      <c r="C321" s="88">
        <f>SUM(C316:C320)</f>
        <v>573</v>
      </c>
      <c r="D321" s="89">
        <f>ROUND(((B320/B316)^(1/4)-1)*100,2)</f>
        <v>0.68</v>
      </c>
      <c r="E321" s="87"/>
      <c r="F321" s="88">
        <f>SUM(F311:F320)</f>
        <v>907</v>
      </c>
      <c r="G321" s="89">
        <f>ROUND(((E320/E311)^(1/9)-1)*100,2)</f>
        <v>0.48</v>
      </c>
      <c r="H321" s="832"/>
      <c r="I321" s="832"/>
      <c r="J321" s="832"/>
      <c r="K321" s="832"/>
      <c r="L321" s="833"/>
    </row>
    <row r="322" spans="1:14" s="80" customFormat="1" ht="24.6" customHeight="1">
      <c r="A322" s="834" t="s">
        <v>278</v>
      </c>
      <c r="B322" s="835"/>
      <c r="C322" s="836"/>
      <c r="D322" s="840" t="s">
        <v>279</v>
      </c>
      <c r="E322" s="840"/>
      <c r="F322" s="840"/>
      <c r="G322" s="840"/>
      <c r="H322" s="840"/>
      <c r="I322" s="840"/>
      <c r="J322" s="840"/>
      <c r="K322" s="840"/>
      <c r="L322" s="841"/>
    </row>
    <row r="323" spans="1:14" s="80" customFormat="1" ht="24.6" customHeight="1">
      <c r="A323" s="837"/>
      <c r="B323" s="838"/>
      <c r="C323" s="839"/>
      <c r="D323" s="842"/>
      <c r="E323" s="842"/>
      <c r="F323" s="842"/>
      <c r="G323" s="842"/>
      <c r="H323" s="842"/>
      <c r="I323" s="842"/>
      <c r="J323" s="842"/>
      <c r="K323" s="842"/>
      <c r="L323" s="843"/>
      <c r="N323" s="90"/>
    </row>
    <row r="324" spans="1:14" s="80" customFormat="1" ht="24.6" customHeight="1">
      <c r="G324" s="93"/>
      <c r="N324" s="90"/>
    </row>
    <row r="325" spans="1:14" s="69" customFormat="1" ht="24.6" customHeight="1">
      <c r="A325" s="844" t="s">
        <v>270</v>
      </c>
      <c r="B325" s="847" t="str">
        <f>'[14]과거인구 (2)'!U3</f>
        <v>봉명동</v>
      </c>
      <c r="C325" s="848"/>
      <c r="D325" s="848"/>
      <c r="E325" s="848"/>
      <c r="F325" s="848"/>
      <c r="G325" s="848"/>
      <c r="H325" s="848"/>
      <c r="I325" s="848"/>
      <c r="J325" s="848"/>
      <c r="K325" s="848"/>
      <c r="L325" s="849"/>
    </row>
    <row r="326" spans="1:14" s="69" customFormat="1" ht="24.6" customHeight="1">
      <c r="A326" s="845"/>
      <c r="B326" s="850" t="s">
        <v>271</v>
      </c>
      <c r="C326" s="851"/>
      <c r="D326" s="852"/>
      <c r="E326" s="850" t="s">
        <v>272</v>
      </c>
      <c r="F326" s="851"/>
      <c r="G326" s="852"/>
      <c r="H326" s="853" t="s">
        <v>273</v>
      </c>
      <c r="I326" s="854"/>
      <c r="J326" s="854"/>
      <c r="K326" s="854"/>
      <c r="L326" s="855"/>
    </row>
    <row r="327" spans="1:14" s="69" customFormat="1" ht="24.6" customHeight="1">
      <c r="A327" s="846"/>
      <c r="B327" s="70" t="s">
        <v>274</v>
      </c>
      <c r="C327" s="71" t="s">
        <v>275</v>
      </c>
      <c r="D327" s="71" t="s">
        <v>276</v>
      </c>
      <c r="E327" s="70" t="s">
        <v>274</v>
      </c>
      <c r="F327" s="71" t="s">
        <v>275</v>
      </c>
      <c r="G327" s="71" t="s">
        <v>276</v>
      </c>
      <c r="H327" s="856"/>
      <c r="I327" s="857"/>
      <c r="J327" s="857"/>
      <c r="K327" s="857"/>
      <c r="L327" s="858"/>
    </row>
    <row r="328" spans="1:14" s="80" customFormat="1" ht="24.6" customHeight="1">
      <c r="A328" s="72">
        <f>'[14]1.과거인구'!$C$2</f>
        <v>1998</v>
      </c>
      <c r="B328" s="73"/>
      <c r="C328" s="73"/>
      <c r="D328" s="73"/>
      <c r="E328" s="74">
        <f>'[14]과거인구 (2)'!U4</f>
        <v>18925</v>
      </c>
      <c r="F328" s="75">
        <v>0</v>
      </c>
      <c r="G328" s="76">
        <v>0</v>
      </c>
      <c r="H328" s="77"/>
      <c r="I328" s="78"/>
      <c r="J328" s="78"/>
      <c r="K328" s="78"/>
      <c r="L328" s="79"/>
    </row>
    <row r="329" spans="1:14" s="80" customFormat="1" ht="24.6" customHeight="1">
      <c r="A329" s="81">
        <f>'[14]1.과거인구'!$D$2</f>
        <v>1999</v>
      </c>
      <c r="B329" s="82"/>
      <c r="C329" s="82"/>
      <c r="D329" s="82"/>
      <c r="E329" s="83">
        <f>'[14]과거인구 (2)'!U5</f>
        <v>18529</v>
      </c>
      <c r="F329" s="84">
        <f t="shared" ref="F329:F337" si="38">(E329-E328)</f>
        <v>-396</v>
      </c>
      <c r="G329" s="85">
        <f t="shared" ref="G329:G337" si="39">ROUND(F329/E328*100,3)</f>
        <v>-2.0920000000000001</v>
      </c>
      <c r="H329" s="77"/>
      <c r="I329" s="78"/>
      <c r="J329" s="78"/>
      <c r="K329" s="78"/>
      <c r="L329" s="79"/>
    </row>
    <row r="330" spans="1:14" s="80" customFormat="1" ht="24.6" customHeight="1">
      <c r="A330" s="81">
        <f>'[14]1.과거인구'!$E$2</f>
        <v>2000</v>
      </c>
      <c r="B330" s="82"/>
      <c r="C330" s="82"/>
      <c r="D330" s="82"/>
      <c r="E330" s="83">
        <f>'[14]과거인구 (2)'!U6</f>
        <v>18259</v>
      </c>
      <c r="F330" s="84">
        <f t="shared" si="38"/>
        <v>-270</v>
      </c>
      <c r="G330" s="85">
        <f t="shared" si="39"/>
        <v>-1.4570000000000001</v>
      </c>
      <c r="H330" s="77"/>
      <c r="I330" s="78"/>
      <c r="J330" s="78"/>
      <c r="K330" s="78"/>
      <c r="L330" s="79"/>
    </row>
    <row r="331" spans="1:14" s="80" customFormat="1" ht="24.6" customHeight="1">
      <c r="A331" s="81">
        <f>'[14]1.과거인구'!$F$2</f>
        <v>2001</v>
      </c>
      <c r="B331" s="82"/>
      <c r="C331" s="82"/>
      <c r="D331" s="82"/>
      <c r="E331" s="83">
        <f>'[14]과거인구 (2)'!U7</f>
        <v>21409</v>
      </c>
      <c r="F331" s="84">
        <f t="shared" si="38"/>
        <v>3150</v>
      </c>
      <c r="G331" s="85">
        <f t="shared" si="39"/>
        <v>17.251999999999999</v>
      </c>
      <c r="H331" s="77"/>
      <c r="I331" s="78"/>
      <c r="J331" s="78"/>
      <c r="K331" s="78"/>
      <c r="L331" s="79"/>
    </row>
    <row r="332" spans="1:14" s="80" customFormat="1" ht="24.6" customHeight="1">
      <c r="A332" s="81">
        <f>'[14]1.과거인구'!$G$2</f>
        <v>2002</v>
      </c>
      <c r="B332" s="82"/>
      <c r="C332" s="82"/>
      <c r="D332" s="82"/>
      <c r="E332" s="83">
        <f>'[14]과거인구 (2)'!U8</f>
        <v>22291</v>
      </c>
      <c r="F332" s="84">
        <f t="shared" si="38"/>
        <v>882</v>
      </c>
      <c r="G332" s="85">
        <f t="shared" si="39"/>
        <v>4.12</v>
      </c>
      <c r="H332" s="77"/>
      <c r="I332" s="78"/>
      <c r="J332" s="78"/>
      <c r="K332" s="78"/>
      <c r="L332" s="79"/>
    </row>
    <row r="333" spans="1:14" s="80" customFormat="1" ht="24.6" customHeight="1">
      <c r="A333" s="81">
        <f>'[14]1.과거인구'!$H$2</f>
        <v>2003</v>
      </c>
      <c r="B333" s="82">
        <f>E333</f>
        <v>23506</v>
      </c>
      <c r="C333" s="84">
        <v>0</v>
      </c>
      <c r="D333" s="85">
        <v>0</v>
      </c>
      <c r="E333" s="83">
        <f>'[14]과거인구 (2)'!U9</f>
        <v>23506</v>
      </c>
      <c r="F333" s="84">
        <f t="shared" si="38"/>
        <v>1215</v>
      </c>
      <c r="G333" s="85">
        <f t="shared" si="39"/>
        <v>5.4509999999999996</v>
      </c>
      <c r="H333" s="77"/>
      <c r="I333" s="78"/>
      <c r="J333" s="78"/>
      <c r="K333" s="78"/>
      <c r="L333" s="79"/>
    </row>
    <row r="334" spans="1:14" s="80" customFormat="1" ht="24.6" customHeight="1">
      <c r="A334" s="81">
        <f>'[14]1.과거인구'!$I$2</f>
        <v>2004</v>
      </c>
      <c r="B334" s="82">
        <f>E334</f>
        <v>22956</v>
      </c>
      <c r="C334" s="84">
        <f>(B334-B333)</f>
        <v>-550</v>
      </c>
      <c r="D334" s="85">
        <f>ROUND(C334/B333*100,3)</f>
        <v>-2.34</v>
      </c>
      <c r="E334" s="83">
        <f>'[14]과거인구 (2)'!U10</f>
        <v>22956</v>
      </c>
      <c r="F334" s="84">
        <f t="shared" si="38"/>
        <v>-550</v>
      </c>
      <c r="G334" s="85">
        <f t="shared" si="39"/>
        <v>-2.34</v>
      </c>
      <c r="H334" s="77"/>
      <c r="I334" s="78"/>
      <c r="J334" s="78"/>
      <c r="K334" s="78"/>
      <c r="L334" s="79"/>
    </row>
    <row r="335" spans="1:14" s="80" customFormat="1" ht="24.6" customHeight="1">
      <c r="A335" s="81">
        <f>'[14]1.과거인구'!$J$2</f>
        <v>2005</v>
      </c>
      <c r="B335" s="82">
        <f>E335</f>
        <v>23364</v>
      </c>
      <c r="C335" s="84">
        <f>(B335-B334)</f>
        <v>408</v>
      </c>
      <c r="D335" s="85">
        <f>ROUND(C335/B334*100,3)</f>
        <v>1.7769999999999999</v>
      </c>
      <c r="E335" s="83">
        <f>'[14]과거인구 (2)'!U11</f>
        <v>23364</v>
      </c>
      <c r="F335" s="84">
        <f t="shared" si="38"/>
        <v>408</v>
      </c>
      <c r="G335" s="85">
        <f t="shared" si="39"/>
        <v>1.7769999999999999</v>
      </c>
      <c r="H335" s="77"/>
      <c r="I335" s="78"/>
      <c r="J335" s="78"/>
      <c r="K335" s="78"/>
      <c r="L335" s="79"/>
    </row>
    <row r="336" spans="1:14" s="80" customFormat="1" ht="24.6" customHeight="1">
      <c r="A336" s="81">
        <f>'[14]1.과거인구'!K$2</f>
        <v>2006</v>
      </c>
      <c r="B336" s="82">
        <f>E336</f>
        <v>22803</v>
      </c>
      <c r="C336" s="84">
        <f>(B336-B335)</f>
        <v>-561</v>
      </c>
      <c r="D336" s="85">
        <f>ROUND(C336/B335*100,3)</f>
        <v>-2.4009999999999998</v>
      </c>
      <c r="E336" s="83">
        <f>'[14]과거인구 (2)'!U12</f>
        <v>22803</v>
      </c>
      <c r="F336" s="84">
        <f t="shared" si="38"/>
        <v>-561</v>
      </c>
      <c r="G336" s="85">
        <f t="shared" si="39"/>
        <v>-2.4009999999999998</v>
      </c>
      <c r="H336" s="77"/>
      <c r="I336" s="78"/>
      <c r="J336" s="78"/>
      <c r="K336" s="78"/>
      <c r="L336" s="79"/>
    </row>
    <row r="337" spans="1:14" s="80" customFormat="1" ht="24.6" customHeight="1">
      <c r="A337" s="81">
        <f>'[14]1.과거인구'!$L$2</f>
        <v>2007</v>
      </c>
      <c r="B337" s="82">
        <f>E337</f>
        <v>22589</v>
      </c>
      <c r="C337" s="84">
        <f>(B337-B336)</f>
        <v>-214</v>
      </c>
      <c r="D337" s="85">
        <f>ROUND(C337/B336*100,3)</f>
        <v>-0.93799999999999994</v>
      </c>
      <c r="E337" s="83">
        <f>'[14]과거인구 (2)'!U13</f>
        <v>22589</v>
      </c>
      <c r="F337" s="84">
        <f t="shared" si="38"/>
        <v>-214</v>
      </c>
      <c r="G337" s="85">
        <f t="shared" si="39"/>
        <v>-0.93799999999999994</v>
      </c>
      <c r="H337" s="77"/>
      <c r="I337" s="78"/>
      <c r="J337" s="78"/>
      <c r="K337" s="78"/>
      <c r="L337" s="79"/>
    </row>
    <row r="338" spans="1:14" s="80" customFormat="1" ht="24.6" customHeight="1">
      <c r="A338" s="86" t="s">
        <v>277</v>
      </c>
      <c r="B338" s="87"/>
      <c r="C338" s="88">
        <f>SUM(C333:C337)</f>
        <v>-917</v>
      </c>
      <c r="D338" s="89">
        <f>ROUND(((B337/B333)^(1/4)-1)*100,2)</f>
        <v>-0.99</v>
      </c>
      <c r="E338" s="87"/>
      <c r="F338" s="88">
        <f>SUM(F328:F337)</f>
        <v>3664</v>
      </c>
      <c r="G338" s="89">
        <f>ROUND(((E337/E328)^(1/9)-1)*100,2)</f>
        <v>1.99</v>
      </c>
      <c r="H338" s="832"/>
      <c r="I338" s="832"/>
      <c r="J338" s="832"/>
      <c r="K338" s="832"/>
      <c r="L338" s="833"/>
    </row>
    <row r="339" spans="1:14" s="80" customFormat="1" ht="24.6" customHeight="1">
      <c r="A339" s="834" t="s">
        <v>278</v>
      </c>
      <c r="B339" s="835"/>
      <c r="C339" s="836"/>
      <c r="D339" s="840" t="s">
        <v>280</v>
      </c>
      <c r="E339" s="840"/>
      <c r="F339" s="840"/>
      <c r="G339" s="840"/>
      <c r="H339" s="840"/>
      <c r="I339" s="840"/>
      <c r="J339" s="840"/>
      <c r="K339" s="840"/>
      <c r="L339" s="841"/>
    </row>
    <row r="340" spans="1:14" s="80" customFormat="1" ht="24.6" customHeight="1">
      <c r="A340" s="837"/>
      <c r="B340" s="838"/>
      <c r="C340" s="839"/>
      <c r="D340" s="842"/>
      <c r="E340" s="842"/>
      <c r="F340" s="842"/>
      <c r="G340" s="842"/>
      <c r="H340" s="842"/>
      <c r="I340" s="842"/>
      <c r="J340" s="842"/>
      <c r="K340" s="842"/>
      <c r="L340" s="843"/>
      <c r="N340" s="90"/>
    </row>
    <row r="341" spans="1:14" s="80" customFormat="1" ht="24.6" customHeight="1">
      <c r="G341" s="93"/>
      <c r="N341" s="90"/>
    </row>
    <row r="342" spans="1:14" s="69" customFormat="1" ht="24.6" customHeight="1">
      <c r="A342" s="844" t="s">
        <v>256</v>
      </c>
      <c r="B342" s="847" t="str">
        <f>'[14]과거인구 (2)'!V3</f>
        <v>쌍용1동</v>
      </c>
      <c r="C342" s="848"/>
      <c r="D342" s="848"/>
      <c r="E342" s="848"/>
      <c r="F342" s="848"/>
      <c r="G342" s="848"/>
      <c r="H342" s="848"/>
      <c r="I342" s="848"/>
      <c r="J342" s="848"/>
      <c r="K342" s="848"/>
      <c r="L342" s="849"/>
    </row>
    <row r="343" spans="1:14" s="69" customFormat="1" ht="24.6" customHeight="1">
      <c r="A343" s="845"/>
      <c r="B343" s="850" t="s">
        <v>247</v>
      </c>
      <c r="C343" s="851"/>
      <c r="D343" s="852"/>
      <c r="E343" s="850" t="s">
        <v>248</v>
      </c>
      <c r="F343" s="851"/>
      <c r="G343" s="852"/>
      <c r="H343" s="853" t="s">
        <v>249</v>
      </c>
      <c r="I343" s="854"/>
      <c r="J343" s="854"/>
      <c r="K343" s="854"/>
      <c r="L343" s="855"/>
    </row>
    <row r="344" spans="1:14" s="69" customFormat="1" ht="24.6" customHeight="1">
      <c r="A344" s="846"/>
      <c r="B344" s="70" t="s">
        <v>250</v>
      </c>
      <c r="C344" s="71" t="s">
        <v>251</v>
      </c>
      <c r="D344" s="71" t="s">
        <v>252</v>
      </c>
      <c r="E344" s="70" t="s">
        <v>250</v>
      </c>
      <c r="F344" s="71" t="s">
        <v>251</v>
      </c>
      <c r="G344" s="71" t="s">
        <v>252</v>
      </c>
      <c r="H344" s="856"/>
      <c r="I344" s="857"/>
      <c r="J344" s="857"/>
      <c r="K344" s="857"/>
      <c r="L344" s="858"/>
    </row>
    <row r="345" spans="1:14" s="80" customFormat="1" ht="24.6" customHeight="1">
      <c r="A345" s="72">
        <f>'[14]1.과거인구'!$C$2</f>
        <v>1998</v>
      </c>
      <c r="B345" s="73"/>
      <c r="C345" s="73"/>
      <c r="D345" s="73"/>
      <c r="E345" s="74">
        <f>'[14]과거인구 (2)'!V4</f>
        <v>17622</v>
      </c>
      <c r="F345" s="75">
        <v>0</v>
      </c>
      <c r="G345" s="76">
        <v>0</v>
      </c>
      <c r="H345" s="77"/>
      <c r="I345" s="78"/>
      <c r="J345" s="78"/>
      <c r="K345" s="78"/>
      <c r="L345" s="79"/>
    </row>
    <row r="346" spans="1:14" s="80" customFormat="1" ht="24.6" customHeight="1">
      <c r="A346" s="81">
        <f>'[14]1.과거인구'!$D$2</f>
        <v>1999</v>
      </c>
      <c r="B346" s="82"/>
      <c r="C346" s="82"/>
      <c r="D346" s="82"/>
      <c r="E346" s="83">
        <f>'[14]과거인구 (2)'!V5</f>
        <v>17706</v>
      </c>
      <c r="F346" s="84">
        <f t="shared" ref="F346:F354" si="40">(E346-E345)</f>
        <v>84</v>
      </c>
      <c r="G346" s="85">
        <f t="shared" ref="G346:G354" si="41">ROUND(F346/E345*100,3)</f>
        <v>0.47699999999999998</v>
      </c>
      <c r="H346" s="77"/>
      <c r="I346" s="78"/>
      <c r="J346" s="78"/>
      <c r="K346" s="78"/>
      <c r="L346" s="79"/>
    </row>
    <row r="347" spans="1:14" s="80" customFormat="1" ht="24.6" customHeight="1">
      <c r="A347" s="81">
        <f>'[14]1.과거인구'!$E$2</f>
        <v>2000</v>
      </c>
      <c r="B347" s="82"/>
      <c r="C347" s="82"/>
      <c r="D347" s="82"/>
      <c r="E347" s="83">
        <f>'[14]과거인구 (2)'!V6</f>
        <v>17347</v>
      </c>
      <c r="F347" s="84">
        <f t="shared" si="40"/>
        <v>-359</v>
      </c>
      <c r="G347" s="85">
        <f t="shared" si="41"/>
        <v>-2.028</v>
      </c>
      <c r="H347" s="77"/>
      <c r="I347" s="78"/>
      <c r="J347" s="78"/>
      <c r="K347" s="78"/>
      <c r="L347" s="79"/>
    </row>
    <row r="348" spans="1:14" s="80" customFormat="1" ht="24.6" customHeight="1">
      <c r="A348" s="81">
        <f>'[14]1.과거인구'!$F$2</f>
        <v>2001</v>
      </c>
      <c r="B348" s="82"/>
      <c r="C348" s="82"/>
      <c r="D348" s="82"/>
      <c r="E348" s="83">
        <f>'[14]과거인구 (2)'!V7</f>
        <v>17266</v>
      </c>
      <c r="F348" s="84">
        <f t="shared" si="40"/>
        <v>-81</v>
      </c>
      <c r="G348" s="85">
        <f t="shared" si="41"/>
        <v>-0.46700000000000003</v>
      </c>
      <c r="H348" s="77"/>
      <c r="I348" s="78"/>
      <c r="J348" s="78"/>
      <c r="K348" s="78"/>
      <c r="L348" s="79"/>
    </row>
    <row r="349" spans="1:14" s="80" customFormat="1" ht="24.6" customHeight="1">
      <c r="A349" s="81">
        <f>'[14]1.과거인구'!$G$2</f>
        <v>2002</v>
      </c>
      <c r="B349" s="82"/>
      <c r="C349" s="82"/>
      <c r="D349" s="82"/>
      <c r="E349" s="83">
        <f>'[14]과거인구 (2)'!V8</f>
        <v>17371</v>
      </c>
      <c r="F349" s="84">
        <f t="shared" si="40"/>
        <v>105</v>
      </c>
      <c r="G349" s="85">
        <f t="shared" si="41"/>
        <v>0.60799999999999998</v>
      </c>
      <c r="H349" s="77"/>
      <c r="I349" s="78"/>
      <c r="J349" s="78"/>
      <c r="K349" s="78"/>
      <c r="L349" s="79"/>
    </row>
    <row r="350" spans="1:14" s="80" customFormat="1" ht="24.6" customHeight="1">
      <c r="A350" s="81">
        <f>'[14]1.과거인구'!$H$2</f>
        <v>2003</v>
      </c>
      <c r="B350" s="82">
        <f>E350</f>
        <v>17267</v>
      </c>
      <c r="C350" s="84">
        <v>0</v>
      </c>
      <c r="D350" s="85">
        <v>0</v>
      </c>
      <c r="E350" s="83">
        <f>'[14]과거인구 (2)'!V9</f>
        <v>17267</v>
      </c>
      <c r="F350" s="84">
        <f t="shared" si="40"/>
        <v>-104</v>
      </c>
      <c r="G350" s="85">
        <f t="shared" si="41"/>
        <v>-0.59899999999999998</v>
      </c>
      <c r="H350" s="77"/>
      <c r="I350" s="78"/>
      <c r="J350" s="78"/>
      <c r="K350" s="78"/>
      <c r="L350" s="79"/>
    </row>
    <row r="351" spans="1:14" s="80" customFormat="1" ht="24.6" customHeight="1">
      <c r="A351" s="81">
        <f>'[14]1.과거인구'!$I$2</f>
        <v>2004</v>
      </c>
      <c r="B351" s="82">
        <f>E351</f>
        <v>17387</v>
      </c>
      <c r="C351" s="84">
        <f>(B351-B350)</f>
        <v>120</v>
      </c>
      <c r="D351" s="85">
        <f>ROUND(C351/B350*100,3)</f>
        <v>0.69499999999999995</v>
      </c>
      <c r="E351" s="83">
        <f>'[14]과거인구 (2)'!V10</f>
        <v>17387</v>
      </c>
      <c r="F351" s="84">
        <f t="shared" si="40"/>
        <v>120</v>
      </c>
      <c r="G351" s="85">
        <f t="shared" si="41"/>
        <v>0.69499999999999995</v>
      </c>
      <c r="H351" s="77"/>
      <c r="I351" s="78"/>
      <c r="J351" s="78"/>
      <c r="K351" s="78"/>
      <c r="L351" s="79"/>
    </row>
    <row r="352" spans="1:14" s="80" customFormat="1" ht="24.6" customHeight="1">
      <c r="A352" s="81">
        <f>'[14]1.과거인구'!$J$2</f>
        <v>2005</v>
      </c>
      <c r="B352" s="82">
        <f>E352</f>
        <v>16905</v>
      </c>
      <c r="C352" s="84">
        <f>(B352-B351)</f>
        <v>-482</v>
      </c>
      <c r="D352" s="85">
        <f>ROUND(C352/B351*100,3)</f>
        <v>-2.7719999999999998</v>
      </c>
      <c r="E352" s="83">
        <f>'[14]과거인구 (2)'!V11</f>
        <v>16905</v>
      </c>
      <c r="F352" s="84">
        <f t="shared" si="40"/>
        <v>-482</v>
      </c>
      <c r="G352" s="85">
        <f t="shared" si="41"/>
        <v>-2.7719999999999998</v>
      </c>
      <c r="H352" s="77"/>
      <c r="I352" s="78"/>
      <c r="J352" s="78"/>
      <c r="K352" s="78"/>
      <c r="L352" s="79"/>
    </row>
    <row r="353" spans="1:14" s="80" customFormat="1" ht="24.6" customHeight="1">
      <c r="A353" s="81">
        <f>'[14]1.과거인구'!K$2</f>
        <v>2006</v>
      </c>
      <c r="B353" s="82">
        <f>E353</f>
        <v>16451</v>
      </c>
      <c r="C353" s="84">
        <f>(B353-B352)</f>
        <v>-454</v>
      </c>
      <c r="D353" s="85">
        <f>ROUND(C353/B352*100,3)</f>
        <v>-2.6859999999999999</v>
      </c>
      <c r="E353" s="83">
        <f>'[14]과거인구 (2)'!V12</f>
        <v>16451</v>
      </c>
      <c r="F353" s="84">
        <f t="shared" si="40"/>
        <v>-454</v>
      </c>
      <c r="G353" s="85">
        <f t="shared" si="41"/>
        <v>-2.6859999999999999</v>
      </c>
      <c r="H353" s="77"/>
      <c r="I353" s="78"/>
      <c r="J353" s="78"/>
      <c r="K353" s="78"/>
      <c r="L353" s="79"/>
    </row>
    <row r="354" spans="1:14" s="80" customFormat="1" ht="24.6" customHeight="1">
      <c r="A354" s="81">
        <f>'[14]1.과거인구'!$L$2</f>
        <v>2007</v>
      </c>
      <c r="B354" s="82">
        <f>E354</f>
        <v>16213</v>
      </c>
      <c r="C354" s="84">
        <f>(B354-B353)</f>
        <v>-238</v>
      </c>
      <c r="D354" s="85">
        <f>ROUND(C354/B353*100,3)</f>
        <v>-1.4470000000000001</v>
      </c>
      <c r="E354" s="83">
        <f>'[14]과거인구 (2)'!V13</f>
        <v>16213</v>
      </c>
      <c r="F354" s="84">
        <f t="shared" si="40"/>
        <v>-238</v>
      </c>
      <c r="G354" s="85">
        <f t="shared" si="41"/>
        <v>-1.4470000000000001</v>
      </c>
      <c r="H354" s="77"/>
      <c r="I354" s="78"/>
      <c r="J354" s="78"/>
      <c r="K354" s="78"/>
      <c r="L354" s="79"/>
    </row>
    <row r="355" spans="1:14" s="80" customFormat="1" ht="24.6" customHeight="1">
      <c r="A355" s="86" t="s">
        <v>253</v>
      </c>
      <c r="B355" s="87"/>
      <c r="C355" s="88">
        <f>SUM(C350:C354)</f>
        <v>-1054</v>
      </c>
      <c r="D355" s="89">
        <f>ROUND(((B354/B350)^(1/4)-1)*100,2)</f>
        <v>-1.56</v>
      </c>
      <c r="E355" s="87"/>
      <c r="F355" s="88">
        <f>SUM(F345:F354)</f>
        <v>-1409</v>
      </c>
      <c r="G355" s="89">
        <f>ROUND(((E354/E345)^(1/9)-1)*100,2)</f>
        <v>-0.92</v>
      </c>
      <c r="H355" s="832"/>
      <c r="I355" s="832"/>
      <c r="J355" s="832"/>
      <c r="K355" s="832"/>
      <c r="L355" s="833"/>
    </row>
    <row r="356" spans="1:14" s="80" customFormat="1" ht="24.6" customHeight="1">
      <c r="A356" s="834" t="s">
        <v>254</v>
      </c>
      <c r="B356" s="835"/>
      <c r="C356" s="836"/>
      <c r="D356" s="840" t="s">
        <v>281</v>
      </c>
      <c r="E356" s="840"/>
      <c r="F356" s="840"/>
      <c r="G356" s="840"/>
      <c r="H356" s="840"/>
      <c r="I356" s="840"/>
      <c r="J356" s="840"/>
      <c r="K356" s="840"/>
      <c r="L356" s="841"/>
    </row>
    <row r="357" spans="1:14" s="80" customFormat="1" ht="24.6" customHeight="1">
      <c r="A357" s="837"/>
      <c r="B357" s="838"/>
      <c r="C357" s="839"/>
      <c r="D357" s="842"/>
      <c r="E357" s="842"/>
      <c r="F357" s="842"/>
      <c r="G357" s="842"/>
      <c r="H357" s="842"/>
      <c r="I357" s="842"/>
      <c r="J357" s="842"/>
      <c r="K357" s="842"/>
      <c r="L357" s="843"/>
      <c r="N357" s="90"/>
    </row>
    <row r="358" spans="1:14" s="80" customFormat="1" ht="24.6" customHeight="1">
      <c r="G358" s="93"/>
      <c r="N358" s="90"/>
    </row>
    <row r="359" spans="1:14" s="69" customFormat="1" ht="24.6" customHeight="1">
      <c r="A359" s="844" t="s">
        <v>256</v>
      </c>
      <c r="B359" s="847" t="s">
        <v>282</v>
      </c>
      <c r="C359" s="848"/>
      <c r="D359" s="848"/>
      <c r="E359" s="848"/>
      <c r="F359" s="848"/>
      <c r="G359" s="848"/>
      <c r="H359" s="848"/>
      <c r="I359" s="848"/>
      <c r="J359" s="848"/>
      <c r="K359" s="848"/>
      <c r="L359" s="849"/>
    </row>
    <row r="360" spans="1:14" s="69" customFormat="1" ht="24.6" customHeight="1">
      <c r="A360" s="845"/>
      <c r="B360" s="850" t="s">
        <v>247</v>
      </c>
      <c r="C360" s="851"/>
      <c r="D360" s="852"/>
      <c r="E360" s="850" t="s">
        <v>248</v>
      </c>
      <c r="F360" s="851"/>
      <c r="G360" s="852"/>
      <c r="H360" s="853" t="s">
        <v>249</v>
      </c>
      <c r="I360" s="854"/>
      <c r="J360" s="854"/>
      <c r="K360" s="854"/>
      <c r="L360" s="855"/>
    </row>
    <row r="361" spans="1:14" s="69" customFormat="1" ht="24.6" customHeight="1">
      <c r="A361" s="846"/>
      <c r="B361" s="70" t="s">
        <v>250</v>
      </c>
      <c r="C361" s="71" t="s">
        <v>251</v>
      </c>
      <c r="D361" s="71" t="s">
        <v>252</v>
      </c>
      <c r="E361" s="70" t="s">
        <v>250</v>
      </c>
      <c r="F361" s="71" t="s">
        <v>251</v>
      </c>
      <c r="G361" s="71" t="s">
        <v>252</v>
      </c>
      <c r="H361" s="856"/>
      <c r="I361" s="857"/>
      <c r="J361" s="857"/>
      <c r="K361" s="857"/>
      <c r="L361" s="858"/>
    </row>
    <row r="362" spans="1:14" s="80" customFormat="1" ht="24.6" customHeight="1">
      <c r="A362" s="72">
        <f>'[14]1.과거인구'!$C$2</f>
        <v>1998</v>
      </c>
      <c r="B362" s="73"/>
      <c r="C362" s="73"/>
      <c r="D362" s="73"/>
      <c r="E362" s="74">
        <f>'[14]과거인구 (2)'!W4</f>
        <v>39372</v>
      </c>
      <c r="F362" s="75">
        <v>0</v>
      </c>
      <c r="G362" s="76">
        <v>0</v>
      </c>
      <c r="H362" s="77"/>
      <c r="I362" s="78"/>
      <c r="J362" s="78"/>
      <c r="K362" s="78"/>
      <c r="L362" s="79"/>
    </row>
    <row r="363" spans="1:14" s="80" customFormat="1" ht="24.6" customHeight="1">
      <c r="A363" s="81">
        <f>'[14]1.과거인구'!$D$2</f>
        <v>1999</v>
      </c>
      <c r="B363" s="82"/>
      <c r="C363" s="82"/>
      <c r="D363" s="82"/>
      <c r="E363" s="83">
        <f>'[14]과거인구 (2)'!W5</f>
        <v>51516</v>
      </c>
      <c r="F363" s="84">
        <f t="shared" ref="F363:F371" si="42">(E363-E362)</f>
        <v>12144</v>
      </c>
      <c r="G363" s="85">
        <f t="shared" ref="G363:G371" si="43">ROUND(F363/E362*100,3)</f>
        <v>30.844000000000001</v>
      </c>
      <c r="H363" s="77"/>
      <c r="I363" s="78"/>
      <c r="J363" s="78"/>
      <c r="K363" s="78"/>
      <c r="L363" s="79"/>
    </row>
    <row r="364" spans="1:14" s="80" customFormat="1" ht="24.6" customHeight="1">
      <c r="A364" s="81">
        <f>'[14]1.과거인구'!$E$2</f>
        <v>2000</v>
      </c>
      <c r="B364" s="82"/>
      <c r="C364" s="82"/>
      <c r="D364" s="82"/>
      <c r="E364" s="83">
        <f>'[14]과거인구 (2)'!W6</f>
        <v>58874</v>
      </c>
      <c r="F364" s="84">
        <f t="shared" si="42"/>
        <v>7358</v>
      </c>
      <c r="G364" s="85">
        <f t="shared" si="43"/>
        <v>14.282999999999999</v>
      </c>
      <c r="H364" s="77"/>
      <c r="I364" s="78"/>
      <c r="J364" s="78"/>
      <c r="K364" s="78"/>
      <c r="L364" s="79"/>
    </row>
    <row r="365" spans="1:14" s="80" customFormat="1" ht="24.6" customHeight="1">
      <c r="A365" s="81">
        <f>'[14]1.과거인구'!$F$2</f>
        <v>2001</v>
      </c>
      <c r="B365" s="82"/>
      <c r="C365" s="82"/>
      <c r="D365" s="82"/>
      <c r="E365" s="83">
        <f>'[14]과거인구 (2)'!W7</f>
        <v>61294</v>
      </c>
      <c r="F365" s="84">
        <f t="shared" si="42"/>
        <v>2420</v>
      </c>
      <c r="G365" s="85">
        <f t="shared" si="43"/>
        <v>4.1100000000000003</v>
      </c>
      <c r="H365" s="77"/>
      <c r="I365" s="78"/>
      <c r="J365" s="78"/>
      <c r="K365" s="78"/>
      <c r="L365" s="79"/>
    </row>
    <row r="366" spans="1:14" s="80" customFormat="1" ht="24.6" customHeight="1">
      <c r="A366" s="81">
        <f>'[14]1.과거인구'!$G$2</f>
        <v>2002</v>
      </c>
      <c r="B366" s="82"/>
      <c r="C366" s="82"/>
      <c r="D366" s="82"/>
      <c r="E366" s="83">
        <f>'[14]과거인구 (2)'!W8</f>
        <v>65801</v>
      </c>
      <c r="F366" s="84">
        <f t="shared" si="42"/>
        <v>4507</v>
      </c>
      <c r="G366" s="85">
        <f t="shared" si="43"/>
        <v>7.3529999999999998</v>
      </c>
      <c r="H366" s="77"/>
      <c r="I366" s="78"/>
      <c r="J366" s="78"/>
      <c r="K366" s="78"/>
      <c r="L366" s="79"/>
    </row>
    <row r="367" spans="1:14" s="80" customFormat="1" ht="24.6" customHeight="1">
      <c r="A367" s="81">
        <f>'[14]1.과거인구'!$H$2</f>
        <v>2003</v>
      </c>
      <c r="B367" s="82">
        <f>E367</f>
        <v>69927</v>
      </c>
      <c r="C367" s="84">
        <v>0</v>
      </c>
      <c r="D367" s="85">
        <v>0</v>
      </c>
      <c r="E367" s="83">
        <f>'[14]과거인구 (2)'!W9</f>
        <v>69927</v>
      </c>
      <c r="F367" s="84">
        <f t="shared" si="42"/>
        <v>4126</v>
      </c>
      <c r="G367" s="85">
        <f t="shared" si="43"/>
        <v>6.27</v>
      </c>
      <c r="H367" s="77"/>
      <c r="I367" s="78"/>
      <c r="J367" s="78"/>
      <c r="K367" s="78"/>
      <c r="L367" s="79"/>
    </row>
    <row r="368" spans="1:14" s="80" customFormat="1" ht="24.6" customHeight="1">
      <c r="A368" s="81">
        <f>'[14]1.과거인구'!$I$2</f>
        <v>2004</v>
      </c>
      <c r="B368" s="82">
        <f>E368</f>
        <v>92623</v>
      </c>
      <c r="C368" s="84">
        <f>(B368-B367)</f>
        <v>22696</v>
      </c>
      <c r="D368" s="85">
        <f>ROUND(C368/B367*100,3)</f>
        <v>32.457000000000001</v>
      </c>
      <c r="E368" s="83">
        <f>'[14]과거인구 (2)'!W10</f>
        <v>92623</v>
      </c>
      <c r="F368" s="84">
        <f t="shared" si="42"/>
        <v>22696</v>
      </c>
      <c r="G368" s="85">
        <f t="shared" si="43"/>
        <v>32.457000000000001</v>
      </c>
      <c r="H368" s="77"/>
      <c r="I368" s="78"/>
      <c r="J368" s="78"/>
      <c r="K368" s="78"/>
      <c r="L368" s="79"/>
    </row>
    <row r="369" spans="1:14" s="80" customFormat="1" ht="24.6" customHeight="1">
      <c r="A369" s="81">
        <f>'[14]1.과거인구'!$J$2</f>
        <v>2005</v>
      </c>
      <c r="B369" s="82">
        <f>E369</f>
        <v>97446</v>
      </c>
      <c r="C369" s="84">
        <f>(B369-B368)</f>
        <v>4823</v>
      </c>
      <c r="D369" s="85">
        <f>ROUND(C369/B368*100,3)</f>
        <v>5.2069999999999999</v>
      </c>
      <c r="E369" s="83">
        <f>'[14]과거인구 (2)'!W11</f>
        <v>97446</v>
      </c>
      <c r="F369" s="84">
        <f t="shared" si="42"/>
        <v>4823</v>
      </c>
      <c r="G369" s="85">
        <f t="shared" si="43"/>
        <v>5.2069999999999999</v>
      </c>
      <c r="H369" s="77"/>
      <c r="I369" s="78"/>
      <c r="J369" s="78"/>
      <c r="K369" s="78"/>
      <c r="L369" s="79"/>
    </row>
    <row r="370" spans="1:14" s="80" customFormat="1" ht="24.6" customHeight="1">
      <c r="A370" s="81">
        <f>'[14]1.과거인구'!K$2</f>
        <v>2006</v>
      </c>
      <c r="B370" s="82">
        <f>E370</f>
        <v>101555</v>
      </c>
      <c r="C370" s="84">
        <f>(B370-B369)</f>
        <v>4109</v>
      </c>
      <c r="D370" s="85">
        <f>ROUND(C370/B369*100,3)</f>
        <v>4.2169999999999996</v>
      </c>
      <c r="E370" s="83">
        <f>'[14]과거인구 (2)'!W12</f>
        <v>101555</v>
      </c>
      <c r="F370" s="84">
        <f t="shared" si="42"/>
        <v>4109</v>
      </c>
      <c r="G370" s="85">
        <f t="shared" si="43"/>
        <v>4.2169999999999996</v>
      </c>
      <c r="H370" s="77"/>
      <c r="I370" s="78"/>
      <c r="J370" s="78"/>
      <c r="K370" s="78"/>
      <c r="L370" s="79"/>
    </row>
    <row r="371" spans="1:14" s="80" customFormat="1" ht="24.6" customHeight="1">
      <c r="A371" s="81">
        <f>'[14]1.과거인구'!$L$2</f>
        <v>2007</v>
      </c>
      <c r="B371" s="82">
        <f>E371</f>
        <v>106196</v>
      </c>
      <c r="C371" s="84">
        <f>(B371-B370)</f>
        <v>4641</v>
      </c>
      <c r="D371" s="85">
        <f>ROUND(C371/B370*100,3)</f>
        <v>4.57</v>
      </c>
      <c r="E371" s="83">
        <f>'[14]과거인구 (2)'!W13</f>
        <v>106196</v>
      </c>
      <c r="F371" s="84">
        <f t="shared" si="42"/>
        <v>4641</v>
      </c>
      <c r="G371" s="85">
        <f t="shared" si="43"/>
        <v>4.57</v>
      </c>
      <c r="H371" s="77"/>
      <c r="I371" s="78"/>
      <c r="J371" s="78"/>
      <c r="K371" s="78"/>
      <c r="L371" s="79"/>
    </row>
    <row r="372" spans="1:14" s="80" customFormat="1" ht="24.6" customHeight="1">
      <c r="A372" s="86" t="s">
        <v>253</v>
      </c>
      <c r="B372" s="87"/>
      <c r="C372" s="88">
        <f>SUM(C367:C371)</f>
        <v>36269</v>
      </c>
      <c r="D372" s="89">
        <f>ROUND(((B371/B367)^(1/4)-1)*100,2)</f>
        <v>11.01</v>
      </c>
      <c r="E372" s="87"/>
      <c r="F372" s="88">
        <f>SUM(F362:F371)</f>
        <v>66824</v>
      </c>
      <c r="G372" s="89">
        <f>ROUND(((E371/E362)^(1/9)-1)*100,2)</f>
        <v>11.66</v>
      </c>
      <c r="H372" s="832"/>
      <c r="I372" s="832"/>
      <c r="J372" s="832"/>
      <c r="K372" s="832"/>
      <c r="L372" s="833"/>
    </row>
    <row r="373" spans="1:14" s="80" customFormat="1" ht="24.6" customHeight="1">
      <c r="A373" s="834" t="s">
        <v>254</v>
      </c>
      <c r="B373" s="835"/>
      <c r="C373" s="836"/>
      <c r="D373" s="840" t="s">
        <v>283</v>
      </c>
      <c r="E373" s="840"/>
      <c r="F373" s="840"/>
      <c r="G373" s="840"/>
      <c r="H373" s="840"/>
      <c r="I373" s="840"/>
      <c r="J373" s="840"/>
      <c r="K373" s="840"/>
      <c r="L373" s="841"/>
    </row>
    <row r="374" spans="1:14" s="80" customFormat="1" ht="24.6" customHeight="1">
      <c r="A374" s="837"/>
      <c r="B374" s="838"/>
      <c r="C374" s="839"/>
      <c r="D374" s="842"/>
      <c r="E374" s="842"/>
      <c r="F374" s="842"/>
      <c r="G374" s="842"/>
      <c r="H374" s="842"/>
      <c r="I374" s="842"/>
      <c r="J374" s="842"/>
      <c r="K374" s="842"/>
      <c r="L374" s="843"/>
      <c r="N374" s="90"/>
    </row>
    <row r="375" spans="1:14" s="80" customFormat="1" ht="24.6" customHeight="1">
      <c r="G375" s="93"/>
      <c r="N375" s="90"/>
    </row>
    <row r="376" spans="1:14" s="69" customFormat="1" ht="24.6" customHeight="1">
      <c r="A376" s="844" t="s">
        <v>256</v>
      </c>
      <c r="B376" s="847" t="s">
        <v>284</v>
      </c>
      <c r="C376" s="848"/>
      <c r="D376" s="848"/>
      <c r="E376" s="848"/>
      <c r="F376" s="848"/>
      <c r="G376" s="848"/>
      <c r="H376" s="848"/>
      <c r="I376" s="848"/>
      <c r="J376" s="848"/>
      <c r="K376" s="848"/>
      <c r="L376" s="849"/>
    </row>
    <row r="377" spans="1:14" s="69" customFormat="1" ht="24.6" customHeight="1">
      <c r="A377" s="845"/>
      <c r="B377" s="850" t="s">
        <v>247</v>
      </c>
      <c r="C377" s="851"/>
      <c r="D377" s="852"/>
      <c r="E377" s="850" t="s">
        <v>248</v>
      </c>
      <c r="F377" s="851"/>
      <c r="G377" s="852"/>
      <c r="H377" s="853" t="s">
        <v>249</v>
      </c>
      <c r="I377" s="854"/>
      <c r="J377" s="854"/>
      <c r="K377" s="854"/>
      <c r="L377" s="855"/>
    </row>
    <row r="378" spans="1:14" s="69" customFormat="1" ht="24.6" customHeight="1">
      <c r="A378" s="846"/>
      <c r="B378" s="70" t="s">
        <v>250</v>
      </c>
      <c r="C378" s="71" t="s">
        <v>251</v>
      </c>
      <c r="D378" s="71" t="s">
        <v>252</v>
      </c>
      <c r="E378" s="70" t="s">
        <v>250</v>
      </c>
      <c r="F378" s="71" t="s">
        <v>251</v>
      </c>
      <c r="G378" s="71" t="s">
        <v>252</v>
      </c>
      <c r="H378" s="856"/>
      <c r="I378" s="857"/>
      <c r="J378" s="857"/>
      <c r="K378" s="857"/>
      <c r="L378" s="858"/>
    </row>
    <row r="379" spans="1:14" s="80" customFormat="1" ht="24.6" customHeight="1">
      <c r="A379" s="72">
        <f>'[14]1.과거인구'!$C$2</f>
        <v>1998</v>
      </c>
      <c r="B379" s="73"/>
      <c r="C379" s="73"/>
      <c r="D379" s="73"/>
      <c r="E379" s="74">
        <f>'[14]과거인구 (2)'!X4</f>
        <v>35958</v>
      </c>
      <c r="F379" s="75">
        <v>0</v>
      </c>
      <c r="G379" s="76">
        <v>0</v>
      </c>
      <c r="H379" s="77"/>
      <c r="I379" s="78"/>
      <c r="J379" s="78"/>
      <c r="K379" s="78"/>
      <c r="L379" s="79"/>
    </row>
    <row r="380" spans="1:14" s="80" customFormat="1" ht="24.6" customHeight="1">
      <c r="A380" s="81">
        <f>'[14]1.과거인구'!$D$2</f>
        <v>1999</v>
      </c>
      <c r="B380" s="82"/>
      <c r="C380" s="82"/>
      <c r="D380" s="82"/>
      <c r="E380" s="83">
        <f>'[14]과거인구 (2)'!X5</f>
        <v>39104</v>
      </c>
      <c r="F380" s="84">
        <f t="shared" ref="F380:F388" si="44">(E380-E379)</f>
        <v>3146</v>
      </c>
      <c r="G380" s="85">
        <f t="shared" ref="G380:G388" si="45">ROUND(F380/E379*100,3)</f>
        <v>8.7490000000000006</v>
      </c>
      <c r="H380" s="77"/>
      <c r="I380" s="78"/>
      <c r="J380" s="78"/>
      <c r="K380" s="78"/>
      <c r="L380" s="79"/>
    </row>
    <row r="381" spans="1:14" s="80" customFormat="1" ht="24.6" customHeight="1">
      <c r="A381" s="81">
        <f>'[14]1.과거인구'!$E$2</f>
        <v>2000</v>
      </c>
      <c r="B381" s="82"/>
      <c r="C381" s="82"/>
      <c r="D381" s="82"/>
      <c r="E381" s="83">
        <f>'[14]과거인구 (2)'!X6</f>
        <v>43688</v>
      </c>
      <c r="F381" s="84">
        <f t="shared" si="44"/>
        <v>4584</v>
      </c>
      <c r="G381" s="85">
        <f t="shared" si="45"/>
        <v>11.723000000000001</v>
      </c>
      <c r="H381" s="77"/>
      <c r="I381" s="78"/>
      <c r="J381" s="78"/>
      <c r="K381" s="78"/>
      <c r="L381" s="79"/>
    </row>
    <row r="382" spans="1:14" s="80" customFormat="1" ht="24.6" customHeight="1">
      <c r="A382" s="81">
        <f>'[14]1.과거인구'!$F$2</f>
        <v>2001</v>
      </c>
      <c r="B382" s="82"/>
      <c r="C382" s="82"/>
      <c r="D382" s="82"/>
      <c r="E382" s="83">
        <f>'[14]과거인구 (2)'!X7</f>
        <v>45851</v>
      </c>
      <c r="F382" s="84">
        <f t="shared" si="44"/>
        <v>2163</v>
      </c>
      <c r="G382" s="85">
        <f t="shared" si="45"/>
        <v>4.9509999999999996</v>
      </c>
      <c r="H382" s="77"/>
      <c r="I382" s="78"/>
      <c r="J382" s="78"/>
      <c r="K382" s="78"/>
      <c r="L382" s="79"/>
    </row>
    <row r="383" spans="1:14" s="80" customFormat="1" ht="24.6" customHeight="1">
      <c r="A383" s="81">
        <f>'[14]1.과거인구'!$G$2</f>
        <v>2002</v>
      </c>
      <c r="B383" s="82"/>
      <c r="C383" s="82"/>
      <c r="D383" s="82"/>
      <c r="E383" s="83">
        <f>'[14]과거인구 (2)'!X8</f>
        <v>46083</v>
      </c>
      <c r="F383" s="84">
        <f t="shared" si="44"/>
        <v>232</v>
      </c>
      <c r="G383" s="85">
        <f t="shared" si="45"/>
        <v>0.50600000000000001</v>
      </c>
      <c r="H383" s="77"/>
      <c r="I383" s="78"/>
      <c r="J383" s="78"/>
      <c r="K383" s="78"/>
      <c r="L383" s="79"/>
    </row>
    <row r="384" spans="1:14" s="80" customFormat="1" ht="24.6" customHeight="1">
      <c r="A384" s="81">
        <f>'[14]1.과거인구'!$H$2</f>
        <v>2003</v>
      </c>
      <c r="B384" s="82">
        <f>E384</f>
        <v>45648</v>
      </c>
      <c r="C384" s="84">
        <v>0</v>
      </c>
      <c r="D384" s="85">
        <v>0</v>
      </c>
      <c r="E384" s="83">
        <f>'[14]과거인구 (2)'!X9</f>
        <v>45648</v>
      </c>
      <c r="F384" s="84">
        <f t="shared" si="44"/>
        <v>-435</v>
      </c>
      <c r="G384" s="85">
        <f t="shared" si="45"/>
        <v>-0.94399999999999995</v>
      </c>
      <c r="H384" s="77"/>
      <c r="I384" s="78"/>
      <c r="J384" s="78"/>
      <c r="K384" s="78"/>
      <c r="L384" s="79"/>
    </row>
    <row r="385" spans="1:14" s="80" customFormat="1" ht="24.6" customHeight="1">
      <c r="A385" s="81">
        <f>'[14]1.과거인구'!$I$2</f>
        <v>2004</v>
      </c>
      <c r="B385" s="82">
        <f>E385</f>
        <v>45781</v>
      </c>
      <c r="C385" s="84">
        <f>(B385-B384)</f>
        <v>133</v>
      </c>
      <c r="D385" s="85">
        <f>ROUND(C385/B384*100,3)</f>
        <v>0.29099999999999998</v>
      </c>
      <c r="E385" s="83">
        <f>'[14]과거인구 (2)'!X10</f>
        <v>45781</v>
      </c>
      <c r="F385" s="84">
        <f t="shared" si="44"/>
        <v>133</v>
      </c>
      <c r="G385" s="85">
        <f t="shared" si="45"/>
        <v>0.29099999999999998</v>
      </c>
      <c r="H385" s="77"/>
      <c r="I385" s="78"/>
      <c r="J385" s="78"/>
      <c r="K385" s="78"/>
      <c r="L385" s="79"/>
    </row>
    <row r="386" spans="1:14" s="80" customFormat="1" ht="24.6" customHeight="1">
      <c r="A386" s="81">
        <f>'[14]1.과거인구'!$J$2</f>
        <v>2005</v>
      </c>
      <c r="B386" s="82">
        <f>E386</f>
        <v>46305</v>
      </c>
      <c r="C386" s="84">
        <f>(B386-B385)</f>
        <v>524</v>
      </c>
      <c r="D386" s="85">
        <f>ROUND(C386/B385*100,3)</f>
        <v>1.145</v>
      </c>
      <c r="E386" s="83">
        <f>'[14]과거인구 (2)'!X11</f>
        <v>46305</v>
      </c>
      <c r="F386" s="84">
        <f t="shared" si="44"/>
        <v>524</v>
      </c>
      <c r="G386" s="85">
        <f t="shared" si="45"/>
        <v>1.145</v>
      </c>
      <c r="H386" s="77"/>
      <c r="I386" s="78"/>
      <c r="J386" s="78"/>
      <c r="K386" s="78"/>
      <c r="L386" s="79"/>
    </row>
    <row r="387" spans="1:14" s="80" customFormat="1" ht="24.6" customHeight="1">
      <c r="A387" s="81">
        <f>'[14]1.과거인구'!K$2</f>
        <v>2006</v>
      </c>
      <c r="B387" s="82">
        <f>E387</f>
        <v>50808</v>
      </c>
      <c r="C387" s="84">
        <f>(B387-B386)</f>
        <v>4503</v>
      </c>
      <c r="D387" s="85">
        <f>ROUND(C387/B386*100,3)</f>
        <v>9.7249999999999996</v>
      </c>
      <c r="E387" s="83">
        <f>'[14]과거인구 (2)'!X12</f>
        <v>50808</v>
      </c>
      <c r="F387" s="84">
        <f t="shared" si="44"/>
        <v>4503</v>
      </c>
      <c r="G387" s="85">
        <f t="shared" si="45"/>
        <v>9.7249999999999996</v>
      </c>
      <c r="H387" s="77"/>
      <c r="I387" s="78"/>
      <c r="J387" s="78"/>
      <c r="K387" s="78"/>
      <c r="L387" s="79"/>
    </row>
    <row r="388" spans="1:14" s="80" customFormat="1" ht="24.6" customHeight="1">
      <c r="A388" s="81">
        <f>'[14]1.과거인구'!$L$2</f>
        <v>2007</v>
      </c>
      <c r="B388" s="82">
        <f>E388</f>
        <v>52529</v>
      </c>
      <c r="C388" s="84">
        <f>(B388-B387)</f>
        <v>1721</v>
      </c>
      <c r="D388" s="85">
        <f>ROUND(C388/B387*100,3)</f>
        <v>3.387</v>
      </c>
      <c r="E388" s="83">
        <f>'[14]과거인구 (2)'!X13</f>
        <v>52529</v>
      </c>
      <c r="F388" s="84">
        <f t="shared" si="44"/>
        <v>1721</v>
      </c>
      <c r="G388" s="85">
        <f t="shared" si="45"/>
        <v>3.387</v>
      </c>
      <c r="H388" s="77"/>
      <c r="I388" s="78"/>
      <c r="J388" s="78"/>
      <c r="K388" s="78"/>
      <c r="L388" s="79"/>
    </row>
    <row r="389" spans="1:14" s="80" customFormat="1" ht="24.6" customHeight="1">
      <c r="A389" s="86" t="s">
        <v>253</v>
      </c>
      <c r="B389" s="87"/>
      <c r="C389" s="88">
        <f>SUM(C384:C388)</f>
        <v>6881</v>
      </c>
      <c r="D389" s="89">
        <f>ROUND(((B388/B384)^(1/4)-1)*100,2)</f>
        <v>3.57</v>
      </c>
      <c r="E389" s="87"/>
      <c r="F389" s="88">
        <f>SUM(F379:F388)</f>
        <v>16571</v>
      </c>
      <c r="G389" s="89">
        <f>ROUND(((E388/E379)^(1/9)-1)*100,2)</f>
        <v>4.3</v>
      </c>
      <c r="H389" s="832"/>
      <c r="I389" s="832"/>
      <c r="J389" s="832"/>
      <c r="K389" s="832"/>
      <c r="L389" s="833"/>
    </row>
    <row r="390" spans="1:14" s="80" customFormat="1" ht="24.6" customHeight="1">
      <c r="A390" s="834" t="s">
        <v>254</v>
      </c>
      <c r="B390" s="835"/>
      <c r="C390" s="836"/>
      <c r="D390" s="840" t="s">
        <v>283</v>
      </c>
      <c r="E390" s="840"/>
      <c r="F390" s="840"/>
      <c r="G390" s="840"/>
      <c r="H390" s="840"/>
      <c r="I390" s="840"/>
      <c r="J390" s="840"/>
      <c r="K390" s="840"/>
      <c r="L390" s="841"/>
    </row>
    <row r="391" spans="1:14" s="80" customFormat="1" ht="24.6" customHeight="1">
      <c r="A391" s="837"/>
      <c r="B391" s="838"/>
      <c r="C391" s="839"/>
      <c r="D391" s="842"/>
      <c r="E391" s="842"/>
      <c r="F391" s="842"/>
      <c r="G391" s="842"/>
      <c r="H391" s="842"/>
      <c r="I391" s="842"/>
      <c r="J391" s="842"/>
      <c r="K391" s="842"/>
      <c r="L391" s="843"/>
      <c r="N391" s="90"/>
    </row>
    <row r="392" spans="1:14" s="80" customFormat="1" ht="24.6" customHeight="1">
      <c r="G392" s="93"/>
      <c r="N392" s="90"/>
    </row>
    <row r="393" spans="1:14" s="69" customFormat="1" ht="24.6" customHeight="1">
      <c r="A393" s="844" t="s">
        <v>256</v>
      </c>
      <c r="B393" s="847" t="str">
        <f>'[14]과거인구 (2)'!Y3</f>
        <v>청룡동</v>
      </c>
      <c r="C393" s="848"/>
      <c r="D393" s="848"/>
      <c r="E393" s="848"/>
      <c r="F393" s="848"/>
      <c r="G393" s="848"/>
      <c r="H393" s="848"/>
      <c r="I393" s="848"/>
      <c r="J393" s="848"/>
      <c r="K393" s="848"/>
      <c r="L393" s="849"/>
    </row>
    <row r="394" spans="1:14" s="69" customFormat="1" ht="24.6" customHeight="1">
      <c r="A394" s="845"/>
      <c r="B394" s="850" t="s">
        <v>247</v>
      </c>
      <c r="C394" s="851"/>
      <c r="D394" s="852"/>
      <c r="E394" s="850" t="s">
        <v>248</v>
      </c>
      <c r="F394" s="851"/>
      <c r="G394" s="852"/>
      <c r="H394" s="853" t="s">
        <v>249</v>
      </c>
      <c r="I394" s="854"/>
      <c r="J394" s="854"/>
      <c r="K394" s="854"/>
      <c r="L394" s="855"/>
    </row>
    <row r="395" spans="1:14" s="69" customFormat="1" ht="24.6" customHeight="1">
      <c r="A395" s="846"/>
      <c r="B395" s="70" t="s">
        <v>250</v>
      </c>
      <c r="C395" s="71" t="s">
        <v>251</v>
      </c>
      <c r="D395" s="71" t="s">
        <v>252</v>
      </c>
      <c r="E395" s="70" t="s">
        <v>250</v>
      </c>
      <c r="F395" s="71" t="s">
        <v>251</v>
      </c>
      <c r="G395" s="71" t="s">
        <v>252</v>
      </c>
      <c r="H395" s="856"/>
      <c r="I395" s="857"/>
      <c r="J395" s="857"/>
      <c r="K395" s="857"/>
      <c r="L395" s="858"/>
    </row>
    <row r="396" spans="1:14" s="80" customFormat="1" ht="24.6" customHeight="1">
      <c r="A396" s="72">
        <f>'[14]1.과거인구'!$C$2</f>
        <v>1998</v>
      </c>
      <c r="B396" s="73"/>
      <c r="C396" s="73"/>
      <c r="D396" s="73"/>
      <c r="E396" s="74">
        <f>'[14]과거인구 (2)'!Y4</f>
        <v>20748</v>
      </c>
      <c r="F396" s="75">
        <v>0</v>
      </c>
      <c r="G396" s="76">
        <v>0</v>
      </c>
      <c r="H396" s="77"/>
      <c r="I396" s="78"/>
      <c r="J396" s="78"/>
      <c r="K396" s="78"/>
      <c r="L396" s="79"/>
    </row>
    <row r="397" spans="1:14" s="80" customFormat="1" ht="24.6" customHeight="1">
      <c r="A397" s="81">
        <f>'[14]1.과거인구'!$D$2</f>
        <v>1999</v>
      </c>
      <c r="B397" s="82"/>
      <c r="C397" s="82"/>
      <c r="D397" s="82"/>
      <c r="E397" s="83">
        <f>'[14]과거인구 (2)'!Y5</f>
        <v>23059</v>
      </c>
      <c r="F397" s="84">
        <f t="shared" ref="F397:F405" si="46">(E397-E396)</f>
        <v>2311</v>
      </c>
      <c r="G397" s="85">
        <f t="shared" ref="G397:G405" si="47">ROUND(F397/E396*100,3)</f>
        <v>11.138</v>
      </c>
      <c r="H397" s="77"/>
      <c r="I397" s="78"/>
      <c r="J397" s="78"/>
      <c r="K397" s="78"/>
      <c r="L397" s="79"/>
    </row>
    <row r="398" spans="1:14" s="80" customFormat="1" ht="24.6" customHeight="1">
      <c r="A398" s="81">
        <f>'[14]1.과거인구'!$E$2</f>
        <v>2000</v>
      </c>
      <c r="B398" s="82"/>
      <c r="C398" s="82"/>
      <c r="D398" s="82"/>
      <c r="E398" s="83">
        <f>'[14]과거인구 (2)'!Y6</f>
        <v>22594</v>
      </c>
      <c r="F398" s="84">
        <f t="shared" si="46"/>
        <v>-465</v>
      </c>
      <c r="G398" s="85">
        <f t="shared" si="47"/>
        <v>-2.0169999999999999</v>
      </c>
      <c r="H398" s="77"/>
      <c r="I398" s="78"/>
      <c r="J398" s="78"/>
      <c r="K398" s="78"/>
      <c r="L398" s="79"/>
    </row>
    <row r="399" spans="1:14" s="80" customFormat="1" ht="24.6" customHeight="1">
      <c r="A399" s="81">
        <f>'[14]1.과거인구'!$F$2</f>
        <v>2001</v>
      </c>
      <c r="B399" s="82"/>
      <c r="C399" s="82"/>
      <c r="D399" s="82"/>
      <c r="E399" s="83">
        <f>'[14]과거인구 (2)'!Y7</f>
        <v>22625</v>
      </c>
      <c r="F399" s="84">
        <f t="shared" si="46"/>
        <v>31</v>
      </c>
      <c r="G399" s="85">
        <f t="shared" si="47"/>
        <v>0.13700000000000001</v>
      </c>
      <c r="H399" s="77"/>
      <c r="I399" s="78"/>
      <c r="J399" s="78"/>
      <c r="K399" s="78"/>
      <c r="L399" s="79"/>
    </row>
    <row r="400" spans="1:14" s="80" customFormat="1" ht="24.6" customHeight="1">
      <c r="A400" s="81">
        <f>'[14]1.과거인구'!$G$2</f>
        <v>2002</v>
      </c>
      <c r="B400" s="82"/>
      <c r="C400" s="82"/>
      <c r="D400" s="82"/>
      <c r="E400" s="83">
        <f>'[14]과거인구 (2)'!Y8</f>
        <v>22493</v>
      </c>
      <c r="F400" s="84">
        <f t="shared" si="46"/>
        <v>-132</v>
      </c>
      <c r="G400" s="85">
        <f t="shared" si="47"/>
        <v>-0.58299999999999996</v>
      </c>
      <c r="H400" s="77"/>
      <c r="I400" s="78"/>
      <c r="J400" s="78"/>
      <c r="K400" s="78"/>
      <c r="L400" s="79"/>
    </row>
    <row r="401" spans="1:14" s="80" customFormat="1" ht="24.6" customHeight="1">
      <c r="A401" s="81">
        <f>'[14]1.과거인구'!$H$2</f>
        <v>2003</v>
      </c>
      <c r="B401" s="82">
        <f>E401</f>
        <v>21297</v>
      </c>
      <c r="C401" s="84">
        <v>0</v>
      </c>
      <c r="D401" s="85">
        <v>0</v>
      </c>
      <c r="E401" s="83">
        <f>'[14]과거인구 (2)'!Y9</f>
        <v>21297</v>
      </c>
      <c r="F401" s="84">
        <f t="shared" si="46"/>
        <v>-1196</v>
      </c>
      <c r="G401" s="85">
        <f t="shared" si="47"/>
        <v>-5.3170000000000002</v>
      </c>
      <c r="H401" s="77"/>
      <c r="I401" s="78"/>
      <c r="J401" s="78"/>
      <c r="K401" s="78"/>
      <c r="L401" s="79"/>
    </row>
    <row r="402" spans="1:14" s="80" customFormat="1" ht="24.6" customHeight="1">
      <c r="A402" s="81">
        <f>'[14]1.과거인구'!$I$2</f>
        <v>2004</v>
      </c>
      <c r="B402" s="82">
        <f>E402</f>
        <v>21130</v>
      </c>
      <c r="C402" s="84">
        <f>(B402-B401)</f>
        <v>-167</v>
      </c>
      <c r="D402" s="85">
        <f>ROUND(C402/B401*100,3)</f>
        <v>-0.78400000000000003</v>
      </c>
      <c r="E402" s="83">
        <f>'[14]과거인구 (2)'!Y10</f>
        <v>21130</v>
      </c>
      <c r="F402" s="84">
        <f t="shared" si="46"/>
        <v>-167</v>
      </c>
      <c r="G402" s="85">
        <f t="shared" si="47"/>
        <v>-0.78400000000000003</v>
      </c>
      <c r="H402" s="77"/>
      <c r="I402" s="78"/>
      <c r="J402" s="78"/>
      <c r="K402" s="78"/>
      <c r="L402" s="79"/>
    </row>
    <row r="403" spans="1:14" s="80" customFormat="1" ht="24.6" customHeight="1">
      <c r="A403" s="81">
        <f>'[14]1.과거인구'!$J$2</f>
        <v>2005</v>
      </c>
      <c r="B403" s="82">
        <f>E403</f>
        <v>21699</v>
      </c>
      <c r="C403" s="84">
        <f>(B403-B402)</f>
        <v>569</v>
      </c>
      <c r="D403" s="85">
        <f>ROUND(C403/B402*100,3)</f>
        <v>2.6930000000000001</v>
      </c>
      <c r="E403" s="83">
        <f>'[14]과거인구 (2)'!Y11</f>
        <v>21699</v>
      </c>
      <c r="F403" s="84">
        <f t="shared" si="46"/>
        <v>569</v>
      </c>
      <c r="G403" s="85">
        <f t="shared" si="47"/>
        <v>2.6930000000000001</v>
      </c>
      <c r="H403" s="77"/>
      <c r="I403" s="78"/>
      <c r="J403" s="78"/>
      <c r="K403" s="78"/>
      <c r="L403" s="79"/>
    </row>
    <row r="404" spans="1:14" s="80" customFormat="1" ht="24.6" customHeight="1">
      <c r="A404" s="81">
        <f>'[14]1.과거인구'!K$2</f>
        <v>2006</v>
      </c>
      <c r="B404" s="82">
        <f>E404</f>
        <v>25298</v>
      </c>
      <c r="C404" s="84">
        <f>(B404-B403)</f>
        <v>3599</v>
      </c>
      <c r="D404" s="85">
        <f>ROUND(C404/B403*100,3)</f>
        <v>16.585999999999999</v>
      </c>
      <c r="E404" s="83">
        <f>'[14]과거인구 (2)'!Y12</f>
        <v>25298</v>
      </c>
      <c r="F404" s="84">
        <f t="shared" si="46"/>
        <v>3599</v>
      </c>
      <c r="G404" s="85">
        <f t="shared" si="47"/>
        <v>16.585999999999999</v>
      </c>
      <c r="H404" s="77"/>
      <c r="I404" s="78"/>
      <c r="J404" s="78"/>
      <c r="K404" s="78"/>
      <c r="L404" s="79"/>
    </row>
    <row r="405" spans="1:14" s="80" customFormat="1" ht="24.6" customHeight="1">
      <c r="A405" s="81">
        <f>'[14]1.과거인구'!$L$2</f>
        <v>2007</v>
      </c>
      <c r="B405" s="82">
        <f>E405</f>
        <v>29660</v>
      </c>
      <c r="C405" s="84">
        <f>(B405-B404)</f>
        <v>4362</v>
      </c>
      <c r="D405" s="85">
        <f>ROUND(C405/B404*100,3)</f>
        <v>17.242000000000001</v>
      </c>
      <c r="E405" s="83">
        <f>'[14]과거인구 (2)'!Y13</f>
        <v>29660</v>
      </c>
      <c r="F405" s="84">
        <f t="shared" si="46"/>
        <v>4362</v>
      </c>
      <c r="G405" s="85">
        <f t="shared" si="47"/>
        <v>17.242000000000001</v>
      </c>
      <c r="H405" s="77"/>
      <c r="I405" s="78"/>
      <c r="J405" s="78"/>
      <c r="K405" s="78"/>
      <c r="L405" s="79"/>
    </row>
    <row r="406" spans="1:14" s="80" customFormat="1" ht="24.6" customHeight="1">
      <c r="A406" s="86" t="s">
        <v>253</v>
      </c>
      <c r="B406" s="87"/>
      <c r="C406" s="88">
        <f>SUM(C401:C405)</f>
        <v>8363</v>
      </c>
      <c r="D406" s="89">
        <f>ROUND(((B405/B401)^(1/4)-1)*100,2)</f>
        <v>8.6300000000000008</v>
      </c>
      <c r="E406" s="87"/>
      <c r="F406" s="88">
        <f>SUM(F396:F405)</f>
        <v>8912</v>
      </c>
      <c r="G406" s="89">
        <f>ROUND(((E405/E396)^(1/9)-1)*100,2)</f>
        <v>4.05</v>
      </c>
      <c r="H406" s="832"/>
      <c r="I406" s="832"/>
      <c r="J406" s="832"/>
      <c r="K406" s="832"/>
      <c r="L406" s="833"/>
    </row>
    <row r="407" spans="1:14" s="80" customFormat="1" ht="24.6" customHeight="1">
      <c r="A407" s="834" t="s">
        <v>254</v>
      </c>
      <c r="B407" s="835"/>
      <c r="C407" s="836"/>
      <c r="D407" s="840" t="s">
        <v>285</v>
      </c>
      <c r="E407" s="840"/>
      <c r="F407" s="840"/>
      <c r="G407" s="840"/>
      <c r="H407" s="840"/>
      <c r="I407" s="840"/>
      <c r="J407" s="840"/>
      <c r="K407" s="840"/>
      <c r="L407" s="841"/>
    </row>
    <row r="408" spans="1:14" s="80" customFormat="1" ht="24.6" customHeight="1">
      <c r="A408" s="837"/>
      <c r="B408" s="838"/>
      <c r="C408" s="839"/>
      <c r="D408" s="842"/>
      <c r="E408" s="842"/>
      <c r="F408" s="842"/>
      <c r="G408" s="842"/>
      <c r="H408" s="842"/>
      <c r="I408" s="842"/>
      <c r="J408" s="842"/>
      <c r="K408" s="842"/>
      <c r="L408" s="843"/>
      <c r="N408" s="90"/>
    </row>
    <row r="409" spans="1:14" s="80" customFormat="1" ht="24.6" customHeight="1">
      <c r="G409" s="93"/>
      <c r="N409" s="90"/>
    </row>
    <row r="410" spans="1:14" s="69" customFormat="1" ht="24.6" customHeight="1">
      <c r="A410" s="844" t="s">
        <v>256</v>
      </c>
      <c r="B410" s="847" t="str">
        <f>'[14]과거인구 (2)'!Z3</f>
        <v>신안동</v>
      </c>
      <c r="C410" s="848"/>
      <c r="D410" s="848"/>
      <c r="E410" s="848"/>
      <c r="F410" s="848"/>
      <c r="G410" s="848"/>
      <c r="H410" s="848"/>
      <c r="I410" s="848"/>
      <c r="J410" s="848"/>
      <c r="K410" s="848"/>
      <c r="L410" s="849"/>
    </row>
    <row r="411" spans="1:14" s="69" customFormat="1" ht="24.6" customHeight="1">
      <c r="A411" s="845"/>
      <c r="B411" s="850" t="s">
        <v>247</v>
      </c>
      <c r="C411" s="851"/>
      <c r="D411" s="852"/>
      <c r="E411" s="850" t="s">
        <v>248</v>
      </c>
      <c r="F411" s="851"/>
      <c r="G411" s="852"/>
      <c r="H411" s="853" t="s">
        <v>249</v>
      </c>
      <c r="I411" s="854"/>
      <c r="J411" s="854"/>
      <c r="K411" s="854"/>
      <c r="L411" s="855"/>
    </row>
    <row r="412" spans="1:14" s="69" customFormat="1" ht="24.6" customHeight="1">
      <c r="A412" s="846"/>
      <c r="B412" s="70" t="s">
        <v>250</v>
      </c>
      <c r="C412" s="71" t="s">
        <v>251</v>
      </c>
      <c r="D412" s="71" t="s">
        <v>252</v>
      </c>
      <c r="E412" s="70" t="s">
        <v>250</v>
      </c>
      <c r="F412" s="71" t="s">
        <v>251</v>
      </c>
      <c r="G412" s="71" t="s">
        <v>252</v>
      </c>
      <c r="H412" s="856"/>
      <c r="I412" s="857"/>
      <c r="J412" s="857"/>
      <c r="K412" s="857"/>
      <c r="L412" s="858"/>
    </row>
    <row r="413" spans="1:14" s="80" customFormat="1" ht="24.6" customHeight="1">
      <c r="A413" s="72">
        <f>'[14]1.과거인구'!$C$2</f>
        <v>1998</v>
      </c>
      <c r="B413" s="73"/>
      <c r="C413" s="73"/>
      <c r="D413" s="73"/>
      <c r="E413" s="74">
        <f>'[14]과거인구 (2)'!Z4</f>
        <v>26622</v>
      </c>
      <c r="F413" s="75">
        <v>0</v>
      </c>
      <c r="G413" s="76">
        <v>0</v>
      </c>
      <c r="H413" s="77"/>
      <c r="I413" s="78"/>
      <c r="J413" s="78"/>
      <c r="K413" s="78"/>
      <c r="L413" s="79"/>
    </row>
    <row r="414" spans="1:14" s="80" customFormat="1" ht="24.6" customHeight="1">
      <c r="A414" s="81">
        <f>'[14]1.과거인구'!$D$2</f>
        <v>1999</v>
      </c>
      <c r="B414" s="82"/>
      <c r="C414" s="82"/>
      <c r="D414" s="82"/>
      <c r="E414" s="83">
        <f>'[14]과거인구 (2)'!Z5</f>
        <v>26266</v>
      </c>
      <c r="F414" s="84">
        <f t="shared" ref="F414:F422" si="48">(E414-E413)</f>
        <v>-356</v>
      </c>
      <c r="G414" s="85">
        <f t="shared" ref="G414:G422" si="49">ROUND(F414/E413*100,3)</f>
        <v>-1.337</v>
      </c>
      <c r="H414" s="77"/>
      <c r="I414" s="78"/>
      <c r="J414" s="78"/>
      <c r="K414" s="78"/>
      <c r="L414" s="79"/>
    </row>
    <row r="415" spans="1:14" s="80" customFormat="1" ht="24.6" customHeight="1">
      <c r="A415" s="81">
        <f>'[14]1.과거인구'!$E$2</f>
        <v>2000</v>
      </c>
      <c r="B415" s="82"/>
      <c r="C415" s="82"/>
      <c r="D415" s="82"/>
      <c r="E415" s="83">
        <f>'[14]과거인구 (2)'!Z6</f>
        <v>27456</v>
      </c>
      <c r="F415" s="84">
        <f t="shared" si="48"/>
        <v>1190</v>
      </c>
      <c r="G415" s="85">
        <f t="shared" si="49"/>
        <v>4.5309999999999997</v>
      </c>
      <c r="H415" s="77"/>
      <c r="I415" s="78"/>
      <c r="J415" s="78"/>
      <c r="K415" s="78"/>
      <c r="L415" s="79"/>
    </row>
    <row r="416" spans="1:14" s="80" customFormat="1" ht="24.6" customHeight="1">
      <c r="A416" s="81">
        <f>'[14]1.과거인구'!$F$2</f>
        <v>2001</v>
      </c>
      <c r="B416" s="82"/>
      <c r="C416" s="82"/>
      <c r="D416" s="82"/>
      <c r="E416" s="83">
        <f>'[14]과거인구 (2)'!Z7</f>
        <v>27854</v>
      </c>
      <c r="F416" s="84">
        <f t="shared" si="48"/>
        <v>398</v>
      </c>
      <c r="G416" s="85">
        <f t="shared" si="49"/>
        <v>1.45</v>
      </c>
      <c r="H416" s="77"/>
      <c r="I416" s="78"/>
      <c r="J416" s="78"/>
      <c r="K416" s="78"/>
      <c r="L416" s="79"/>
    </row>
    <row r="417" spans="1:14" s="80" customFormat="1" ht="24.6" customHeight="1">
      <c r="A417" s="81">
        <f>'[14]1.과거인구'!$G$2</f>
        <v>2002</v>
      </c>
      <c r="B417" s="82"/>
      <c r="C417" s="82"/>
      <c r="D417" s="82"/>
      <c r="E417" s="83">
        <f>'[14]과거인구 (2)'!Z8</f>
        <v>27944</v>
      </c>
      <c r="F417" s="84">
        <f t="shared" si="48"/>
        <v>90</v>
      </c>
      <c r="G417" s="85">
        <f t="shared" si="49"/>
        <v>0.32300000000000001</v>
      </c>
      <c r="H417" s="77"/>
      <c r="I417" s="78"/>
      <c r="J417" s="78"/>
      <c r="K417" s="78"/>
      <c r="L417" s="79"/>
    </row>
    <row r="418" spans="1:14" s="80" customFormat="1" ht="24.6" customHeight="1">
      <c r="A418" s="81">
        <f>'[14]1.과거인구'!$H$2</f>
        <v>2003</v>
      </c>
      <c r="B418" s="82">
        <f>E418</f>
        <v>28624</v>
      </c>
      <c r="C418" s="84">
        <v>0</v>
      </c>
      <c r="D418" s="85">
        <v>0</v>
      </c>
      <c r="E418" s="83">
        <f>'[14]과거인구 (2)'!Z9</f>
        <v>28624</v>
      </c>
      <c r="F418" s="84">
        <f t="shared" si="48"/>
        <v>680</v>
      </c>
      <c r="G418" s="85">
        <f t="shared" si="49"/>
        <v>2.4329999999999998</v>
      </c>
      <c r="H418" s="77"/>
      <c r="I418" s="78"/>
      <c r="J418" s="78"/>
      <c r="K418" s="78"/>
      <c r="L418" s="79"/>
    </row>
    <row r="419" spans="1:14" s="80" customFormat="1" ht="24.6" customHeight="1">
      <c r="A419" s="81">
        <f>'[14]1.과거인구'!$I$2</f>
        <v>2004</v>
      </c>
      <c r="B419" s="82">
        <f>E419</f>
        <v>31128</v>
      </c>
      <c r="C419" s="84">
        <f>(B419-B418)</f>
        <v>2504</v>
      </c>
      <c r="D419" s="85">
        <f>ROUND(C419/B418*100,3)</f>
        <v>8.7479999999999993</v>
      </c>
      <c r="E419" s="83">
        <f>'[14]과거인구 (2)'!Z10</f>
        <v>31128</v>
      </c>
      <c r="F419" s="84">
        <f t="shared" si="48"/>
        <v>2504</v>
      </c>
      <c r="G419" s="85">
        <f t="shared" si="49"/>
        <v>8.7479999999999993</v>
      </c>
      <c r="H419" s="77"/>
      <c r="I419" s="78"/>
      <c r="J419" s="78"/>
      <c r="K419" s="78"/>
      <c r="L419" s="79"/>
    </row>
    <row r="420" spans="1:14" s="80" customFormat="1" ht="24.6" customHeight="1">
      <c r="A420" s="81">
        <f>'[14]1.과거인구'!$J$2</f>
        <v>2005</v>
      </c>
      <c r="B420" s="82">
        <f>E420</f>
        <v>32023</v>
      </c>
      <c r="C420" s="84">
        <f>(B420-B419)</f>
        <v>895</v>
      </c>
      <c r="D420" s="85">
        <f>ROUND(C420/B419*100,3)</f>
        <v>2.875</v>
      </c>
      <c r="E420" s="83">
        <f>'[14]과거인구 (2)'!Z11</f>
        <v>32023</v>
      </c>
      <c r="F420" s="84">
        <f t="shared" si="48"/>
        <v>895</v>
      </c>
      <c r="G420" s="85">
        <f t="shared" si="49"/>
        <v>2.875</v>
      </c>
      <c r="H420" s="77"/>
      <c r="I420" s="78"/>
      <c r="J420" s="78"/>
      <c r="K420" s="78"/>
      <c r="L420" s="79"/>
    </row>
    <row r="421" spans="1:14" s="80" customFormat="1" ht="24.6" customHeight="1">
      <c r="A421" s="81">
        <f>'[14]1.과거인구'!K$2</f>
        <v>2006</v>
      </c>
      <c r="B421" s="82">
        <f>E421</f>
        <v>32140</v>
      </c>
      <c r="C421" s="84">
        <f>(B421-B420)</f>
        <v>117</v>
      </c>
      <c r="D421" s="85">
        <f>ROUND(C421/B420*100,3)</f>
        <v>0.36499999999999999</v>
      </c>
      <c r="E421" s="83">
        <f>'[14]과거인구 (2)'!Z12</f>
        <v>32140</v>
      </c>
      <c r="F421" s="84">
        <f t="shared" si="48"/>
        <v>117</v>
      </c>
      <c r="G421" s="85">
        <f t="shared" si="49"/>
        <v>0.36499999999999999</v>
      </c>
      <c r="H421" s="77"/>
      <c r="I421" s="78"/>
      <c r="J421" s="78"/>
      <c r="K421" s="78"/>
      <c r="L421" s="79"/>
    </row>
    <row r="422" spans="1:14" s="80" customFormat="1" ht="24.6" customHeight="1">
      <c r="A422" s="81">
        <f>'[14]1.과거인구'!$L$2</f>
        <v>2007</v>
      </c>
      <c r="B422" s="82">
        <f>E422</f>
        <v>32419</v>
      </c>
      <c r="C422" s="84">
        <f>(B422-B421)</f>
        <v>279</v>
      </c>
      <c r="D422" s="85">
        <f>ROUND(C422/B421*100,3)</f>
        <v>0.86799999999999999</v>
      </c>
      <c r="E422" s="83">
        <f>'[14]과거인구 (2)'!Z13</f>
        <v>32419</v>
      </c>
      <c r="F422" s="84">
        <f t="shared" si="48"/>
        <v>279</v>
      </c>
      <c r="G422" s="85">
        <f t="shared" si="49"/>
        <v>0.86799999999999999</v>
      </c>
      <c r="H422" s="77"/>
      <c r="I422" s="78"/>
      <c r="J422" s="78"/>
      <c r="K422" s="78"/>
      <c r="L422" s="79"/>
    </row>
    <row r="423" spans="1:14" s="80" customFormat="1" ht="24.6" customHeight="1">
      <c r="A423" s="86" t="s">
        <v>253</v>
      </c>
      <c r="B423" s="87"/>
      <c r="C423" s="88">
        <f>SUM(C418:C422)</f>
        <v>3795</v>
      </c>
      <c r="D423" s="89">
        <f>ROUND(((B422/B418)^(1/4)-1)*100,2)</f>
        <v>3.16</v>
      </c>
      <c r="E423" s="87"/>
      <c r="F423" s="88">
        <f>SUM(F413:F422)</f>
        <v>5797</v>
      </c>
      <c r="G423" s="89">
        <f>ROUND(((E422/E413)^(1/9)-1)*100,2)</f>
        <v>2.21</v>
      </c>
      <c r="H423" s="832"/>
      <c r="I423" s="832"/>
      <c r="J423" s="832"/>
      <c r="K423" s="832"/>
      <c r="L423" s="833"/>
    </row>
    <row r="424" spans="1:14" s="80" customFormat="1" ht="24.6" customHeight="1">
      <c r="A424" s="834" t="s">
        <v>254</v>
      </c>
      <c r="B424" s="835"/>
      <c r="C424" s="836"/>
      <c r="D424" s="840" t="s">
        <v>286</v>
      </c>
      <c r="E424" s="840"/>
      <c r="F424" s="840"/>
      <c r="G424" s="840"/>
      <c r="H424" s="840"/>
      <c r="I424" s="840"/>
      <c r="J424" s="840"/>
      <c r="K424" s="840"/>
      <c r="L424" s="841"/>
    </row>
    <row r="425" spans="1:14" s="80" customFormat="1" ht="24.6" customHeight="1">
      <c r="A425" s="837"/>
      <c r="B425" s="838"/>
      <c r="C425" s="839"/>
      <c r="D425" s="842"/>
      <c r="E425" s="842"/>
      <c r="F425" s="842"/>
      <c r="G425" s="842"/>
      <c r="H425" s="842"/>
      <c r="I425" s="842"/>
      <c r="J425" s="842"/>
      <c r="K425" s="842"/>
      <c r="L425" s="843"/>
      <c r="N425" s="90"/>
    </row>
    <row r="426" spans="1:14" s="80" customFormat="1" ht="24.6" customHeight="1">
      <c r="G426" s="93"/>
      <c r="N426" s="90"/>
    </row>
    <row r="427" spans="1:14" s="69" customFormat="1" ht="24.6" customHeight="1">
      <c r="A427" s="844" t="s">
        <v>256</v>
      </c>
      <c r="B427" s="847" t="str">
        <f>'[14]과거인구 (2)'!AA3</f>
        <v>부성동</v>
      </c>
      <c r="C427" s="848"/>
      <c r="D427" s="848"/>
      <c r="E427" s="848"/>
      <c r="F427" s="848"/>
      <c r="G427" s="848"/>
      <c r="H427" s="848"/>
      <c r="I427" s="848"/>
      <c r="J427" s="848"/>
      <c r="K427" s="848"/>
      <c r="L427" s="849"/>
    </row>
    <row r="428" spans="1:14" s="69" customFormat="1" ht="24.6" customHeight="1">
      <c r="A428" s="845"/>
      <c r="B428" s="850" t="s">
        <v>247</v>
      </c>
      <c r="C428" s="851"/>
      <c r="D428" s="852"/>
      <c r="E428" s="850" t="s">
        <v>248</v>
      </c>
      <c r="F428" s="851"/>
      <c r="G428" s="852"/>
      <c r="H428" s="853" t="s">
        <v>249</v>
      </c>
      <c r="I428" s="854"/>
      <c r="J428" s="854"/>
      <c r="K428" s="854"/>
      <c r="L428" s="855"/>
    </row>
    <row r="429" spans="1:14" s="69" customFormat="1" ht="24.6" customHeight="1">
      <c r="A429" s="846"/>
      <c r="B429" s="70" t="s">
        <v>250</v>
      </c>
      <c r="C429" s="71" t="s">
        <v>251</v>
      </c>
      <c r="D429" s="71" t="s">
        <v>252</v>
      </c>
      <c r="E429" s="70" t="s">
        <v>250</v>
      </c>
      <c r="F429" s="71" t="s">
        <v>251</v>
      </c>
      <c r="G429" s="71" t="s">
        <v>252</v>
      </c>
      <c r="H429" s="856"/>
      <c r="I429" s="857"/>
      <c r="J429" s="857"/>
      <c r="K429" s="857"/>
      <c r="L429" s="858"/>
    </row>
    <row r="430" spans="1:14" s="80" customFormat="1" ht="24.6" customHeight="1">
      <c r="A430" s="72">
        <f>'[14]1.과거인구'!$C$2</f>
        <v>1998</v>
      </c>
      <c r="B430" s="73"/>
      <c r="C430" s="73"/>
      <c r="D430" s="73"/>
      <c r="E430" s="74">
        <f>'[14]과거인구 (2)'!AA4</f>
        <v>20958</v>
      </c>
      <c r="F430" s="75">
        <v>0</v>
      </c>
      <c r="G430" s="76">
        <v>0</v>
      </c>
      <c r="H430" s="77"/>
      <c r="I430" s="78"/>
      <c r="J430" s="78"/>
      <c r="K430" s="78"/>
      <c r="L430" s="79"/>
    </row>
    <row r="431" spans="1:14" s="80" customFormat="1" ht="24.6" customHeight="1">
      <c r="A431" s="81">
        <f>'[14]1.과거인구'!$D$2</f>
        <v>1999</v>
      </c>
      <c r="B431" s="82"/>
      <c r="C431" s="82"/>
      <c r="D431" s="82"/>
      <c r="E431" s="83">
        <f>'[14]과거인구 (2)'!AA5</f>
        <v>21446</v>
      </c>
      <c r="F431" s="84">
        <f t="shared" ref="F431:F439" si="50">(E431-E430)</f>
        <v>488</v>
      </c>
      <c r="G431" s="85">
        <f t="shared" ref="G431:G439" si="51">ROUND(F431/E430*100,3)</f>
        <v>2.3279999999999998</v>
      </c>
      <c r="H431" s="77"/>
      <c r="I431" s="78"/>
      <c r="J431" s="78"/>
      <c r="K431" s="78"/>
      <c r="L431" s="79"/>
    </row>
    <row r="432" spans="1:14" s="80" customFormat="1" ht="24.6" customHeight="1">
      <c r="A432" s="81">
        <f>'[14]1.과거인구'!$E$2</f>
        <v>2000</v>
      </c>
      <c r="B432" s="82"/>
      <c r="C432" s="82"/>
      <c r="D432" s="82"/>
      <c r="E432" s="83">
        <f>'[14]과거인구 (2)'!AA6</f>
        <v>21789</v>
      </c>
      <c r="F432" s="84">
        <f t="shared" si="50"/>
        <v>343</v>
      </c>
      <c r="G432" s="85">
        <f t="shared" si="51"/>
        <v>1.599</v>
      </c>
      <c r="H432" s="77"/>
      <c r="I432" s="78"/>
      <c r="J432" s="78"/>
      <c r="K432" s="78"/>
      <c r="L432" s="79"/>
    </row>
    <row r="433" spans="1:14" s="80" customFormat="1" ht="24.6" customHeight="1">
      <c r="A433" s="81">
        <f>'[14]1.과거인구'!$F$2</f>
        <v>2001</v>
      </c>
      <c r="B433" s="82"/>
      <c r="C433" s="82"/>
      <c r="D433" s="82"/>
      <c r="E433" s="83">
        <f>'[14]과거인구 (2)'!AA7</f>
        <v>22159</v>
      </c>
      <c r="F433" s="84">
        <f t="shared" si="50"/>
        <v>370</v>
      </c>
      <c r="G433" s="85">
        <f t="shared" si="51"/>
        <v>1.698</v>
      </c>
      <c r="H433" s="77"/>
      <c r="I433" s="78"/>
      <c r="J433" s="78"/>
      <c r="K433" s="78"/>
      <c r="L433" s="79"/>
    </row>
    <row r="434" spans="1:14" s="80" customFormat="1" ht="24.6" customHeight="1">
      <c r="A434" s="81">
        <f>'[14]1.과거인구'!$G$2</f>
        <v>2002</v>
      </c>
      <c r="B434" s="82"/>
      <c r="C434" s="82"/>
      <c r="D434" s="82"/>
      <c r="E434" s="83">
        <f>'[14]과거인구 (2)'!AA8</f>
        <v>25074</v>
      </c>
      <c r="F434" s="84">
        <f t="shared" si="50"/>
        <v>2915</v>
      </c>
      <c r="G434" s="85">
        <f t="shared" si="51"/>
        <v>13.154999999999999</v>
      </c>
      <c r="H434" s="77"/>
      <c r="I434" s="78"/>
      <c r="J434" s="78"/>
      <c r="K434" s="78"/>
      <c r="L434" s="79"/>
    </row>
    <row r="435" spans="1:14" s="80" customFormat="1" ht="24.6" customHeight="1">
      <c r="A435" s="81">
        <f>'[14]1.과거인구'!$H$2</f>
        <v>2003</v>
      </c>
      <c r="B435" s="82">
        <f>E435</f>
        <v>34638</v>
      </c>
      <c r="C435" s="84">
        <v>0</v>
      </c>
      <c r="D435" s="85">
        <v>0</v>
      </c>
      <c r="E435" s="83">
        <f>'[14]과거인구 (2)'!AA9</f>
        <v>34638</v>
      </c>
      <c r="F435" s="84">
        <f t="shared" si="50"/>
        <v>9564</v>
      </c>
      <c r="G435" s="85">
        <f t="shared" si="51"/>
        <v>38.143000000000001</v>
      </c>
      <c r="H435" s="77"/>
      <c r="I435" s="78"/>
      <c r="J435" s="78"/>
      <c r="K435" s="78"/>
      <c r="L435" s="79"/>
    </row>
    <row r="436" spans="1:14" s="80" customFormat="1" ht="24.6" customHeight="1">
      <c r="A436" s="81">
        <f>'[14]1.과거인구'!$I$2</f>
        <v>2004</v>
      </c>
      <c r="B436" s="82">
        <f>E436</f>
        <v>46357</v>
      </c>
      <c r="C436" s="84">
        <f>(B436-B435)</f>
        <v>11719</v>
      </c>
      <c r="D436" s="85">
        <f>ROUND(C436/B435*100,3)</f>
        <v>33.832999999999998</v>
      </c>
      <c r="E436" s="83">
        <f>'[14]과거인구 (2)'!AA10</f>
        <v>46357</v>
      </c>
      <c r="F436" s="84">
        <f t="shared" si="50"/>
        <v>11719</v>
      </c>
      <c r="G436" s="85">
        <f t="shared" si="51"/>
        <v>33.832999999999998</v>
      </c>
      <c r="H436" s="77"/>
      <c r="I436" s="78"/>
      <c r="J436" s="78"/>
      <c r="K436" s="78"/>
      <c r="L436" s="79"/>
    </row>
    <row r="437" spans="1:14" s="80" customFormat="1" ht="24.6" customHeight="1">
      <c r="A437" s="81">
        <f>'[14]1.과거인구'!$J$2</f>
        <v>2005</v>
      </c>
      <c r="B437" s="82">
        <f>E437</f>
        <v>48989</v>
      </c>
      <c r="C437" s="84">
        <f>(B437-B436)</f>
        <v>2632</v>
      </c>
      <c r="D437" s="85">
        <f>ROUND(C437/B436*100,3)</f>
        <v>5.6779999999999999</v>
      </c>
      <c r="E437" s="83">
        <f>'[14]과거인구 (2)'!AA11</f>
        <v>48989</v>
      </c>
      <c r="F437" s="84">
        <f t="shared" si="50"/>
        <v>2632</v>
      </c>
      <c r="G437" s="85">
        <f t="shared" si="51"/>
        <v>5.6779999999999999</v>
      </c>
      <c r="H437" s="77"/>
      <c r="I437" s="78"/>
      <c r="J437" s="78"/>
      <c r="K437" s="78"/>
      <c r="L437" s="79"/>
    </row>
    <row r="438" spans="1:14" s="80" customFormat="1" ht="24.6" customHeight="1">
      <c r="A438" s="81">
        <f>'[14]1.과거인구'!K$2</f>
        <v>2006</v>
      </c>
      <c r="B438" s="82">
        <f>E438</f>
        <v>50143</v>
      </c>
      <c r="C438" s="84">
        <f>(B438-B437)</f>
        <v>1154</v>
      </c>
      <c r="D438" s="85">
        <f>ROUND(C438/B437*100,3)</f>
        <v>2.3559999999999999</v>
      </c>
      <c r="E438" s="83">
        <f>'[14]과거인구 (2)'!AA12</f>
        <v>50143</v>
      </c>
      <c r="F438" s="84">
        <f t="shared" si="50"/>
        <v>1154</v>
      </c>
      <c r="G438" s="85">
        <f t="shared" si="51"/>
        <v>2.3559999999999999</v>
      </c>
      <c r="H438" s="77"/>
      <c r="I438" s="78"/>
      <c r="J438" s="78"/>
      <c r="K438" s="78"/>
      <c r="L438" s="79"/>
    </row>
    <row r="439" spans="1:14" s="80" customFormat="1" ht="24.6" customHeight="1">
      <c r="A439" s="81">
        <f>'[14]1.과거인구'!$L$2</f>
        <v>2007</v>
      </c>
      <c r="B439" s="82">
        <f>E439</f>
        <v>50843</v>
      </c>
      <c r="C439" s="84">
        <f>(B439-B438)</f>
        <v>700</v>
      </c>
      <c r="D439" s="85">
        <f>ROUND(C439/B438*100,3)</f>
        <v>1.3959999999999999</v>
      </c>
      <c r="E439" s="83">
        <f>'[14]과거인구 (2)'!AA13</f>
        <v>50843</v>
      </c>
      <c r="F439" s="84">
        <f t="shared" si="50"/>
        <v>700</v>
      </c>
      <c r="G439" s="85">
        <f t="shared" si="51"/>
        <v>1.3959999999999999</v>
      </c>
      <c r="H439" s="77"/>
      <c r="I439" s="78"/>
      <c r="J439" s="78"/>
      <c r="K439" s="78"/>
      <c r="L439" s="79"/>
    </row>
    <row r="440" spans="1:14" s="80" customFormat="1" ht="24.6" customHeight="1">
      <c r="A440" s="86" t="s">
        <v>253</v>
      </c>
      <c r="B440" s="87"/>
      <c r="C440" s="88">
        <f>SUM(C435:C439)</f>
        <v>16205</v>
      </c>
      <c r="D440" s="89">
        <f>ROUND(((B439/B435)^(1/4)-1)*100,2)</f>
        <v>10.07</v>
      </c>
      <c r="E440" s="87"/>
      <c r="F440" s="88">
        <f>SUM(F430:F439)</f>
        <v>29885</v>
      </c>
      <c r="G440" s="89">
        <f>ROUND(((E439/E430)^(1/9)-1)*100,2)</f>
        <v>10.35</v>
      </c>
      <c r="H440" s="832"/>
      <c r="I440" s="832"/>
      <c r="J440" s="832"/>
      <c r="K440" s="832"/>
      <c r="L440" s="833"/>
    </row>
    <row r="441" spans="1:14" s="80" customFormat="1" ht="24.6" customHeight="1">
      <c r="A441" s="834" t="s">
        <v>254</v>
      </c>
      <c r="B441" s="835"/>
      <c r="C441" s="836"/>
      <c r="D441" s="840" t="s">
        <v>287</v>
      </c>
      <c r="E441" s="840"/>
      <c r="F441" s="840"/>
      <c r="G441" s="840"/>
      <c r="H441" s="840"/>
      <c r="I441" s="840"/>
      <c r="J441" s="840"/>
      <c r="K441" s="840"/>
      <c r="L441" s="841"/>
    </row>
    <row r="442" spans="1:14" s="80" customFormat="1" ht="24.6" customHeight="1">
      <c r="A442" s="837"/>
      <c r="B442" s="838"/>
      <c r="C442" s="839"/>
      <c r="D442" s="842"/>
      <c r="E442" s="842"/>
      <c r="F442" s="842"/>
      <c r="G442" s="842"/>
      <c r="H442" s="842"/>
      <c r="I442" s="842"/>
      <c r="J442" s="842"/>
      <c r="K442" s="842"/>
      <c r="L442" s="843"/>
      <c r="N442" s="90"/>
    </row>
  </sheetData>
  <mergeCells count="208">
    <mergeCell ref="H440:L440"/>
    <mergeCell ref="A441:C442"/>
    <mergeCell ref="D441:L442"/>
    <mergeCell ref="H423:L423"/>
    <mergeCell ref="A424:C425"/>
    <mergeCell ref="D424:L425"/>
    <mergeCell ref="A427:A429"/>
    <mergeCell ref="B427:L427"/>
    <mergeCell ref="B428:D428"/>
    <mergeCell ref="E428:G428"/>
    <mergeCell ref="A393:A395"/>
    <mergeCell ref="B393:L393"/>
    <mergeCell ref="B394:D394"/>
    <mergeCell ref="E394:G394"/>
    <mergeCell ref="H394:L395"/>
    <mergeCell ref="H428:L429"/>
    <mergeCell ref="H406:L406"/>
    <mergeCell ref="A407:C408"/>
    <mergeCell ref="D407:L408"/>
    <mergeCell ref="A410:A412"/>
    <mergeCell ref="B410:L410"/>
    <mergeCell ref="B411:D411"/>
    <mergeCell ref="E411:G411"/>
    <mergeCell ref="H411:L412"/>
    <mergeCell ref="A373:C374"/>
    <mergeCell ref="D373:L374"/>
    <mergeCell ref="A376:A378"/>
    <mergeCell ref="B376:L376"/>
    <mergeCell ref="B377:D377"/>
    <mergeCell ref="E377:G377"/>
    <mergeCell ref="H377:L378"/>
    <mergeCell ref="H389:L389"/>
    <mergeCell ref="A390:C391"/>
    <mergeCell ref="D390:L391"/>
    <mergeCell ref="H355:L355"/>
    <mergeCell ref="A356:C357"/>
    <mergeCell ref="D356:L357"/>
    <mergeCell ref="A359:A361"/>
    <mergeCell ref="B359:L359"/>
    <mergeCell ref="B360:D360"/>
    <mergeCell ref="E360:G360"/>
    <mergeCell ref="H360:L361"/>
    <mergeCell ref="H372:L372"/>
    <mergeCell ref="A339:C340"/>
    <mergeCell ref="D339:L340"/>
    <mergeCell ref="A342:A344"/>
    <mergeCell ref="B342:L342"/>
    <mergeCell ref="B343:D343"/>
    <mergeCell ref="E343:G343"/>
    <mergeCell ref="H343:L344"/>
    <mergeCell ref="A135:C136"/>
    <mergeCell ref="D135:L136"/>
    <mergeCell ref="A138:A140"/>
    <mergeCell ref="H338:L338"/>
    <mergeCell ref="H321:L321"/>
    <mergeCell ref="A322:C323"/>
    <mergeCell ref="D322:L323"/>
    <mergeCell ref="A325:A327"/>
    <mergeCell ref="B325:L325"/>
    <mergeCell ref="B326:D326"/>
    <mergeCell ref="E326:G326"/>
    <mergeCell ref="H326:L327"/>
    <mergeCell ref="A169:C170"/>
    <mergeCell ref="H151:L151"/>
    <mergeCell ref="A152:C153"/>
    <mergeCell ref="H236:L236"/>
    <mergeCell ref="A237:C238"/>
    <mergeCell ref="H304:L304"/>
    <mergeCell ref="A305:C306"/>
    <mergeCell ref="D305:L306"/>
    <mergeCell ref="A308:A310"/>
    <mergeCell ref="B308:L308"/>
    <mergeCell ref="B309:D309"/>
    <mergeCell ref="E309:G309"/>
    <mergeCell ref="H309:L310"/>
    <mergeCell ref="A101:C102"/>
    <mergeCell ref="D101:L102"/>
    <mergeCell ref="A104:A106"/>
    <mergeCell ref="B104:L104"/>
    <mergeCell ref="B105:D105"/>
    <mergeCell ref="E105:G105"/>
    <mergeCell ref="H105:L106"/>
    <mergeCell ref="A172:A174"/>
    <mergeCell ref="B172:L172"/>
    <mergeCell ref="B173:D173"/>
    <mergeCell ref="E173:G173"/>
    <mergeCell ref="H173:L174"/>
    <mergeCell ref="H168:L168"/>
    <mergeCell ref="D237:L238"/>
    <mergeCell ref="D220:L221"/>
    <mergeCell ref="A223:A225"/>
    <mergeCell ref="A16:C17"/>
    <mergeCell ref="D16:L17"/>
    <mergeCell ref="H20:L21"/>
    <mergeCell ref="A19:A21"/>
    <mergeCell ref="B19:L19"/>
    <mergeCell ref="B20:D20"/>
    <mergeCell ref="E20:G20"/>
    <mergeCell ref="H3:L4"/>
    <mergeCell ref="A2:A4"/>
    <mergeCell ref="H15:L15"/>
    <mergeCell ref="B2:L2"/>
    <mergeCell ref="B3:D3"/>
    <mergeCell ref="E3:G3"/>
    <mergeCell ref="E54:G54"/>
    <mergeCell ref="H54:L55"/>
    <mergeCell ref="H66:L66"/>
    <mergeCell ref="H83:L83"/>
    <mergeCell ref="H32:L32"/>
    <mergeCell ref="D152:L153"/>
    <mergeCell ref="A155:A157"/>
    <mergeCell ref="B155:L155"/>
    <mergeCell ref="B156:D156"/>
    <mergeCell ref="E156:G156"/>
    <mergeCell ref="H156:L157"/>
    <mergeCell ref="A53:A55"/>
    <mergeCell ref="B53:L53"/>
    <mergeCell ref="B54:D54"/>
    <mergeCell ref="B36:L36"/>
    <mergeCell ref="B37:D37"/>
    <mergeCell ref="E37:G37"/>
    <mergeCell ref="H37:L38"/>
    <mergeCell ref="A121:A123"/>
    <mergeCell ref="B121:L121"/>
    <mergeCell ref="B122:D122"/>
    <mergeCell ref="E122:G122"/>
    <mergeCell ref="H122:L123"/>
    <mergeCell ref="H134:L134"/>
    <mergeCell ref="A67:C68"/>
    <mergeCell ref="D67:L68"/>
    <mergeCell ref="A70:A72"/>
    <mergeCell ref="B70:L70"/>
    <mergeCell ref="A84:C85"/>
    <mergeCell ref="D84:L85"/>
    <mergeCell ref="A87:A89"/>
    <mergeCell ref="B87:L87"/>
    <mergeCell ref="B88:D88"/>
    <mergeCell ref="E88:G88"/>
    <mergeCell ref="H88:L89"/>
    <mergeCell ref="B71:D71"/>
    <mergeCell ref="E71:G71"/>
    <mergeCell ref="H71:L72"/>
    <mergeCell ref="H49:L49"/>
    <mergeCell ref="A50:C51"/>
    <mergeCell ref="A33:C34"/>
    <mergeCell ref="D33:L34"/>
    <mergeCell ref="D50:L51"/>
    <mergeCell ref="H207:L208"/>
    <mergeCell ref="H185:L185"/>
    <mergeCell ref="A186:C187"/>
    <mergeCell ref="D186:L187"/>
    <mergeCell ref="A36:A38"/>
    <mergeCell ref="E139:G139"/>
    <mergeCell ref="H139:L140"/>
    <mergeCell ref="H100:L100"/>
    <mergeCell ref="H117:L117"/>
    <mergeCell ref="A118:C119"/>
    <mergeCell ref="D118:L119"/>
    <mergeCell ref="A206:A208"/>
    <mergeCell ref="B206:L206"/>
    <mergeCell ref="B207:D207"/>
    <mergeCell ref="D169:L170"/>
    <mergeCell ref="H202:L202"/>
    <mergeCell ref="E207:G207"/>
    <mergeCell ref="B138:L138"/>
    <mergeCell ref="B139:D139"/>
    <mergeCell ref="B223:L223"/>
    <mergeCell ref="B224:D224"/>
    <mergeCell ref="E224:G224"/>
    <mergeCell ref="A189:A191"/>
    <mergeCell ref="B189:L189"/>
    <mergeCell ref="B190:D190"/>
    <mergeCell ref="E190:G190"/>
    <mergeCell ref="H190:L191"/>
    <mergeCell ref="A203:C204"/>
    <mergeCell ref="D203:L204"/>
    <mergeCell ref="H224:L225"/>
    <mergeCell ref="H219:L219"/>
    <mergeCell ref="A220:C221"/>
    <mergeCell ref="A254:C255"/>
    <mergeCell ref="D254:L255"/>
    <mergeCell ref="A257:A259"/>
    <mergeCell ref="B257:L257"/>
    <mergeCell ref="B258:D258"/>
    <mergeCell ref="E258:G258"/>
    <mergeCell ref="H258:L259"/>
    <mergeCell ref="A240:A242"/>
    <mergeCell ref="B240:L240"/>
    <mergeCell ref="B241:D241"/>
    <mergeCell ref="E241:G241"/>
    <mergeCell ref="H241:L242"/>
    <mergeCell ref="H253:L253"/>
    <mergeCell ref="H287:L287"/>
    <mergeCell ref="A288:C289"/>
    <mergeCell ref="D288:L289"/>
    <mergeCell ref="A291:A293"/>
    <mergeCell ref="B291:L291"/>
    <mergeCell ref="B292:D292"/>
    <mergeCell ref="E292:G292"/>
    <mergeCell ref="H292:L293"/>
    <mergeCell ref="H270:L270"/>
    <mergeCell ref="A271:C272"/>
    <mergeCell ref="D271:L272"/>
    <mergeCell ref="A274:A276"/>
    <mergeCell ref="B274:L274"/>
    <mergeCell ref="B275:D275"/>
    <mergeCell ref="E275:G275"/>
    <mergeCell ref="H275:L276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0"/>
  </sheetPr>
  <dimension ref="A1:L238"/>
  <sheetViews>
    <sheetView showGridLines="0" view="pageBreakPreview" topLeftCell="A235" zoomScaleSheetLayoutView="100" workbookViewId="0">
      <selection activeCell="N257" sqref="N257"/>
    </sheetView>
  </sheetViews>
  <sheetFormatPr defaultColWidth="8" defaultRowHeight="15.95" customHeight="1"/>
  <cols>
    <col min="1" max="1" width="2.33203125" style="98" customWidth="1"/>
    <col min="2" max="3" width="6.109375" style="98" customWidth="1"/>
    <col min="4" max="4" width="7.33203125" style="98" customWidth="1"/>
    <col min="5" max="5" width="7.109375" style="98" customWidth="1"/>
    <col min="6" max="6" width="6.5546875" style="98" customWidth="1"/>
    <col min="7" max="7" width="6.77734375" style="98" customWidth="1"/>
    <col min="8" max="8" width="7.109375" style="98" customWidth="1"/>
    <col min="9" max="9" width="6.6640625" style="98" customWidth="1"/>
    <col min="10" max="10" width="8.109375" style="98" customWidth="1"/>
    <col min="11" max="11" width="7.77734375" style="98" customWidth="1"/>
    <col min="12" max="12" width="2.33203125" style="98" customWidth="1"/>
    <col min="13" max="16384" width="8" style="96"/>
  </cols>
  <sheetData>
    <row r="1" spans="1:12" ht="15.95" customHeight="1">
      <c r="A1" s="17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ht="15.95" customHeight="1">
      <c r="A2" s="19" t="s">
        <v>105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ht="9.9499999999999993" customHeight="1">
      <c r="A3" s="97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95" customHeight="1">
      <c r="B4" s="99" t="s">
        <v>625</v>
      </c>
      <c r="C4" s="515">
        <v>2007</v>
      </c>
    </row>
    <row r="5" spans="1:12" ht="15.95" customHeight="1" thickBot="1">
      <c r="A5" s="100"/>
      <c r="B5" s="98" t="s">
        <v>76</v>
      </c>
      <c r="C5" s="101"/>
      <c r="D5" s="98" t="s">
        <v>77</v>
      </c>
      <c r="F5" s="102" t="s">
        <v>78</v>
      </c>
      <c r="G5" s="102"/>
      <c r="I5" s="101"/>
      <c r="J5" s="101"/>
      <c r="K5" s="101"/>
      <c r="L5" s="101"/>
    </row>
    <row r="6" spans="1:12" s="105" customFormat="1" ht="15.95" customHeight="1">
      <c r="A6" s="103"/>
      <c r="B6" s="104" t="s">
        <v>245</v>
      </c>
      <c r="C6" s="104"/>
      <c r="D6" s="104" t="s">
        <v>79</v>
      </c>
      <c r="E6" s="104"/>
      <c r="F6" s="104" t="s">
        <v>80</v>
      </c>
      <c r="G6" s="104"/>
      <c r="H6" s="104" t="s">
        <v>288</v>
      </c>
      <c r="I6" s="104"/>
      <c r="J6" s="104" t="s">
        <v>81</v>
      </c>
      <c r="K6" s="104"/>
    </row>
    <row r="7" spans="1:12" s="105" customFormat="1" ht="15.95" customHeight="1">
      <c r="B7" s="106">
        <v>1998</v>
      </c>
      <c r="C7" s="106"/>
      <c r="D7" s="107">
        <v>386517</v>
      </c>
      <c r="E7" s="107"/>
      <c r="F7" s="108">
        <f>D7-D7</f>
        <v>0</v>
      </c>
      <c r="G7" s="108"/>
      <c r="H7" s="109">
        <f>F7</f>
        <v>0</v>
      </c>
      <c r="I7" s="110"/>
      <c r="J7" s="111" t="s">
        <v>82</v>
      </c>
      <c r="K7" s="111">
        <v>1000000</v>
      </c>
    </row>
    <row r="8" spans="1:12" s="105" customFormat="1" ht="15.95" customHeight="1">
      <c r="B8" s="106">
        <v>1999</v>
      </c>
      <c r="C8" s="106"/>
      <c r="D8" s="107">
        <v>406052</v>
      </c>
      <c r="E8" s="107"/>
      <c r="F8" s="108">
        <f t="shared" ref="F8:F16" si="0">D8-D7</f>
        <v>19535</v>
      </c>
      <c r="G8" s="108"/>
      <c r="H8" s="109">
        <f t="shared" ref="H8:H16" si="1">ROUND(F8/D7*100,2)</f>
        <v>5.05</v>
      </c>
      <c r="I8" s="110"/>
      <c r="J8" s="112">
        <v>0</v>
      </c>
      <c r="K8" s="112"/>
    </row>
    <row r="9" spans="1:12" s="105" customFormat="1" ht="15.95" customHeight="1">
      <c r="B9" s="106">
        <v>2000</v>
      </c>
      <c r="C9" s="106"/>
      <c r="D9" s="107">
        <v>425135</v>
      </c>
      <c r="E9" s="107"/>
      <c r="F9" s="108">
        <f t="shared" si="0"/>
        <v>19083</v>
      </c>
      <c r="G9" s="108"/>
      <c r="H9" s="109">
        <f t="shared" si="1"/>
        <v>4.7</v>
      </c>
      <c r="I9" s="110"/>
      <c r="J9" s="112">
        <v>0</v>
      </c>
      <c r="K9" s="112"/>
    </row>
    <row r="10" spans="1:12" s="105" customFormat="1" ht="15.95" customHeight="1">
      <c r="B10" s="106">
        <v>2001</v>
      </c>
      <c r="C10" s="106"/>
      <c r="D10" s="107">
        <v>436708</v>
      </c>
      <c r="E10" s="107"/>
      <c r="F10" s="108">
        <f t="shared" si="0"/>
        <v>11573</v>
      </c>
      <c r="G10" s="108"/>
      <c r="H10" s="109">
        <f t="shared" si="1"/>
        <v>2.72</v>
      </c>
      <c r="I10" s="110"/>
      <c r="J10" s="112">
        <v>0</v>
      </c>
      <c r="K10" s="112"/>
    </row>
    <row r="11" spans="1:12" s="105" customFormat="1" ht="15.95" customHeight="1">
      <c r="B11" s="106">
        <v>2002</v>
      </c>
      <c r="C11" s="106"/>
      <c r="D11" s="107">
        <v>445485</v>
      </c>
      <c r="E11" s="107"/>
      <c r="F11" s="108">
        <f t="shared" si="0"/>
        <v>8777</v>
      </c>
      <c r="G11" s="108"/>
      <c r="H11" s="109">
        <f t="shared" si="1"/>
        <v>2.0099999999999998</v>
      </c>
      <c r="I11" s="110"/>
      <c r="J11" s="112">
        <v>0</v>
      </c>
      <c r="K11" s="112"/>
    </row>
    <row r="12" spans="1:12" s="105" customFormat="1" ht="15.95" customHeight="1">
      <c r="B12" s="106">
        <v>2003</v>
      </c>
      <c r="C12" s="106"/>
      <c r="D12" s="107">
        <v>462714</v>
      </c>
      <c r="E12" s="107"/>
      <c r="F12" s="108">
        <f t="shared" si="0"/>
        <v>17229</v>
      </c>
      <c r="G12" s="108"/>
      <c r="H12" s="109">
        <f t="shared" si="1"/>
        <v>3.87</v>
      </c>
      <c r="I12" s="110"/>
      <c r="J12" s="112">
        <v>0</v>
      </c>
      <c r="K12" s="112"/>
    </row>
    <row r="13" spans="1:12" s="105" customFormat="1" ht="15.95" customHeight="1">
      <c r="B13" s="106">
        <v>2004</v>
      </c>
      <c r="C13" s="106"/>
      <c r="D13" s="107">
        <v>509744</v>
      </c>
      <c r="E13" s="107"/>
      <c r="F13" s="108">
        <f t="shared" si="0"/>
        <v>47030</v>
      </c>
      <c r="G13" s="108"/>
      <c r="H13" s="109">
        <f t="shared" si="1"/>
        <v>10.16</v>
      </c>
      <c r="I13" s="110"/>
      <c r="J13" s="112">
        <v>0</v>
      </c>
      <c r="K13" s="112"/>
    </row>
    <row r="14" spans="1:12" s="105" customFormat="1" ht="15.95" customHeight="1">
      <c r="B14" s="106">
        <v>2005</v>
      </c>
      <c r="C14" s="106"/>
      <c r="D14" s="107">
        <v>518818</v>
      </c>
      <c r="E14" s="107"/>
      <c r="F14" s="108">
        <f t="shared" si="0"/>
        <v>9074</v>
      </c>
      <c r="G14" s="108"/>
      <c r="H14" s="109">
        <f t="shared" si="1"/>
        <v>1.78</v>
      </c>
      <c r="I14" s="110"/>
      <c r="J14" s="112">
        <v>0</v>
      </c>
      <c r="K14" s="112"/>
    </row>
    <row r="15" spans="1:12" s="105" customFormat="1" ht="15.95" customHeight="1">
      <c r="B15" s="106">
        <v>2006</v>
      </c>
      <c r="C15" s="106"/>
      <c r="D15" s="107">
        <v>531193</v>
      </c>
      <c r="E15" s="107"/>
      <c r="F15" s="108">
        <f t="shared" si="0"/>
        <v>12375</v>
      </c>
      <c r="G15" s="108"/>
      <c r="H15" s="109">
        <f t="shared" si="1"/>
        <v>2.39</v>
      </c>
      <c r="I15" s="110"/>
      <c r="J15" s="112">
        <v>0</v>
      </c>
      <c r="K15" s="112"/>
    </row>
    <row r="16" spans="1:12" s="105" customFormat="1" ht="15.95" customHeight="1">
      <c r="B16" s="106">
        <v>2007</v>
      </c>
      <c r="C16" s="106"/>
      <c r="D16" s="107">
        <v>540742</v>
      </c>
      <c r="E16" s="107"/>
      <c r="F16" s="108">
        <f t="shared" si="0"/>
        <v>9549</v>
      </c>
      <c r="G16" s="108"/>
      <c r="H16" s="109">
        <f t="shared" si="1"/>
        <v>1.8</v>
      </c>
      <c r="I16" s="110"/>
      <c r="J16" s="112">
        <v>0</v>
      </c>
      <c r="K16" s="112"/>
    </row>
    <row r="17" spans="2:11" s="105" customFormat="1" ht="15.95" customHeight="1" thickBot="1">
      <c r="B17" s="113" t="s">
        <v>100</v>
      </c>
      <c r="C17" s="114"/>
      <c r="D17" s="115">
        <f>SUM(D7:D16)</f>
        <v>4663108</v>
      </c>
      <c r="E17" s="116"/>
      <c r="F17" s="117"/>
      <c r="G17" s="117"/>
      <c r="H17" s="118">
        <f>SUM(H7:H16)</f>
        <v>34.479999999999997</v>
      </c>
      <c r="I17" s="118"/>
      <c r="J17" s="119">
        <f>ROUND(AVERAGE(H8:H16),1)</f>
        <v>3.8</v>
      </c>
      <c r="K17" s="119"/>
    </row>
    <row r="18" spans="2:11" s="105" customFormat="1" ht="9.9499999999999993" customHeight="1"/>
    <row r="19" spans="2:11" s="105" customFormat="1" ht="15.95" customHeight="1">
      <c r="B19" s="120" t="s">
        <v>289</v>
      </c>
      <c r="C19" s="121"/>
      <c r="D19" s="121"/>
      <c r="E19" s="121"/>
      <c r="F19" s="121"/>
    </row>
    <row r="20" spans="2:11" s="105" customFormat="1" ht="15.95" customHeight="1">
      <c r="C20" s="121" t="s">
        <v>83</v>
      </c>
      <c r="D20" s="121" t="s">
        <v>290</v>
      </c>
      <c r="E20" s="121"/>
      <c r="F20" s="121"/>
    </row>
    <row r="21" spans="2:11" s="105" customFormat="1" ht="15.95" customHeight="1">
      <c r="B21" s="103"/>
      <c r="C21" s="103" t="s">
        <v>84</v>
      </c>
      <c r="D21" s="121" t="s">
        <v>291</v>
      </c>
      <c r="E21" s="103"/>
      <c r="F21" s="103"/>
    </row>
    <row r="22" spans="2:11" s="105" customFormat="1" ht="15.95" customHeight="1">
      <c r="B22" s="121"/>
      <c r="C22" s="121"/>
      <c r="D22" s="121" t="s">
        <v>292</v>
      </c>
      <c r="E22" s="121"/>
      <c r="F22" s="121"/>
    </row>
    <row r="23" spans="2:11" s="105" customFormat="1" ht="15.95" customHeight="1">
      <c r="B23" s="121"/>
      <c r="C23" s="121"/>
      <c r="D23" s="121" t="s">
        <v>85</v>
      </c>
      <c r="E23" s="121"/>
      <c r="F23" s="121"/>
    </row>
    <row r="24" spans="2:11" s="105" customFormat="1" ht="15.95" customHeight="1" thickBot="1">
      <c r="F24" s="110" t="s">
        <v>86</v>
      </c>
      <c r="G24" s="110"/>
    </row>
    <row r="25" spans="2:11" s="105" customFormat="1" ht="15.95" customHeight="1">
      <c r="B25" s="104" t="s">
        <v>245</v>
      </c>
      <c r="C25" s="104"/>
      <c r="D25" s="104" t="s">
        <v>293</v>
      </c>
      <c r="E25" s="104"/>
      <c r="F25" s="104" t="s">
        <v>87</v>
      </c>
      <c r="G25" s="104"/>
      <c r="H25" s="104" t="s">
        <v>294</v>
      </c>
      <c r="I25" s="104"/>
      <c r="J25" s="104" t="s">
        <v>81</v>
      </c>
      <c r="K25" s="104"/>
    </row>
    <row r="26" spans="2:11" s="105" customFormat="1" ht="15.95" customHeight="1">
      <c r="B26" s="106">
        <v>2008</v>
      </c>
      <c r="C26" s="110"/>
      <c r="D26" s="110">
        <f t="shared" ref="D26:D43" si="2">ROUND(E$44+H$44*(B26-$C$4),0)</f>
        <v>557878</v>
      </c>
      <c r="E26" s="110"/>
      <c r="F26" s="110">
        <v>0</v>
      </c>
      <c r="G26" s="110"/>
      <c r="H26" s="110">
        <f t="shared" ref="H26:H43" si="3">ROUND(D26*(1+F26),0)</f>
        <v>557878</v>
      </c>
      <c r="I26" s="110"/>
      <c r="J26" s="112">
        <v>0</v>
      </c>
      <c r="K26" s="112"/>
    </row>
    <row r="27" spans="2:11" s="105" customFormat="1" ht="15.95" customHeight="1">
      <c r="B27" s="106">
        <v>2009</v>
      </c>
      <c r="C27" s="110"/>
      <c r="D27" s="110">
        <f t="shared" si="2"/>
        <v>575014</v>
      </c>
      <c r="E27" s="110"/>
      <c r="F27" s="110">
        <v>0</v>
      </c>
      <c r="G27" s="110"/>
      <c r="H27" s="110">
        <f t="shared" si="3"/>
        <v>575014</v>
      </c>
      <c r="I27" s="110"/>
      <c r="J27" s="112">
        <v>0</v>
      </c>
      <c r="K27" s="112"/>
    </row>
    <row r="28" spans="2:11" s="105" customFormat="1" ht="15.95" customHeight="1">
      <c r="B28" s="106">
        <v>2010</v>
      </c>
      <c r="C28" s="110"/>
      <c r="D28" s="110">
        <f t="shared" si="2"/>
        <v>592150</v>
      </c>
      <c r="E28" s="110"/>
      <c r="F28" s="110">
        <v>0</v>
      </c>
      <c r="G28" s="110"/>
      <c r="H28" s="110">
        <f t="shared" si="3"/>
        <v>592150</v>
      </c>
      <c r="I28" s="110"/>
      <c r="J28" s="112">
        <v>0</v>
      </c>
      <c r="K28" s="112"/>
    </row>
    <row r="29" spans="2:11" s="105" customFormat="1" ht="15.95" customHeight="1">
      <c r="B29" s="106">
        <v>2011</v>
      </c>
      <c r="C29" s="110"/>
      <c r="D29" s="110">
        <f t="shared" si="2"/>
        <v>609286</v>
      </c>
      <c r="E29" s="110"/>
      <c r="F29" s="110">
        <v>0</v>
      </c>
      <c r="G29" s="110"/>
      <c r="H29" s="110">
        <f t="shared" si="3"/>
        <v>609286</v>
      </c>
      <c r="I29" s="110"/>
      <c r="J29" s="112">
        <v>0</v>
      </c>
      <c r="K29" s="112"/>
    </row>
    <row r="30" spans="2:11" s="105" customFormat="1" ht="15.95" customHeight="1">
      <c r="B30" s="106">
        <v>2012</v>
      </c>
      <c r="C30" s="110"/>
      <c r="D30" s="110">
        <f t="shared" si="2"/>
        <v>626423</v>
      </c>
      <c r="E30" s="110"/>
      <c r="F30" s="110">
        <v>0</v>
      </c>
      <c r="G30" s="110"/>
      <c r="H30" s="110">
        <f t="shared" si="3"/>
        <v>626423</v>
      </c>
      <c r="I30" s="110"/>
      <c r="J30" s="112">
        <v>0</v>
      </c>
      <c r="K30" s="112"/>
    </row>
    <row r="31" spans="2:11" s="105" customFormat="1" ht="15.95" customHeight="1">
      <c r="B31" s="106">
        <v>2013</v>
      </c>
      <c r="C31" s="110"/>
      <c r="D31" s="110">
        <f t="shared" si="2"/>
        <v>643559</v>
      </c>
      <c r="E31" s="110"/>
      <c r="F31" s="110">
        <v>0</v>
      </c>
      <c r="G31" s="110"/>
      <c r="H31" s="110">
        <f t="shared" si="3"/>
        <v>643559</v>
      </c>
      <c r="I31" s="110"/>
      <c r="J31" s="112">
        <v>0</v>
      </c>
      <c r="K31" s="112"/>
    </row>
    <row r="32" spans="2:11" s="105" customFormat="1" ht="15.95" customHeight="1">
      <c r="B32" s="106">
        <v>2014</v>
      </c>
      <c r="C32" s="110"/>
      <c r="D32" s="110">
        <f t="shared" si="2"/>
        <v>660695</v>
      </c>
      <c r="E32" s="110"/>
      <c r="F32" s="110">
        <v>0</v>
      </c>
      <c r="G32" s="110"/>
      <c r="H32" s="110">
        <f t="shared" si="3"/>
        <v>660695</v>
      </c>
      <c r="I32" s="110"/>
      <c r="J32" s="112">
        <v>0</v>
      </c>
      <c r="K32" s="112"/>
    </row>
    <row r="33" spans="2:11" s="105" customFormat="1" ht="15.95" customHeight="1">
      <c r="B33" s="106">
        <v>2015</v>
      </c>
      <c r="C33" s="110"/>
      <c r="D33" s="110">
        <f t="shared" si="2"/>
        <v>677831</v>
      </c>
      <c r="E33" s="110"/>
      <c r="F33" s="110">
        <v>0</v>
      </c>
      <c r="G33" s="110"/>
      <c r="H33" s="110">
        <f t="shared" si="3"/>
        <v>677831</v>
      </c>
      <c r="I33" s="110"/>
      <c r="J33" s="112">
        <v>0</v>
      </c>
      <c r="K33" s="112"/>
    </row>
    <row r="34" spans="2:11" s="105" customFormat="1" ht="15.95" customHeight="1">
      <c r="B34" s="106">
        <v>2016</v>
      </c>
      <c r="C34" s="110"/>
      <c r="D34" s="110">
        <f t="shared" si="2"/>
        <v>694967</v>
      </c>
      <c r="E34" s="110"/>
      <c r="F34" s="110">
        <v>0</v>
      </c>
      <c r="G34" s="110"/>
      <c r="H34" s="110">
        <f t="shared" si="3"/>
        <v>694967</v>
      </c>
      <c r="I34" s="110"/>
      <c r="J34" s="112">
        <v>0</v>
      </c>
      <c r="K34" s="112"/>
    </row>
    <row r="35" spans="2:11" s="105" customFormat="1" ht="15.95" customHeight="1">
      <c r="B35" s="106">
        <v>2017</v>
      </c>
      <c r="C35" s="110"/>
      <c r="D35" s="110">
        <f t="shared" si="2"/>
        <v>712103</v>
      </c>
      <c r="E35" s="110"/>
      <c r="F35" s="110">
        <v>0</v>
      </c>
      <c r="G35" s="110"/>
      <c r="H35" s="110">
        <f t="shared" si="3"/>
        <v>712103</v>
      </c>
      <c r="I35" s="110"/>
      <c r="J35" s="112">
        <v>0</v>
      </c>
      <c r="K35" s="112"/>
    </row>
    <row r="36" spans="2:11" s="105" customFormat="1" ht="15.95" customHeight="1">
      <c r="B36" s="106">
        <v>2018</v>
      </c>
      <c r="C36" s="110"/>
      <c r="D36" s="110">
        <f t="shared" si="2"/>
        <v>729239</v>
      </c>
      <c r="E36" s="110"/>
      <c r="F36" s="110">
        <v>0</v>
      </c>
      <c r="G36" s="110"/>
      <c r="H36" s="110">
        <f t="shared" si="3"/>
        <v>729239</v>
      </c>
      <c r="I36" s="110"/>
      <c r="J36" s="112">
        <v>0</v>
      </c>
      <c r="K36" s="112"/>
    </row>
    <row r="37" spans="2:11" s="105" customFormat="1" ht="15.95" customHeight="1">
      <c r="B37" s="106">
        <v>2019</v>
      </c>
      <c r="C37" s="110"/>
      <c r="D37" s="110">
        <f t="shared" si="2"/>
        <v>746375</v>
      </c>
      <c r="E37" s="110"/>
      <c r="F37" s="110">
        <v>0</v>
      </c>
      <c r="G37" s="110"/>
      <c r="H37" s="110">
        <f t="shared" si="3"/>
        <v>746375</v>
      </c>
      <c r="I37" s="110"/>
      <c r="J37" s="112">
        <v>0</v>
      </c>
      <c r="K37" s="112"/>
    </row>
    <row r="38" spans="2:11" s="105" customFormat="1" ht="15.95" customHeight="1">
      <c r="B38" s="106">
        <v>2020</v>
      </c>
      <c r="C38" s="110"/>
      <c r="D38" s="110">
        <f t="shared" si="2"/>
        <v>763511</v>
      </c>
      <c r="E38" s="110"/>
      <c r="F38" s="110">
        <v>0</v>
      </c>
      <c r="G38" s="110"/>
      <c r="H38" s="110">
        <f t="shared" si="3"/>
        <v>763511</v>
      </c>
      <c r="I38" s="110"/>
      <c r="J38" s="112">
        <v>0</v>
      </c>
      <c r="K38" s="112"/>
    </row>
    <row r="39" spans="2:11" s="105" customFormat="1" ht="15.95" customHeight="1">
      <c r="B39" s="106">
        <v>2021</v>
      </c>
      <c r="C39" s="110"/>
      <c r="D39" s="110">
        <f t="shared" si="2"/>
        <v>780647</v>
      </c>
      <c r="E39" s="110"/>
      <c r="F39" s="110">
        <v>0</v>
      </c>
      <c r="G39" s="110"/>
      <c r="H39" s="110">
        <f t="shared" si="3"/>
        <v>780647</v>
      </c>
      <c r="I39" s="110"/>
      <c r="J39" s="112">
        <v>0</v>
      </c>
      <c r="K39" s="112"/>
    </row>
    <row r="40" spans="2:11" s="105" customFormat="1" ht="15.95" customHeight="1">
      <c r="B40" s="106">
        <v>2022</v>
      </c>
      <c r="C40" s="110"/>
      <c r="D40" s="110">
        <f t="shared" si="2"/>
        <v>797784</v>
      </c>
      <c r="E40" s="110"/>
      <c r="F40" s="110">
        <v>0</v>
      </c>
      <c r="G40" s="110"/>
      <c r="H40" s="110">
        <f t="shared" si="3"/>
        <v>797784</v>
      </c>
      <c r="I40" s="110"/>
      <c r="J40" s="112">
        <v>0</v>
      </c>
      <c r="K40" s="112"/>
    </row>
    <row r="41" spans="2:11" s="105" customFormat="1" ht="15.95" customHeight="1">
      <c r="B41" s="106">
        <v>2023</v>
      </c>
      <c r="C41" s="110"/>
      <c r="D41" s="110">
        <f t="shared" si="2"/>
        <v>814920</v>
      </c>
      <c r="E41" s="110"/>
      <c r="F41" s="110">
        <v>0</v>
      </c>
      <c r="G41" s="110"/>
      <c r="H41" s="110">
        <f t="shared" si="3"/>
        <v>814920</v>
      </c>
      <c r="I41" s="110"/>
      <c r="J41" s="112">
        <v>0</v>
      </c>
      <c r="K41" s="112"/>
    </row>
    <row r="42" spans="2:11" s="105" customFormat="1" ht="15.95" customHeight="1">
      <c r="B42" s="106">
        <v>2024</v>
      </c>
      <c r="C42" s="110"/>
      <c r="D42" s="110">
        <f t="shared" si="2"/>
        <v>832056</v>
      </c>
      <c r="E42" s="110"/>
      <c r="F42" s="110">
        <v>0</v>
      </c>
      <c r="G42" s="110"/>
      <c r="H42" s="110">
        <f t="shared" si="3"/>
        <v>832056</v>
      </c>
      <c r="I42" s="110"/>
      <c r="J42" s="112">
        <v>0</v>
      </c>
      <c r="K42" s="112"/>
    </row>
    <row r="43" spans="2:11" s="105" customFormat="1" ht="15.95" customHeight="1" thickBot="1">
      <c r="B43" s="106">
        <v>2025</v>
      </c>
      <c r="C43" s="110"/>
      <c r="D43" s="110">
        <f t="shared" si="2"/>
        <v>849192</v>
      </c>
      <c r="E43" s="110"/>
      <c r="F43" s="110">
        <v>0</v>
      </c>
      <c r="G43" s="110"/>
      <c r="H43" s="110">
        <f t="shared" si="3"/>
        <v>849192</v>
      </c>
      <c r="I43" s="110"/>
      <c r="J43" s="112">
        <v>0</v>
      </c>
      <c r="K43" s="112"/>
    </row>
    <row r="44" spans="2:11" s="105" customFormat="1" ht="15.95" customHeight="1">
      <c r="B44" s="122" t="s">
        <v>295</v>
      </c>
      <c r="C44" s="122"/>
      <c r="D44" s="123" t="s">
        <v>88</v>
      </c>
      <c r="E44" s="124">
        <f>D$16</f>
        <v>540742</v>
      </c>
      <c r="F44" s="125"/>
      <c r="G44" s="123" t="s">
        <v>89</v>
      </c>
      <c r="H44" s="123">
        <f>ROUND((D$16-D$7)/(COUNT(D$7:D$16)-1),1)</f>
        <v>17136.099999999999</v>
      </c>
      <c r="I44" s="123"/>
      <c r="J44" s="123" t="s">
        <v>90</v>
      </c>
      <c r="K44" s="126" t="s">
        <v>91</v>
      </c>
    </row>
    <row r="45" spans="2:11" s="105" customFormat="1" ht="15.95" customHeight="1"/>
    <row r="46" spans="2:11" s="105" customFormat="1" ht="15.95" customHeight="1">
      <c r="B46" s="120" t="s">
        <v>296</v>
      </c>
      <c r="C46" s="121"/>
      <c r="D46" s="121"/>
      <c r="E46" s="121"/>
      <c r="F46" s="121"/>
      <c r="G46" s="121"/>
    </row>
    <row r="47" spans="2:11" s="105" customFormat="1" ht="15.95" customHeight="1">
      <c r="C47" s="121" t="s">
        <v>83</v>
      </c>
      <c r="D47" s="121" t="s">
        <v>297</v>
      </c>
      <c r="E47" s="121"/>
      <c r="F47" s="121"/>
      <c r="G47" s="121"/>
    </row>
    <row r="48" spans="2:11" s="105" customFormat="1" ht="15.95" customHeight="1">
      <c r="B48" s="103"/>
      <c r="C48" s="103" t="s">
        <v>84</v>
      </c>
      <c r="D48" s="121" t="s">
        <v>291</v>
      </c>
      <c r="E48" s="103"/>
      <c r="F48" s="103"/>
      <c r="G48" s="103"/>
    </row>
    <row r="49" spans="2:11" s="105" customFormat="1" ht="15.95" customHeight="1">
      <c r="B49" s="121"/>
      <c r="C49" s="121"/>
      <c r="D49" s="121" t="s">
        <v>292</v>
      </c>
      <c r="E49" s="121"/>
      <c r="F49" s="121"/>
      <c r="G49" s="121"/>
    </row>
    <row r="50" spans="2:11" s="105" customFormat="1" ht="15.95" customHeight="1">
      <c r="B50" s="121"/>
      <c r="C50" s="121"/>
      <c r="D50" s="121" t="s">
        <v>298</v>
      </c>
      <c r="E50" s="121"/>
      <c r="F50" s="121"/>
      <c r="G50" s="121"/>
    </row>
    <row r="51" spans="2:11" s="105" customFormat="1" ht="15.95" customHeight="1"/>
    <row r="52" spans="2:11" s="105" customFormat="1" ht="15.95" customHeight="1" thickBot="1">
      <c r="F52" s="110" t="s">
        <v>92</v>
      </c>
      <c r="G52" s="110"/>
    </row>
    <row r="53" spans="2:11" s="105" customFormat="1" ht="15.95" customHeight="1">
      <c r="B53" s="104" t="s">
        <v>245</v>
      </c>
      <c r="C53" s="104"/>
      <c r="D53" s="104" t="s">
        <v>293</v>
      </c>
      <c r="E53" s="104"/>
      <c r="F53" s="104" t="s">
        <v>87</v>
      </c>
      <c r="G53" s="104"/>
      <c r="H53" s="104" t="s">
        <v>294</v>
      </c>
      <c r="I53" s="104"/>
      <c r="J53" s="104" t="s">
        <v>81</v>
      </c>
      <c r="K53" s="104"/>
    </row>
    <row r="54" spans="2:11" s="105" customFormat="1" ht="15.95" customHeight="1">
      <c r="B54" s="106">
        <v>2008</v>
      </c>
      <c r="C54" s="110"/>
      <c r="D54" s="110">
        <f t="shared" ref="D54:D71" si="4">ROUND(E$72*H$72^(B54-$C$4),0)</f>
        <v>561297</v>
      </c>
      <c r="E54" s="110"/>
      <c r="F54" s="110">
        <v>0</v>
      </c>
      <c r="G54" s="110"/>
      <c r="H54" s="110">
        <f t="shared" ref="H54:H71" si="5">ROUND(D54*(1+F54),0)</f>
        <v>561297</v>
      </c>
      <c r="I54" s="110"/>
      <c r="J54" s="112">
        <v>0</v>
      </c>
      <c r="K54" s="112"/>
    </row>
    <row r="55" spans="2:11" s="105" customFormat="1" ht="15.95" customHeight="1">
      <c r="B55" s="106">
        <v>2009</v>
      </c>
      <c r="C55" s="110"/>
      <c r="D55" s="110">
        <f t="shared" si="4"/>
        <v>582633</v>
      </c>
      <c r="E55" s="110"/>
      <c r="F55" s="110">
        <v>0</v>
      </c>
      <c r="G55" s="110"/>
      <c r="H55" s="110">
        <f t="shared" si="5"/>
        <v>582633</v>
      </c>
      <c r="I55" s="110"/>
      <c r="J55" s="112">
        <v>0</v>
      </c>
      <c r="K55" s="112"/>
    </row>
    <row r="56" spans="2:11" s="105" customFormat="1" ht="15.95" customHeight="1">
      <c r="B56" s="106">
        <v>2010</v>
      </c>
      <c r="C56" s="110"/>
      <c r="D56" s="110">
        <f t="shared" si="4"/>
        <v>604780</v>
      </c>
      <c r="E56" s="110"/>
      <c r="F56" s="110">
        <v>0</v>
      </c>
      <c r="G56" s="110"/>
      <c r="H56" s="110">
        <f t="shared" si="5"/>
        <v>604780</v>
      </c>
      <c r="I56" s="110"/>
      <c r="J56" s="112">
        <v>0</v>
      </c>
      <c r="K56" s="112"/>
    </row>
    <row r="57" spans="2:11" s="105" customFormat="1" ht="15.95" customHeight="1">
      <c r="B57" s="106">
        <v>2011</v>
      </c>
      <c r="C57" s="110"/>
      <c r="D57" s="110">
        <f t="shared" si="4"/>
        <v>627769</v>
      </c>
      <c r="E57" s="110"/>
      <c r="F57" s="110">
        <v>0</v>
      </c>
      <c r="G57" s="110"/>
      <c r="H57" s="110">
        <f t="shared" si="5"/>
        <v>627769</v>
      </c>
      <c r="I57" s="110"/>
      <c r="J57" s="112">
        <v>0</v>
      </c>
      <c r="K57" s="112"/>
    </row>
    <row r="58" spans="2:11" s="105" customFormat="1" ht="15.95" customHeight="1">
      <c r="B58" s="106">
        <v>2012</v>
      </c>
      <c r="C58" s="110"/>
      <c r="D58" s="110">
        <f t="shared" si="4"/>
        <v>651631</v>
      </c>
      <c r="E58" s="110"/>
      <c r="F58" s="110">
        <v>0</v>
      </c>
      <c r="G58" s="110"/>
      <c r="H58" s="110">
        <f t="shared" si="5"/>
        <v>651631</v>
      </c>
      <c r="I58" s="110"/>
      <c r="J58" s="112">
        <v>0</v>
      </c>
      <c r="K58" s="112"/>
    </row>
    <row r="59" spans="2:11" s="105" customFormat="1" ht="15.95" customHeight="1">
      <c r="B59" s="106">
        <v>2013</v>
      </c>
      <c r="C59" s="110"/>
      <c r="D59" s="110">
        <f t="shared" si="4"/>
        <v>676401</v>
      </c>
      <c r="E59" s="110"/>
      <c r="F59" s="110">
        <v>0</v>
      </c>
      <c r="G59" s="110"/>
      <c r="H59" s="110">
        <f t="shared" si="5"/>
        <v>676401</v>
      </c>
      <c r="I59" s="110"/>
      <c r="J59" s="112">
        <v>0</v>
      </c>
      <c r="K59" s="112"/>
    </row>
    <row r="60" spans="2:11" s="105" customFormat="1" ht="15.95" customHeight="1">
      <c r="B60" s="106">
        <v>2014</v>
      </c>
      <c r="C60" s="110"/>
      <c r="D60" s="110">
        <f t="shared" si="4"/>
        <v>702113</v>
      </c>
      <c r="E60" s="110"/>
      <c r="F60" s="110">
        <v>0</v>
      </c>
      <c r="G60" s="110"/>
      <c r="H60" s="110">
        <f t="shared" si="5"/>
        <v>702113</v>
      </c>
      <c r="I60" s="110"/>
      <c r="J60" s="112">
        <v>0</v>
      </c>
      <c r="K60" s="112"/>
    </row>
    <row r="61" spans="2:11" s="105" customFormat="1" ht="15.95" customHeight="1">
      <c r="B61" s="106">
        <v>2015</v>
      </c>
      <c r="C61" s="110"/>
      <c r="D61" s="110">
        <f t="shared" si="4"/>
        <v>728801</v>
      </c>
      <c r="E61" s="110"/>
      <c r="F61" s="110">
        <v>0</v>
      </c>
      <c r="G61" s="110"/>
      <c r="H61" s="110">
        <f t="shared" si="5"/>
        <v>728801</v>
      </c>
      <c r="I61" s="110"/>
      <c r="J61" s="112">
        <v>0</v>
      </c>
      <c r="K61" s="112"/>
    </row>
    <row r="62" spans="2:11" s="105" customFormat="1" ht="15.95" customHeight="1">
      <c r="B62" s="106">
        <v>2016</v>
      </c>
      <c r="C62" s="110"/>
      <c r="D62" s="110">
        <f t="shared" si="4"/>
        <v>756504</v>
      </c>
      <c r="E62" s="110"/>
      <c r="F62" s="110">
        <v>0</v>
      </c>
      <c r="G62" s="110"/>
      <c r="H62" s="110">
        <f t="shared" si="5"/>
        <v>756504</v>
      </c>
      <c r="I62" s="110"/>
      <c r="J62" s="112">
        <v>0</v>
      </c>
      <c r="K62" s="112"/>
    </row>
    <row r="63" spans="2:11" s="105" customFormat="1" ht="15.95" customHeight="1">
      <c r="B63" s="106">
        <v>2017</v>
      </c>
      <c r="C63" s="110"/>
      <c r="D63" s="110">
        <f t="shared" si="4"/>
        <v>785261</v>
      </c>
      <c r="E63" s="110"/>
      <c r="F63" s="110">
        <v>0</v>
      </c>
      <c r="G63" s="110"/>
      <c r="H63" s="110">
        <f t="shared" si="5"/>
        <v>785261</v>
      </c>
      <c r="I63" s="110"/>
      <c r="J63" s="112">
        <v>0</v>
      </c>
      <c r="K63" s="112"/>
    </row>
    <row r="64" spans="2:11" s="105" customFormat="1" ht="15.95" customHeight="1">
      <c r="B64" s="106">
        <v>2018</v>
      </c>
      <c r="C64" s="110"/>
      <c r="D64" s="110">
        <f t="shared" si="4"/>
        <v>815110</v>
      </c>
      <c r="E64" s="110"/>
      <c r="F64" s="110">
        <v>0</v>
      </c>
      <c r="G64" s="110"/>
      <c r="H64" s="110">
        <f t="shared" si="5"/>
        <v>815110</v>
      </c>
      <c r="I64" s="110"/>
      <c r="J64" s="112">
        <v>0</v>
      </c>
      <c r="K64" s="112"/>
    </row>
    <row r="65" spans="2:11" s="105" customFormat="1" ht="15.95" customHeight="1">
      <c r="B65" s="106">
        <v>2019</v>
      </c>
      <c r="C65" s="110"/>
      <c r="D65" s="110">
        <f t="shared" si="4"/>
        <v>846094</v>
      </c>
      <c r="E65" s="110"/>
      <c r="F65" s="110">
        <v>0</v>
      </c>
      <c r="G65" s="110"/>
      <c r="H65" s="110">
        <f t="shared" si="5"/>
        <v>846094</v>
      </c>
      <c r="I65" s="110"/>
      <c r="J65" s="112">
        <v>0</v>
      </c>
      <c r="K65" s="112"/>
    </row>
    <row r="66" spans="2:11" s="105" customFormat="1" ht="15.95" customHeight="1">
      <c r="B66" s="106">
        <v>2020</v>
      </c>
      <c r="C66" s="110"/>
      <c r="D66" s="110">
        <f t="shared" si="4"/>
        <v>878256</v>
      </c>
      <c r="E66" s="110"/>
      <c r="F66" s="110">
        <v>0</v>
      </c>
      <c r="G66" s="110"/>
      <c r="H66" s="110">
        <f t="shared" si="5"/>
        <v>878256</v>
      </c>
      <c r="I66" s="110"/>
      <c r="J66" s="112">
        <v>0</v>
      </c>
      <c r="K66" s="112"/>
    </row>
    <row r="67" spans="2:11" s="105" customFormat="1" ht="15.95" customHeight="1">
      <c r="B67" s="106">
        <v>2021</v>
      </c>
      <c r="C67" s="110"/>
      <c r="D67" s="110">
        <f t="shared" si="4"/>
        <v>911640</v>
      </c>
      <c r="E67" s="110"/>
      <c r="F67" s="110">
        <v>0</v>
      </c>
      <c r="G67" s="110"/>
      <c r="H67" s="110">
        <f t="shared" si="5"/>
        <v>911640</v>
      </c>
      <c r="I67" s="110"/>
      <c r="J67" s="112">
        <v>0</v>
      </c>
      <c r="K67" s="112"/>
    </row>
    <row r="68" spans="2:11" s="105" customFormat="1" ht="15.95" customHeight="1">
      <c r="B68" s="106">
        <v>2022</v>
      </c>
      <c r="C68" s="110"/>
      <c r="D68" s="110">
        <f t="shared" si="4"/>
        <v>946293</v>
      </c>
      <c r="E68" s="110"/>
      <c r="F68" s="110">
        <v>0</v>
      </c>
      <c r="G68" s="110"/>
      <c r="H68" s="110">
        <f t="shared" si="5"/>
        <v>946293</v>
      </c>
      <c r="I68" s="110"/>
      <c r="J68" s="112">
        <v>0</v>
      </c>
      <c r="K68" s="112"/>
    </row>
    <row r="69" spans="2:11" s="105" customFormat="1" ht="15.95" customHeight="1">
      <c r="B69" s="106">
        <v>2023</v>
      </c>
      <c r="C69" s="110"/>
      <c r="D69" s="110">
        <f t="shared" si="4"/>
        <v>982264</v>
      </c>
      <c r="E69" s="110"/>
      <c r="F69" s="110">
        <v>0</v>
      </c>
      <c r="G69" s="110"/>
      <c r="H69" s="110">
        <f t="shared" si="5"/>
        <v>982264</v>
      </c>
      <c r="I69" s="110"/>
      <c r="J69" s="112">
        <v>0</v>
      </c>
      <c r="K69" s="112"/>
    </row>
    <row r="70" spans="2:11" s="105" customFormat="1" ht="15.95" customHeight="1">
      <c r="B70" s="106">
        <v>2024</v>
      </c>
      <c r="C70" s="110"/>
      <c r="D70" s="110">
        <f t="shared" si="4"/>
        <v>1019601</v>
      </c>
      <c r="E70" s="110"/>
      <c r="F70" s="110">
        <v>0</v>
      </c>
      <c r="G70" s="110"/>
      <c r="H70" s="110">
        <f t="shared" si="5"/>
        <v>1019601</v>
      </c>
      <c r="I70" s="110"/>
      <c r="J70" s="112">
        <v>0</v>
      </c>
      <c r="K70" s="112"/>
    </row>
    <row r="71" spans="2:11" s="105" customFormat="1" ht="15.95" customHeight="1" thickBot="1">
      <c r="B71" s="106">
        <v>2025</v>
      </c>
      <c r="C71" s="110"/>
      <c r="D71" s="110">
        <f t="shared" si="4"/>
        <v>1058359</v>
      </c>
      <c r="E71" s="110"/>
      <c r="F71" s="110">
        <v>0</v>
      </c>
      <c r="G71" s="110"/>
      <c r="H71" s="110">
        <f t="shared" si="5"/>
        <v>1058359</v>
      </c>
      <c r="I71" s="110"/>
      <c r="J71" s="112">
        <v>0</v>
      </c>
      <c r="K71" s="112"/>
    </row>
    <row r="72" spans="2:11" s="105" customFormat="1" ht="15.95" customHeight="1">
      <c r="B72" s="122" t="s">
        <v>93</v>
      </c>
      <c r="C72" s="122"/>
      <c r="D72" s="123" t="s">
        <v>88</v>
      </c>
      <c r="E72" s="124">
        <f>D$16</f>
        <v>540742</v>
      </c>
      <c r="F72" s="125"/>
      <c r="G72" s="123" t="s">
        <v>299</v>
      </c>
      <c r="H72" s="123">
        <f>ROUND((E$72/D$7)^(1/(COUNT(D$7:D$16)-1)),6)</f>
        <v>1.0380119999999999</v>
      </c>
      <c r="I72" s="123"/>
      <c r="J72" s="123" t="s">
        <v>90</v>
      </c>
      <c r="K72" s="126" t="s">
        <v>91</v>
      </c>
    </row>
    <row r="73" spans="2:11" s="105" customFormat="1" ht="15.95" customHeight="1"/>
    <row r="74" spans="2:11" s="105" customFormat="1" ht="15.95" customHeight="1"/>
    <row r="75" spans="2:11" s="105" customFormat="1" ht="15.95" customHeight="1"/>
    <row r="76" spans="2:11" s="105" customFormat="1" ht="15.95" customHeight="1"/>
    <row r="77" spans="2:11" s="105" customFormat="1" ht="15.95" customHeight="1"/>
    <row r="78" spans="2:11" s="105" customFormat="1" ht="15.95" customHeight="1"/>
    <row r="79" spans="2:11" s="105" customFormat="1" ht="15.95" customHeight="1"/>
    <row r="80" spans="2:11" s="105" customFormat="1" ht="15.95" customHeight="1"/>
    <row r="81" spans="2:11" s="105" customFormat="1" ht="15.95" customHeight="1"/>
    <row r="82" spans="2:11" s="105" customFormat="1" ht="15.95" customHeight="1"/>
    <row r="83" spans="2:11" s="105" customFormat="1" ht="15.95" customHeight="1"/>
    <row r="84" spans="2:11" s="105" customFormat="1" ht="15.95" customHeight="1"/>
    <row r="85" spans="2:11" s="105" customFormat="1" ht="15.95" customHeight="1"/>
    <row r="86" spans="2:11" s="105" customFormat="1" ht="15.95" customHeight="1"/>
    <row r="87" spans="2:11" s="105" customFormat="1" ht="15.95" customHeight="1"/>
    <row r="88" spans="2:11" s="105" customFormat="1" ht="15.95" customHeight="1"/>
    <row r="89" spans="2:11" s="105" customFormat="1" ht="15.95" customHeight="1">
      <c r="B89" s="120" t="s">
        <v>94</v>
      </c>
      <c r="C89" s="121"/>
      <c r="D89" s="121"/>
      <c r="E89" s="121"/>
    </row>
    <row r="90" spans="2:11" s="105" customFormat="1" ht="15.95" customHeight="1">
      <c r="C90" s="121" t="s">
        <v>83</v>
      </c>
      <c r="D90" s="121" t="s">
        <v>300</v>
      </c>
      <c r="E90" s="121"/>
    </row>
    <row r="91" spans="2:11" s="105" customFormat="1" ht="15.95" customHeight="1">
      <c r="B91" s="121"/>
      <c r="C91" s="127" t="s">
        <v>95</v>
      </c>
      <c r="D91" s="121" t="s">
        <v>301</v>
      </c>
      <c r="E91" s="103"/>
    </row>
    <row r="92" spans="2:11" s="105" customFormat="1" ht="15.95" customHeight="1">
      <c r="B92" s="121"/>
      <c r="C92" s="121"/>
      <c r="D92" s="121" t="s">
        <v>302</v>
      </c>
      <c r="E92" s="121"/>
    </row>
    <row r="93" spans="2:11" s="105" customFormat="1" ht="15.95" customHeight="1">
      <c r="B93" s="103"/>
      <c r="C93" s="121"/>
      <c r="D93" s="121" t="s">
        <v>96</v>
      </c>
      <c r="E93" s="121"/>
    </row>
    <row r="94" spans="2:11" s="105" customFormat="1" ht="15.95" customHeight="1" thickBot="1">
      <c r="F94" s="110" t="s">
        <v>97</v>
      </c>
      <c r="G94" s="110"/>
    </row>
    <row r="95" spans="2:11" s="105" customFormat="1" ht="15.95" customHeight="1">
      <c r="B95" s="104" t="s">
        <v>245</v>
      </c>
      <c r="C95" s="104"/>
      <c r="D95" s="104" t="s">
        <v>79</v>
      </c>
      <c r="E95" s="104" t="s">
        <v>98</v>
      </c>
      <c r="F95" s="104" t="s">
        <v>303</v>
      </c>
      <c r="G95" s="104"/>
      <c r="H95" s="104" t="s">
        <v>99</v>
      </c>
      <c r="I95" s="104"/>
      <c r="J95" s="104" t="s">
        <v>81</v>
      </c>
      <c r="K95" s="104"/>
    </row>
    <row r="96" spans="2:11" s="105" customFormat="1" ht="15.95" customHeight="1">
      <c r="B96" s="106">
        <f t="shared" ref="B96:B105" si="6">B7</f>
        <v>1998</v>
      </c>
      <c r="C96" s="106"/>
      <c r="D96" s="110">
        <f t="shared" ref="D96:D105" si="7">VLOOKUP(B96,B$7:E$16,3,FALSE)</f>
        <v>386517</v>
      </c>
      <c r="E96" s="128">
        <f t="shared" ref="E96:E105" si="8">((COUNT(B$96:B$105)-1)/2)+(B96-$C$4)</f>
        <v>-4.5</v>
      </c>
      <c r="F96" s="110">
        <f t="shared" ref="F96:F105" si="9">E96^2</f>
        <v>20.25</v>
      </c>
      <c r="G96" s="108"/>
      <c r="H96" s="129">
        <f t="shared" ref="H96:H105" si="10">ROUND(D96*E96,2)</f>
        <v>-1739326.5</v>
      </c>
      <c r="I96" s="130"/>
      <c r="J96" s="112">
        <v>0</v>
      </c>
      <c r="K96" s="112"/>
    </row>
    <row r="97" spans="2:11" s="105" customFormat="1" ht="15.95" customHeight="1">
      <c r="B97" s="106">
        <f t="shared" si="6"/>
        <v>1999</v>
      </c>
      <c r="C97" s="106"/>
      <c r="D97" s="110">
        <f t="shared" si="7"/>
        <v>406052</v>
      </c>
      <c r="E97" s="128">
        <f t="shared" si="8"/>
        <v>-3.5</v>
      </c>
      <c r="F97" s="110">
        <f t="shared" si="9"/>
        <v>12.25</v>
      </c>
      <c r="G97" s="108"/>
      <c r="H97" s="129">
        <f t="shared" si="10"/>
        <v>-1421182</v>
      </c>
      <c r="I97" s="130"/>
      <c r="J97" s="112">
        <v>0</v>
      </c>
      <c r="K97" s="112"/>
    </row>
    <row r="98" spans="2:11" s="105" customFormat="1" ht="15.95" customHeight="1">
      <c r="B98" s="106">
        <f t="shared" si="6"/>
        <v>2000</v>
      </c>
      <c r="C98" s="106"/>
      <c r="D98" s="110">
        <f t="shared" si="7"/>
        <v>425135</v>
      </c>
      <c r="E98" s="128">
        <f t="shared" si="8"/>
        <v>-2.5</v>
      </c>
      <c r="F98" s="110">
        <f t="shared" si="9"/>
        <v>6.25</v>
      </c>
      <c r="G98" s="108"/>
      <c r="H98" s="129">
        <f t="shared" si="10"/>
        <v>-1062837.5</v>
      </c>
      <c r="I98" s="130"/>
      <c r="J98" s="112">
        <v>0</v>
      </c>
      <c r="K98" s="112"/>
    </row>
    <row r="99" spans="2:11" s="105" customFormat="1" ht="15.95" customHeight="1">
      <c r="B99" s="106">
        <f t="shared" si="6"/>
        <v>2001</v>
      </c>
      <c r="C99" s="106"/>
      <c r="D99" s="110">
        <f t="shared" si="7"/>
        <v>436708</v>
      </c>
      <c r="E99" s="128">
        <f t="shared" si="8"/>
        <v>-1.5</v>
      </c>
      <c r="F99" s="110">
        <f t="shared" si="9"/>
        <v>2.25</v>
      </c>
      <c r="G99" s="108"/>
      <c r="H99" s="129">
        <f t="shared" si="10"/>
        <v>-655062</v>
      </c>
      <c r="I99" s="130"/>
      <c r="J99" s="112">
        <v>0</v>
      </c>
      <c r="K99" s="112"/>
    </row>
    <row r="100" spans="2:11" s="105" customFormat="1" ht="15.95" customHeight="1">
      <c r="B100" s="106">
        <f t="shared" si="6"/>
        <v>2002</v>
      </c>
      <c r="C100" s="106"/>
      <c r="D100" s="110">
        <f t="shared" si="7"/>
        <v>445485</v>
      </c>
      <c r="E100" s="128">
        <f t="shared" si="8"/>
        <v>-0.5</v>
      </c>
      <c r="F100" s="110">
        <f t="shared" si="9"/>
        <v>0.25</v>
      </c>
      <c r="G100" s="108"/>
      <c r="H100" s="129">
        <f t="shared" si="10"/>
        <v>-222742.5</v>
      </c>
      <c r="I100" s="130"/>
      <c r="J100" s="112">
        <v>0</v>
      </c>
      <c r="K100" s="112"/>
    </row>
    <row r="101" spans="2:11" s="105" customFormat="1" ht="15.95" customHeight="1">
      <c r="B101" s="106">
        <f t="shared" si="6"/>
        <v>2003</v>
      </c>
      <c r="C101" s="106"/>
      <c r="D101" s="110">
        <f t="shared" si="7"/>
        <v>462714</v>
      </c>
      <c r="E101" s="128">
        <f t="shared" si="8"/>
        <v>0.5</v>
      </c>
      <c r="F101" s="110">
        <f t="shared" si="9"/>
        <v>0.25</v>
      </c>
      <c r="G101" s="108"/>
      <c r="H101" s="129">
        <f t="shared" si="10"/>
        <v>231357</v>
      </c>
      <c r="I101" s="130"/>
      <c r="J101" s="112">
        <v>0</v>
      </c>
      <c r="K101" s="112"/>
    </row>
    <row r="102" spans="2:11" s="105" customFormat="1" ht="15.95" customHeight="1">
      <c r="B102" s="106">
        <f t="shared" si="6"/>
        <v>2004</v>
      </c>
      <c r="C102" s="106"/>
      <c r="D102" s="110">
        <f t="shared" si="7"/>
        <v>509744</v>
      </c>
      <c r="E102" s="128">
        <f t="shared" si="8"/>
        <v>1.5</v>
      </c>
      <c r="F102" s="110">
        <f t="shared" si="9"/>
        <v>2.25</v>
      </c>
      <c r="G102" s="108"/>
      <c r="H102" s="129">
        <f t="shared" si="10"/>
        <v>764616</v>
      </c>
      <c r="I102" s="130"/>
      <c r="J102" s="112">
        <v>0</v>
      </c>
      <c r="K102" s="112"/>
    </row>
    <row r="103" spans="2:11" s="105" customFormat="1" ht="15.95" customHeight="1">
      <c r="B103" s="106">
        <f t="shared" si="6"/>
        <v>2005</v>
      </c>
      <c r="C103" s="106"/>
      <c r="D103" s="110">
        <f t="shared" si="7"/>
        <v>518818</v>
      </c>
      <c r="E103" s="128">
        <f t="shared" si="8"/>
        <v>2.5</v>
      </c>
      <c r="F103" s="110">
        <f t="shared" si="9"/>
        <v>6.25</v>
      </c>
      <c r="G103" s="108"/>
      <c r="H103" s="129">
        <f t="shared" si="10"/>
        <v>1297045</v>
      </c>
      <c r="I103" s="130"/>
      <c r="J103" s="112">
        <v>0</v>
      </c>
      <c r="K103" s="112"/>
    </row>
    <row r="104" spans="2:11" s="105" customFormat="1" ht="15.95" customHeight="1">
      <c r="B104" s="106">
        <f t="shared" si="6"/>
        <v>2006</v>
      </c>
      <c r="C104" s="106"/>
      <c r="D104" s="110">
        <f t="shared" si="7"/>
        <v>531193</v>
      </c>
      <c r="E104" s="128">
        <f t="shared" si="8"/>
        <v>3.5</v>
      </c>
      <c r="F104" s="110">
        <f t="shared" si="9"/>
        <v>12.25</v>
      </c>
      <c r="G104" s="108"/>
      <c r="H104" s="129">
        <f t="shared" si="10"/>
        <v>1859175.5</v>
      </c>
      <c r="I104" s="130"/>
      <c r="J104" s="112">
        <v>0</v>
      </c>
      <c r="K104" s="112"/>
    </row>
    <row r="105" spans="2:11" s="105" customFormat="1" ht="15.95" customHeight="1">
      <c r="B105" s="106">
        <f t="shared" si="6"/>
        <v>2007</v>
      </c>
      <c r="C105" s="106"/>
      <c r="D105" s="110">
        <f t="shared" si="7"/>
        <v>540742</v>
      </c>
      <c r="E105" s="128">
        <f t="shared" si="8"/>
        <v>4.5</v>
      </c>
      <c r="F105" s="110">
        <f t="shared" si="9"/>
        <v>20.25</v>
      </c>
      <c r="G105" s="108"/>
      <c r="H105" s="129">
        <f t="shared" si="10"/>
        <v>2433339</v>
      </c>
      <c r="I105" s="130"/>
      <c r="J105" s="112">
        <v>0</v>
      </c>
      <c r="K105" s="112"/>
    </row>
    <row r="106" spans="2:11" s="105" customFormat="1" ht="15.95" customHeight="1" thickBot="1">
      <c r="B106" s="113" t="s">
        <v>100</v>
      </c>
      <c r="C106" s="114"/>
      <c r="D106" s="131">
        <f>SUM(D96:D105)</f>
        <v>4663108</v>
      </c>
      <c r="E106" s="117"/>
      <c r="F106" s="132">
        <f>ROUND(SUM(F96:F105),0)</f>
        <v>83</v>
      </c>
      <c r="G106" s="114"/>
      <c r="H106" s="133">
        <f>SUM(H96:H105)</f>
        <v>1484382</v>
      </c>
      <c r="I106" s="118"/>
      <c r="J106" s="134"/>
      <c r="K106" s="134"/>
    </row>
    <row r="107" spans="2:11" s="105" customFormat="1" ht="15.95" customHeight="1">
      <c r="B107" s="110" t="s">
        <v>101</v>
      </c>
      <c r="C107" s="110"/>
      <c r="D107" s="135" t="s">
        <v>102</v>
      </c>
      <c r="G107" s="103">
        <f>((COUNT(B$96:B$105))*H$106-D$106*E$106)/((COUNT(B$96:B$105))*F$106-E$106*E$106)</f>
        <v>17884.120481927712</v>
      </c>
      <c r="H107" s="135" t="s">
        <v>304</v>
      </c>
      <c r="I107" s="103"/>
      <c r="J107" s="103"/>
      <c r="K107" s="103">
        <f>ROUND((F106*D106-H106*E106)/(COUNT(B$96:B$105)*F106-E106*E106),0)</f>
        <v>466311</v>
      </c>
    </row>
    <row r="108" spans="2:11" s="105" customFormat="1" ht="15.95" customHeight="1">
      <c r="B108" s="136"/>
      <c r="C108" s="136"/>
      <c r="D108" s="137"/>
      <c r="E108" s="103"/>
      <c r="F108" s="138"/>
      <c r="G108" s="139"/>
      <c r="I108" s="139"/>
      <c r="J108" s="139"/>
      <c r="K108" s="140"/>
    </row>
    <row r="109" spans="2:11" s="105" customFormat="1" ht="15.95" customHeight="1">
      <c r="E109" s="121"/>
    </row>
    <row r="110" spans="2:11" s="105" customFormat="1" ht="15.95" customHeight="1" thickBot="1">
      <c r="F110" s="110" t="s">
        <v>305</v>
      </c>
      <c r="G110" s="110"/>
    </row>
    <row r="111" spans="2:11" s="105" customFormat="1" ht="15.95" customHeight="1">
      <c r="B111" s="104" t="s">
        <v>270</v>
      </c>
      <c r="C111" s="104"/>
      <c r="D111" s="104" t="s">
        <v>306</v>
      </c>
      <c r="E111" s="104"/>
      <c r="F111" s="104" t="s">
        <v>307</v>
      </c>
      <c r="G111" s="104"/>
      <c r="H111" s="104" t="s">
        <v>308</v>
      </c>
      <c r="I111" s="104"/>
      <c r="J111" s="104" t="s">
        <v>309</v>
      </c>
      <c r="K111" s="104"/>
    </row>
    <row r="112" spans="2:11" s="105" customFormat="1" ht="15.95" customHeight="1">
      <c r="B112" s="106">
        <v>2008</v>
      </c>
      <c r="C112" s="110"/>
      <c r="D112" s="110">
        <f t="shared" ref="D112:D129" si="11">ROUNDUP(G$107*(B112-B$105+E$105)+K$107,0)</f>
        <v>564674</v>
      </c>
      <c r="E112" s="110"/>
      <c r="F112" s="110">
        <v>0</v>
      </c>
      <c r="G112" s="110"/>
      <c r="H112" s="110">
        <f t="shared" ref="H112:H129" si="12">ROUND(D112*(1+F112),0)</f>
        <v>564674</v>
      </c>
      <c r="I112" s="110"/>
      <c r="J112" s="112">
        <v>0</v>
      </c>
      <c r="K112" s="112"/>
    </row>
    <row r="113" spans="2:11" s="105" customFormat="1" ht="15.95" customHeight="1">
      <c r="B113" s="106">
        <v>2009</v>
      </c>
      <c r="C113" s="110"/>
      <c r="D113" s="110">
        <f t="shared" si="11"/>
        <v>582558</v>
      </c>
      <c r="E113" s="110"/>
      <c r="F113" s="110">
        <v>0</v>
      </c>
      <c r="G113" s="110"/>
      <c r="H113" s="110">
        <f t="shared" si="12"/>
        <v>582558</v>
      </c>
      <c r="I113" s="110"/>
      <c r="J113" s="112">
        <v>0</v>
      </c>
      <c r="K113" s="112"/>
    </row>
    <row r="114" spans="2:11" s="105" customFormat="1" ht="15.95" customHeight="1">
      <c r="B114" s="106">
        <v>2010</v>
      </c>
      <c r="C114" s="110"/>
      <c r="D114" s="110">
        <f t="shared" si="11"/>
        <v>600442</v>
      </c>
      <c r="E114" s="110"/>
      <c r="F114" s="110">
        <v>0</v>
      </c>
      <c r="G114" s="110"/>
      <c r="H114" s="110">
        <f t="shared" si="12"/>
        <v>600442</v>
      </c>
      <c r="I114" s="110"/>
      <c r="J114" s="112">
        <v>0</v>
      </c>
      <c r="K114" s="112"/>
    </row>
    <row r="115" spans="2:11" s="105" customFormat="1" ht="15.95" customHeight="1">
      <c r="B115" s="106">
        <v>2011</v>
      </c>
      <c r="C115" s="110"/>
      <c r="D115" s="110">
        <f t="shared" si="11"/>
        <v>618327</v>
      </c>
      <c r="E115" s="110"/>
      <c r="F115" s="110">
        <v>0</v>
      </c>
      <c r="G115" s="110"/>
      <c r="H115" s="110">
        <f t="shared" si="12"/>
        <v>618327</v>
      </c>
      <c r="I115" s="110"/>
      <c r="J115" s="112">
        <v>0</v>
      </c>
      <c r="K115" s="112"/>
    </row>
    <row r="116" spans="2:11" s="105" customFormat="1" ht="15.95" customHeight="1">
      <c r="B116" s="106">
        <v>2012</v>
      </c>
      <c r="C116" s="110"/>
      <c r="D116" s="110">
        <f t="shared" si="11"/>
        <v>636211</v>
      </c>
      <c r="E116" s="110"/>
      <c r="F116" s="110">
        <v>0</v>
      </c>
      <c r="G116" s="110"/>
      <c r="H116" s="110">
        <f t="shared" si="12"/>
        <v>636211</v>
      </c>
      <c r="I116" s="110"/>
      <c r="J116" s="112">
        <v>0</v>
      </c>
      <c r="K116" s="112"/>
    </row>
    <row r="117" spans="2:11" s="105" customFormat="1" ht="15.95" customHeight="1">
      <c r="B117" s="106">
        <v>2013</v>
      </c>
      <c r="C117" s="110"/>
      <c r="D117" s="110">
        <f t="shared" si="11"/>
        <v>654095</v>
      </c>
      <c r="E117" s="110"/>
      <c r="F117" s="110">
        <v>0</v>
      </c>
      <c r="G117" s="110"/>
      <c r="H117" s="110">
        <f t="shared" si="12"/>
        <v>654095</v>
      </c>
      <c r="I117" s="110"/>
      <c r="J117" s="112">
        <v>0</v>
      </c>
      <c r="K117" s="112"/>
    </row>
    <row r="118" spans="2:11" s="105" customFormat="1" ht="15.95" customHeight="1">
      <c r="B118" s="106">
        <v>2014</v>
      </c>
      <c r="C118" s="110"/>
      <c r="D118" s="110">
        <f t="shared" si="11"/>
        <v>671979</v>
      </c>
      <c r="E118" s="110"/>
      <c r="F118" s="110">
        <v>0</v>
      </c>
      <c r="G118" s="110"/>
      <c r="H118" s="110">
        <f t="shared" si="12"/>
        <v>671979</v>
      </c>
      <c r="I118" s="110"/>
      <c r="J118" s="112">
        <v>0</v>
      </c>
      <c r="K118" s="112"/>
    </row>
    <row r="119" spans="2:11" s="105" customFormat="1" ht="15.95" customHeight="1">
      <c r="B119" s="106">
        <v>2015</v>
      </c>
      <c r="C119" s="110"/>
      <c r="D119" s="110">
        <f t="shared" si="11"/>
        <v>689863</v>
      </c>
      <c r="E119" s="110"/>
      <c r="F119" s="110">
        <v>0</v>
      </c>
      <c r="G119" s="110"/>
      <c r="H119" s="110">
        <f t="shared" si="12"/>
        <v>689863</v>
      </c>
      <c r="I119" s="110"/>
      <c r="J119" s="112">
        <v>0</v>
      </c>
      <c r="K119" s="112"/>
    </row>
    <row r="120" spans="2:11" s="105" customFormat="1" ht="15.95" customHeight="1">
      <c r="B120" s="106">
        <v>2016</v>
      </c>
      <c r="C120" s="110"/>
      <c r="D120" s="110">
        <f t="shared" si="11"/>
        <v>707747</v>
      </c>
      <c r="E120" s="110"/>
      <c r="F120" s="110">
        <v>0</v>
      </c>
      <c r="G120" s="110"/>
      <c r="H120" s="110">
        <f t="shared" si="12"/>
        <v>707747</v>
      </c>
      <c r="I120" s="110"/>
      <c r="J120" s="112">
        <v>0</v>
      </c>
      <c r="K120" s="112"/>
    </row>
    <row r="121" spans="2:11" s="105" customFormat="1" ht="15.95" customHeight="1">
      <c r="B121" s="106">
        <v>2017</v>
      </c>
      <c r="C121" s="110"/>
      <c r="D121" s="110">
        <f t="shared" si="11"/>
        <v>725631</v>
      </c>
      <c r="E121" s="110"/>
      <c r="F121" s="110">
        <v>0</v>
      </c>
      <c r="G121" s="110"/>
      <c r="H121" s="110">
        <f t="shared" si="12"/>
        <v>725631</v>
      </c>
      <c r="I121" s="110"/>
      <c r="J121" s="112">
        <v>0</v>
      </c>
      <c r="K121" s="112"/>
    </row>
    <row r="122" spans="2:11" s="105" customFormat="1" ht="15.95" customHeight="1">
      <c r="B122" s="106">
        <v>2018</v>
      </c>
      <c r="C122" s="110"/>
      <c r="D122" s="110">
        <f t="shared" si="11"/>
        <v>743515</v>
      </c>
      <c r="E122" s="110"/>
      <c r="F122" s="110">
        <v>0</v>
      </c>
      <c r="G122" s="110"/>
      <c r="H122" s="110">
        <f t="shared" si="12"/>
        <v>743515</v>
      </c>
      <c r="I122" s="110"/>
      <c r="J122" s="112">
        <v>0</v>
      </c>
      <c r="K122" s="112"/>
    </row>
    <row r="123" spans="2:11" s="105" customFormat="1" ht="15.95" customHeight="1">
      <c r="B123" s="106">
        <v>2019</v>
      </c>
      <c r="C123" s="110"/>
      <c r="D123" s="110">
        <f t="shared" si="11"/>
        <v>761399</v>
      </c>
      <c r="E123" s="110"/>
      <c r="F123" s="110">
        <v>0</v>
      </c>
      <c r="G123" s="110"/>
      <c r="H123" s="110">
        <f t="shared" si="12"/>
        <v>761399</v>
      </c>
      <c r="I123" s="110"/>
      <c r="J123" s="112">
        <v>0</v>
      </c>
      <c r="K123" s="112"/>
    </row>
    <row r="124" spans="2:11" s="105" customFormat="1" ht="15.95" customHeight="1">
      <c r="B124" s="106">
        <v>2020</v>
      </c>
      <c r="C124" s="110"/>
      <c r="D124" s="110">
        <f t="shared" si="11"/>
        <v>779284</v>
      </c>
      <c r="E124" s="110"/>
      <c r="F124" s="110">
        <v>0</v>
      </c>
      <c r="G124" s="110"/>
      <c r="H124" s="110">
        <f t="shared" si="12"/>
        <v>779284</v>
      </c>
      <c r="I124" s="110"/>
      <c r="J124" s="112">
        <v>0</v>
      </c>
      <c r="K124" s="112"/>
    </row>
    <row r="125" spans="2:11" s="105" customFormat="1" ht="15.95" customHeight="1">
      <c r="B125" s="106">
        <v>2021</v>
      </c>
      <c r="C125" s="110"/>
      <c r="D125" s="110">
        <f t="shared" si="11"/>
        <v>797168</v>
      </c>
      <c r="E125" s="110"/>
      <c r="F125" s="110">
        <v>0</v>
      </c>
      <c r="G125" s="110"/>
      <c r="H125" s="110">
        <f t="shared" si="12"/>
        <v>797168</v>
      </c>
      <c r="I125" s="110"/>
      <c r="J125" s="112">
        <v>0</v>
      </c>
      <c r="K125" s="112"/>
    </row>
    <row r="126" spans="2:11" s="105" customFormat="1" ht="15.95" customHeight="1">
      <c r="B126" s="106">
        <v>2022</v>
      </c>
      <c r="C126" s="110"/>
      <c r="D126" s="110">
        <f t="shared" si="11"/>
        <v>815052</v>
      </c>
      <c r="E126" s="110"/>
      <c r="F126" s="110">
        <v>0</v>
      </c>
      <c r="G126" s="110"/>
      <c r="H126" s="110">
        <f t="shared" si="12"/>
        <v>815052</v>
      </c>
      <c r="I126" s="110"/>
      <c r="J126" s="112">
        <v>0</v>
      </c>
      <c r="K126" s="112"/>
    </row>
    <row r="127" spans="2:11" s="105" customFormat="1" ht="15.95" customHeight="1">
      <c r="B127" s="106">
        <v>2023</v>
      </c>
      <c r="C127" s="110"/>
      <c r="D127" s="110">
        <f t="shared" si="11"/>
        <v>832936</v>
      </c>
      <c r="E127" s="110"/>
      <c r="F127" s="110">
        <v>0</v>
      </c>
      <c r="G127" s="110"/>
      <c r="H127" s="110">
        <f t="shared" si="12"/>
        <v>832936</v>
      </c>
      <c r="I127" s="110"/>
      <c r="J127" s="112">
        <v>0</v>
      </c>
      <c r="K127" s="112"/>
    </row>
    <row r="128" spans="2:11" s="105" customFormat="1" ht="15.95" customHeight="1">
      <c r="B128" s="106">
        <v>2024</v>
      </c>
      <c r="C128" s="110"/>
      <c r="D128" s="110">
        <f t="shared" si="11"/>
        <v>850820</v>
      </c>
      <c r="E128" s="110"/>
      <c r="F128" s="110">
        <v>0</v>
      </c>
      <c r="G128" s="110"/>
      <c r="H128" s="110">
        <f t="shared" si="12"/>
        <v>850820</v>
      </c>
      <c r="I128" s="110"/>
      <c r="J128" s="112">
        <v>0</v>
      </c>
      <c r="K128" s="112"/>
    </row>
    <row r="129" spans="2:11" s="105" customFormat="1" ht="15.95" customHeight="1" thickBot="1">
      <c r="B129" s="106">
        <v>2025</v>
      </c>
      <c r="C129" s="110"/>
      <c r="D129" s="110">
        <f t="shared" si="11"/>
        <v>868704</v>
      </c>
      <c r="E129" s="110"/>
      <c r="F129" s="110">
        <v>0</v>
      </c>
      <c r="G129" s="110"/>
      <c r="H129" s="110">
        <f t="shared" si="12"/>
        <v>868704</v>
      </c>
      <c r="I129" s="110"/>
      <c r="J129" s="112">
        <v>0</v>
      </c>
      <c r="K129" s="112"/>
    </row>
    <row r="130" spans="2:11" s="105" customFormat="1" ht="15.95" customHeight="1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</row>
    <row r="131" spans="2:11" s="105" customFormat="1" ht="15.95" customHeight="1"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</row>
    <row r="132" spans="2:11" s="105" customFormat="1" ht="15.95" customHeight="1">
      <c r="B132" s="120" t="s">
        <v>310</v>
      </c>
      <c r="C132" s="121"/>
      <c r="D132" s="121"/>
      <c r="E132" s="121"/>
      <c r="F132" s="121"/>
    </row>
    <row r="133" spans="2:11" s="105" customFormat="1" ht="15.95" customHeight="1">
      <c r="C133" s="121" t="s">
        <v>311</v>
      </c>
      <c r="D133" s="121" t="s">
        <v>312</v>
      </c>
      <c r="E133" s="121"/>
      <c r="F133" s="121"/>
      <c r="G133" s="141" t="b">
        <v>1</v>
      </c>
    </row>
    <row r="134" spans="2:11" s="105" customFormat="1" ht="15.95" customHeight="1">
      <c r="B134" s="103"/>
      <c r="C134" s="127" t="s">
        <v>313</v>
      </c>
      <c r="D134" s="121" t="s">
        <v>314</v>
      </c>
      <c r="E134" s="121"/>
      <c r="F134" s="103"/>
      <c r="G134" s="142" t="b">
        <v>0</v>
      </c>
    </row>
    <row r="135" spans="2:11" s="105" customFormat="1" ht="15.95" customHeight="1">
      <c r="B135" s="103"/>
      <c r="C135" s="127"/>
      <c r="D135" s="121" t="s">
        <v>315</v>
      </c>
      <c r="E135" s="121"/>
      <c r="F135" s="103"/>
    </row>
    <row r="136" spans="2:11" s="105" customFormat="1" ht="15.95" customHeight="1">
      <c r="B136" s="121"/>
      <c r="C136" s="121"/>
      <c r="D136" s="121" t="s">
        <v>316</v>
      </c>
      <c r="E136" s="121"/>
      <c r="F136" s="121"/>
    </row>
    <row r="137" spans="2:11" s="105" customFormat="1" ht="15.95" customHeight="1" thickBot="1">
      <c r="F137" s="110" t="s">
        <v>317</v>
      </c>
      <c r="G137" s="110"/>
    </row>
    <row r="138" spans="2:11" s="105" customFormat="1" ht="15.95" customHeight="1">
      <c r="B138" s="104" t="s">
        <v>256</v>
      </c>
      <c r="C138" s="104"/>
      <c r="D138" s="104" t="s">
        <v>318</v>
      </c>
      <c r="E138" s="104" t="s">
        <v>319</v>
      </c>
      <c r="F138" s="104" t="s">
        <v>319</v>
      </c>
      <c r="G138" s="104" t="s">
        <v>320</v>
      </c>
      <c r="H138" s="104" t="s">
        <v>321</v>
      </c>
      <c r="I138" s="104"/>
      <c r="J138" s="104" t="s">
        <v>322</v>
      </c>
      <c r="K138" s="104" t="s">
        <v>323</v>
      </c>
    </row>
    <row r="139" spans="2:11" s="105" customFormat="1" ht="15.95" customHeight="1">
      <c r="B139" s="106">
        <f t="shared" ref="B139:B148" si="13">B96</f>
        <v>1998</v>
      </c>
      <c r="C139" s="106"/>
      <c r="D139" s="110">
        <f t="shared" ref="D139:D148" si="14">VLOOKUP(B139,B$7:E$16,3,FALSE)</f>
        <v>386517</v>
      </c>
      <c r="E139" s="143">
        <f t="shared" ref="E139:E148" si="15">IF(G$133=FALSE,"",((COUNT(B$96:B$105)-1))+(B139-$C$4))</f>
        <v>0</v>
      </c>
      <c r="F139" s="144">
        <f>IF(E139=0,0,"")</f>
        <v>0</v>
      </c>
      <c r="G139" s="145">
        <f t="shared" ref="G139:G148" si="16">IF(F139="","",F139^2)</f>
        <v>0</v>
      </c>
      <c r="H139" s="130">
        <f t="shared" ref="H139:H148" si="17">IF(G139="","",ABS(D139-D$139))</f>
        <v>0</v>
      </c>
      <c r="I139" s="130"/>
      <c r="J139" s="144">
        <f>IF(H139=0,0,"")</f>
        <v>0</v>
      </c>
      <c r="K139" s="146">
        <f t="shared" ref="K139:K148" si="18">IF(J139="","",J139*F139)</f>
        <v>0</v>
      </c>
    </row>
    <row r="140" spans="2:11" s="105" customFormat="1" ht="15.95" customHeight="1">
      <c r="B140" s="106">
        <f t="shared" si="13"/>
        <v>1999</v>
      </c>
      <c r="C140" s="106"/>
      <c r="D140" s="110">
        <f t="shared" si="14"/>
        <v>406052</v>
      </c>
      <c r="E140" s="143">
        <f t="shared" si="15"/>
        <v>1</v>
      </c>
      <c r="F140" s="144">
        <f t="shared" ref="F140:F148" si="19">IF(E140="","",LOG(E140))</f>
        <v>0</v>
      </c>
      <c r="G140" s="145">
        <f t="shared" si="16"/>
        <v>0</v>
      </c>
      <c r="H140" s="130">
        <f t="shared" si="17"/>
        <v>19535</v>
      </c>
      <c r="I140" s="130"/>
      <c r="J140" s="146">
        <f t="shared" ref="J140:J148" si="20">IF(H140="","",LOG(H140))</f>
        <v>4.2908134155608035</v>
      </c>
      <c r="K140" s="146">
        <f t="shared" si="18"/>
        <v>0</v>
      </c>
    </row>
    <row r="141" spans="2:11" s="105" customFormat="1" ht="15.95" customHeight="1">
      <c r="B141" s="106">
        <f t="shared" si="13"/>
        <v>2000</v>
      </c>
      <c r="C141" s="106"/>
      <c r="D141" s="110">
        <f t="shared" si="14"/>
        <v>425135</v>
      </c>
      <c r="E141" s="143">
        <f t="shared" si="15"/>
        <v>2</v>
      </c>
      <c r="F141" s="144">
        <f t="shared" si="19"/>
        <v>0.3010299956639812</v>
      </c>
      <c r="G141" s="145">
        <f t="shared" si="16"/>
        <v>9.0619058289456544E-2</v>
      </c>
      <c r="H141" s="130">
        <f t="shared" si="17"/>
        <v>38618</v>
      </c>
      <c r="I141" s="130"/>
      <c r="J141" s="146">
        <f t="shared" si="20"/>
        <v>4.5867897782094236</v>
      </c>
      <c r="K141" s="146">
        <f t="shared" si="18"/>
        <v>1.3807613070459761</v>
      </c>
    </row>
    <row r="142" spans="2:11" s="105" customFormat="1" ht="15.95" customHeight="1">
      <c r="B142" s="106">
        <f t="shared" si="13"/>
        <v>2001</v>
      </c>
      <c r="C142" s="106"/>
      <c r="D142" s="110">
        <f t="shared" si="14"/>
        <v>436708</v>
      </c>
      <c r="E142" s="143">
        <f t="shared" si="15"/>
        <v>3</v>
      </c>
      <c r="F142" s="144">
        <f t="shared" si="19"/>
        <v>0.47712125471966244</v>
      </c>
      <c r="G142" s="145">
        <f t="shared" si="16"/>
        <v>0.227644691705265</v>
      </c>
      <c r="H142" s="130">
        <f t="shared" si="17"/>
        <v>50191</v>
      </c>
      <c r="I142" s="130"/>
      <c r="J142" s="146">
        <f t="shared" si="20"/>
        <v>4.7006258486040622</v>
      </c>
      <c r="K142" s="146">
        <f t="shared" si="18"/>
        <v>2.2427685028536479</v>
      </c>
    </row>
    <row r="143" spans="2:11" s="105" customFormat="1" ht="15.95" customHeight="1">
      <c r="B143" s="106">
        <f t="shared" si="13"/>
        <v>2002</v>
      </c>
      <c r="C143" s="106"/>
      <c r="D143" s="110">
        <f t="shared" si="14"/>
        <v>445485</v>
      </c>
      <c r="E143" s="143">
        <f t="shared" si="15"/>
        <v>4</v>
      </c>
      <c r="F143" s="144">
        <f t="shared" si="19"/>
        <v>0.6020599913279624</v>
      </c>
      <c r="G143" s="145">
        <f t="shared" si="16"/>
        <v>0.36247623315782618</v>
      </c>
      <c r="H143" s="130">
        <f t="shared" si="17"/>
        <v>58968</v>
      </c>
      <c r="I143" s="130"/>
      <c r="J143" s="146">
        <f t="shared" si="20"/>
        <v>4.7706163981916871</v>
      </c>
      <c r="K143" s="146">
        <f t="shared" si="18"/>
        <v>2.8721972673243226</v>
      </c>
    </row>
    <row r="144" spans="2:11" s="105" customFormat="1" ht="15.95" customHeight="1">
      <c r="B144" s="106">
        <f t="shared" si="13"/>
        <v>2003</v>
      </c>
      <c r="C144" s="106"/>
      <c r="D144" s="110">
        <f t="shared" si="14"/>
        <v>462714</v>
      </c>
      <c r="E144" s="143">
        <f t="shared" si="15"/>
        <v>5</v>
      </c>
      <c r="F144" s="144">
        <f t="shared" si="19"/>
        <v>0.69897000433601886</v>
      </c>
      <c r="G144" s="145">
        <f t="shared" si="16"/>
        <v>0.4885590669614942</v>
      </c>
      <c r="H144" s="130">
        <f t="shared" si="17"/>
        <v>76197</v>
      </c>
      <c r="I144" s="130"/>
      <c r="J144" s="146">
        <f t="shared" si="20"/>
        <v>4.8819378727950635</v>
      </c>
      <c r="K144" s="146">
        <f t="shared" si="18"/>
        <v>3.41232813611574</v>
      </c>
    </row>
    <row r="145" spans="2:11" s="105" customFormat="1" ht="15.95" customHeight="1">
      <c r="B145" s="106">
        <f t="shared" si="13"/>
        <v>2004</v>
      </c>
      <c r="C145" s="106"/>
      <c r="D145" s="110">
        <f t="shared" si="14"/>
        <v>509744</v>
      </c>
      <c r="E145" s="143">
        <f t="shared" si="15"/>
        <v>6</v>
      </c>
      <c r="F145" s="144">
        <f t="shared" si="19"/>
        <v>0.77815125038364363</v>
      </c>
      <c r="G145" s="145">
        <f t="shared" si="16"/>
        <v>0.60551936847362808</v>
      </c>
      <c r="H145" s="130">
        <f t="shared" si="17"/>
        <v>123227</v>
      </c>
      <c r="I145" s="130"/>
      <c r="J145" s="146">
        <f t="shared" si="20"/>
        <v>5.0907058755742973</v>
      </c>
      <c r="K145" s="146">
        <f t="shared" si="18"/>
        <v>3.9613391424135007</v>
      </c>
    </row>
    <row r="146" spans="2:11" s="105" customFormat="1" ht="15.95" customHeight="1">
      <c r="B146" s="106">
        <f t="shared" si="13"/>
        <v>2005</v>
      </c>
      <c r="C146" s="106"/>
      <c r="D146" s="110">
        <f t="shared" si="14"/>
        <v>518818</v>
      </c>
      <c r="E146" s="143">
        <f t="shared" si="15"/>
        <v>7</v>
      </c>
      <c r="F146" s="144">
        <f t="shared" si="19"/>
        <v>0.84509804001425681</v>
      </c>
      <c r="G146" s="145">
        <f t="shared" si="16"/>
        <v>0.71419069723593842</v>
      </c>
      <c r="H146" s="130">
        <f t="shared" si="17"/>
        <v>132301</v>
      </c>
      <c r="I146" s="130"/>
      <c r="J146" s="146">
        <f t="shared" si="20"/>
        <v>5.1215631268242401</v>
      </c>
      <c r="K146" s="146">
        <f t="shared" si="18"/>
        <v>4.3282229602884543</v>
      </c>
    </row>
    <row r="147" spans="2:11" s="105" customFormat="1" ht="15.95" customHeight="1">
      <c r="B147" s="106">
        <f t="shared" si="13"/>
        <v>2006</v>
      </c>
      <c r="C147" s="106"/>
      <c r="D147" s="110">
        <f t="shared" si="14"/>
        <v>531193</v>
      </c>
      <c r="E147" s="143">
        <f t="shared" si="15"/>
        <v>8</v>
      </c>
      <c r="F147" s="144">
        <f t="shared" si="19"/>
        <v>0.90308998699194354</v>
      </c>
      <c r="G147" s="145">
        <f t="shared" si="16"/>
        <v>0.81557152460510873</v>
      </c>
      <c r="H147" s="130">
        <f t="shared" si="17"/>
        <v>144676</v>
      </c>
      <c r="I147" s="130"/>
      <c r="J147" s="146">
        <f t="shared" si="20"/>
        <v>5.1603964928878812</v>
      </c>
      <c r="K147" s="146">
        <f t="shared" si="18"/>
        <v>4.6603024016353878</v>
      </c>
    </row>
    <row r="148" spans="2:11" s="105" customFormat="1" ht="15.95" customHeight="1">
      <c r="B148" s="106">
        <f t="shared" si="13"/>
        <v>2007</v>
      </c>
      <c r="C148" s="106"/>
      <c r="D148" s="110">
        <f t="shared" si="14"/>
        <v>540742</v>
      </c>
      <c r="E148" s="143">
        <f t="shared" si="15"/>
        <v>9</v>
      </c>
      <c r="F148" s="144">
        <f t="shared" si="19"/>
        <v>0.95424250943932487</v>
      </c>
      <c r="G148" s="145">
        <f t="shared" si="16"/>
        <v>0.91057876682105998</v>
      </c>
      <c r="H148" s="130">
        <f t="shared" si="17"/>
        <v>154225</v>
      </c>
      <c r="I148" s="130"/>
      <c r="J148" s="146">
        <f t="shared" si="20"/>
        <v>5.188154778916017</v>
      </c>
      <c r="K148" s="146">
        <f t="shared" si="18"/>
        <v>4.9507578355924453</v>
      </c>
    </row>
    <row r="149" spans="2:11" s="105" customFormat="1" ht="15.95" customHeight="1" thickBot="1">
      <c r="B149" s="113" t="s">
        <v>324</v>
      </c>
      <c r="C149" s="114"/>
      <c r="D149" s="147"/>
      <c r="E149" s="148"/>
      <c r="F149" s="149">
        <f>IF(F148="","",ROUND(SUM(F139:F148),6))</f>
        <v>5.5597630000000002</v>
      </c>
      <c r="G149" s="149">
        <f>IF(G148="","",ROUND(SUM(G139:G148),6))</f>
        <v>4.2151589999999999</v>
      </c>
      <c r="H149" s="150"/>
      <c r="I149" s="151"/>
      <c r="J149" s="152">
        <f>IF(J148="","",SUM(J139:J148))</f>
        <v>43.791603587563479</v>
      </c>
      <c r="K149" s="152">
        <f>IF(K148="","",SUM(K139:K148))</f>
        <v>27.808677553269472</v>
      </c>
    </row>
    <row r="150" spans="2:11" s="105" customFormat="1" ht="15.95" customHeight="1">
      <c r="B150" s="110" t="s">
        <v>325</v>
      </c>
      <c r="C150" s="110"/>
      <c r="D150" s="103" t="s">
        <v>326</v>
      </c>
      <c r="E150" s="103">
        <f>IF(G149="",0,10^ROUND((G149*J149-F149*K149)/((COUNT(B$139:B$148)-1)*G149-F149*F149),5))</f>
        <v>18500.352355389918</v>
      </c>
      <c r="F150" s="137" t="s">
        <v>327</v>
      </c>
      <c r="H150" s="110"/>
      <c r="J150" s="153">
        <f>IF(G149="",0,ROUND(((COUNT(B$139:B$148)-1)*K149-J149*F149)/((COUNT(B$139:B$148)-1)*G149-F149*F149),5))</f>
        <v>0.96892999999999996</v>
      </c>
      <c r="K150" s="154"/>
    </row>
    <row r="151" spans="2:11" s="105" customFormat="1" ht="15.95" customHeight="1">
      <c r="D151" s="137" t="s">
        <v>328</v>
      </c>
      <c r="E151" s="121"/>
      <c r="F151" s="121"/>
      <c r="G151" s="155"/>
      <c r="H151" s="103" t="s">
        <v>329</v>
      </c>
      <c r="I151" s="121" t="s">
        <v>149</v>
      </c>
      <c r="J151" s="103" t="str">
        <f>"A = 10^("&amp;RIGHT(H151,1)&amp;") "</f>
        <v xml:space="preserve">A = 10^(b) </v>
      </c>
    </row>
    <row r="152" spans="2:11" s="105" customFormat="1" ht="15.95" customHeight="1"/>
    <row r="153" spans="2:11" s="105" customFormat="1" ht="15.95" customHeight="1" thickBot="1">
      <c r="F153" s="110" t="s">
        <v>330</v>
      </c>
      <c r="G153" s="110"/>
    </row>
    <row r="154" spans="2:11" s="105" customFormat="1" ht="15.95" customHeight="1">
      <c r="B154" s="104" t="s">
        <v>331</v>
      </c>
      <c r="C154" s="104"/>
      <c r="D154" s="104" t="s">
        <v>332</v>
      </c>
      <c r="E154" s="104"/>
      <c r="F154" s="104" t="s">
        <v>333</v>
      </c>
      <c r="G154" s="104"/>
      <c r="H154" s="104" t="s">
        <v>334</v>
      </c>
      <c r="I154" s="104"/>
      <c r="J154" s="104" t="s">
        <v>335</v>
      </c>
      <c r="K154" s="104"/>
    </row>
    <row r="155" spans="2:11" s="105" customFormat="1" ht="15.95" customHeight="1">
      <c r="B155" s="106">
        <v>2008</v>
      </c>
      <c r="C155" s="110"/>
      <c r="D155" s="156">
        <f t="shared" ref="D155:D172" si="21">IF(J$150=0,0,ROUNDUP(D$139+E$150*(B155-B$139)^J$150,0))</f>
        <v>558748</v>
      </c>
      <c r="E155" s="156"/>
      <c r="F155" s="107">
        <v>0</v>
      </c>
      <c r="G155" s="107"/>
      <c r="H155" s="107">
        <f t="shared" ref="H155:H172" si="22">ROUND(D155*(1+F155),0)</f>
        <v>558748</v>
      </c>
      <c r="I155" s="107"/>
      <c r="J155" s="112">
        <v>0</v>
      </c>
      <c r="K155" s="112"/>
    </row>
    <row r="156" spans="2:11" s="105" customFormat="1" ht="15.95" customHeight="1">
      <c r="B156" s="106">
        <v>2009</v>
      </c>
      <c r="C156" s="110"/>
      <c r="D156" s="156">
        <f t="shared" si="21"/>
        <v>575411</v>
      </c>
      <c r="E156" s="156"/>
      <c r="F156" s="107">
        <v>0</v>
      </c>
      <c r="G156" s="107"/>
      <c r="H156" s="107">
        <f t="shared" si="22"/>
        <v>575411</v>
      </c>
      <c r="I156" s="107"/>
      <c r="J156" s="112">
        <v>0</v>
      </c>
      <c r="K156" s="112"/>
    </row>
    <row r="157" spans="2:11" s="105" customFormat="1" ht="15.95" customHeight="1">
      <c r="B157" s="106">
        <v>2010</v>
      </c>
      <c r="C157" s="110"/>
      <c r="D157" s="156">
        <f t="shared" si="21"/>
        <v>592027</v>
      </c>
      <c r="E157" s="156"/>
      <c r="F157" s="107">
        <v>0</v>
      </c>
      <c r="G157" s="107"/>
      <c r="H157" s="107">
        <f t="shared" si="22"/>
        <v>592027</v>
      </c>
      <c r="I157" s="107"/>
      <c r="J157" s="112">
        <v>0</v>
      </c>
      <c r="K157" s="112"/>
    </row>
    <row r="158" spans="2:11" s="105" customFormat="1" ht="15.95" customHeight="1">
      <c r="B158" s="106">
        <v>2011</v>
      </c>
      <c r="C158" s="110"/>
      <c r="D158" s="156">
        <f t="shared" si="21"/>
        <v>608599</v>
      </c>
      <c r="E158" s="156"/>
      <c r="F158" s="107">
        <v>0</v>
      </c>
      <c r="G158" s="107"/>
      <c r="H158" s="107">
        <f t="shared" si="22"/>
        <v>608599</v>
      </c>
      <c r="I158" s="107"/>
      <c r="J158" s="112">
        <v>0</v>
      </c>
      <c r="K158" s="112"/>
    </row>
    <row r="159" spans="2:11" s="105" customFormat="1" ht="15.95" customHeight="1">
      <c r="B159" s="106">
        <v>2012</v>
      </c>
      <c r="C159" s="110"/>
      <c r="D159" s="156">
        <f t="shared" si="21"/>
        <v>625133</v>
      </c>
      <c r="E159" s="156"/>
      <c r="F159" s="107">
        <v>0</v>
      </c>
      <c r="G159" s="107"/>
      <c r="H159" s="107">
        <f t="shared" si="22"/>
        <v>625133</v>
      </c>
      <c r="I159" s="107"/>
      <c r="J159" s="112">
        <v>0</v>
      </c>
      <c r="K159" s="112"/>
    </row>
    <row r="160" spans="2:11" s="105" customFormat="1" ht="15.95" customHeight="1">
      <c r="B160" s="106">
        <v>2013</v>
      </c>
      <c r="C160" s="110"/>
      <c r="D160" s="156">
        <f t="shared" si="21"/>
        <v>641629</v>
      </c>
      <c r="E160" s="156"/>
      <c r="F160" s="107">
        <v>0</v>
      </c>
      <c r="G160" s="107"/>
      <c r="H160" s="107">
        <f t="shared" si="22"/>
        <v>641629</v>
      </c>
      <c r="I160" s="107"/>
      <c r="J160" s="112">
        <v>0</v>
      </c>
      <c r="K160" s="112"/>
    </row>
    <row r="161" spans="2:11" s="105" customFormat="1" ht="15.95" customHeight="1">
      <c r="B161" s="106">
        <v>2014</v>
      </c>
      <c r="C161" s="110"/>
      <c r="D161" s="156">
        <f t="shared" si="21"/>
        <v>658091</v>
      </c>
      <c r="E161" s="156"/>
      <c r="F161" s="107">
        <v>0</v>
      </c>
      <c r="G161" s="107"/>
      <c r="H161" s="107">
        <f t="shared" si="22"/>
        <v>658091</v>
      </c>
      <c r="I161" s="107"/>
      <c r="J161" s="112">
        <v>0</v>
      </c>
      <c r="K161" s="112"/>
    </row>
    <row r="162" spans="2:11" s="105" customFormat="1" ht="15.95" customHeight="1">
      <c r="B162" s="106">
        <v>2015</v>
      </c>
      <c r="C162" s="110"/>
      <c r="D162" s="156">
        <f t="shared" si="21"/>
        <v>674522</v>
      </c>
      <c r="E162" s="156"/>
      <c r="F162" s="107">
        <v>0</v>
      </c>
      <c r="G162" s="107"/>
      <c r="H162" s="107">
        <f t="shared" si="22"/>
        <v>674522</v>
      </c>
      <c r="I162" s="107"/>
      <c r="J162" s="112">
        <v>0</v>
      </c>
      <c r="K162" s="112"/>
    </row>
    <row r="163" spans="2:11" s="105" customFormat="1" ht="15.95" customHeight="1">
      <c r="B163" s="106">
        <v>2016</v>
      </c>
      <c r="C163" s="110"/>
      <c r="D163" s="156">
        <f t="shared" si="21"/>
        <v>690922</v>
      </c>
      <c r="E163" s="156"/>
      <c r="F163" s="107">
        <v>0</v>
      </c>
      <c r="G163" s="107"/>
      <c r="H163" s="107">
        <f t="shared" si="22"/>
        <v>690922</v>
      </c>
      <c r="I163" s="107"/>
      <c r="J163" s="112">
        <v>0</v>
      </c>
      <c r="K163" s="112"/>
    </row>
    <row r="164" spans="2:11" s="105" customFormat="1" ht="15.95" customHeight="1">
      <c r="B164" s="106">
        <v>2017</v>
      </c>
      <c r="C164" s="110"/>
      <c r="D164" s="156">
        <f t="shared" si="21"/>
        <v>707294</v>
      </c>
      <c r="E164" s="156"/>
      <c r="F164" s="107">
        <v>0</v>
      </c>
      <c r="G164" s="107"/>
      <c r="H164" s="107">
        <f t="shared" si="22"/>
        <v>707294</v>
      </c>
      <c r="I164" s="107"/>
      <c r="J164" s="112">
        <v>0</v>
      </c>
      <c r="K164" s="112"/>
    </row>
    <row r="165" spans="2:11" s="105" customFormat="1" ht="15.95" customHeight="1">
      <c r="B165" s="106">
        <v>2018</v>
      </c>
      <c r="C165" s="110"/>
      <c r="D165" s="156">
        <f t="shared" si="21"/>
        <v>723639</v>
      </c>
      <c r="E165" s="156"/>
      <c r="F165" s="107">
        <v>0</v>
      </c>
      <c r="G165" s="107"/>
      <c r="H165" s="107">
        <f t="shared" si="22"/>
        <v>723639</v>
      </c>
      <c r="I165" s="107"/>
      <c r="J165" s="112">
        <v>0</v>
      </c>
      <c r="K165" s="112"/>
    </row>
    <row r="166" spans="2:11" s="105" customFormat="1" ht="15.95" customHeight="1">
      <c r="B166" s="106">
        <v>2019</v>
      </c>
      <c r="C166" s="110"/>
      <c r="D166" s="156">
        <f t="shared" si="21"/>
        <v>739959</v>
      </c>
      <c r="E166" s="156"/>
      <c r="F166" s="107">
        <v>0</v>
      </c>
      <c r="G166" s="107"/>
      <c r="H166" s="107">
        <f t="shared" si="22"/>
        <v>739959</v>
      </c>
      <c r="I166" s="107"/>
      <c r="J166" s="112">
        <v>0</v>
      </c>
      <c r="K166" s="112"/>
    </row>
    <row r="167" spans="2:11" s="105" customFormat="1" ht="15.95" customHeight="1">
      <c r="B167" s="106">
        <v>2020</v>
      </c>
      <c r="C167" s="110"/>
      <c r="D167" s="156">
        <f t="shared" si="21"/>
        <v>756255</v>
      </c>
      <c r="E167" s="156"/>
      <c r="F167" s="107">
        <v>0</v>
      </c>
      <c r="G167" s="107"/>
      <c r="H167" s="107">
        <f t="shared" si="22"/>
        <v>756255</v>
      </c>
      <c r="I167" s="107"/>
      <c r="J167" s="112">
        <v>0</v>
      </c>
      <c r="K167" s="112"/>
    </row>
    <row r="168" spans="2:11" s="105" customFormat="1" ht="15.95" customHeight="1">
      <c r="B168" s="106">
        <v>2021</v>
      </c>
      <c r="C168" s="110"/>
      <c r="D168" s="156">
        <f t="shared" si="21"/>
        <v>772528</v>
      </c>
      <c r="E168" s="156"/>
      <c r="F168" s="107">
        <v>0</v>
      </c>
      <c r="G168" s="107"/>
      <c r="H168" s="107">
        <f t="shared" si="22"/>
        <v>772528</v>
      </c>
      <c r="I168" s="107"/>
      <c r="J168" s="112">
        <v>0</v>
      </c>
      <c r="K168" s="112"/>
    </row>
    <row r="169" spans="2:11" s="105" customFormat="1" ht="15.95" customHeight="1">
      <c r="B169" s="106">
        <v>2022</v>
      </c>
      <c r="C169" s="110"/>
      <c r="D169" s="156">
        <f t="shared" si="21"/>
        <v>788779</v>
      </c>
      <c r="E169" s="156"/>
      <c r="F169" s="107">
        <v>0</v>
      </c>
      <c r="G169" s="107"/>
      <c r="H169" s="107">
        <f t="shared" si="22"/>
        <v>788779</v>
      </c>
      <c r="I169" s="107"/>
      <c r="J169" s="112">
        <v>0</v>
      </c>
      <c r="K169" s="112"/>
    </row>
    <row r="170" spans="2:11" s="105" customFormat="1" ht="15.95" customHeight="1">
      <c r="B170" s="106">
        <v>2023</v>
      </c>
      <c r="C170" s="110"/>
      <c r="D170" s="156">
        <f t="shared" si="21"/>
        <v>805008</v>
      </c>
      <c r="E170" s="156"/>
      <c r="F170" s="107">
        <v>0</v>
      </c>
      <c r="G170" s="107"/>
      <c r="H170" s="107">
        <f t="shared" si="22"/>
        <v>805008</v>
      </c>
      <c r="I170" s="107"/>
      <c r="J170" s="112">
        <v>0</v>
      </c>
      <c r="K170" s="112"/>
    </row>
    <row r="171" spans="2:11" s="105" customFormat="1" ht="15.95" customHeight="1">
      <c r="B171" s="106">
        <v>2024</v>
      </c>
      <c r="C171" s="110"/>
      <c r="D171" s="156">
        <f t="shared" si="21"/>
        <v>821218</v>
      </c>
      <c r="E171" s="156"/>
      <c r="F171" s="107">
        <v>0</v>
      </c>
      <c r="G171" s="107"/>
      <c r="H171" s="107">
        <f t="shared" si="22"/>
        <v>821218</v>
      </c>
      <c r="I171" s="107"/>
      <c r="J171" s="112">
        <v>0</v>
      </c>
      <c r="K171" s="112"/>
    </row>
    <row r="172" spans="2:11" s="105" customFormat="1" ht="15.95" customHeight="1" thickBot="1">
      <c r="B172" s="106">
        <v>2025</v>
      </c>
      <c r="C172" s="110"/>
      <c r="D172" s="156">
        <f t="shared" si="21"/>
        <v>837408</v>
      </c>
      <c r="E172" s="156"/>
      <c r="F172" s="107">
        <v>0</v>
      </c>
      <c r="G172" s="107"/>
      <c r="H172" s="107">
        <f t="shared" si="22"/>
        <v>837408</v>
      </c>
      <c r="I172" s="107"/>
      <c r="J172" s="112">
        <v>0</v>
      </c>
      <c r="K172" s="112"/>
    </row>
    <row r="173" spans="2:11" s="105" customFormat="1" ht="15.95" customHeight="1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</row>
    <row r="174" spans="2:11" s="105" customFormat="1" ht="15.95" customHeight="1">
      <c r="B174" s="138"/>
    </row>
    <row r="175" spans="2:11" s="105" customFormat="1" ht="15.95" customHeight="1">
      <c r="B175" s="120" t="s">
        <v>336</v>
      </c>
      <c r="C175" s="121"/>
      <c r="D175" s="121"/>
      <c r="E175" s="121"/>
      <c r="F175" s="121"/>
      <c r="G175" s="121"/>
    </row>
    <row r="176" spans="2:11" s="105" customFormat="1" ht="15.95" customHeight="1">
      <c r="C176" s="121" t="s">
        <v>337</v>
      </c>
      <c r="D176" s="121" t="s">
        <v>338</v>
      </c>
      <c r="E176" s="121"/>
      <c r="F176" s="121"/>
      <c r="G176" s="121"/>
    </row>
    <row r="177" spans="2:11" s="105" customFormat="1" ht="15.95" customHeight="1">
      <c r="B177" s="103"/>
      <c r="C177" s="127" t="s">
        <v>339</v>
      </c>
      <c r="D177" s="121" t="s">
        <v>340</v>
      </c>
      <c r="E177" s="121"/>
      <c r="F177" s="103"/>
    </row>
    <row r="178" spans="2:11" s="105" customFormat="1" ht="15.95" customHeight="1">
      <c r="B178" s="103"/>
      <c r="C178" s="127"/>
      <c r="D178" s="121" t="s">
        <v>341</v>
      </c>
      <c r="E178" s="859">
        <f>K7</f>
        <v>1000000</v>
      </c>
      <c r="F178" s="859"/>
      <c r="G178" s="121" t="s">
        <v>342</v>
      </c>
      <c r="H178" s="121"/>
    </row>
    <row r="179" spans="2:11" s="105" customFormat="1" ht="15.95" customHeight="1" thickBot="1">
      <c r="F179" s="110" t="s">
        <v>343</v>
      </c>
      <c r="G179" s="110"/>
    </row>
    <row r="180" spans="2:11" s="105" customFormat="1" ht="15.95" customHeight="1">
      <c r="B180" s="104" t="s">
        <v>256</v>
      </c>
      <c r="C180" s="104"/>
      <c r="D180" s="104" t="s">
        <v>318</v>
      </c>
      <c r="E180" s="104" t="s">
        <v>319</v>
      </c>
      <c r="F180" s="104" t="s">
        <v>320</v>
      </c>
      <c r="G180" s="104" t="s">
        <v>344</v>
      </c>
      <c r="H180" s="104" t="s">
        <v>345</v>
      </c>
      <c r="I180" s="104" t="s">
        <v>346</v>
      </c>
      <c r="J180" s="104" t="s">
        <v>322</v>
      </c>
      <c r="K180" s="104" t="s">
        <v>347</v>
      </c>
    </row>
    <row r="181" spans="2:11" s="105" customFormat="1" ht="15.95" customHeight="1">
      <c r="B181" s="106">
        <f t="shared" ref="B181:B190" si="23">B139</f>
        <v>1998</v>
      </c>
      <c r="C181" s="106"/>
      <c r="D181" s="110">
        <f t="shared" ref="D181:D190" si="24">VLOOKUP(B181,B$7:E$16,3,FALSE)</f>
        <v>386517</v>
      </c>
      <c r="E181" s="143">
        <f t="shared" ref="E181:E190" si="25">((COUNT(B$181:B$190)-1)/2)+(B181-$C$4)</f>
        <v>-4.5</v>
      </c>
      <c r="F181" s="108">
        <f t="shared" ref="F181:F190" si="26">E181^2</f>
        <v>20.25</v>
      </c>
      <c r="G181" s="107">
        <f t="shared" ref="G181:G190" si="27">E$178-D181</f>
        <v>613483</v>
      </c>
      <c r="H181" s="157">
        <f t="shared" ref="H181:H190" si="28">LOG(D181)</f>
        <v>5.5871686000495009</v>
      </c>
      <c r="I181" s="144">
        <f t="shared" ref="I181:I190" si="29">LOG(G181)</f>
        <v>5.7878025326563645</v>
      </c>
      <c r="J181" s="145">
        <f>ROUND(H181-I181,6)</f>
        <v>-0.20063400000000001</v>
      </c>
      <c r="K181" s="145">
        <f t="shared" ref="K181:K190" si="30">E181*J181</f>
        <v>0.90285300000000002</v>
      </c>
    </row>
    <row r="182" spans="2:11" s="105" customFormat="1" ht="15.95" customHeight="1">
      <c r="B182" s="106">
        <f t="shared" si="23"/>
        <v>1999</v>
      </c>
      <c r="C182" s="106"/>
      <c r="D182" s="110">
        <f t="shared" si="24"/>
        <v>406052</v>
      </c>
      <c r="E182" s="143">
        <f t="shared" si="25"/>
        <v>-3.5</v>
      </c>
      <c r="F182" s="108">
        <f t="shared" si="26"/>
        <v>12.25</v>
      </c>
      <c r="G182" s="107">
        <f t="shared" si="27"/>
        <v>593948</v>
      </c>
      <c r="H182" s="157">
        <f t="shared" si="28"/>
        <v>5.608581653939166</v>
      </c>
      <c r="I182" s="144">
        <f t="shared" si="29"/>
        <v>5.7737484242714094</v>
      </c>
      <c r="J182" s="145">
        <f t="shared" ref="J182:J190" si="31">H182-I182</f>
        <v>-0.16516677033224347</v>
      </c>
      <c r="K182" s="145">
        <f t="shared" si="30"/>
        <v>0.57808369616285216</v>
      </c>
    </row>
    <row r="183" spans="2:11" s="105" customFormat="1" ht="15.95" customHeight="1">
      <c r="B183" s="106">
        <f t="shared" si="23"/>
        <v>2000</v>
      </c>
      <c r="C183" s="106"/>
      <c r="D183" s="110">
        <f t="shared" si="24"/>
        <v>425135</v>
      </c>
      <c r="E183" s="143">
        <f t="shared" si="25"/>
        <v>-2.5</v>
      </c>
      <c r="F183" s="108">
        <f t="shared" si="26"/>
        <v>6.25</v>
      </c>
      <c r="G183" s="107">
        <f t="shared" si="27"/>
        <v>574865</v>
      </c>
      <c r="H183" s="157">
        <f t="shared" si="28"/>
        <v>5.6285268605097087</v>
      </c>
      <c r="I183" s="144">
        <f t="shared" si="29"/>
        <v>5.7595658679265735</v>
      </c>
      <c r="J183" s="145">
        <f t="shared" si="31"/>
        <v>-0.13103900741686481</v>
      </c>
      <c r="K183" s="145">
        <f t="shared" si="30"/>
        <v>0.32759751854216201</v>
      </c>
    </row>
    <row r="184" spans="2:11" s="105" customFormat="1" ht="15.95" customHeight="1">
      <c r="B184" s="106">
        <f t="shared" si="23"/>
        <v>2001</v>
      </c>
      <c r="C184" s="106"/>
      <c r="D184" s="110">
        <f t="shared" si="24"/>
        <v>436708</v>
      </c>
      <c r="E184" s="143">
        <f t="shared" si="25"/>
        <v>-1.5</v>
      </c>
      <c r="F184" s="108">
        <f t="shared" si="26"/>
        <v>2.25</v>
      </c>
      <c r="G184" s="107">
        <f t="shared" si="27"/>
        <v>563292</v>
      </c>
      <c r="H184" s="157">
        <f t="shared" si="28"/>
        <v>5.6401911477812714</v>
      </c>
      <c r="I184" s="144">
        <f t="shared" si="29"/>
        <v>5.7507335833309892</v>
      </c>
      <c r="J184" s="145">
        <f t="shared" si="31"/>
        <v>-0.11054243554971777</v>
      </c>
      <c r="K184" s="145">
        <f t="shared" si="30"/>
        <v>0.16581365332457665</v>
      </c>
    </row>
    <row r="185" spans="2:11" s="105" customFormat="1" ht="15.95" customHeight="1">
      <c r="B185" s="106">
        <f t="shared" si="23"/>
        <v>2002</v>
      </c>
      <c r="C185" s="106"/>
      <c r="D185" s="110">
        <f t="shared" si="24"/>
        <v>445485</v>
      </c>
      <c r="E185" s="143">
        <f t="shared" si="25"/>
        <v>-0.5</v>
      </c>
      <c r="F185" s="108">
        <f t="shared" si="26"/>
        <v>0.25</v>
      </c>
      <c r="G185" s="107">
        <f t="shared" si="27"/>
        <v>554515</v>
      </c>
      <c r="H185" s="157">
        <f t="shared" si="28"/>
        <v>5.6488330854168858</v>
      </c>
      <c r="I185" s="144">
        <f t="shared" si="29"/>
        <v>5.7439132985990078</v>
      </c>
      <c r="J185" s="145">
        <f t="shared" si="31"/>
        <v>-9.5080213182122009E-2</v>
      </c>
      <c r="K185" s="145">
        <f t="shared" si="30"/>
        <v>4.7540106591061004E-2</v>
      </c>
    </row>
    <row r="186" spans="2:11" s="105" customFormat="1" ht="15.95" customHeight="1">
      <c r="B186" s="106">
        <f t="shared" si="23"/>
        <v>2003</v>
      </c>
      <c r="C186" s="106"/>
      <c r="D186" s="110">
        <f t="shared" si="24"/>
        <v>462714</v>
      </c>
      <c r="E186" s="143">
        <f t="shared" si="25"/>
        <v>0.5</v>
      </c>
      <c r="F186" s="108">
        <f t="shared" si="26"/>
        <v>0.25</v>
      </c>
      <c r="G186" s="107">
        <f t="shared" si="27"/>
        <v>537286</v>
      </c>
      <c r="H186" s="157">
        <f t="shared" si="28"/>
        <v>5.6653126398300566</v>
      </c>
      <c r="I186" s="144">
        <f t="shared" si="29"/>
        <v>5.7302055243543624</v>
      </c>
      <c r="J186" s="145">
        <f t="shared" si="31"/>
        <v>-6.4892884524305749E-2</v>
      </c>
      <c r="K186" s="145">
        <f t="shared" si="30"/>
        <v>-3.2446442262152875E-2</v>
      </c>
    </row>
    <row r="187" spans="2:11" s="105" customFormat="1" ht="15.95" customHeight="1">
      <c r="B187" s="106">
        <f t="shared" si="23"/>
        <v>2004</v>
      </c>
      <c r="C187" s="106"/>
      <c r="D187" s="110">
        <f t="shared" si="24"/>
        <v>509744</v>
      </c>
      <c r="E187" s="143">
        <f t="shared" si="25"/>
        <v>1.5</v>
      </c>
      <c r="F187" s="108">
        <f t="shared" si="26"/>
        <v>2.25</v>
      </c>
      <c r="G187" s="107">
        <f t="shared" si="27"/>
        <v>490256</v>
      </c>
      <c r="H187" s="157">
        <f t="shared" si="28"/>
        <v>5.7073521225674373</v>
      </c>
      <c r="I187" s="144">
        <f t="shared" si="29"/>
        <v>5.6904229174870853</v>
      </c>
      <c r="J187" s="145">
        <f t="shared" si="31"/>
        <v>1.6929205080352006E-2</v>
      </c>
      <c r="K187" s="145">
        <f t="shared" si="30"/>
        <v>2.5393807620528008E-2</v>
      </c>
    </row>
    <row r="188" spans="2:11" s="105" customFormat="1" ht="15.95" customHeight="1">
      <c r="B188" s="106">
        <f t="shared" si="23"/>
        <v>2005</v>
      </c>
      <c r="C188" s="106"/>
      <c r="D188" s="110">
        <f t="shared" si="24"/>
        <v>518818</v>
      </c>
      <c r="E188" s="143">
        <f t="shared" si="25"/>
        <v>2.5</v>
      </c>
      <c r="F188" s="108">
        <f t="shared" si="26"/>
        <v>6.25</v>
      </c>
      <c r="G188" s="107">
        <f t="shared" si="27"/>
        <v>481182</v>
      </c>
      <c r="H188" s="157">
        <f t="shared" si="28"/>
        <v>5.715015035193586</v>
      </c>
      <c r="I188" s="144">
        <f t="shared" si="29"/>
        <v>5.6823093729344594</v>
      </c>
      <c r="J188" s="145">
        <f t="shared" si="31"/>
        <v>3.2705662259126633E-2</v>
      </c>
      <c r="K188" s="145">
        <f t="shared" si="30"/>
        <v>8.1764155647816583E-2</v>
      </c>
    </row>
    <row r="189" spans="2:11" s="105" customFormat="1" ht="15.95" customHeight="1">
      <c r="B189" s="106">
        <f t="shared" si="23"/>
        <v>2006</v>
      </c>
      <c r="C189" s="106"/>
      <c r="D189" s="110">
        <f t="shared" si="24"/>
        <v>531193</v>
      </c>
      <c r="E189" s="143">
        <f t="shared" si="25"/>
        <v>3.5</v>
      </c>
      <c r="F189" s="108">
        <f t="shared" si="26"/>
        <v>12.25</v>
      </c>
      <c r="G189" s="107">
        <f t="shared" si="27"/>
        <v>468807</v>
      </c>
      <c r="H189" s="157">
        <f t="shared" si="28"/>
        <v>5.725252343315149</v>
      </c>
      <c r="I189" s="144">
        <f t="shared" si="29"/>
        <v>5.670994087734174</v>
      </c>
      <c r="J189" s="145">
        <f t="shared" si="31"/>
        <v>5.4258255580974968E-2</v>
      </c>
      <c r="K189" s="145">
        <f t="shared" si="30"/>
        <v>0.18990389453341239</v>
      </c>
    </row>
    <row r="190" spans="2:11" s="105" customFormat="1" ht="15.95" customHeight="1">
      <c r="B190" s="106">
        <f t="shared" si="23"/>
        <v>2007</v>
      </c>
      <c r="C190" s="106"/>
      <c r="D190" s="110">
        <f t="shared" si="24"/>
        <v>540742</v>
      </c>
      <c r="E190" s="143">
        <f t="shared" si="25"/>
        <v>4.5</v>
      </c>
      <c r="F190" s="108">
        <f t="shared" si="26"/>
        <v>20.25</v>
      </c>
      <c r="G190" s="107">
        <f t="shared" si="27"/>
        <v>459258</v>
      </c>
      <c r="H190" s="157">
        <f t="shared" si="28"/>
        <v>5.7329901029949832</v>
      </c>
      <c r="I190" s="144">
        <f t="shared" si="29"/>
        <v>5.6620567301941644</v>
      </c>
      <c r="J190" s="145">
        <f t="shared" si="31"/>
        <v>7.0933372800818795E-2</v>
      </c>
      <c r="K190" s="145">
        <f t="shared" si="30"/>
        <v>0.31920017760368458</v>
      </c>
    </row>
    <row r="191" spans="2:11" s="105" customFormat="1" ht="15.95" customHeight="1" thickBot="1">
      <c r="B191" s="113" t="s">
        <v>324</v>
      </c>
      <c r="C191" s="114"/>
      <c r="D191" s="158">
        <f>SUM(D181:D190)</f>
        <v>4663108</v>
      </c>
      <c r="E191" s="159">
        <f>SUM(E181:E190)</f>
        <v>0</v>
      </c>
      <c r="F191" s="160">
        <f>ROUND(SUM(F181:F190),0)</f>
        <v>83</v>
      </c>
      <c r="G191" s="148"/>
      <c r="H191" s="150"/>
      <c r="I191" s="151"/>
      <c r="J191" s="161">
        <f>SUM(J181:J190)</f>
        <v>-0.59252881528398138</v>
      </c>
      <c r="K191" s="161">
        <f>SUM(K181:K190)</f>
        <v>2.6057035677639404</v>
      </c>
    </row>
    <row r="192" spans="2:11" s="105" customFormat="1" ht="15.95" customHeight="1">
      <c r="B192" s="110" t="s">
        <v>348</v>
      </c>
      <c r="C192" s="110"/>
      <c r="D192" s="103" t="s">
        <v>349</v>
      </c>
      <c r="E192" s="135" t="s">
        <v>350</v>
      </c>
      <c r="G192" s="121" t="str">
        <f>"X = x × LOG e = "&amp;E191&amp;" 이고,"</f>
        <v>X = x × LOG e = 0 이고,</v>
      </c>
      <c r="H192" s="121"/>
      <c r="I192" s="121" t="s">
        <v>351</v>
      </c>
      <c r="J192" s="121"/>
      <c r="K192" s="103"/>
    </row>
    <row r="193" spans="2:11" s="105" customFormat="1" ht="15.95" customHeight="1">
      <c r="D193" s="121" t="s">
        <v>352</v>
      </c>
      <c r="E193" s="121"/>
      <c r="F193" s="121"/>
      <c r="G193" s="121"/>
      <c r="H193" s="153">
        <f>ROUND(((E$191*K$191-F$191*J$191)/(COUNT(B$181:B$190)*F$191-E$191*E$191))/LOG(EXP(1)),5)</f>
        <v>0.13643</v>
      </c>
      <c r="I193" s="121"/>
      <c r="J193" s="121"/>
    </row>
    <row r="194" spans="2:11" s="105" customFormat="1" ht="15.95" customHeight="1">
      <c r="D194" s="121" t="s">
        <v>353</v>
      </c>
      <c r="E194" s="121"/>
      <c r="F194" s="121"/>
      <c r="G194" s="162" t="s">
        <v>354</v>
      </c>
      <c r="H194" s="121"/>
      <c r="I194" s="121"/>
      <c r="J194" s="121"/>
      <c r="K194" s="163">
        <f>ROUND((COUNT(B$181:B$190)*K191-E191*J191)/(LOG(EXP(1))*(COUNT(B$181:B$190)*F191-E191*E191)),6)</f>
        <v>7.2287000000000004E-2</v>
      </c>
    </row>
    <row r="195" spans="2:11" s="105" customFormat="1" ht="15.95" customHeight="1">
      <c r="D195" s="121"/>
      <c r="F195" s="103"/>
      <c r="G195" s="103"/>
      <c r="H195" s="121"/>
      <c r="I195" s="121"/>
      <c r="J195" s="155"/>
    </row>
    <row r="196" spans="2:11" s="105" customFormat="1" ht="15.95" customHeight="1" thickBot="1">
      <c r="F196" s="110" t="s">
        <v>355</v>
      </c>
      <c r="G196" s="110"/>
    </row>
    <row r="197" spans="2:11" s="105" customFormat="1" ht="15.95" customHeight="1">
      <c r="B197" s="104" t="s">
        <v>256</v>
      </c>
      <c r="C197" s="104"/>
      <c r="D197" s="104" t="s">
        <v>356</v>
      </c>
      <c r="E197" s="104"/>
      <c r="F197" s="104" t="s">
        <v>357</v>
      </c>
      <c r="G197" s="104"/>
      <c r="H197" s="104" t="s">
        <v>308</v>
      </c>
      <c r="I197" s="104"/>
      <c r="J197" s="104" t="s">
        <v>309</v>
      </c>
      <c r="K197" s="104"/>
    </row>
    <row r="198" spans="2:11" s="105" customFormat="1" ht="15.95" customHeight="1">
      <c r="B198" s="106">
        <v>2008</v>
      </c>
      <c r="C198" s="110"/>
      <c r="D198" s="110">
        <f t="shared" ref="D198:D215" si="32">ROUNDUP(E$178/(1+EXP(1)^(H$193-K$194*(B198-B$186+0.5))),0)</f>
        <v>564919</v>
      </c>
      <c r="E198" s="110"/>
      <c r="F198" s="110">
        <v>0</v>
      </c>
      <c r="G198" s="110"/>
      <c r="H198" s="110">
        <f t="shared" ref="H198:H215" si="33">ROUND(D198*(1+F198),0)</f>
        <v>564919</v>
      </c>
      <c r="I198" s="110"/>
      <c r="J198" s="112">
        <v>0</v>
      </c>
      <c r="K198" s="112"/>
    </row>
    <row r="199" spans="2:11" s="105" customFormat="1" ht="15.95" customHeight="1">
      <c r="B199" s="106">
        <v>2009</v>
      </c>
      <c r="C199" s="110"/>
      <c r="D199" s="110">
        <f t="shared" si="32"/>
        <v>582596</v>
      </c>
      <c r="E199" s="110"/>
      <c r="F199" s="110">
        <v>0</v>
      </c>
      <c r="G199" s="110"/>
      <c r="H199" s="110">
        <f t="shared" si="33"/>
        <v>582596</v>
      </c>
      <c r="I199" s="110"/>
      <c r="J199" s="112">
        <v>0</v>
      </c>
      <c r="K199" s="112"/>
    </row>
    <row r="200" spans="2:11" s="105" customFormat="1" ht="15.95" customHeight="1">
      <c r="B200" s="106">
        <v>2010</v>
      </c>
      <c r="C200" s="110"/>
      <c r="D200" s="110">
        <f t="shared" si="32"/>
        <v>600062</v>
      </c>
      <c r="E200" s="110"/>
      <c r="F200" s="110">
        <v>0</v>
      </c>
      <c r="G200" s="110"/>
      <c r="H200" s="110">
        <f t="shared" si="33"/>
        <v>600062</v>
      </c>
      <c r="I200" s="110"/>
      <c r="J200" s="112">
        <v>0</v>
      </c>
      <c r="K200" s="112"/>
    </row>
    <row r="201" spans="2:11" s="105" customFormat="1" ht="15.95" customHeight="1">
      <c r="B201" s="106">
        <v>2011</v>
      </c>
      <c r="C201" s="110"/>
      <c r="D201" s="110">
        <f t="shared" si="32"/>
        <v>617278</v>
      </c>
      <c r="E201" s="110"/>
      <c r="F201" s="110">
        <v>0</v>
      </c>
      <c r="G201" s="110"/>
      <c r="H201" s="110">
        <f t="shared" si="33"/>
        <v>617278</v>
      </c>
      <c r="I201" s="110"/>
      <c r="J201" s="112">
        <v>0</v>
      </c>
      <c r="K201" s="112"/>
    </row>
    <row r="202" spans="2:11" s="105" customFormat="1" ht="15.95" customHeight="1">
      <c r="B202" s="106">
        <v>2012</v>
      </c>
      <c r="C202" s="110"/>
      <c r="D202" s="110">
        <f t="shared" si="32"/>
        <v>634205</v>
      </c>
      <c r="E202" s="110"/>
      <c r="F202" s="110">
        <v>0</v>
      </c>
      <c r="G202" s="110"/>
      <c r="H202" s="110">
        <f t="shared" si="33"/>
        <v>634205</v>
      </c>
      <c r="I202" s="110"/>
      <c r="J202" s="112">
        <v>0</v>
      </c>
      <c r="K202" s="112"/>
    </row>
    <row r="203" spans="2:11" s="105" customFormat="1" ht="15.95" customHeight="1">
      <c r="B203" s="106">
        <v>2013</v>
      </c>
      <c r="C203" s="110"/>
      <c r="D203" s="110">
        <f t="shared" si="32"/>
        <v>650806</v>
      </c>
      <c r="E203" s="110"/>
      <c r="F203" s="110">
        <v>0</v>
      </c>
      <c r="G203" s="110"/>
      <c r="H203" s="110">
        <f t="shared" si="33"/>
        <v>650806</v>
      </c>
      <c r="I203" s="110"/>
      <c r="J203" s="112">
        <v>0</v>
      </c>
      <c r="K203" s="112"/>
    </row>
    <row r="204" spans="2:11" s="105" customFormat="1" ht="15.95" customHeight="1">
      <c r="B204" s="106">
        <v>2014</v>
      </c>
      <c r="C204" s="110"/>
      <c r="D204" s="110">
        <f t="shared" si="32"/>
        <v>667050</v>
      </c>
      <c r="E204" s="110"/>
      <c r="F204" s="110">
        <v>0</v>
      </c>
      <c r="G204" s="110"/>
      <c r="H204" s="110">
        <f t="shared" si="33"/>
        <v>667050</v>
      </c>
      <c r="I204" s="110"/>
      <c r="J204" s="112">
        <v>0</v>
      </c>
      <c r="K204" s="112"/>
    </row>
    <row r="205" spans="2:11" s="105" customFormat="1" ht="15.95" customHeight="1">
      <c r="B205" s="106">
        <v>2015</v>
      </c>
      <c r="C205" s="110"/>
      <c r="D205" s="110">
        <f t="shared" si="32"/>
        <v>682906</v>
      </c>
      <c r="E205" s="110"/>
      <c r="F205" s="110">
        <v>0</v>
      </c>
      <c r="G205" s="110"/>
      <c r="H205" s="110">
        <f t="shared" si="33"/>
        <v>682906</v>
      </c>
      <c r="I205" s="110"/>
      <c r="J205" s="112">
        <v>0</v>
      </c>
      <c r="K205" s="112"/>
    </row>
    <row r="206" spans="2:11" s="105" customFormat="1" ht="15.95" customHeight="1">
      <c r="B206" s="106">
        <v>2016</v>
      </c>
      <c r="C206" s="110"/>
      <c r="D206" s="110">
        <f t="shared" si="32"/>
        <v>698349</v>
      </c>
      <c r="E206" s="110"/>
      <c r="F206" s="110">
        <v>0</v>
      </c>
      <c r="G206" s="110"/>
      <c r="H206" s="110">
        <f t="shared" si="33"/>
        <v>698349</v>
      </c>
      <c r="I206" s="110"/>
      <c r="J206" s="112">
        <v>0</v>
      </c>
      <c r="K206" s="112"/>
    </row>
    <row r="207" spans="2:11" s="105" customFormat="1" ht="15.95" customHeight="1">
      <c r="B207" s="106">
        <v>2017</v>
      </c>
      <c r="C207" s="110"/>
      <c r="D207" s="110">
        <f t="shared" si="32"/>
        <v>713355</v>
      </c>
      <c r="E207" s="110"/>
      <c r="F207" s="110">
        <v>0</v>
      </c>
      <c r="G207" s="110"/>
      <c r="H207" s="110">
        <f t="shared" si="33"/>
        <v>713355</v>
      </c>
      <c r="I207" s="110"/>
      <c r="J207" s="112">
        <v>0</v>
      </c>
      <c r="K207" s="112"/>
    </row>
    <row r="208" spans="2:11" s="105" customFormat="1" ht="15.95" customHeight="1">
      <c r="B208" s="106">
        <v>2018</v>
      </c>
      <c r="C208" s="110"/>
      <c r="D208" s="110">
        <f t="shared" si="32"/>
        <v>727905</v>
      </c>
      <c r="E208" s="110"/>
      <c r="F208" s="110">
        <v>0</v>
      </c>
      <c r="G208" s="110"/>
      <c r="H208" s="110">
        <f t="shared" si="33"/>
        <v>727905</v>
      </c>
      <c r="I208" s="110"/>
      <c r="J208" s="112">
        <v>0</v>
      </c>
      <c r="K208" s="112"/>
    </row>
    <row r="209" spans="2:11" s="105" customFormat="1" ht="15.95" customHeight="1">
      <c r="B209" s="106">
        <v>2019</v>
      </c>
      <c r="C209" s="110"/>
      <c r="D209" s="110">
        <f t="shared" si="32"/>
        <v>741984</v>
      </c>
      <c r="E209" s="110"/>
      <c r="F209" s="110">
        <v>0</v>
      </c>
      <c r="G209" s="110"/>
      <c r="H209" s="110">
        <f t="shared" si="33"/>
        <v>741984</v>
      </c>
      <c r="I209" s="110"/>
      <c r="J209" s="112">
        <v>0</v>
      </c>
      <c r="K209" s="112"/>
    </row>
    <row r="210" spans="2:11" s="105" customFormat="1" ht="15.95" customHeight="1">
      <c r="B210" s="106">
        <v>2020</v>
      </c>
      <c r="C210" s="110"/>
      <c r="D210" s="110">
        <f t="shared" si="32"/>
        <v>755580</v>
      </c>
      <c r="E210" s="110"/>
      <c r="F210" s="110">
        <v>0</v>
      </c>
      <c r="G210" s="110"/>
      <c r="H210" s="110">
        <f t="shared" si="33"/>
        <v>755580</v>
      </c>
      <c r="I210" s="110"/>
      <c r="J210" s="112">
        <v>0</v>
      </c>
      <c r="K210" s="112"/>
    </row>
    <row r="211" spans="2:11" s="105" customFormat="1" ht="15.95" customHeight="1">
      <c r="B211" s="106">
        <v>2021</v>
      </c>
      <c r="C211" s="110"/>
      <c r="D211" s="110">
        <f t="shared" si="32"/>
        <v>768682</v>
      </c>
      <c r="E211" s="110"/>
      <c r="F211" s="110">
        <v>0</v>
      </c>
      <c r="G211" s="110"/>
      <c r="H211" s="110">
        <f t="shared" si="33"/>
        <v>768682</v>
      </c>
      <c r="I211" s="110"/>
      <c r="J211" s="112">
        <v>0</v>
      </c>
      <c r="K211" s="112"/>
    </row>
    <row r="212" spans="2:11" s="105" customFormat="1" ht="15.95" customHeight="1">
      <c r="B212" s="106">
        <v>2022</v>
      </c>
      <c r="C212" s="110"/>
      <c r="D212" s="110">
        <f t="shared" si="32"/>
        <v>781285</v>
      </c>
      <c r="E212" s="110"/>
      <c r="F212" s="110">
        <v>0</v>
      </c>
      <c r="G212" s="110"/>
      <c r="H212" s="110">
        <f t="shared" si="33"/>
        <v>781285</v>
      </c>
      <c r="I212" s="110"/>
      <c r="J212" s="112">
        <v>0</v>
      </c>
      <c r="K212" s="112"/>
    </row>
    <row r="213" spans="2:11" s="105" customFormat="1" ht="15.95" customHeight="1">
      <c r="B213" s="106">
        <v>2023</v>
      </c>
      <c r="C213" s="110"/>
      <c r="D213" s="110">
        <f t="shared" si="32"/>
        <v>793386</v>
      </c>
      <c r="E213" s="110"/>
      <c r="F213" s="110">
        <v>0</v>
      </c>
      <c r="G213" s="110"/>
      <c r="H213" s="110">
        <f t="shared" si="33"/>
        <v>793386</v>
      </c>
      <c r="I213" s="110"/>
      <c r="J213" s="112">
        <v>0</v>
      </c>
      <c r="K213" s="112"/>
    </row>
    <row r="214" spans="2:11" s="105" customFormat="1" ht="15.95" customHeight="1">
      <c r="B214" s="106">
        <v>2024</v>
      </c>
      <c r="C214" s="110"/>
      <c r="D214" s="110">
        <f t="shared" si="32"/>
        <v>804984</v>
      </c>
      <c r="E214" s="110"/>
      <c r="F214" s="110">
        <v>0</v>
      </c>
      <c r="G214" s="110"/>
      <c r="H214" s="110">
        <f t="shared" si="33"/>
        <v>804984</v>
      </c>
      <c r="I214" s="110"/>
      <c r="J214" s="112">
        <v>0</v>
      </c>
      <c r="K214" s="112"/>
    </row>
    <row r="215" spans="2:11" s="105" customFormat="1" ht="15.95" customHeight="1" thickBot="1">
      <c r="B215" s="106">
        <v>2025</v>
      </c>
      <c r="C215" s="110"/>
      <c r="D215" s="110">
        <f t="shared" si="32"/>
        <v>816083</v>
      </c>
      <c r="E215" s="110"/>
      <c r="F215" s="110">
        <v>0</v>
      </c>
      <c r="G215" s="110"/>
      <c r="H215" s="110">
        <f t="shared" si="33"/>
        <v>816083</v>
      </c>
      <c r="I215" s="110"/>
      <c r="J215" s="112">
        <v>0</v>
      </c>
      <c r="K215" s="112"/>
    </row>
    <row r="216" spans="2:11" s="105" customFormat="1" ht="15.95" customHeight="1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</row>
    <row r="217" spans="2:11" s="105" customFormat="1" ht="15.95" customHeight="1"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</row>
    <row r="218" spans="2:11" s="105" customFormat="1" ht="15.95" customHeight="1" thickBot="1">
      <c r="F218" s="110" t="s">
        <v>358</v>
      </c>
      <c r="G218" s="110"/>
      <c r="K218" s="127" t="s">
        <v>359</v>
      </c>
    </row>
    <row r="219" spans="2:11" s="105" customFormat="1" ht="15.95" customHeight="1">
      <c r="B219" s="104" t="s">
        <v>256</v>
      </c>
      <c r="C219" s="104"/>
      <c r="D219" s="104" t="s">
        <v>360</v>
      </c>
      <c r="E219" s="104" t="s">
        <v>361</v>
      </c>
      <c r="F219" s="104" t="s">
        <v>362</v>
      </c>
      <c r="G219" s="104" t="s">
        <v>363</v>
      </c>
      <c r="H219" s="104" t="s">
        <v>364</v>
      </c>
      <c r="I219" s="104" t="s">
        <v>365</v>
      </c>
      <c r="J219" s="104" t="s">
        <v>366</v>
      </c>
      <c r="K219" s="104"/>
    </row>
    <row r="220" spans="2:11" s="105" customFormat="1" ht="15.95" customHeight="1">
      <c r="B220" s="106">
        <v>2008</v>
      </c>
      <c r="C220" s="110"/>
      <c r="D220" s="164">
        <f t="array" ref="D220">IF(B26=B220,H26)</f>
        <v>557878</v>
      </c>
      <c r="E220" s="164">
        <f t="array" ref="E220">IF(B54=B220,H54)</f>
        <v>561297</v>
      </c>
      <c r="F220" s="164">
        <f t="array" ref="F220">IF(B112=B220,H112)</f>
        <v>564674</v>
      </c>
      <c r="G220" s="164">
        <f t="array" ref="G220">IF(B155=B220,H155)</f>
        <v>558748</v>
      </c>
      <c r="H220" s="164">
        <f t="array" ref="H220">IF(B198=B220,H198)</f>
        <v>564919</v>
      </c>
      <c r="I220" s="164">
        <f t="shared" ref="I220:I237" si="34">IF(G220=0,AVERAGE(D220,E220,F220,H220),AVERAGE(D220:H220))</f>
        <v>561503.19999999995</v>
      </c>
      <c r="J220" s="165">
        <f t="shared" ref="J220:J237" si="35">ROUND(AVERAGE(D220,F220:G220),0)</f>
        <v>560433</v>
      </c>
      <c r="K220" s="107"/>
    </row>
    <row r="221" spans="2:11" s="105" customFormat="1" ht="15.95" customHeight="1">
      <c r="B221" s="106">
        <v>2009</v>
      </c>
      <c r="C221" s="110"/>
      <c r="D221" s="164">
        <f t="array" ref="D221">IF(B27=B221,H27)</f>
        <v>575014</v>
      </c>
      <c r="E221" s="164">
        <f t="array" ref="E221">IF(B55=B221,H55)</f>
        <v>582633</v>
      </c>
      <c r="F221" s="164">
        <f t="array" ref="F221">IF(B113=B221,H113)</f>
        <v>582558</v>
      </c>
      <c r="G221" s="164">
        <f t="array" ref="G221">IF(B156=B221,H156)</f>
        <v>575411</v>
      </c>
      <c r="H221" s="164">
        <f t="array" ref="H221">IF(B199=B221,H199)</f>
        <v>582596</v>
      </c>
      <c r="I221" s="164">
        <f t="shared" si="34"/>
        <v>579642.4</v>
      </c>
      <c r="J221" s="165">
        <f t="shared" si="35"/>
        <v>577661</v>
      </c>
      <c r="K221" s="107"/>
    </row>
    <row r="222" spans="2:11" s="105" customFormat="1" ht="15.95" customHeight="1">
      <c r="B222" s="166">
        <v>2010</v>
      </c>
      <c r="C222" s="167"/>
      <c r="D222" s="168">
        <f t="array" ref="D222">IF(B28=B222,H28)</f>
        <v>592150</v>
      </c>
      <c r="E222" s="168">
        <f t="array" ref="E222">IF(B56=B222,H56)</f>
        <v>604780</v>
      </c>
      <c r="F222" s="168">
        <f t="array" ref="F222">IF(B114=B222,H114)</f>
        <v>600442</v>
      </c>
      <c r="G222" s="168">
        <f t="array" ref="G222">IF(B157=B222,H157)</f>
        <v>592027</v>
      </c>
      <c r="H222" s="168">
        <f t="array" ref="H222">IF(B200=B222,H200)</f>
        <v>600062</v>
      </c>
      <c r="I222" s="168">
        <f t="shared" si="34"/>
        <v>597892.19999999995</v>
      </c>
      <c r="J222" s="169">
        <f t="shared" si="35"/>
        <v>594873</v>
      </c>
      <c r="K222" s="170"/>
    </row>
    <row r="223" spans="2:11" s="105" customFormat="1" ht="15.95" customHeight="1">
      <c r="B223" s="106">
        <v>2011</v>
      </c>
      <c r="C223" s="110"/>
      <c r="D223" s="164">
        <f t="array" ref="D223">IF(B29=B223,H29)</f>
        <v>609286</v>
      </c>
      <c r="E223" s="164">
        <f t="array" ref="E223">IF(B57=B223,H57)</f>
        <v>627769</v>
      </c>
      <c r="F223" s="164">
        <f t="array" ref="F223">IF(B115=B223,H115)</f>
        <v>618327</v>
      </c>
      <c r="G223" s="164">
        <f t="array" ref="G223">IF(B158=B223,H158)</f>
        <v>608599</v>
      </c>
      <c r="H223" s="164">
        <f t="array" ref="H223">IF(B201=B223,H201)</f>
        <v>617278</v>
      </c>
      <c r="I223" s="164">
        <f t="shared" si="34"/>
        <v>616251.80000000005</v>
      </c>
      <c r="J223" s="165">
        <f t="shared" si="35"/>
        <v>612071</v>
      </c>
      <c r="K223" s="107"/>
    </row>
    <row r="224" spans="2:11" s="105" customFormat="1" ht="15.95" customHeight="1">
      <c r="B224" s="106">
        <v>2012</v>
      </c>
      <c r="C224" s="110"/>
      <c r="D224" s="164">
        <f t="array" ref="D224">IF(B30=B224,H30)</f>
        <v>626423</v>
      </c>
      <c r="E224" s="164">
        <f t="array" ref="E224">IF(B58=B224,H58)</f>
        <v>651631</v>
      </c>
      <c r="F224" s="164">
        <f t="array" ref="F224">IF(B116=B224,H116)</f>
        <v>636211</v>
      </c>
      <c r="G224" s="164">
        <f t="array" ref="G224">IF(B159=B224,H159)</f>
        <v>625133</v>
      </c>
      <c r="H224" s="164">
        <f t="array" ref="H224">IF(B202=B224,H202)</f>
        <v>634205</v>
      </c>
      <c r="I224" s="164">
        <f t="shared" si="34"/>
        <v>634720.6</v>
      </c>
      <c r="J224" s="165">
        <f t="shared" si="35"/>
        <v>629256</v>
      </c>
      <c r="K224" s="107"/>
    </row>
    <row r="225" spans="2:11" s="105" customFormat="1" ht="15.95" customHeight="1">
      <c r="B225" s="106">
        <v>2013</v>
      </c>
      <c r="C225" s="110"/>
      <c r="D225" s="164">
        <f t="array" ref="D225">IF(B31=B225,H31)</f>
        <v>643559</v>
      </c>
      <c r="E225" s="164">
        <f t="array" ref="E225">IF(B59=B225,H59)</f>
        <v>676401</v>
      </c>
      <c r="F225" s="164">
        <f t="array" ref="F225">IF(B117=B225,H117)</f>
        <v>654095</v>
      </c>
      <c r="G225" s="164">
        <f t="array" ref="G225">IF(B160=B225,H160)</f>
        <v>641629</v>
      </c>
      <c r="H225" s="164">
        <f t="array" ref="H225">IF(B203=B225,H203)</f>
        <v>650806</v>
      </c>
      <c r="I225" s="164">
        <f t="shared" si="34"/>
        <v>653298</v>
      </c>
      <c r="J225" s="165">
        <f t="shared" si="35"/>
        <v>646428</v>
      </c>
      <c r="K225" s="107"/>
    </row>
    <row r="226" spans="2:11" s="105" customFormat="1" ht="15.95" customHeight="1">
      <c r="B226" s="106">
        <v>2014</v>
      </c>
      <c r="C226" s="110"/>
      <c r="D226" s="164">
        <f t="array" ref="D226">IF(B32=B226,H32)</f>
        <v>660695</v>
      </c>
      <c r="E226" s="164">
        <f t="array" ref="E226">IF(B60=B226,H60)</f>
        <v>702113</v>
      </c>
      <c r="F226" s="164">
        <f t="array" ref="F226">IF(B118=B226,H118)</f>
        <v>671979</v>
      </c>
      <c r="G226" s="164">
        <f t="array" ref="G226">IF(B161=B226,H161)</f>
        <v>658091</v>
      </c>
      <c r="H226" s="164">
        <f t="array" ref="H226">IF(B204=B226,H204)</f>
        <v>667050</v>
      </c>
      <c r="I226" s="164">
        <f t="shared" si="34"/>
        <v>671985.6</v>
      </c>
      <c r="J226" s="165">
        <f t="shared" si="35"/>
        <v>663588</v>
      </c>
      <c r="K226" s="107"/>
    </row>
    <row r="227" spans="2:11" s="105" customFormat="1" ht="15.95" customHeight="1">
      <c r="B227" s="166">
        <v>2015</v>
      </c>
      <c r="C227" s="167"/>
      <c r="D227" s="168">
        <f t="array" ref="D227">IF(B33=B227,H33)</f>
        <v>677831</v>
      </c>
      <c r="E227" s="168">
        <f t="array" ref="E227">IF(B61=B227,H61)</f>
        <v>728801</v>
      </c>
      <c r="F227" s="168">
        <f t="array" ref="F227">IF(B119=B227,H119)</f>
        <v>689863</v>
      </c>
      <c r="G227" s="168">
        <f t="array" ref="G227">IF(B162=B227,H162)</f>
        <v>674522</v>
      </c>
      <c r="H227" s="168">
        <f t="array" ref="H227">IF(B205=B227,H205)</f>
        <v>682906</v>
      </c>
      <c r="I227" s="168">
        <f t="shared" si="34"/>
        <v>690784.6</v>
      </c>
      <c r="J227" s="169">
        <f t="shared" si="35"/>
        <v>680739</v>
      </c>
      <c r="K227" s="170"/>
    </row>
    <row r="228" spans="2:11" s="105" customFormat="1" ht="15.95" customHeight="1">
      <c r="B228" s="106">
        <v>2016</v>
      </c>
      <c r="C228" s="110"/>
      <c r="D228" s="164">
        <f t="array" ref="D228">IF(B34=B228,H34)</f>
        <v>694967</v>
      </c>
      <c r="E228" s="164">
        <f t="array" ref="E228">IF(B62=B228,H62)</f>
        <v>756504</v>
      </c>
      <c r="F228" s="164">
        <f t="array" ref="F228">IF(B120=B228,H120)</f>
        <v>707747</v>
      </c>
      <c r="G228" s="164">
        <f t="array" ref="G228">IF(B163=B228,H163)</f>
        <v>690922</v>
      </c>
      <c r="H228" s="164">
        <f t="array" ref="H228">IF(B206=B228,H206)</f>
        <v>698349</v>
      </c>
      <c r="I228" s="164">
        <f t="shared" si="34"/>
        <v>709697.8</v>
      </c>
      <c r="J228" s="165">
        <f t="shared" si="35"/>
        <v>697879</v>
      </c>
      <c r="K228" s="107"/>
    </row>
    <row r="229" spans="2:11" s="105" customFormat="1" ht="15.95" customHeight="1">
      <c r="B229" s="106">
        <v>2017</v>
      </c>
      <c r="C229" s="110"/>
      <c r="D229" s="164">
        <f t="array" ref="D229">IF(B35=B229,H35)</f>
        <v>712103</v>
      </c>
      <c r="E229" s="164">
        <f t="array" ref="E229">IF(B63=B229,H63)</f>
        <v>785261</v>
      </c>
      <c r="F229" s="164">
        <f t="array" ref="F229">IF(B121=B229,H121)</f>
        <v>725631</v>
      </c>
      <c r="G229" s="164">
        <f t="array" ref="G229">IF(B164=B229,H164)</f>
        <v>707294</v>
      </c>
      <c r="H229" s="164">
        <f t="array" ref="H229">IF(B207=B229,H207)</f>
        <v>713355</v>
      </c>
      <c r="I229" s="164">
        <f t="shared" si="34"/>
        <v>728728.8</v>
      </c>
      <c r="J229" s="165">
        <f t="shared" si="35"/>
        <v>715009</v>
      </c>
      <c r="K229" s="107"/>
    </row>
    <row r="230" spans="2:11" s="105" customFormat="1" ht="15.95" customHeight="1">
      <c r="B230" s="106">
        <v>2018</v>
      </c>
      <c r="C230" s="110"/>
      <c r="D230" s="164">
        <f t="array" ref="D230">IF(B36=B230,H36)</f>
        <v>729239</v>
      </c>
      <c r="E230" s="164">
        <f t="array" ref="E230">IF(B64=B230,H64)</f>
        <v>815110</v>
      </c>
      <c r="F230" s="164">
        <f t="array" ref="F230">IF(B122=B230,H122)</f>
        <v>743515</v>
      </c>
      <c r="G230" s="164">
        <f t="array" ref="G230">IF(B165=B230,H165)</f>
        <v>723639</v>
      </c>
      <c r="H230" s="164">
        <f t="array" ref="H230">IF(B208=B230,H208)</f>
        <v>727905</v>
      </c>
      <c r="I230" s="164">
        <f t="shared" si="34"/>
        <v>747881.6</v>
      </c>
      <c r="J230" s="165">
        <f t="shared" si="35"/>
        <v>732131</v>
      </c>
      <c r="K230" s="107"/>
    </row>
    <row r="231" spans="2:11" s="105" customFormat="1" ht="15.95" customHeight="1">
      <c r="B231" s="106">
        <v>2019</v>
      </c>
      <c r="C231" s="110"/>
      <c r="D231" s="164">
        <f t="array" ref="D231">IF(B37=B231,H37)</f>
        <v>746375</v>
      </c>
      <c r="E231" s="164">
        <f t="array" ref="E231">IF(B65=B231,H65)</f>
        <v>846094</v>
      </c>
      <c r="F231" s="164">
        <f t="array" ref="F231">IF(B123=B231,H123)</f>
        <v>761399</v>
      </c>
      <c r="G231" s="164">
        <f t="array" ref="G231">IF(B166=B231,H166)</f>
        <v>739959</v>
      </c>
      <c r="H231" s="164">
        <f t="array" ref="H231">IF(B209=B231,H209)</f>
        <v>741984</v>
      </c>
      <c r="I231" s="164">
        <f t="shared" si="34"/>
        <v>767162.2</v>
      </c>
      <c r="J231" s="165">
        <f t="shared" si="35"/>
        <v>749244</v>
      </c>
      <c r="K231" s="107"/>
    </row>
    <row r="232" spans="2:11" s="105" customFormat="1" ht="15.95" customHeight="1">
      <c r="B232" s="166">
        <v>2020</v>
      </c>
      <c r="C232" s="167"/>
      <c r="D232" s="168">
        <f t="array" ref="D232">IF(B38=B232,H38)</f>
        <v>763511</v>
      </c>
      <c r="E232" s="168">
        <f t="array" ref="E232">IF(B66=B232,H66)</f>
        <v>878256</v>
      </c>
      <c r="F232" s="168">
        <f t="array" ref="F232">IF(B124=B232,H124)</f>
        <v>779284</v>
      </c>
      <c r="G232" s="168">
        <f t="array" ref="G232">IF(B167=B232,H167)</f>
        <v>756255</v>
      </c>
      <c r="H232" s="168">
        <f t="array" ref="H232">IF(B210=B232,H210)</f>
        <v>755580</v>
      </c>
      <c r="I232" s="168">
        <f t="shared" si="34"/>
        <v>786577.2</v>
      </c>
      <c r="J232" s="169">
        <f t="shared" si="35"/>
        <v>766350</v>
      </c>
      <c r="K232" s="170"/>
    </row>
    <row r="233" spans="2:11" s="105" customFormat="1" ht="15.95" customHeight="1">
      <c r="B233" s="106">
        <v>2021</v>
      </c>
      <c r="C233" s="110"/>
      <c r="D233" s="164">
        <f t="array" ref="D233">IF(B39=B233,H39)</f>
        <v>780647</v>
      </c>
      <c r="E233" s="164">
        <f t="array" ref="E233">IF(B67=B233,H67)</f>
        <v>911640</v>
      </c>
      <c r="F233" s="164">
        <f t="array" ref="F233">IF(B125=B233,H125)</f>
        <v>797168</v>
      </c>
      <c r="G233" s="164">
        <f t="array" ref="G233">IF(B168=B233,H168)</f>
        <v>772528</v>
      </c>
      <c r="H233" s="164">
        <f t="array" ref="H233">IF(B211=B233,H211)</f>
        <v>768682</v>
      </c>
      <c r="I233" s="164">
        <f t="shared" si="34"/>
        <v>806133</v>
      </c>
      <c r="J233" s="165">
        <f t="shared" si="35"/>
        <v>783448</v>
      </c>
      <c r="K233" s="107"/>
    </row>
    <row r="234" spans="2:11" s="105" customFormat="1" ht="15.95" customHeight="1">
      <c r="B234" s="106">
        <v>2022</v>
      </c>
      <c r="C234" s="110"/>
      <c r="D234" s="164">
        <f t="array" ref="D234">IF(B40=B234,H40)</f>
        <v>797784</v>
      </c>
      <c r="E234" s="164">
        <f t="array" ref="E234">IF(B68=B234,H68)</f>
        <v>946293</v>
      </c>
      <c r="F234" s="164">
        <f t="array" ref="F234">IF(B126=B234,H126)</f>
        <v>815052</v>
      </c>
      <c r="G234" s="164">
        <f t="array" ref="G234">IF(B169=B234,H169)</f>
        <v>788779</v>
      </c>
      <c r="H234" s="164">
        <f t="array" ref="H234">IF(B212=B234,H212)</f>
        <v>781285</v>
      </c>
      <c r="I234" s="164">
        <f t="shared" si="34"/>
        <v>825838.6</v>
      </c>
      <c r="J234" s="165">
        <f t="shared" si="35"/>
        <v>800538</v>
      </c>
      <c r="K234" s="107"/>
    </row>
    <row r="235" spans="2:11" s="105" customFormat="1" ht="15.95" customHeight="1">
      <c r="B235" s="106">
        <v>2023</v>
      </c>
      <c r="C235" s="110"/>
      <c r="D235" s="164">
        <f t="array" ref="D235">IF(B41=B235,H41)</f>
        <v>814920</v>
      </c>
      <c r="E235" s="164">
        <f t="array" ref="E235">IF(B69=B235,H69)</f>
        <v>982264</v>
      </c>
      <c r="F235" s="164">
        <f t="array" ref="F235">IF(B127=B235,H127)</f>
        <v>832936</v>
      </c>
      <c r="G235" s="164">
        <f t="array" ref="G235">IF(B170=B235,H170)</f>
        <v>805008</v>
      </c>
      <c r="H235" s="164">
        <f t="array" ref="H235">IF(B213=B235,H213)</f>
        <v>793386</v>
      </c>
      <c r="I235" s="164">
        <f t="shared" si="34"/>
        <v>845702.8</v>
      </c>
      <c r="J235" s="165">
        <f t="shared" si="35"/>
        <v>817621</v>
      </c>
      <c r="K235" s="107"/>
    </row>
    <row r="236" spans="2:11" s="105" customFormat="1" ht="15.95" customHeight="1">
      <c r="B236" s="106">
        <v>2024</v>
      </c>
      <c r="C236" s="110"/>
      <c r="D236" s="164">
        <f t="array" ref="D236">IF(B42=B236,H42)</f>
        <v>832056</v>
      </c>
      <c r="E236" s="164">
        <f t="array" ref="E236">IF(B70=B236,H70)</f>
        <v>1019601</v>
      </c>
      <c r="F236" s="164">
        <f t="array" ref="F236">IF(B128=B236,H128)</f>
        <v>850820</v>
      </c>
      <c r="G236" s="164">
        <f t="array" ref="G236">IF(B171=B236,H171)</f>
        <v>821218</v>
      </c>
      <c r="H236" s="164">
        <f t="array" ref="H236">IF(B214=B236,H214)</f>
        <v>804984</v>
      </c>
      <c r="I236" s="164">
        <f t="shared" si="34"/>
        <v>865735.8</v>
      </c>
      <c r="J236" s="165">
        <f t="shared" si="35"/>
        <v>834698</v>
      </c>
      <c r="K236" s="107"/>
    </row>
    <row r="237" spans="2:11" s="105" customFormat="1" ht="15.95" customHeight="1" thickBot="1">
      <c r="B237" s="166">
        <v>2025</v>
      </c>
      <c r="C237" s="167"/>
      <c r="D237" s="168">
        <f t="array" ref="D237">IF(B43=B237,H43)</f>
        <v>849192</v>
      </c>
      <c r="E237" s="168">
        <f t="array" ref="E237">IF(B71=B237,H71)</f>
        <v>1058359</v>
      </c>
      <c r="F237" s="168">
        <f t="array" ref="F237">IF(B129=B237,H129)</f>
        <v>868704</v>
      </c>
      <c r="G237" s="168">
        <f t="array" ref="G237">IF(B172=B237,H172)</f>
        <v>837408</v>
      </c>
      <c r="H237" s="168">
        <f t="array" ref="H237">IF(B215=B237,H215)</f>
        <v>816083</v>
      </c>
      <c r="I237" s="168">
        <f t="shared" si="34"/>
        <v>885949.2</v>
      </c>
      <c r="J237" s="169">
        <f t="shared" si="35"/>
        <v>851768</v>
      </c>
      <c r="K237" s="170"/>
    </row>
    <row r="238" spans="2:11" ht="15.95" customHeight="1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</row>
  </sheetData>
  <mergeCells count="1">
    <mergeCell ref="E178:F178"/>
  </mergeCells>
  <phoneticPr fontId="4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44"/>
  <sheetViews>
    <sheetView showGridLines="0" view="pageBreakPreview" topLeftCell="A16" workbookViewId="0">
      <selection activeCell="B16" sqref="B16"/>
    </sheetView>
  </sheetViews>
  <sheetFormatPr defaultRowHeight="20.100000000000001" customHeight="1"/>
  <cols>
    <col min="1" max="1" width="11.77734375" style="66" customWidth="1"/>
    <col min="2" max="2" width="10.21875" style="66" customWidth="1"/>
    <col min="3" max="6" width="8.77734375" style="172" customWidth="1"/>
    <col min="7" max="7" width="9.33203125" style="172" customWidth="1"/>
    <col min="8" max="8" width="8.77734375" style="172" customWidth="1"/>
    <col min="9" max="16384" width="8.88671875" style="172"/>
  </cols>
  <sheetData>
    <row r="1" spans="1:8" ht="18.95" customHeight="1">
      <c r="A1" s="171" t="s">
        <v>370</v>
      </c>
      <c r="B1" s="171"/>
    </row>
    <row r="2" spans="1:8" ht="18.95" customHeight="1">
      <c r="A2" s="173" t="s">
        <v>371</v>
      </c>
      <c r="B2" s="173"/>
    </row>
    <row r="3" spans="1:8" ht="18.95" customHeight="1">
      <c r="A3" s="174" t="s">
        <v>372</v>
      </c>
      <c r="B3" s="174"/>
      <c r="C3" s="175"/>
      <c r="D3" s="176"/>
      <c r="E3" s="176"/>
      <c r="F3" s="176"/>
      <c r="G3" s="176"/>
      <c r="H3" s="176"/>
    </row>
    <row r="4" spans="1:8" s="66" customFormat="1" ht="18.95" customHeight="1">
      <c r="C4" s="172"/>
      <c r="D4" s="172"/>
      <c r="E4" s="172"/>
      <c r="F4" s="172"/>
      <c r="G4" s="172"/>
      <c r="H4" s="177" t="s">
        <v>373</v>
      </c>
    </row>
    <row r="5" spans="1:8" ht="18.95" customHeight="1">
      <c r="A5" s="178" t="s">
        <v>374</v>
      </c>
      <c r="B5" s="179"/>
      <c r="C5" s="180" t="s">
        <v>375</v>
      </c>
      <c r="D5" s="180" t="s">
        <v>376</v>
      </c>
      <c r="E5" s="180" t="s">
        <v>3</v>
      </c>
      <c r="F5" s="180" t="s">
        <v>4</v>
      </c>
      <c r="G5" s="180" t="s">
        <v>5</v>
      </c>
      <c r="H5" s="181" t="s">
        <v>377</v>
      </c>
    </row>
    <row r="6" spans="1:8" ht="18.95" customHeight="1">
      <c r="A6" s="860" t="s">
        <v>378</v>
      </c>
      <c r="B6" s="182" t="s">
        <v>379</v>
      </c>
      <c r="C6" s="183"/>
      <c r="D6" s="184">
        <v>592150</v>
      </c>
      <c r="E6" s="184">
        <v>677831</v>
      </c>
      <c r="F6" s="184">
        <v>763511</v>
      </c>
      <c r="G6" s="184">
        <v>849192</v>
      </c>
      <c r="H6" s="185"/>
    </row>
    <row r="7" spans="1:8" ht="18.95" customHeight="1">
      <c r="A7" s="861"/>
      <c r="B7" s="186" t="s">
        <v>380</v>
      </c>
      <c r="C7" s="187"/>
      <c r="D7" s="188">
        <v>604780</v>
      </c>
      <c r="E7" s="188">
        <v>728802</v>
      </c>
      <c r="F7" s="188">
        <v>878256</v>
      </c>
      <c r="G7" s="188">
        <v>1058360</v>
      </c>
      <c r="H7" s="189"/>
    </row>
    <row r="8" spans="1:8" ht="18.95" customHeight="1">
      <c r="A8" s="861"/>
      <c r="B8" s="186" t="s">
        <v>381</v>
      </c>
      <c r="C8" s="190"/>
      <c r="D8" s="188">
        <v>601255</v>
      </c>
      <c r="E8" s="188">
        <v>691217</v>
      </c>
      <c r="F8" s="188">
        <v>781180</v>
      </c>
      <c r="G8" s="188">
        <v>871142</v>
      </c>
      <c r="H8" s="189"/>
    </row>
    <row r="9" spans="1:8" ht="18.95" customHeight="1">
      <c r="A9" s="861"/>
      <c r="B9" s="186" t="s">
        <v>382</v>
      </c>
      <c r="C9" s="190"/>
      <c r="D9" s="188">
        <v>592022</v>
      </c>
      <c r="E9" s="188">
        <v>674515</v>
      </c>
      <c r="F9" s="188">
        <v>756246</v>
      </c>
      <c r="G9" s="188">
        <v>837396</v>
      </c>
      <c r="H9" s="189"/>
    </row>
    <row r="10" spans="1:8" ht="18.95" customHeight="1">
      <c r="A10" s="861"/>
      <c r="B10" s="186" t="s">
        <v>383</v>
      </c>
      <c r="C10" s="190"/>
      <c r="D10" s="188">
        <v>600851</v>
      </c>
      <c r="E10" s="188">
        <v>684092</v>
      </c>
      <c r="F10" s="188">
        <v>756995</v>
      </c>
      <c r="G10" s="188">
        <v>817560</v>
      </c>
      <c r="H10" s="189"/>
    </row>
    <row r="11" spans="1:8" ht="18.95" customHeight="1">
      <c r="A11" s="862"/>
      <c r="B11" s="186" t="s">
        <v>384</v>
      </c>
      <c r="C11" s="190">
        <v>540742</v>
      </c>
      <c r="D11" s="188">
        <f>ROUND(AVERAGE(D6,D8:D10),0)</f>
        <v>596570</v>
      </c>
      <c r="E11" s="188">
        <f>ROUND(AVERAGE(E6,E8:E10),0)</f>
        <v>681914</v>
      </c>
      <c r="F11" s="188">
        <f>ROUND(AVERAGE(F6,F8:F10),0)</f>
        <v>764483</v>
      </c>
      <c r="G11" s="188">
        <f>ROUND(AVERAGE(G6,G8:G10),0)</f>
        <v>843823</v>
      </c>
      <c r="H11" s="191" t="s">
        <v>385</v>
      </c>
    </row>
    <row r="12" spans="1:8" ht="18.95" customHeight="1">
      <c r="A12" s="863" t="s">
        <v>386</v>
      </c>
      <c r="B12" s="186" t="s">
        <v>379</v>
      </c>
      <c r="C12" s="190"/>
      <c r="D12" s="188">
        <v>599263</v>
      </c>
      <c r="E12" s="188">
        <v>696798</v>
      </c>
      <c r="F12" s="188">
        <v>794333</v>
      </c>
      <c r="G12" s="188">
        <v>891868</v>
      </c>
      <c r="H12" s="189"/>
    </row>
    <row r="13" spans="1:8" ht="18.95" customHeight="1">
      <c r="A13" s="861"/>
      <c r="B13" s="186" t="s">
        <v>380</v>
      </c>
      <c r="C13" s="190"/>
      <c r="D13" s="188">
        <v>607782</v>
      </c>
      <c r="E13" s="188">
        <v>738491</v>
      </c>
      <c r="F13" s="188">
        <v>897308</v>
      </c>
      <c r="G13" s="188">
        <v>1090281</v>
      </c>
      <c r="H13" s="189"/>
    </row>
    <row r="14" spans="1:8" ht="18.95" customHeight="1">
      <c r="A14" s="861"/>
      <c r="B14" s="186" t="s">
        <v>381</v>
      </c>
      <c r="C14" s="190"/>
      <c r="D14" s="188">
        <v>601395</v>
      </c>
      <c r="E14" s="188">
        <v>690147</v>
      </c>
      <c r="F14" s="188">
        <v>778900</v>
      </c>
      <c r="G14" s="188">
        <v>867652</v>
      </c>
      <c r="H14" s="189"/>
    </row>
    <row r="15" spans="1:8" ht="18.95" customHeight="1">
      <c r="A15" s="861"/>
      <c r="B15" s="186" t="s">
        <v>382</v>
      </c>
      <c r="C15" s="190"/>
      <c r="D15" s="188">
        <v>556024</v>
      </c>
      <c r="E15" s="188">
        <v>576326</v>
      </c>
      <c r="F15" s="188">
        <v>591738</v>
      </c>
      <c r="G15" s="188">
        <v>604478</v>
      </c>
      <c r="H15" s="189"/>
    </row>
    <row r="16" spans="1:8" ht="18.95" customHeight="1">
      <c r="A16" s="861"/>
      <c r="B16" s="186" t="s">
        <v>383</v>
      </c>
      <c r="C16" s="190"/>
      <c r="D16" s="188">
        <v>600214</v>
      </c>
      <c r="E16" s="188">
        <v>681807</v>
      </c>
      <c r="F16" s="188">
        <v>753584</v>
      </c>
      <c r="G16" s="188">
        <v>813597</v>
      </c>
      <c r="H16" s="189"/>
    </row>
    <row r="17" spans="1:8" ht="18.95" customHeight="1">
      <c r="A17" s="864"/>
      <c r="B17" s="192" t="s">
        <v>384</v>
      </c>
      <c r="C17" s="193">
        <v>540742</v>
      </c>
      <c r="D17" s="194">
        <f>ROUND(AVERAGE(D12,D14:D16),0)</f>
        <v>589224</v>
      </c>
      <c r="E17" s="194">
        <f>ROUND(AVERAGE(E12,E14:E16),0)</f>
        <v>661270</v>
      </c>
      <c r="F17" s="194">
        <f>ROUND(AVERAGE(F12,F14:F16),0)</f>
        <v>729639</v>
      </c>
      <c r="G17" s="194">
        <f>ROUND(AVERAGE(G12,G14:G16),0)</f>
        <v>794399</v>
      </c>
      <c r="H17" s="195" t="s">
        <v>385</v>
      </c>
    </row>
    <row r="18" spans="1:8" ht="18.95" customHeight="1"/>
    <row r="19" spans="1:8" ht="18.95" customHeight="1"/>
    <row r="20" spans="1:8" ht="18.95" customHeight="1"/>
    <row r="21" spans="1:8" ht="18.95" customHeight="1"/>
    <row r="22" spans="1:8" ht="18.95" customHeight="1"/>
    <row r="23" spans="1:8" ht="18.95" customHeight="1"/>
    <row r="24" spans="1:8" ht="18.95" customHeight="1"/>
    <row r="25" spans="1:8" ht="18.95" customHeight="1"/>
    <row r="26" spans="1:8" ht="18.95" customHeight="1"/>
    <row r="27" spans="1:8" ht="18.95" customHeight="1"/>
    <row r="28" spans="1:8" ht="18.95" customHeight="1"/>
    <row r="29" spans="1:8" ht="18.95" customHeight="1"/>
    <row r="30" spans="1:8" ht="18.95" customHeight="1"/>
    <row r="31" spans="1:8" ht="18.95" customHeight="1"/>
    <row r="32" spans="1:8" ht="18.95" customHeight="1"/>
    <row r="33" spans="2:5" ht="18.95" customHeight="1"/>
    <row r="34" spans="2:5" ht="18.95" customHeight="1"/>
    <row r="35" spans="2:5" ht="18.95" customHeight="1"/>
    <row r="36" spans="2:5" ht="18.95" customHeight="1"/>
    <row r="37" spans="2:5" ht="18.95" customHeight="1"/>
    <row r="38" spans="2:5" ht="18.95" customHeight="1"/>
    <row r="39" spans="2:5" ht="20.100000000000001" customHeight="1">
      <c r="B39" s="196"/>
      <c r="C39" s="196" t="s">
        <v>387</v>
      </c>
      <c r="D39" s="196" t="s">
        <v>388</v>
      </c>
      <c r="E39" s="66" t="s">
        <v>389</v>
      </c>
    </row>
    <row r="40" spans="2:5" ht="20.100000000000001" customHeight="1">
      <c r="B40" s="197">
        <v>2007</v>
      </c>
      <c r="C40" s="198">
        <f>C17</f>
        <v>540742</v>
      </c>
      <c r="D40" s="198">
        <f>C11</f>
        <v>540742</v>
      </c>
      <c r="E40" s="199" t="e">
        <f>수학적방법!#REF!</f>
        <v>#REF!</v>
      </c>
    </row>
    <row r="41" spans="2:5" ht="20.100000000000001" customHeight="1">
      <c r="B41" s="197">
        <v>2010</v>
      </c>
      <c r="C41" s="198">
        <f>수학적방법!D17</f>
        <v>589224</v>
      </c>
      <c r="D41" s="198">
        <f>수학적방법!D11</f>
        <v>596570</v>
      </c>
      <c r="E41" s="199" t="e">
        <f>수학적방법!#REF!</f>
        <v>#REF!</v>
      </c>
    </row>
    <row r="42" spans="2:5" ht="20.100000000000001" customHeight="1">
      <c r="B42" s="197">
        <v>2015</v>
      </c>
      <c r="C42" s="198">
        <f>수학적방법!E17</f>
        <v>661270</v>
      </c>
      <c r="D42" s="198">
        <f>수학적방법!E11</f>
        <v>681914</v>
      </c>
      <c r="E42" s="199" t="e">
        <f>수학적방법!#REF!</f>
        <v>#REF!</v>
      </c>
    </row>
    <row r="43" spans="2:5" ht="20.100000000000001" customHeight="1">
      <c r="B43" s="197">
        <v>2020</v>
      </c>
      <c r="C43" s="198">
        <f>수학적방법!F17</f>
        <v>729639</v>
      </c>
      <c r="D43" s="198">
        <f>수학적방법!F11</f>
        <v>764483</v>
      </c>
      <c r="E43" s="199" t="e">
        <f>수학적방법!#REF!</f>
        <v>#REF!</v>
      </c>
    </row>
    <row r="44" spans="2:5" ht="20.100000000000001" customHeight="1">
      <c r="B44" s="197">
        <v>2025</v>
      </c>
      <c r="C44" s="198">
        <f>수학적방법!G17</f>
        <v>794399</v>
      </c>
      <c r="D44" s="198">
        <f>수학적방법!G11</f>
        <v>843823</v>
      </c>
      <c r="E44" s="199" t="e">
        <f>수학적방법!#REF!</f>
        <v>#REF!</v>
      </c>
    </row>
  </sheetData>
  <mergeCells count="2">
    <mergeCell ref="A6:A11"/>
    <mergeCell ref="A12:A17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58"/>
  <sheetViews>
    <sheetView showGridLines="0" view="pageBreakPreview" zoomScale="90" zoomScaleSheetLayoutView="100" workbookViewId="0">
      <selection activeCell="G21" sqref="G21"/>
    </sheetView>
  </sheetViews>
  <sheetFormatPr defaultRowHeight="20.100000000000001" customHeight="1"/>
  <cols>
    <col min="1" max="1" width="5.33203125" style="2" customWidth="1"/>
    <col min="2" max="2" width="9.5546875" style="2" customWidth="1"/>
    <col min="3" max="7" width="9.88671875" style="2" bestFit="1" customWidth="1"/>
    <col min="8" max="9" width="8.88671875" style="200"/>
    <col min="10" max="10" width="9.88671875" style="200" bestFit="1" customWidth="1"/>
    <col min="11" max="11" width="10.109375" style="200" bestFit="1" customWidth="1"/>
    <col min="12" max="15" width="9.88671875" style="200" bestFit="1" customWidth="1"/>
    <col min="16" max="16384" width="8.88671875" style="200"/>
  </cols>
  <sheetData>
    <row r="1" spans="1:16" ht="20.100000000000001" customHeight="1">
      <c r="A1" s="1" t="s">
        <v>106</v>
      </c>
    </row>
    <row r="2" spans="1:16" ht="20.100000000000001" customHeight="1">
      <c r="A2" s="3" t="s">
        <v>104</v>
      </c>
    </row>
    <row r="3" spans="1:16" ht="20.100000000000001" customHeight="1">
      <c r="H3" s="7" t="s">
        <v>56</v>
      </c>
    </row>
    <row r="4" spans="1:16" ht="20.100000000000001" customHeight="1">
      <c r="A4" s="869" t="s">
        <v>34</v>
      </c>
      <c r="B4" s="865"/>
      <c r="C4" s="865" t="s">
        <v>33</v>
      </c>
      <c r="D4" s="872" t="s">
        <v>32</v>
      </c>
      <c r="E4" s="872" t="s">
        <v>31</v>
      </c>
      <c r="F4" s="872" t="s">
        <v>30</v>
      </c>
      <c r="G4" s="872" t="s">
        <v>29</v>
      </c>
      <c r="H4" s="870" t="s">
        <v>121</v>
      </c>
      <c r="I4" s="869" t="s">
        <v>34</v>
      </c>
      <c r="J4" s="865"/>
      <c r="K4" s="865" t="s">
        <v>33</v>
      </c>
      <c r="L4" s="872" t="s">
        <v>32</v>
      </c>
      <c r="M4" s="872" t="s">
        <v>31</v>
      </c>
      <c r="N4" s="872" t="s">
        <v>30</v>
      </c>
      <c r="O4" s="872" t="s">
        <v>29</v>
      </c>
      <c r="P4" s="870" t="s">
        <v>121</v>
      </c>
    </row>
    <row r="5" spans="1:16" ht="20.100000000000001" customHeight="1">
      <c r="A5" s="868"/>
      <c r="B5" s="866"/>
      <c r="C5" s="866"/>
      <c r="D5" s="873"/>
      <c r="E5" s="873"/>
      <c r="F5" s="873"/>
      <c r="G5" s="873"/>
      <c r="H5" s="871"/>
      <c r="I5" s="868"/>
      <c r="J5" s="866"/>
      <c r="K5" s="866"/>
      <c r="L5" s="873"/>
      <c r="M5" s="873"/>
      <c r="N5" s="873"/>
      <c r="O5" s="873"/>
      <c r="P5" s="871"/>
    </row>
    <row r="6" spans="1:16" ht="20.100000000000001" customHeight="1">
      <c r="A6" s="869" t="s">
        <v>28</v>
      </c>
      <c r="B6" s="865"/>
      <c r="C6" s="201">
        <f>+C7+C19</f>
        <v>540742</v>
      </c>
      <c r="D6" s="201">
        <f>+D7+D19</f>
        <v>553200</v>
      </c>
      <c r="E6" s="201">
        <f>+E7+E19</f>
        <v>572600</v>
      </c>
      <c r="F6" s="201">
        <f>+F7+F19</f>
        <v>588100</v>
      </c>
      <c r="G6" s="201">
        <f>+G7+G19</f>
        <v>602400</v>
      </c>
      <c r="H6" s="202"/>
      <c r="I6" s="869" t="s">
        <v>28</v>
      </c>
      <c r="J6" s="865"/>
      <c r="K6" s="201">
        <f>+K7+K19</f>
        <v>540742</v>
      </c>
      <c r="L6" s="201">
        <f>+L7+L19</f>
        <v>553037</v>
      </c>
      <c r="M6" s="201">
        <f>+M7+M19</f>
        <v>572558</v>
      </c>
      <c r="N6" s="201">
        <f>+N7+N19</f>
        <v>588249</v>
      </c>
      <c r="O6" s="201">
        <f>+O7+O19</f>
        <v>602533</v>
      </c>
      <c r="P6" s="202"/>
    </row>
    <row r="7" spans="1:16" ht="20.100000000000001" customHeight="1">
      <c r="A7" s="831" t="s">
        <v>202</v>
      </c>
      <c r="B7" s="9" t="s">
        <v>19</v>
      </c>
      <c r="C7" s="203">
        <f>SUM(C8:C18)</f>
        <v>304540</v>
      </c>
      <c r="D7" s="203">
        <f>SUM(D8:D18)</f>
        <v>312000</v>
      </c>
      <c r="E7" s="203">
        <f>SUM(E8:E18)</f>
        <v>323400</v>
      </c>
      <c r="F7" s="203">
        <f>SUM(F8:F18)</f>
        <v>332800</v>
      </c>
      <c r="G7" s="203">
        <f>SUM(G8:G18)</f>
        <v>342100</v>
      </c>
      <c r="H7" s="204"/>
      <c r="I7" s="831" t="s">
        <v>202</v>
      </c>
      <c r="J7" s="9" t="s">
        <v>19</v>
      </c>
      <c r="K7" s="203">
        <f>SUM(K8:K18)</f>
        <v>304540</v>
      </c>
      <c r="L7" s="203">
        <f>SUM(L8:L18)</f>
        <v>311915</v>
      </c>
      <c r="M7" s="203">
        <f>SUM(M8:M18)</f>
        <v>323332</v>
      </c>
      <c r="N7" s="203">
        <f>SUM(N8:N18)</f>
        <v>332897</v>
      </c>
      <c r="O7" s="203">
        <f>SUM(O8:O18)</f>
        <v>342236</v>
      </c>
      <c r="P7" s="204"/>
    </row>
    <row r="8" spans="1:16" ht="20.100000000000001" customHeight="1">
      <c r="A8" s="867"/>
      <c r="B8" s="9" t="s">
        <v>117</v>
      </c>
      <c r="C8" s="35">
        <f>'[14]1.과거인구'!L3</f>
        <v>30579</v>
      </c>
      <c r="D8" s="35">
        <f>ROUND(L8,-2)</f>
        <v>31000</v>
      </c>
      <c r="E8" s="35">
        <f>ROUND(M8,-2)</f>
        <v>31800</v>
      </c>
      <c r="F8" s="35">
        <f>ROUND(N8,-2)</f>
        <v>32300</v>
      </c>
      <c r="G8" s="35">
        <f>ROUND(O8,-2)</f>
        <v>32700</v>
      </c>
      <c r="H8" s="204"/>
      <c r="I8" s="867"/>
      <c r="J8" s="9" t="s">
        <v>117</v>
      </c>
      <c r="K8" s="84">
        <v>30579</v>
      </c>
      <c r="L8" s="84">
        <v>31017</v>
      </c>
      <c r="M8" s="84">
        <v>31822</v>
      </c>
      <c r="N8" s="84">
        <v>32328</v>
      </c>
      <c r="O8" s="84">
        <v>32653</v>
      </c>
      <c r="P8" s="204"/>
    </row>
    <row r="9" spans="1:16" ht="20.100000000000001" customHeight="1">
      <c r="A9" s="867"/>
      <c r="B9" s="9" t="s">
        <v>27</v>
      </c>
      <c r="C9" s="35">
        <f>'[14]1.과거인구'!L4</f>
        <v>22151</v>
      </c>
      <c r="D9" s="35">
        <f t="shared" ref="D9:D18" si="0">ROUND(L9,-2)</f>
        <v>22800</v>
      </c>
      <c r="E9" s="35">
        <f t="shared" ref="E9:E18" si="1">ROUND(M9,-2)</f>
        <v>23600</v>
      </c>
      <c r="F9" s="35">
        <f t="shared" ref="F9:F18" si="2">ROUND(N9,-2)</f>
        <v>24100</v>
      </c>
      <c r="G9" s="35">
        <f t="shared" ref="G9:G18" si="3">ROUND(O9,-2)</f>
        <v>24500</v>
      </c>
      <c r="H9" s="204"/>
      <c r="I9" s="867"/>
      <c r="J9" s="9" t="s">
        <v>27</v>
      </c>
      <c r="K9" s="84">
        <v>22151</v>
      </c>
      <c r="L9" s="84">
        <v>22763</v>
      </c>
      <c r="M9" s="84">
        <v>23576</v>
      </c>
      <c r="N9" s="84">
        <v>24104</v>
      </c>
      <c r="O9" s="84">
        <v>24547</v>
      </c>
      <c r="P9" s="204"/>
    </row>
    <row r="10" spans="1:16" ht="20.100000000000001" customHeight="1">
      <c r="A10" s="867"/>
      <c r="B10" s="9" t="s">
        <v>26</v>
      </c>
      <c r="C10" s="35">
        <f>'[14]1.과거인구'!L5</f>
        <v>24712</v>
      </c>
      <c r="D10" s="35">
        <f t="shared" si="0"/>
        <v>25300</v>
      </c>
      <c r="E10" s="35">
        <f t="shared" si="1"/>
        <v>26100</v>
      </c>
      <c r="F10" s="35">
        <f t="shared" si="2"/>
        <v>26600</v>
      </c>
      <c r="G10" s="35">
        <f t="shared" si="3"/>
        <v>27100</v>
      </c>
      <c r="H10" s="204"/>
      <c r="I10" s="867"/>
      <c r="J10" s="9" t="s">
        <v>26</v>
      </c>
      <c r="K10" s="84">
        <v>24712</v>
      </c>
      <c r="L10" s="84">
        <v>25274</v>
      </c>
      <c r="M10" s="84">
        <v>26071</v>
      </c>
      <c r="N10" s="84">
        <v>26623</v>
      </c>
      <c r="O10" s="84">
        <v>27120</v>
      </c>
      <c r="P10" s="204"/>
    </row>
    <row r="11" spans="1:16" ht="20.100000000000001" customHeight="1">
      <c r="A11" s="867"/>
      <c r="B11" s="9" t="s">
        <v>25</v>
      </c>
      <c r="C11" s="35">
        <f>'[14]1.과거인구'!L7</f>
        <v>12375</v>
      </c>
      <c r="D11" s="35">
        <f t="shared" si="0"/>
        <v>12500</v>
      </c>
      <c r="E11" s="35">
        <f t="shared" si="1"/>
        <v>12700</v>
      </c>
      <c r="F11" s="35">
        <f t="shared" si="2"/>
        <v>12800</v>
      </c>
      <c r="G11" s="35">
        <f t="shared" si="3"/>
        <v>12900</v>
      </c>
      <c r="H11" s="204"/>
      <c r="I11" s="867"/>
      <c r="J11" s="9" t="s">
        <v>25</v>
      </c>
      <c r="K11" s="84">
        <v>12375</v>
      </c>
      <c r="L11" s="84">
        <v>12471</v>
      </c>
      <c r="M11" s="84">
        <v>12691</v>
      </c>
      <c r="N11" s="84">
        <v>12836</v>
      </c>
      <c r="O11" s="84">
        <v>12943</v>
      </c>
      <c r="P11" s="204"/>
    </row>
    <row r="12" spans="1:16" ht="20.100000000000001" customHeight="1">
      <c r="A12" s="867"/>
      <c r="B12" s="9" t="s">
        <v>24</v>
      </c>
      <c r="C12" s="205">
        <f>'[14]1.과거인구'!L19</f>
        <v>20033</v>
      </c>
      <c r="D12" s="35">
        <f t="shared" si="0"/>
        <v>20500</v>
      </c>
      <c r="E12" s="35">
        <f t="shared" si="1"/>
        <v>21400</v>
      </c>
      <c r="F12" s="35">
        <f t="shared" si="2"/>
        <v>22000</v>
      </c>
      <c r="G12" s="35">
        <f t="shared" si="3"/>
        <v>22400</v>
      </c>
      <c r="H12" s="204"/>
      <c r="I12" s="867"/>
      <c r="J12" s="9" t="s">
        <v>24</v>
      </c>
      <c r="K12" s="206">
        <v>20033</v>
      </c>
      <c r="L12" s="207">
        <v>20506</v>
      </c>
      <c r="M12" s="207">
        <v>21361</v>
      </c>
      <c r="N12" s="207">
        <v>21994</v>
      </c>
      <c r="O12" s="207">
        <v>22448</v>
      </c>
      <c r="P12" s="204"/>
    </row>
    <row r="13" spans="1:16" ht="20.100000000000001" customHeight="1">
      <c r="A13" s="867"/>
      <c r="B13" s="9" t="s">
        <v>23</v>
      </c>
      <c r="C13" s="205">
        <f>'[14]1.과거인구'!L20</f>
        <v>21438</v>
      </c>
      <c r="D13" s="35">
        <f t="shared" si="0"/>
        <v>22100</v>
      </c>
      <c r="E13" s="35">
        <f t="shared" si="1"/>
        <v>23300</v>
      </c>
      <c r="F13" s="35">
        <f t="shared" si="2"/>
        <v>24200</v>
      </c>
      <c r="G13" s="35">
        <f t="shared" si="3"/>
        <v>24900</v>
      </c>
      <c r="H13" s="204"/>
      <c r="I13" s="867"/>
      <c r="J13" s="9" t="s">
        <v>23</v>
      </c>
      <c r="K13" s="206">
        <v>21438</v>
      </c>
      <c r="L13" s="207">
        <v>22087</v>
      </c>
      <c r="M13" s="207">
        <v>23269</v>
      </c>
      <c r="N13" s="207">
        <v>24211</v>
      </c>
      <c r="O13" s="207">
        <v>24942</v>
      </c>
      <c r="P13" s="204"/>
    </row>
    <row r="14" spans="1:16" ht="20.100000000000001" customHeight="1">
      <c r="A14" s="867"/>
      <c r="B14" s="9" t="s">
        <v>176</v>
      </c>
      <c r="C14" s="205">
        <f>'[14]1.과거인구'!L22</f>
        <v>16213</v>
      </c>
      <c r="D14" s="35">
        <f t="shared" si="0"/>
        <v>16500</v>
      </c>
      <c r="E14" s="35">
        <f t="shared" si="1"/>
        <v>17200</v>
      </c>
      <c r="F14" s="35">
        <f t="shared" si="2"/>
        <v>17900</v>
      </c>
      <c r="G14" s="35">
        <f t="shared" si="3"/>
        <v>18500</v>
      </c>
      <c r="H14" s="204"/>
      <c r="I14" s="867"/>
      <c r="J14" s="9" t="s">
        <v>176</v>
      </c>
      <c r="K14" s="206">
        <v>16213</v>
      </c>
      <c r="L14" s="207">
        <v>16540</v>
      </c>
      <c r="M14" s="207">
        <v>17219</v>
      </c>
      <c r="N14" s="207">
        <v>17888</v>
      </c>
      <c r="O14" s="207">
        <v>18504</v>
      </c>
      <c r="P14" s="204"/>
    </row>
    <row r="15" spans="1:16" ht="20.100000000000001" customHeight="1">
      <c r="A15" s="867"/>
      <c r="B15" s="9" t="s">
        <v>22</v>
      </c>
      <c r="C15" s="205">
        <f>'[14]1.과거인구'!L23</f>
        <v>44658</v>
      </c>
      <c r="D15" s="35">
        <f t="shared" si="0"/>
        <v>46000</v>
      </c>
      <c r="E15" s="35">
        <f t="shared" si="1"/>
        <v>48000</v>
      </c>
      <c r="F15" s="35">
        <f t="shared" si="2"/>
        <v>49700</v>
      </c>
      <c r="G15" s="35">
        <f t="shared" si="3"/>
        <v>51600</v>
      </c>
      <c r="H15" s="204"/>
      <c r="I15" s="867"/>
      <c r="J15" s="9" t="s">
        <v>22</v>
      </c>
      <c r="K15" s="206">
        <v>44658</v>
      </c>
      <c r="L15" s="207">
        <v>45998</v>
      </c>
      <c r="M15" s="207">
        <v>47960</v>
      </c>
      <c r="N15" s="207">
        <v>49741</v>
      </c>
      <c r="O15" s="207">
        <v>51606</v>
      </c>
      <c r="P15" s="204"/>
    </row>
    <row r="16" spans="1:16" ht="20.100000000000001" customHeight="1">
      <c r="A16" s="867"/>
      <c r="B16" s="9" t="s">
        <v>177</v>
      </c>
      <c r="C16" s="205">
        <f>'[14]1.과거인구'!L24</f>
        <v>20440</v>
      </c>
      <c r="D16" s="35">
        <f t="shared" si="0"/>
        <v>21000</v>
      </c>
      <c r="E16" s="35">
        <f t="shared" si="1"/>
        <v>21700</v>
      </c>
      <c r="F16" s="35">
        <f t="shared" si="2"/>
        <v>22400</v>
      </c>
      <c r="G16" s="35">
        <f t="shared" si="3"/>
        <v>23100</v>
      </c>
      <c r="H16" s="204"/>
      <c r="I16" s="867"/>
      <c r="J16" s="9" t="s">
        <v>177</v>
      </c>
      <c r="K16" s="206">
        <v>20440</v>
      </c>
      <c r="L16" s="207">
        <v>20950</v>
      </c>
      <c r="M16" s="207">
        <v>21718</v>
      </c>
      <c r="N16" s="207">
        <v>22422</v>
      </c>
      <c r="O16" s="207">
        <v>23146</v>
      </c>
      <c r="P16" s="204"/>
    </row>
    <row r="17" spans="1:16" ht="20.100000000000001" customHeight="1">
      <c r="A17" s="867"/>
      <c r="B17" s="9" t="s">
        <v>21</v>
      </c>
      <c r="C17" s="205">
        <f>'[14]1.과거인구'!L25</f>
        <v>41098</v>
      </c>
      <c r="D17" s="35">
        <f t="shared" si="0"/>
        <v>42000</v>
      </c>
      <c r="E17" s="35">
        <f t="shared" si="1"/>
        <v>43300</v>
      </c>
      <c r="F17" s="35">
        <f t="shared" si="2"/>
        <v>44600</v>
      </c>
      <c r="G17" s="35">
        <f t="shared" si="3"/>
        <v>46300</v>
      </c>
      <c r="H17" s="204"/>
      <c r="I17" s="867"/>
      <c r="J17" s="9" t="s">
        <v>21</v>
      </c>
      <c r="K17" s="206">
        <v>41098</v>
      </c>
      <c r="L17" s="207">
        <v>42049</v>
      </c>
      <c r="M17" s="207">
        <v>43305</v>
      </c>
      <c r="N17" s="207">
        <v>44592</v>
      </c>
      <c r="O17" s="207">
        <v>46266</v>
      </c>
      <c r="P17" s="204"/>
    </row>
    <row r="18" spans="1:16" ht="20.100000000000001" customHeight="1">
      <c r="A18" s="867"/>
      <c r="B18" s="9" t="s">
        <v>20</v>
      </c>
      <c r="C18" s="205">
        <f>'[14]1.과거인구'!L30</f>
        <v>50843</v>
      </c>
      <c r="D18" s="35">
        <f t="shared" si="0"/>
        <v>52300</v>
      </c>
      <c r="E18" s="35">
        <f t="shared" si="1"/>
        <v>54300</v>
      </c>
      <c r="F18" s="35">
        <f t="shared" si="2"/>
        <v>56200</v>
      </c>
      <c r="G18" s="35">
        <f t="shared" si="3"/>
        <v>58100</v>
      </c>
      <c r="H18" s="204"/>
      <c r="I18" s="867"/>
      <c r="J18" s="9" t="s">
        <v>20</v>
      </c>
      <c r="K18" s="206">
        <v>50843</v>
      </c>
      <c r="L18" s="207">
        <v>52260</v>
      </c>
      <c r="M18" s="207">
        <v>54340</v>
      </c>
      <c r="N18" s="207">
        <v>56158</v>
      </c>
      <c r="O18" s="207">
        <v>58061</v>
      </c>
      <c r="P18" s="204"/>
    </row>
    <row r="19" spans="1:16" ht="20.100000000000001" customHeight="1">
      <c r="A19" s="831" t="s">
        <v>120</v>
      </c>
      <c r="B19" s="9" t="s">
        <v>19</v>
      </c>
      <c r="C19" s="203">
        <f>SUM(C20:C36)</f>
        <v>236202</v>
      </c>
      <c r="D19" s="203">
        <f>SUM(D20:D36)</f>
        <v>241200</v>
      </c>
      <c r="E19" s="203">
        <f>SUM(E20:E36)</f>
        <v>249200</v>
      </c>
      <c r="F19" s="203">
        <f>SUM(F20:F36)</f>
        <v>255300</v>
      </c>
      <c r="G19" s="203">
        <f>SUM(G20:G36)</f>
        <v>260300</v>
      </c>
      <c r="H19" s="204"/>
      <c r="I19" s="831" t="s">
        <v>120</v>
      </c>
      <c r="J19" s="9" t="s">
        <v>19</v>
      </c>
      <c r="K19" s="203">
        <f>SUM(K20:K36)</f>
        <v>236202</v>
      </c>
      <c r="L19" s="203">
        <f>SUM(L20:L36)</f>
        <v>241122</v>
      </c>
      <c r="M19" s="203">
        <f>SUM(M20:M36)</f>
        <v>249226</v>
      </c>
      <c r="N19" s="203">
        <f>SUM(N20:N36)</f>
        <v>255352</v>
      </c>
      <c r="O19" s="203">
        <f>SUM(O20:O36)</f>
        <v>260297</v>
      </c>
      <c r="P19" s="204"/>
    </row>
    <row r="20" spans="1:16" ht="20.100000000000001" customHeight="1">
      <c r="A20" s="867"/>
      <c r="B20" s="9" t="s">
        <v>18</v>
      </c>
      <c r="C20" s="35">
        <f>'[14]1.과거인구'!L6</f>
        <v>27861</v>
      </c>
      <c r="D20" s="35">
        <f t="shared" ref="D20:D36" si="4">ROUND(L20,-2)</f>
        <v>28600</v>
      </c>
      <c r="E20" s="35">
        <f t="shared" ref="E20:E36" si="5">ROUND(M20,-2)</f>
        <v>29400</v>
      </c>
      <c r="F20" s="35">
        <f t="shared" ref="F20:F36" si="6">ROUND(N20,-2)</f>
        <v>30000</v>
      </c>
      <c r="G20" s="35">
        <f t="shared" ref="G20:G36" si="7">ROUND(O20,-2)</f>
        <v>30500</v>
      </c>
      <c r="H20" s="204"/>
      <c r="I20" s="867"/>
      <c r="J20" s="9" t="s">
        <v>18</v>
      </c>
      <c r="K20" s="84">
        <v>27861</v>
      </c>
      <c r="L20" s="84">
        <v>28561</v>
      </c>
      <c r="M20" s="84">
        <v>29419</v>
      </c>
      <c r="N20" s="84">
        <v>29964</v>
      </c>
      <c r="O20" s="84">
        <v>30515</v>
      </c>
      <c r="P20" s="204"/>
    </row>
    <row r="21" spans="1:16" ht="20.100000000000001" customHeight="1">
      <c r="A21" s="867"/>
      <c r="B21" s="9" t="s">
        <v>17</v>
      </c>
      <c r="C21" s="35">
        <f>'[14]1.과거인구'!L8</f>
        <v>5181</v>
      </c>
      <c r="D21" s="35">
        <f t="shared" si="4"/>
        <v>5200</v>
      </c>
      <c r="E21" s="35">
        <f t="shared" si="5"/>
        <v>5200</v>
      </c>
      <c r="F21" s="35">
        <f t="shared" si="6"/>
        <v>5200</v>
      </c>
      <c r="G21" s="35">
        <f t="shared" si="7"/>
        <v>5200</v>
      </c>
      <c r="H21" s="204"/>
      <c r="I21" s="867"/>
      <c r="J21" s="9" t="s">
        <v>17</v>
      </c>
      <c r="K21" s="84">
        <v>5181</v>
      </c>
      <c r="L21" s="84">
        <v>5167</v>
      </c>
      <c r="M21" s="84">
        <v>5215</v>
      </c>
      <c r="N21" s="84">
        <v>5222</v>
      </c>
      <c r="O21" s="84">
        <v>5189</v>
      </c>
      <c r="P21" s="204"/>
    </row>
    <row r="22" spans="1:16" ht="20.100000000000001" customHeight="1">
      <c r="A22" s="867"/>
      <c r="B22" s="9" t="s">
        <v>16</v>
      </c>
      <c r="C22" s="35">
        <f>'[14]1.과거인구'!L9</f>
        <v>4658</v>
      </c>
      <c r="D22" s="35">
        <f t="shared" si="4"/>
        <v>4600</v>
      </c>
      <c r="E22" s="35">
        <f t="shared" si="5"/>
        <v>4600</v>
      </c>
      <c r="F22" s="35">
        <f t="shared" si="6"/>
        <v>4600</v>
      </c>
      <c r="G22" s="35">
        <f t="shared" si="7"/>
        <v>4600</v>
      </c>
      <c r="H22" s="204"/>
      <c r="I22" s="867"/>
      <c r="J22" s="9" t="s">
        <v>16</v>
      </c>
      <c r="K22" s="84">
        <v>4658</v>
      </c>
      <c r="L22" s="84">
        <v>4623</v>
      </c>
      <c r="M22" s="84">
        <v>4643</v>
      </c>
      <c r="N22" s="84">
        <v>4633</v>
      </c>
      <c r="O22" s="84">
        <v>4596</v>
      </c>
      <c r="P22" s="204"/>
    </row>
    <row r="23" spans="1:16" ht="20.100000000000001" customHeight="1">
      <c r="A23" s="867"/>
      <c r="B23" s="9" t="s">
        <v>15</v>
      </c>
      <c r="C23" s="35">
        <f>'[14]1.과거인구'!L10</f>
        <v>5540</v>
      </c>
      <c r="D23" s="35">
        <f t="shared" si="4"/>
        <v>5600</v>
      </c>
      <c r="E23" s="35">
        <f t="shared" si="5"/>
        <v>5600</v>
      </c>
      <c r="F23" s="35">
        <f t="shared" si="6"/>
        <v>5700</v>
      </c>
      <c r="G23" s="35">
        <f t="shared" si="7"/>
        <v>5700</v>
      </c>
      <c r="H23" s="204"/>
      <c r="I23" s="867"/>
      <c r="J23" s="9" t="s">
        <v>15</v>
      </c>
      <c r="K23" s="84">
        <v>5540</v>
      </c>
      <c r="L23" s="84">
        <v>5561</v>
      </c>
      <c r="M23" s="84">
        <v>5642</v>
      </c>
      <c r="N23" s="84">
        <v>5671</v>
      </c>
      <c r="O23" s="84">
        <v>5665</v>
      </c>
      <c r="P23" s="204"/>
    </row>
    <row r="24" spans="1:16" ht="20.100000000000001" customHeight="1">
      <c r="A24" s="867"/>
      <c r="B24" s="9" t="s">
        <v>14</v>
      </c>
      <c r="C24" s="35">
        <f>'[14]1.과거인구'!L11</f>
        <v>4480</v>
      </c>
      <c r="D24" s="35">
        <f t="shared" si="4"/>
        <v>4400</v>
      </c>
      <c r="E24" s="35">
        <f t="shared" si="5"/>
        <v>4500</v>
      </c>
      <c r="F24" s="35">
        <f t="shared" si="6"/>
        <v>4400</v>
      </c>
      <c r="G24" s="35">
        <f t="shared" si="7"/>
        <v>4400</v>
      </c>
      <c r="H24" s="204"/>
      <c r="I24" s="867"/>
      <c r="J24" s="9" t="s">
        <v>14</v>
      </c>
      <c r="K24" s="84">
        <v>4480</v>
      </c>
      <c r="L24" s="84">
        <v>4444</v>
      </c>
      <c r="M24" s="84">
        <v>4457</v>
      </c>
      <c r="N24" s="84">
        <v>4437</v>
      </c>
      <c r="O24" s="84">
        <v>4394</v>
      </c>
      <c r="P24" s="204"/>
    </row>
    <row r="25" spans="1:16" ht="20.100000000000001" customHeight="1">
      <c r="A25" s="867"/>
      <c r="B25" s="9" t="s">
        <v>13</v>
      </c>
      <c r="C25" s="35">
        <f>'[14]1.과거인구'!L12</f>
        <v>3113</v>
      </c>
      <c r="D25" s="35">
        <f t="shared" si="4"/>
        <v>3100</v>
      </c>
      <c r="E25" s="35">
        <f t="shared" si="5"/>
        <v>3100</v>
      </c>
      <c r="F25" s="35">
        <f t="shared" si="6"/>
        <v>3100</v>
      </c>
      <c r="G25" s="35">
        <f t="shared" si="7"/>
        <v>3100</v>
      </c>
      <c r="H25" s="204"/>
      <c r="I25" s="867"/>
      <c r="J25" s="9" t="s">
        <v>13</v>
      </c>
      <c r="K25" s="84">
        <v>3113</v>
      </c>
      <c r="L25" s="84">
        <v>3099</v>
      </c>
      <c r="M25" s="84">
        <v>3126</v>
      </c>
      <c r="N25" s="84">
        <v>3116</v>
      </c>
      <c r="O25" s="84">
        <v>3069</v>
      </c>
      <c r="P25" s="204"/>
    </row>
    <row r="26" spans="1:16" ht="20.100000000000001" customHeight="1">
      <c r="A26" s="867"/>
      <c r="B26" s="9" t="s">
        <v>12</v>
      </c>
      <c r="C26" s="35">
        <f>'[14]1.과거인구'!L13</f>
        <v>6742</v>
      </c>
      <c r="D26" s="35">
        <f t="shared" si="4"/>
        <v>6800</v>
      </c>
      <c r="E26" s="35">
        <f t="shared" si="5"/>
        <v>6900</v>
      </c>
      <c r="F26" s="35">
        <f t="shared" si="6"/>
        <v>6900</v>
      </c>
      <c r="G26" s="35">
        <f t="shared" si="7"/>
        <v>6900</v>
      </c>
      <c r="H26" s="204"/>
      <c r="I26" s="867"/>
      <c r="J26" s="9" t="s">
        <v>12</v>
      </c>
      <c r="K26" s="84">
        <v>6742</v>
      </c>
      <c r="L26" s="84">
        <v>6755</v>
      </c>
      <c r="M26" s="84">
        <v>6871</v>
      </c>
      <c r="N26" s="84">
        <v>6931</v>
      </c>
      <c r="O26" s="84">
        <v>6947</v>
      </c>
      <c r="P26" s="204"/>
    </row>
    <row r="27" spans="1:16" ht="20.100000000000001" customHeight="1">
      <c r="A27" s="867"/>
      <c r="B27" s="9" t="s">
        <v>11</v>
      </c>
      <c r="C27" s="35">
        <f>'[14]1.과거인구'!L14</f>
        <v>2885</v>
      </c>
      <c r="D27" s="35">
        <f t="shared" si="4"/>
        <v>2800</v>
      </c>
      <c r="E27" s="35">
        <f t="shared" si="5"/>
        <v>2800</v>
      </c>
      <c r="F27" s="35">
        <f t="shared" si="6"/>
        <v>2700</v>
      </c>
      <c r="G27" s="35">
        <f t="shared" si="7"/>
        <v>2600</v>
      </c>
      <c r="H27" s="204"/>
      <c r="I27" s="867"/>
      <c r="J27" s="9" t="s">
        <v>11</v>
      </c>
      <c r="K27" s="84">
        <v>2885</v>
      </c>
      <c r="L27" s="84">
        <v>2823</v>
      </c>
      <c r="M27" s="84">
        <v>2777</v>
      </c>
      <c r="N27" s="84">
        <v>2715</v>
      </c>
      <c r="O27" s="84">
        <v>2629</v>
      </c>
      <c r="P27" s="204"/>
    </row>
    <row r="28" spans="1:16" ht="20.100000000000001" customHeight="1">
      <c r="A28" s="867"/>
      <c r="B28" s="9" t="s">
        <v>10</v>
      </c>
      <c r="C28" s="35">
        <f>'[14]1.과거인구'!L15</f>
        <v>7103</v>
      </c>
      <c r="D28" s="35">
        <f t="shared" si="4"/>
        <v>7200</v>
      </c>
      <c r="E28" s="35">
        <f t="shared" si="5"/>
        <v>7300</v>
      </c>
      <c r="F28" s="35">
        <f t="shared" si="6"/>
        <v>7400</v>
      </c>
      <c r="G28" s="35">
        <f t="shared" si="7"/>
        <v>7400</v>
      </c>
      <c r="H28" s="204"/>
      <c r="I28" s="867"/>
      <c r="J28" s="9" t="s">
        <v>10</v>
      </c>
      <c r="K28" s="208">
        <v>7103</v>
      </c>
      <c r="L28" s="208">
        <v>7150</v>
      </c>
      <c r="M28" s="208">
        <v>7297</v>
      </c>
      <c r="N28" s="208">
        <v>7376</v>
      </c>
      <c r="O28" s="208">
        <v>7377</v>
      </c>
      <c r="P28" s="204"/>
    </row>
    <row r="29" spans="1:16" ht="20.100000000000001" customHeight="1">
      <c r="A29" s="867"/>
      <c r="B29" s="9" t="s">
        <v>118</v>
      </c>
      <c r="C29" s="35">
        <f>'[14]1.과거인구'!L16</f>
        <v>6195</v>
      </c>
      <c r="D29" s="35">
        <f t="shared" si="4"/>
        <v>6300</v>
      </c>
      <c r="E29" s="35">
        <f t="shared" si="5"/>
        <v>6400</v>
      </c>
      <c r="F29" s="35">
        <f t="shared" si="6"/>
        <v>6500</v>
      </c>
      <c r="G29" s="35">
        <f t="shared" si="7"/>
        <v>6600</v>
      </c>
      <c r="H29" s="204"/>
      <c r="I29" s="867"/>
      <c r="J29" s="9" t="s">
        <v>118</v>
      </c>
      <c r="K29" s="84">
        <v>6195</v>
      </c>
      <c r="L29" s="84">
        <v>6252</v>
      </c>
      <c r="M29" s="84">
        <v>6410</v>
      </c>
      <c r="N29" s="84">
        <v>6513</v>
      </c>
      <c r="O29" s="84">
        <v>6551</v>
      </c>
      <c r="P29" s="204"/>
    </row>
    <row r="30" spans="1:16" ht="20.100000000000001" customHeight="1">
      <c r="A30" s="867"/>
      <c r="B30" s="9" t="s">
        <v>185</v>
      </c>
      <c r="C30" s="205">
        <f>'[14]1.과거인구'!L17</f>
        <v>11408</v>
      </c>
      <c r="D30" s="35">
        <f t="shared" si="4"/>
        <v>11600</v>
      </c>
      <c r="E30" s="35">
        <f t="shared" si="5"/>
        <v>12000</v>
      </c>
      <c r="F30" s="35">
        <f t="shared" si="6"/>
        <v>12200</v>
      </c>
      <c r="G30" s="35">
        <f t="shared" si="7"/>
        <v>12400</v>
      </c>
      <c r="H30" s="204"/>
      <c r="I30" s="867"/>
      <c r="J30" s="9" t="s">
        <v>185</v>
      </c>
      <c r="K30" s="206">
        <v>11408</v>
      </c>
      <c r="L30" s="207">
        <v>11590</v>
      </c>
      <c r="M30" s="207">
        <v>11956</v>
      </c>
      <c r="N30" s="207">
        <v>12226</v>
      </c>
      <c r="O30" s="207">
        <v>12398</v>
      </c>
      <c r="P30" s="204"/>
    </row>
    <row r="31" spans="1:16" ht="20.100000000000001" customHeight="1">
      <c r="A31" s="867"/>
      <c r="B31" s="9" t="s">
        <v>9</v>
      </c>
      <c r="C31" s="205">
        <f>'[14]1.과거인구'!L18</f>
        <v>13839</v>
      </c>
      <c r="D31" s="35">
        <f t="shared" si="4"/>
        <v>14000</v>
      </c>
      <c r="E31" s="35">
        <f t="shared" si="5"/>
        <v>14500</v>
      </c>
      <c r="F31" s="35">
        <f t="shared" si="6"/>
        <v>14900</v>
      </c>
      <c r="G31" s="35">
        <f t="shared" si="7"/>
        <v>15100</v>
      </c>
      <c r="H31" s="204"/>
      <c r="I31" s="867"/>
      <c r="J31" s="9" t="s">
        <v>9</v>
      </c>
      <c r="K31" s="206">
        <v>13839</v>
      </c>
      <c r="L31" s="207">
        <v>14037</v>
      </c>
      <c r="M31" s="207">
        <v>14490</v>
      </c>
      <c r="N31" s="207">
        <v>14859</v>
      </c>
      <c r="O31" s="207">
        <v>15123</v>
      </c>
      <c r="P31" s="204"/>
    </row>
    <row r="32" spans="1:16" ht="20.100000000000001" customHeight="1">
      <c r="A32" s="867"/>
      <c r="B32" s="9" t="s">
        <v>195</v>
      </c>
      <c r="C32" s="205">
        <f>'[14]1.과거인구'!L21</f>
        <v>22589</v>
      </c>
      <c r="D32" s="35">
        <f t="shared" si="4"/>
        <v>23500</v>
      </c>
      <c r="E32" s="35">
        <f t="shared" si="5"/>
        <v>24600</v>
      </c>
      <c r="F32" s="35">
        <f t="shared" si="6"/>
        <v>25500</v>
      </c>
      <c r="G32" s="35">
        <f t="shared" si="7"/>
        <v>26100</v>
      </c>
      <c r="H32" s="204"/>
      <c r="I32" s="867"/>
      <c r="J32" s="9" t="s">
        <v>195</v>
      </c>
      <c r="K32" s="206">
        <v>22589</v>
      </c>
      <c r="L32" s="207">
        <v>23533</v>
      </c>
      <c r="M32" s="207">
        <v>24628</v>
      </c>
      <c r="N32" s="207">
        <v>25473</v>
      </c>
      <c r="O32" s="207">
        <v>26112</v>
      </c>
      <c r="P32" s="204"/>
    </row>
    <row r="33" spans="1:16" ht="20.100000000000001" customHeight="1">
      <c r="A33" s="867"/>
      <c r="B33" s="9" t="s">
        <v>8</v>
      </c>
      <c r="C33" s="205">
        <f>'[14]1.과거인구'!L26</f>
        <v>17710</v>
      </c>
      <c r="D33" s="35">
        <f t="shared" si="4"/>
        <v>18000</v>
      </c>
      <c r="E33" s="35">
        <f t="shared" si="5"/>
        <v>18600</v>
      </c>
      <c r="F33" s="35">
        <f t="shared" si="6"/>
        <v>19100</v>
      </c>
      <c r="G33" s="35">
        <f t="shared" si="7"/>
        <v>19500</v>
      </c>
      <c r="H33" s="204"/>
      <c r="I33" s="867"/>
      <c r="J33" s="9" t="s">
        <v>8</v>
      </c>
      <c r="K33" s="206">
        <v>17710</v>
      </c>
      <c r="L33" s="207">
        <v>18033</v>
      </c>
      <c r="M33" s="207">
        <v>18584</v>
      </c>
      <c r="N33" s="207">
        <v>19066</v>
      </c>
      <c r="O33" s="207">
        <v>19531</v>
      </c>
      <c r="P33" s="204"/>
    </row>
    <row r="34" spans="1:16" ht="20.100000000000001" customHeight="1">
      <c r="A34" s="867"/>
      <c r="B34" s="9" t="s">
        <v>119</v>
      </c>
      <c r="C34" s="205">
        <f>'[14]1.과거인구'!L27</f>
        <v>34819</v>
      </c>
      <c r="D34" s="35">
        <f t="shared" si="4"/>
        <v>35900</v>
      </c>
      <c r="E34" s="35">
        <f t="shared" si="5"/>
        <v>37500</v>
      </c>
      <c r="F34" s="35">
        <f t="shared" si="6"/>
        <v>38700</v>
      </c>
      <c r="G34" s="35">
        <f t="shared" si="7"/>
        <v>40000</v>
      </c>
      <c r="H34" s="204"/>
      <c r="I34" s="867"/>
      <c r="J34" s="9" t="s">
        <v>119</v>
      </c>
      <c r="K34" s="206">
        <v>34819</v>
      </c>
      <c r="L34" s="207">
        <v>35926</v>
      </c>
      <c r="M34" s="207">
        <v>37459</v>
      </c>
      <c r="N34" s="207">
        <v>38720</v>
      </c>
      <c r="O34" s="207">
        <v>40013</v>
      </c>
      <c r="P34" s="204"/>
    </row>
    <row r="35" spans="1:16" ht="20.100000000000001" customHeight="1">
      <c r="A35" s="867"/>
      <c r="B35" s="9" t="s">
        <v>7</v>
      </c>
      <c r="C35" s="205">
        <f>'[14]1.과거인구'!L28</f>
        <v>29660</v>
      </c>
      <c r="D35" s="35">
        <f t="shared" si="4"/>
        <v>30300</v>
      </c>
      <c r="E35" s="35">
        <f t="shared" si="5"/>
        <v>31300</v>
      </c>
      <c r="F35" s="35">
        <f t="shared" si="6"/>
        <v>32200</v>
      </c>
      <c r="G35" s="35">
        <f t="shared" si="7"/>
        <v>33000</v>
      </c>
      <c r="H35" s="204"/>
      <c r="I35" s="867"/>
      <c r="J35" s="9" t="s">
        <v>7</v>
      </c>
      <c r="K35" s="206">
        <v>29660</v>
      </c>
      <c r="L35" s="207">
        <v>30290</v>
      </c>
      <c r="M35" s="207">
        <v>31333</v>
      </c>
      <c r="N35" s="207">
        <v>32196</v>
      </c>
      <c r="O35" s="207">
        <v>32996</v>
      </c>
      <c r="P35" s="204"/>
    </row>
    <row r="36" spans="1:16" ht="20.100000000000001" customHeight="1">
      <c r="A36" s="868"/>
      <c r="B36" s="209" t="s">
        <v>6</v>
      </c>
      <c r="C36" s="210">
        <f>'[14]1.과거인구'!L29</f>
        <v>32419</v>
      </c>
      <c r="D36" s="53">
        <f t="shared" si="4"/>
        <v>33300</v>
      </c>
      <c r="E36" s="53">
        <f t="shared" si="5"/>
        <v>34900</v>
      </c>
      <c r="F36" s="53">
        <f t="shared" si="6"/>
        <v>36200</v>
      </c>
      <c r="G36" s="53">
        <f t="shared" si="7"/>
        <v>37200</v>
      </c>
      <c r="H36" s="211"/>
      <c r="I36" s="868"/>
      <c r="J36" s="209" t="s">
        <v>6</v>
      </c>
      <c r="K36" s="212">
        <v>32419</v>
      </c>
      <c r="L36" s="213">
        <v>33278</v>
      </c>
      <c r="M36" s="213">
        <v>34919</v>
      </c>
      <c r="N36" s="213">
        <v>36234</v>
      </c>
      <c r="O36" s="213">
        <v>37192</v>
      </c>
      <c r="P36" s="211"/>
    </row>
    <row r="38" spans="1:16" ht="20.100000000000001" customHeight="1">
      <c r="B38" s="214" t="s">
        <v>34</v>
      </c>
      <c r="C38" s="22" t="s">
        <v>33</v>
      </c>
      <c r="D38" s="22" t="s">
        <v>32</v>
      </c>
      <c r="E38" s="22" t="s">
        <v>31</v>
      </c>
      <c r="F38" s="22" t="s">
        <v>30</v>
      </c>
      <c r="G38" s="22" t="s">
        <v>29</v>
      </c>
      <c r="H38" s="23" t="s">
        <v>121</v>
      </c>
      <c r="I38" s="215"/>
    </row>
    <row r="39" spans="1:16" ht="20.100000000000001" customHeight="1">
      <c r="B39" s="216" t="s">
        <v>66</v>
      </c>
      <c r="C39" s="217">
        <f>[15]천안시!$B$7</f>
        <v>31974</v>
      </c>
      <c r="D39" s="217">
        <f>[15]천안시!$AI$7</f>
        <v>25027</v>
      </c>
      <c r="E39" s="217">
        <f>[15]천안시!$AI$31</f>
        <v>27605</v>
      </c>
      <c r="F39" s="217">
        <f>[15]천안시!$AI$56</f>
        <v>25543</v>
      </c>
      <c r="G39" s="217">
        <f>[15]천안시!$AI$81</f>
        <v>26032</v>
      </c>
      <c r="H39" s="218"/>
    </row>
    <row r="40" spans="1:16" ht="20.100000000000001" customHeight="1">
      <c r="B40" s="219" t="s">
        <v>390</v>
      </c>
      <c r="C40" s="84">
        <f>[15]천안시!$B$8</f>
        <v>39345</v>
      </c>
      <c r="D40" s="84">
        <f>[15]천안시!$AI$8</f>
        <v>25441</v>
      </c>
      <c r="E40" s="84">
        <f>[15]천안시!$AI$32</f>
        <v>24910</v>
      </c>
      <c r="F40" s="84">
        <f>[15]천안시!$AI$57</f>
        <v>27493</v>
      </c>
      <c r="G40" s="84">
        <f>[15]천안시!$AI$82</f>
        <v>25453</v>
      </c>
      <c r="H40" s="204"/>
    </row>
    <row r="41" spans="1:16" ht="20.100000000000001" customHeight="1">
      <c r="B41" s="219" t="s">
        <v>391</v>
      </c>
      <c r="C41" s="84">
        <f>[15]천안시!$B$9</f>
        <v>43649</v>
      </c>
      <c r="D41" s="84">
        <f>[15]천안시!$AI$9</f>
        <v>39282</v>
      </c>
      <c r="E41" s="84">
        <f>[15]천안시!$AI$33</f>
        <v>25406</v>
      </c>
      <c r="F41" s="84">
        <f>[15]천안시!$AI$58</f>
        <v>24880</v>
      </c>
      <c r="G41" s="84">
        <f>[15]천안시!$AI$83</f>
        <v>27463</v>
      </c>
      <c r="H41" s="204"/>
      <c r="I41" s="220"/>
    </row>
    <row r="42" spans="1:16" ht="20.100000000000001" customHeight="1">
      <c r="B42" s="219" t="s">
        <v>67</v>
      </c>
      <c r="C42" s="84">
        <f>[15]천안시!$B$10</f>
        <v>36584</v>
      </c>
      <c r="D42" s="84">
        <f>[15]천안시!$AI$10</f>
        <v>43602</v>
      </c>
      <c r="E42" s="84">
        <f>[15]천안시!$AI$34</f>
        <v>39248</v>
      </c>
      <c r="F42" s="84">
        <f>[15]천안시!$AI$59</f>
        <v>25389</v>
      </c>
      <c r="G42" s="84">
        <f>[15]천안시!$AI$84</f>
        <v>24867</v>
      </c>
      <c r="H42" s="204"/>
      <c r="I42" s="220"/>
    </row>
    <row r="43" spans="1:16" ht="20.100000000000001" customHeight="1">
      <c r="B43" s="219" t="s">
        <v>392</v>
      </c>
      <c r="C43" s="84">
        <f>[15]천안시!$B$11</f>
        <v>35925</v>
      </c>
      <c r="D43" s="84">
        <f>[15]천안시!$AI$11</f>
        <v>36556</v>
      </c>
      <c r="E43" s="84">
        <f>[15]천안시!$AI$35</f>
        <v>43576</v>
      </c>
      <c r="F43" s="84">
        <f>[15]천안시!$AI$60</f>
        <v>39231</v>
      </c>
      <c r="G43" s="84">
        <f>[15]천안시!$AI$85</f>
        <v>25380</v>
      </c>
      <c r="H43" s="204"/>
    </row>
    <row r="44" spans="1:16" ht="20.100000000000001" customHeight="1">
      <c r="B44" s="219" t="s">
        <v>393</v>
      </c>
      <c r="C44" s="206">
        <f>[15]천안시!$B$12</f>
        <v>48588</v>
      </c>
      <c r="D44" s="207">
        <f>[15]천안시!$AI$12</f>
        <v>35856</v>
      </c>
      <c r="E44" s="207">
        <f>[15]천안시!$AI$36</f>
        <v>36494</v>
      </c>
      <c r="F44" s="207">
        <f>[15]천안시!$AI$61</f>
        <v>43513</v>
      </c>
      <c r="G44" s="207">
        <f>[15]천안시!$AI$86</f>
        <v>39181</v>
      </c>
      <c r="H44" s="204"/>
    </row>
    <row r="45" spans="1:16" ht="20.100000000000001" customHeight="1">
      <c r="B45" s="219" t="s">
        <v>394</v>
      </c>
      <c r="C45" s="206">
        <f>[15]천안시!$B$13</f>
        <v>52082</v>
      </c>
      <c r="D45" s="207">
        <f>[15]천안시!$AI$13</f>
        <v>48454</v>
      </c>
      <c r="E45" s="207">
        <f>[15]천안시!$AI$37</f>
        <v>35773</v>
      </c>
      <c r="F45" s="207">
        <f>[15]천안시!$AI$62</f>
        <v>36420</v>
      </c>
      <c r="G45" s="207">
        <f>[15]천안시!$AI$87</f>
        <v>43437</v>
      </c>
      <c r="H45" s="204"/>
    </row>
    <row r="46" spans="1:16" ht="20.100000000000001" customHeight="1">
      <c r="B46" s="219" t="s">
        <v>395</v>
      </c>
      <c r="C46" s="206">
        <f>[15]천안시!$B$14</f>
        <v>56469</v>
      </c>
      <c r="D46" s="207">
        <f>[15]천안시!$AI$14</f>
        <v>51897</v>
      </c>
      <c r="E46" s="207">
        <f>[15]천안시!$AI$38</f>
        <v>48309</v>
      </c>
      <c r="F46" s="207">
        <f>[15]천안시!$AI$63</f>
        <v>35681</v>
      </c>
      <c r="G46" s="207">
        <f>[15]천안시!$AI$88</f>
        <v>36339</v>
      </c>
      <c r="H46" s="204"/>
    </row>
    <row r="47" spans="1:16" ht="20.100000000000001" customHeight="1">
      <c r="B47" s="219" t="s">
        <v>68</v>
      </c>
      <c r="C47" s="206">
        <f>[15]천안시!$B$15</f>
        <v>48142</v>
      </c>
      <c r="D47" s="207">
        <f>[15]천안시!$AI$15</f>
        <v>56207</v>
      </c>
      <c r="E47" s="207">
        <f>[15]천안시!$AI$39</f>
        <v>51695</v>
      </c>
      <c r="F47" s="207">
        <f>[15]천안시!$AI$64</f>
        <v>48148</v>
      </c>
      <c r="G47" s="207">
        <f>[15]천안시!$AI$89</f>
        <v>35581</v>
      </c>
      <c r="H47" s="204"/>
    </row>
    <row r="48" spans="1:16" ht="20.100000000000001" customHeight="1">
      <c r="B48" s="219" t="s">
        <v>396</v>
      </c>
      <c r="C48" s="206">
        <f>[15]천안시!$B$16</f>
        <v>45566</v>
      </c>
      <c r="D48" s="207">
        <f>[15]천안시!$AI$16</f>
        <v>47832</v>
      </c>
      <c r="E48" s="207">
        <f>[15]천안시!$AI$40</f>
        <v>55902</v>
      </c>
      <c r="F48" s="207">
        <f>[15]천안시!$AI$65</f>
        <v>51455</v>
      </c>
      <c r="G48" s="207">
        <f>[15]천안시!$AI$90</f>
        <v>47957</v>
      </c>
      <c r="H48" s="204"/>
    </row>
    <row r="49" spans="2:8" ht="20.100000000000001" customHeight="1">
      <c r="B49" s="219" t="s">
        <v>69</v>
      </c>
      <c r="C49" s="206">
        <f>[15]천안시!$B$17</f>
        <v>29249</v>
      </c>
      <c r="D49" s="207">
        <f>[15]천안시!$AI$17</f>
        <v>45093</v>
      </c>
      <c r="E49" s="207">
        <f>[15]천안시!$AI$41</f>
        <v>47415</v>
      </c>
      <c r="F49" s="207">
        <f>[15]천안시!$AI$66</f>
        <v>55487</v>
      </c>
      <c r="G49" s="207">
        <f>[15]천안시!$AI$91</f>
        <v>51128</v>
      </c>
      <c r="H49" s="204"/>
    </row>
    <row r="50" spans="2:8" ht="20.100000000000001" customHeight="1">
      <c r="B50" s="219" t="s">
        <v>70</v>
      </c>
      <c r="C50" s="206">
        <f>[15]천안시!$B$18</f>
        <v>19400</v>
      </c>
      <c r="D50" s="207">
        <f>[15]천안시!$AI$18</f>
        <v>28773</v>
      </c>
      <c r="E50" s="207">
        <f>[15]천안시!$AI$42</f>
        <v>44464</v>
      </c>
      <c r="F50" s="207">
        <f>[15]천안시!$AI$67</f>
        <v>46848</v>
      </c>
      <c r="G50" s="207">
        <f>[15]천안시!$AI$92</f>
        <v>54917</v>
      </c>
      <c r="H50" s="204"/>
    </row>
    <row r="51" spans="2:8" ht="20.100000000000001" customHeight="1">
      <c r="B51" s="219" t="s">
        <v>397</v>
      </c>
      <c r="C51" s="203">
        <f>[15]천안시!$B$19</f>
        <v>14480</v>
      </c>
      <c r="D51" s="203">
        <f>[15]천안시!$AI$19</f>
        <v>18954</v>
      </c>
      <c r="E51" s="203">
        <f>[15]천안시!$AI$43</f>
        <v>28190</v>
      </c>
      <c r="F51" s="203">
        <f>[15]천안시!$AI$68</f>
        <v>43679</v>
      </c>
      <c r="G51" s="203">
        <f>[15]천안시!$AI$93</f>
        <v>46137</v>
      </c>
      <c r="H51" s="204"/>
    </row>
    <row r="52" spans="2:8" ht="20.100000000000001" customHeight="1">
      <c r="B52" s="219" t="s">
        <v>71</v>
      </c>
      <c r="C52" s="84">
        <f>[15]천안시!$B$20</f>
        <v>14456</v>
      </c>
      <c r="D52" s="84">
        <f>[15]천안시!$AI$20</f>
        <v>14035</v>
      </c>
      <c r="E52" s="84">
        <f>[15]천안시!$AI$44</f>
        <v>18422</v>
      </c>
      <c r="F52" s="84">
        <f>[15]천안시!$AI$69</f>
        <v>27460</v>
      </c>
      <c r="G52" s="84">
        <f>[15]천안시!$AI$94</f>
        <v>42648</v>
      </c>
      <c r="H52" s="204"/>
    </row>
    <row r="53" spans="2:8" ht="20.100000000000001" customHeight="1">
      <c r="B53" s="219" t="s">
        <v>72</v>
      </c>
      <c r="C53" s="84">
        <f>[15]천안시!$B$21</f>
        <v>11456</v>
      </c>
      <c r="D53" s="84">
        <f>[15]천안시!$AI$21</f>
        <v>13811</v>
      </c>
      <c r="E53" s="84">
        <f>[15]천안시!$AI$45</f>
        <v>13454</v>
      </c>
      <c r="F53" s="84">
        <f>[15]천안시!$AI$70</f>
        <v>17714</v>
      </c>
      <c r="G53" s="84">
        <f>[15]천안시!$AI$95</f>
        <v>26480</v>
      </c>
      <c r="H53" s="204"/>
    </row>
    <row r="54" spans="2:8" ht="20.100000000000001" customHeight="1">
      <c r="B54" s="219" t="s">
        <v>73</v>
      </c>
      <c r="C54" s="84">
        <f>[15]천안시!$B$22</f>
        <v>7124</v>
      </c>
      <c r="D54" s="84">
        <f>[15]천안시!$AI$22</f>
        <v>10721</v>
      </c>
      <c r="E54" s="84">
        <f>[15]천안시!$AI$46</f>
        <v>12986</v>
      </c>
      <c r="F54" s="84">
        <f>[15]천안시!$AI$71</f>
        <v>12692</v>
      </c>
      <c r="G54" s="84">
        <f>[15]천안시!$AI$96</f>
        <v>16772</v>
      </c>
      <c r="H54" s="204"/>
    </row>
    <row r="55" spans="2:8" ht="20.100000000000001" customHeight="1">
      <c r="B55" s="219" t="s">
        <v>74</v>
      </c>
      <c r="C55" s="84">
        <f>[15]천안시!$B$23</f>
        <v>3828</v>
      </c>
      <c r="D55" s="84">
        <f>[15]천안시!$AI$23</f>
        <v>6397</v>
      </c>
      <c r="E55" s="84">
        <f>[15]천안시!$AI$47</f>
        <v>9695</v>
      </c>
      <c r="F55" s="84">
        <f>[15]천안시!$AI$72</f>
        <v>11820</v>
      </c>
      <c r="G55" s="84">
        <f>[15]천안시!$AI$97</f>
        <v>11619</v>
      </c>
      <c r="H55" s="204"/>
    </row>
    <row r="56" spans="2:8" ht="20.100000000000001" customHeight="1">
      <c r="B56" s="221" t="s">
        <v>75</v>
      </c>
      <c r="C56" s="222">
        <f>[15]천안시!$B$24</f>
        <v>2425</v>
      </c>
      <c r="D56" s="222">
        <f>[15]천안시!$AI$24</f>
        <v>4783</v>
      </c>
      <c r="E56" s="222">
        <f>[15]천안시!$AI$48</f>
        <v>8683</v>
      </c>
      <c r="F56" s="222">
        <f>[15]천안시!$AI$73</f>
        <v>14422</v>
      </c>
      <c r="G56" s="222">
        <f>[15]천안시!$AI$98</f>
        <v>20704</v>
      </c>
      <c r="H56" s="211"/>
    </row>
    <row r="57" spans="2:8" ht="20.100000000000001" customHeight="1">
      <c r="B57" s="214" t="s">
        <v>28</v>
      </c>
      <c r="C57" s="223">
        <f>SUM(C39:C56)</f>
        <v>540742</v>
      </c>
      <c r="D57" s="223">
        <f>SUM(D39:D56)</f>
        <v>552721</v>
      </c>
      <c r="E57" s="223">
        <f>SUM(E39:E56)</f>
        <v>572227</v>
      </c>
      <c r="F57" s="223">
        <f>SUM(F39:F56)</f>
        <v>587875</v>
      </c>
      <c r="G57" s="223">
        <f>SUM(G39:G56)</f>
        <v>602095</v>
      </c>
      <c r="H57" s="23"/>
    </row>
    <row r="58" spans="2:8" ht="20.100000000000001" customHeight="1">
      <c r="B58" s="214" t="s">
        <v>398</v>
      </c>
      <c r="C58" s="223">
        <f>C57</f>
        <v>540742</v>
      </c>
      <c r="D58" s="223">
        <f>ROUND(D57,-3)</f>
        <v>553000</v>
      </c>
      <c r="E58" s="223">
        <f>ROUND(E57,-3)</f>
        <v>572000</v>
      </c>
      <c r="F58" s="223">
        <f>ROUND(F57,-3)</f>
        <v>588000</v>
      </c>
      <c r="G58" s="223">
        <f>ROUND(G57,-3)</f>
        <v>602000</v>
      </c>
      <c r="H58" s="23"/>
    </row>
  </sheetData>
  <mergeCells count="20">
    <mergeCell ref="I7:I18"/>
    <mergeCell ref="I19:I36"/>
    <mergeCell ref="N4:N5"/>
    <mergeCell ref="O4:O5"/>
    <mergeCell ref="P4:P5"/>
    <mergeCell ref="I6:J6"/>
    <mergeCell ref="I4:J5"/>
    <mergeCell ref="K4:K5"/>
    <mergeCell ref="L4:L5"/>
    <mergeCell ref="M4:M5"/>
    <mergeCell ref="C4:C5"/>
    <mergeCell ref="A19:A36"/>
    <mergeCell ref="A4:B5"/>
    <mergeCell ref="H4:H5"/>
    <mergeCell ref="A6:B6"/>
    <mergeCell ref="A7:A18"/>
    <mergeCell ref="G4:G5"/>
    <mergeCell ref="F4:F5"/>
    <mergeCell ref="E4:E5"/>
    <mergeCell ref="D4:D5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B245"/>
  <sheetViews>
    <sheetView showGridLines="0" view="pageBreakPreview" topLeftCell="G88" zoomScale="84" zoomScaleSheetLayoutView="84" workbookViewId="0">
      <selection activeCell="A165" sqref="A165"/>
    </sheetView>
  </sheetViews>
  <sheetFormatPr defaultRowHeight="24.95" customHeight="1"/>
  <cols>
    <col min="1" max="1" width="2.44140625" style="200" customWidth="1"/>
    <col min="2" max="2" width="13.33203125" style="200" customWidth="1"/>
    <col min="3" max="4" width="9.77734375" style="200" customWidth="1"/>
    <col min="5" max="5" width="9.6640625" style="200" bestFit="1" customWidth="1"/>
    <col min="6" max="6" width="12.33203125" style="200" customWidth="1"/>
    <col min="7" max="7" width="12.5546875" style="200" bestFit="1" customWidth="1"/>
    <col min="8" max="8" width="9.6640625" style="200" bestFit="1" customWidth="1"/>
    <col min="9" max="9" width="10.77734375" style="200" bestFit="1" customWidth="1"/>
    <col min="10" max="10" width="15.109375" style="200" bestFit="1" customWidth="1"/>
    <col min="11" max="11" width="2.44140625" style="11" customWidth="1"/>
    <col min="12" max="12" width="12.77734375" style="200" customWidth="1"/>
    <col min="13" max="13" width="16.77734375" style="200" customWidth="1"/>
    <col min="14" max="18" width="12.77734375" style="200" customWidth="1"/>
    <col min="19" max="19" width="8.77734375" style="200" customWidth="1"/>
    <col min="20" max="28" width="8.88671875" style="225"/>
    <col min="29" max="16384" width="8.88671875" style="200"/>
  </cols>
  <sheetData>
    <row r="1" spans="1:19" ht="18" customHeight="1">
      <c r="A1" s="224" t="s">
        <v>399</v>
      </c>
    </row>
    <row r="2" spans="1:19" ht="18" customHeight="1">
      <c r="A2" s="1" t="s">
        <v>400</v>
      </c>
    </row>
    <row r="3" spans="1:19" ht="18" customHeight="1">
      <c r="A3" s="3" t="s">
        <v>401</v>
      </c>
      <c r="H3" s="226"/>
      <c r="L3" s="534" t="s">
        <v>1180</v>
      </c>
      <c r="M3" s="552">
        <v>2.64</v>
      </c>
    </row>
    <row r="4" spans="1:19" ht="24.95" customHeight="1">
      <c r="A4" s="11"/>
      <c r="B4" s="227" t="s">
        <v>109</v>
      </c>
      <c r="C4" s="228" t="s">
        <v>402</v>
      </c>
      <c r="D4" s="228"/>
      <c r="E4" s="229" t="s">
        <v>403</v>
      </c>
      <c r="F4" s="230" t="s">
        <v>404</v>
      </c>
      <c r="G4" s="230" t="s">
        <v>405</v>
      </c>
      <c r="H4" s="229" t="s">
        <v>406</v>
      </c>
      <c r="I4" s="229" t="s">
        <v>168</v>
      </c>
      <c r="J4" s="231" t="s">
        <v>116</v>
      </c>
      <c r="M4" s="553">
        <v>2.64</v>
      </c>
      <c r="N4" s="80"/>
    </row>
    <row r="5" spans="1:19" s="11" customFormat="1" ht="24.95" customHeight="1">
      <c r="B5" s="507" t="s">
        <v>407</v>
      </c>
      <c r="C5" s="232" t="s">
        <v>408</v>
      </c>
      <c r="D5" s="232"/>
      <c r="E5" s="488">
        <v>1501</v>
      </c>
      <c r="F5" s="497" t="s">
        <v>409</v>
      </c>
      <c r="G5" s="492" t="s">
        <v>410</v>
      </c>
      <c r="H5" s="234">
        <v>1089</v>
      </c>
      <c r="I5" s="488">
        <v>3048</v>
      </c>
      <c r="J5" s="235" t="s">
        <v>411</v>
      </c>
      <c r="L5" s="200"/>
      <c r="M5" s="200"/>
      <c r="N5" s="80"/>
      <c r="O5" s="200"/>
      <c r="P5" s="200"/>
      <c r="Q5" s="200"/>
      <c r="R5" s="200"/>
      <c r="S5" s="200"/>
    </row>
    <row r="6" spans="1:19" s="11" customFormat="1" ht="24.95" customHeight="1">
      <c r="B6" s="491" t="s">
        <v>412</v>
      </c>
      <c r="C6" s="232" t="s">
        <v>413</v>
      </c>
      <c r="D6" s="232"/>
      <c r="E6" s="488">
        <v>817</v>
      </c>
      <c r="F6" s="503" t="s">
        <v>409</v>
      </c>
      <c r="G6" s="492" t="s">
        <v>410</v>
      </c>
      <c r="H6" s="488">
        <v>4512</v>
      </c>
      <c r="I6" s="488">
        <f>ROUND(H6*M3,0)</f>
        <v>11912</v>
      </c>
      <c r="J6" s="235" t="s">
        <v>414</v>
      </c>
      <c r="L6" s="200"/>
      <c r="M6" s="200"/>
      <c r="N6" s="80"/>
      <c r="O6" s="200"/>
      <c r="P6" s="200"/>
      <c r="Q6" s="200"/>
      <c r="R6" s="200"/>
      <c r="S6" s="200"/>
    </row>
    <row r="7" spans="1:19" s="11" customFormat="1" ht="24.95" customHeight="1">
      <c r="B7" s="507" t="s">
        <v>415</v>
      </c>
      <c r="C7" s="232" t="s">
        <v>416</v>
      </c>
      <c r="D7" s="232"/>
      <c r="E7" s="488">
        <v>1624</v>
      </c>
      <c r="F7" s="503" t="s">
        <v>417</v>
      </c>
      <c r="G7" s="492" t="s">
        <v>418</v>
      </c>
      <c r="H7" s="488">
        <v>0</v>
      </c>
      <c r="I7" s="236">
        <v>5400</v>
      </c>
      <c r="J7" s="235" t="s">
        <v>419</v>
      </c>
      <c r="L7" s="200"/>
      <c r="M7" s="200"/>
      <c r="N7" s="80"/>
      <c r="O7" s="200"/>
      <c r="P7" s="200"/>
      <c r="Q7" s="200"/>
      <c r="R7" s="200"/>
      <c r="S7" s="200"/>
    </row>
    <row r="8" spans="1:19" s="11" customFormat="1" ht="24.95" customHeight="1">
      <c r="B8" s="237" t="s">
        <v>0</v>
      </c>
      <c r="C8" s="232" t="s">
        <v>420</v>
      </c>
      <c r="D8" s="232"/>
      <c r="E8" s="488">
        <v>530</v>
      </c>
      <c r="F8" s="503" t="s">
        <v>409</v>
      </c>
      <c r="G8" s="492" t="s">
        <v>421</v>
      </c>
      <c r="H8" s="488">
        <v>97</v>
      </c>
      <c r="I8" s="236">
        <v>272</v>
      </c>
      <c r="J8" s="235" t="s">
        <v>422</v>
      </c>
      <c r="L8" s="200"/>
      <c r="M8" s="200"/>
      <c r="N8" s="80"/>
      <c r="O8" s="200"/>
      <c r="P8" s="200"/>
      <c r="Q8" s="200"/>
      <c r="R8" s="200"/>
      <c r="S8" s="200"/>
    </row>
    <row r="9" spans="1:19" s="11" customFormat="1" ht="24.95" customHeight="1">
      <c r="B9" s="507" t="s">
        <v>187</v>
      </c>
      <c r="C9" s="232" t="s">
        <v>423</v>
      </c>
      <c r="D9" s="232"/>
      <c r="E9" s="488">
        <v>745</v>
      </c>
      <c r="F9" s="503" t="s">
        <v>409</v>
      </c>
      <c r="G9" s="492" t="s">
        <v>421</v>
      </c>
      <c r="H9" s="488">
        <v>115</v>
      </c>
      <c r="I9" s="236">
        <v>322</v>
      </c>
      <c r="J9" s="235" t="s">
        <v>422</v>
      </c>
      <c r="L9" s="200"/>
      <c r="M9" s="200"/>
      <c r="N9" s="80"/>
      <c r="O9" s="200"/>
      <c r="P9" s="200"/>
      <c r="Q9" s="200"/>
      <c r="R9" s="200"/>
      <c r="S9" s="200"/>
    </row>
    <row r="10" spans="1:19" s="11" customFormat="1" ht="24.95" customHeight="1">
      <c r="B10" s="507" t="s">
        <v>166</v>
      </c>
      <c r="C10" s="232" t="s">
        <v>424</v>
      </c>
      <c r="D10" s="232"/>
      <c r="E10" s="488">
        <v>825</v>
      </c>
      <c r="F10" s="503" t="s">
        <v>409</v>
      </c>
      <c r="G10" s="492" t="s">
        <v>421</v>
      </c>
      <c r="H10" s="488">
        <v>0</v>
      </c>
      <c r="I10" s="236">
        <v>0</v>
      </c>
      <c r="J10" s="235" t="s">
        <v>422</v>
      </c>
      <c r="L10" s="200"/>
      <c r="M10" s="200"/>
      <c r="N10" s="80"/>
      <c r="O10" s="200"/>
      <c r="P10" s="200"/>
      <c r="Q10" s="200"/>
      <c r="R10" s="200"/>
      <c r="S10" s="200"/>
    </row>
    <row r="11" spans="1:19" ht="18" customHeight="1">
      <c r="A11" s="11"/>
      <c r="B11" s="507" t="s">
        <v>425</v>
      </c>
      <c r="C11" s="232" t="s">
        <v>426</v>
      </c>
      <c r="D11" s="232"/>
      <c r="E11" s="488">
        <v>7630</v>
      </c>
      <c r="F11" s="503" t="s">
        <v>409</v>
      </c>
      <c r="G11" s="492" t="s">
        <v>427</v>
      </c>
      <c r="H11" s="234">
        <v>0</v>
      </c>
      <c r="I11" s="236">
        <v>39000</v>
      </c>
      <c r="J11" s="235" t="s">
        <v>428</v>
      </c>
      <c r="N11" s="80"/>
    </row>
    <row r="12" spans="1:19" s="11" customFormat="1" ht="24.95" customHeight="1">
      <c r="B12" s="505" t="s">
        <v>1</v>
      </c>
      <c r="C12" s="917" t="s">
        <v>429</v>
      </c>
      <c r="D12" s="776"/>
      <c r="E12" s="238">
        <v>3776</v>
      </c>
      <c r="F12" s="497" t="s">
        <v>409</v>
      </c>
      <c r="G12" s="492" t="s">
        <v>421</v>
      </c>
      <c r="H12" s="239">
        <v>0</v>
      </c>
      <c r="I12" s="239">
        <v>10000</v>
      </c>
      <c r="J12" s="498" t="s">
        <v>430</v>
      </c>
      <c r="L12" s="200"/>
      <c r="M12" s="200"/>
      <c r="N12" s="80"/>
      <c r="O12" s="200"/>
      <c r="P12" s="200"/>
      <c r="Q12" s="200"/>
      <c r="R12" s="200"/>
      <c r="S12" s="200"/>
    </row>
    <row r="13" spans="1:19" s="11" customFormat="1" ht="24.95" customHeight="1">
      <c r="B13" s="505" t="s">
        <v>65</v>
      </c>
      <c r="C13" s="917" t="s">
        <v>431</v>
      </c>
      <c r="D13" s="776"/>
      <c r="E13" s="238">
        <v>2592</v>
      </c>
      <c r="F13" s="497" t="s">
        <v>64</v>
      </c>
      <c r="G13" s="492" t="s">
        <v>432</v>
      </c>
      <c r="H13" s="239">
        <v>0</v>
      </c>
      <c r="I13" s="239">
        <v>12590</v>
      </c>
      <c r="J13" s="498" t="s">
        <v>433</v>
      </c>
      <c r="L13" s="200"/>
      <c r="M13" s="200"/>
      <c r="N13" s="80"/>
      <c r="O13" s="200"/>
      <c r="P13" s="200"/>
      <c r="Q13" s="200"/>
      <c r="R13" s="200"/>
      <c r="S13" s="200"/>
    </row>
    <row r="14" spans="1:19" s="11" customFormat="1" ht="18" customHeight="1">
      <c r="B14" s="901" t="s">
        <v>434</v>
      </c>
      <c r="C14" s="902"/>
      <c r="D14" s="903"/>
      <c r="E14" s="240">
        <f>SUM(E5:E13)</f>
        <v>20040</v>
      </c>
      <c r="F14" s="230"/>
      <c r="G14" s="241"/>
      <c r="H14" s="240"/>
      <c r="I14" s="240">
        <f>SUM(I5:I13)</f>
        <v>82544</v>
      </c>
      <c r="J14" s="242"/>
      <c r="L14" s="200"/>
      <c r="M14" s="200"/>
      <c r="N14" s="200"/>
      <c r="O14" s="200"/>
      <c r="P14" s="200"/>
      <c r="Q14" s="200"/>
      <c r="R14" s="200"/>
      <c r="S14" s="200"/>
    </row>
    <row r="15" spans="1:19" s="11" customFormat="1" ht="18" customHeight="1">
      <c r="B15" s="243"/>
      <c r="L15" s="200"/>
      <c r="M15" s="200"/>
      <c r="N15" s="200"/>
      <c r="O15" s="200"/>
      <c r="P15" s="200"/>
      <c r="Q15" s="200"/>
      <c r="R15" s="200"/>
      <c r="S15" s="200"/>
    </row>
    <row r="16" spans="1:19" s="11" customFormat="1" ht="18" customHeight="1">
      <c r="A16" s="3" t="s">
        <v>435</v>
      </c>
      <c r="B16" s="200"/>
      <c r="C16" s="200"/>
      <c r="D16" s="200"/>
      <c r="E16" s="200"/>
      <c r="F16" s="200"/>
      <c r="G16" s="200"/>
      <c r="H16" s="200"/>
      <c r="I16" s="244"/>
      <c r="J16" s="200"/>
      <c r="L16" s="80"/>
      <c r="M16" s="80"/>
      <c r="N16" s="200"/>
      <c r="O16" s="200"/>
      <c r="P16" s="200"/>
      <c r="Q16" s="200"/>
      <c r="R16" s="200"/>
      <c r="S16" s="200"/>
    </row>
    <row r="17" spans="1:19" s="11" customFormat="1" ht="24.95" customHeight="1">
      <c r="B17" s="227" t="s">
        <v>109</v>
      </c>
      <c r="C17" s="228" t="s">
        <v>402</v>
      </c>
      <c r="D17" s="228"/>
      <c r="E17" s="229" t="s">
        <v>403</v>
      </c>
      <c r="F17" s="230" t="s">
        <v>404</v>
      </c>
      <c r="G17" s="230" t="s">
        <v>405</v>
      </c>
      <c r="H17" s="229" t="s">
        <v>110</v>
      </c>
      <c r="I17" s="229" t="s">
        <v>168</v>
      </c>
      <c r="J17" s="231" t="s">
        <v>116</v>
      </c>
      <c r="L17" s="80"/>
      <c r="M17" s="80"/>
      <c r="N17" s="200"/>
      <c r="O17" s="200"/>
      <c r="P17" s="200"/>
      <c r="Q17" s="200"/>
      <c r="R17" s="200"/>
      <c r="S17" s="200"/>
    </row>
    <row r="18" spans="1:19" s="11" customFormat="1" ht="24.95" customHeight="1">
      <c r="B18" s="489" t="s">
        <v>111</v>
      </c>
      <c r="C18" s="245" t="s">
        <v>436</v>
      </c>
      <c r="D18" s="245"/>
      <c r="E18" s="246">
        <v>1224</v>
      </c>
      <c r="F18" s="490" t="s">
        <v>437</v>
      </c>
      <c r="G18" s="247" t="s">
        <v>438</v>
      </c>
      <c r="H18" s="248">
        <v>6389</v>
      </c>
      <c r="I18" s="248">
        <v>20444</v>
      </c>
      <c r="J18" s="498" t="s">
        <v>439</v>
      </c>
      <c r="L18" s="80"/>
      <c r="M18" s="539"/>
      <c r="N18" s="200"/>
      <c r="O18" s="200"/>
      <c r="P18" s="200"/>
      <c r="Q18" s="200"/>
      <c r="R18" s="200"/>
      <c r="S18" s="200"/>
    </row>
    <row r="19" spans="1:19" s="11" customFormat="1" ht="12.95" customHeight="1">
      <c r="B19" s="828" t="s">
        <v>622</v>
      </c>
      <c r="C19" s="921" t="s">
        <v>440</v>
      </c>
      <c r="D19" s="773"/>
      <c r="E19" s="238">
        <v>800</v>
      </c>
      <c r="F19" s="920" t="s">
        <v>113</v>
      </c>
      <c r="G19" s="881" t="s">
        <v>441</v>
      </c>
      <c r="H19" s="239">
        <v>1007</v>
      </c>
      <c r="I19" s="239">
        <v>3122</v>
      </c>
      <c r="J19" s="889" t="s">
        <v>442</v>
      </c>
      <c r="L19" s="200"/>
      <c r="M19" s="200"/>
      <c r="N19" s="200"/>
      <c r="O19" s="200"/>
      <c r="P19" s="200"/>
      <c r="Q19" s="200"/>
      <c r="R19" s="200"/>
      <c r="S19" s="200"/>
    </row>
    <row r="20" spans="1:19" s="11" customFormat="1" ht="12.95" customHeight="1">
      <c r="B20" s="828"/>
      <c r="C20" s="922"/>
      <c r="D20" s="780"/>
      <c r="E20" s="249">
        <v>3674</v>
      </c>
      <c r="F20" s="920"/>
      <c r="G20" s="881"/>
      <c r="H20" s="250">
        <v>8629</v>
      </c>
      <c r="I20" s="250">
        <v>26750</v>
      </c>
      <c r="J20" s="890"/>
      <c r="L20" s="200"/>
      <c r="M20" s="200"/>
      <c r="N20" s="200"/>
      <c r="O20" s="200"/>
      <c r="P20" s="200"/>
      <c r="Q20" s="200"/>
      <c r="R20" s="200"/>
      <c r="S20" s="200"/>
    </row>
    <row r="21" spans="1:19" ht="12.95" customHeight="1">
      <c r="A21" s="11"/>
      <c r="B21" s="828" t="s">
        <v>623</v>
      </c>
      <c r="C21" s="921" t="s">
        <v>443</v>
      </c>
      <c r="D21" s="773"/>
      <c r="E21" s="238">
        <v>2300</v>
      </c>
      <c r="F21" s="920" t="s">
        <v>113</v>
      </c>
      <c r="G21" s="881" t="s">
        <v>444</v>
      </c>
      <c r="H21" s="239">
        <v>10066</v>
      </c>
      <c r="I21" s="239">
        <v>30198</v>
      </c>
      <c r="J21" s="889" t="s">
        <v>445</v>
      </c>
    </row>
    <row r="22" spans="1:19" s="11" customFormat="1" ht="12.95" customHeight="1">
      <c r="B22" s="828"/>
      <c r="C22" s="922"/>
      <c r="D22" s="780"/>
      <c r="E22" s="249">
        <v>17646</v>
      </c>
      <c r="F22" s="920"/>
      <c r="G22" s="881"/>
      <c r="H22" s="250">
        <v>57800</v>
      </c>
      <c r="I22" s="250">
        <v>173400</v>
      </c>
      <c r="J22" s="890"/>
      <c r="L22" s="200"/>
      <c r="M22" s="200"/>
      <c r="N22" s="200"/>
      <c r="O22" s="200"/>
      <c r="P22" s="200"/>
      <c r="Q22" s="200"/>
      <c r="R22" s="200"/>
      <c r="S22" s="200"/>
    </row>
    <row r="23" spans="1:19" s="11" customFormat="1" ht="24.95" customHeight="1">
      <c r="B23" s="540" t="s">
        <v>1187</v>
      </c>
      <c r="C23" s="251" t="s">
        <v>447</v>
      </c>
      <c r="D23" s="251"/>
      <c r="E23" s="252">
        <v>746</v>
      </c>
      <c r="F23" s="509" t="s">
        <v>409</v>
      </c>
      <c r="G23" s="254" t="s">
        <v>448</v>
      </c>
      <c r="H23" s="236">
        <v>3793</v>
      </c>
      <c r="I23" s="236">
        <v>11000</v>
      </c>
      <c r="J23" s="235" t="s">
        <v>449</v>
      </c>
      <c r="L23" s="200"/>
      <c r="M23" s="200"/>
      <c r="N23" s="200"/>
      <c r="O23" s="200"/>
      <c r="P23" s="200"/>
      <c r="Q23" s="200"/>
      <c r="R23" s="200"/>
      <c r="S23" s="200"/>
    </row>
    <row r="24" spans="1:19" s="11" customFormat="1" ht="18" customHeight="1">
      <c r="B24" s="901" t="s">
        <v>434</v>
      </c>
      <c r="C24" s="902"/>
      <c r="D24" s="903"/>
      <c r="E24" s="240">
        <f>E23+E19+E21+E18</f>
        <v>5070</v>
      </c>
      <c r="F24" s="230"/>
      <c r="G24" s="241"/>
      <c r="H24" s="240">
        <f>H23+H19+H21+H18</f>
        <v>21255</v>
      </c>
      <c r="I24" s="240">
        <f>I23+I19+I21+I18</f>
        <v>64764</v>
      </c>
      <c r="J24" s="231"/>
      <c r="L24" s="200"/>
      <c r="M24" s="200"/>
      <c r="N24" s="200"/>
      <c r="O24" s="200"/>
      <c r="P24" s="200"/>
      <c r="Q24" s="200"/>
      <c r="R24" s="200"/>
      <c r="S24" s="200"/>
    </row>
    <row r="25" spans="1:19" s="11" customFormat="1" ht="18" customHeight="1">
      <c r="B25" s="255" t="s">
        <v>450</v>
      </c>
      <c r="C25" s="256"/>
      <c r="D25" s="256"/>
      <c r="E25" s="91"/>
      <c r="F25" s="256"/>
      <c r="G25" s="257"/>
      <c r="H25" s="91"/>
      <c r="I25" s="91"/>
      <c r="J25" s="256"/>
      <c r="L25" s="200"/>
      <c r="M25" s="200"/>
      <c r="N25" s="200"/>
      <c r="O25" s="200"/>
      <c r="P25" s="200"/>
      <c r="Q25" s="200"/>
      <c r="R25" s="200"/>
      <c r="S25" s="200"/>
    </row>
    <row r="26" spans="1:19" s="11" customFormat="1" ht="18" customHeight="1">
      <c r="B26" s="255"/>
      <c r="C26" s="256"/>
      <c r="D26" s="256"/>
      <c r="E26" s="91"/>
      <c r="F26" s="256"/>
      <c r="G26" s="257"/>
      <c r="H26" s="91"/>
      <c r="I26" s="91"/>
      <c r="J26" s="256"/>
      <c r="L26" s="200"/>
      <c r="M26" s="200"/>
      <c r="N26" s="200"/>
      <c r="O26" s="200"/>
      <c r="P26" s="200"/>
      <c r="Q26" s="200"/>
      <c r="R26" s="200"/>
      <c r="S26" s="200"/>
    </row>
    <row r="27" spans="1:19" s="11" customFormat="1" ht="18" customHeight="1">
      <c r="A27" s="3" t="s">
        <v>451</v>
      </c>
      <c r="B27" s="200"/>
      <c r="C27" s="200"/>
      <c r="D27" s="200"/>
      <c r="E27" s="200"/>
      <c r="F27" s="200"/>
      <c r="G27" s="200"/>
      <c r="H27" s="200"/>
      <c r="I27" s="200"/>
      <c r="J27" s="200"/>
      <c r="L27" s="200"/>
      <c r="M27" s="200"/>
      <c r="N27" s="200"/>
      <c r="O27" s="200"/>
      <c r="P27" s="200"/>
      <c r="Q27" s="200"/>
      <c r="R27" s="200"/>
      <c r="S27" s="200"/>
    </row>
    <row r="28" spans="1:19" s="11" customFormat="1" ht="24.95" customHeight="1">
      <c r="B28" s="227" t="s">
        <v>109</v>
      </c>
      <c r="C28" s="228" t="s">
        <v>402</v>
      </c>
      <c r="D28" s="228"/>
      <c r="E28" s="229" t="s">
        <v>403</v>
      </c>
      <c r="F28" s="230" t="s">
        <v>404</v>
      </c>
      <c r="G28" s="230" t="s">
        <v>405</v>
      </c>
      <c r="H28" s="229" t="s">
        <v>110</v>
      </c>
      <c r="I28" s="229" t="s">
        <v>168</v>
      </c>
      <c r="J28" s="231" t="s">
        <v>116</v>
      </c>
      <c r="L28" s="200"/>
      <c r="M28" s="200"/>
      <c r="N28" s="200"/>
      <c r="O28" s="200"/>
      <c r="P28" s="200"/>
      <c r="Q28" s="200"/>
      <c r="R28" s="200"/>
      <c r="S28" s="200"/>
    </row>
    <row r="29" spans="1:19" s="11" customFormat="1" ht="24.95" customHeight="1">
      <c r="B29" s="507" t="s">
        <v>162</v>
      </c>
      <c r="C29" s="50" t="s">
        <v>452</v>
      </c>
      <c r="D29" s="50"/>
      <c r="E29" s="488">
        <v>955</v>
      </c>
      <c r="F29" s="497" t="s">
        <v>453</v>
      </c>
      <c r="G29" s="492" t="s">
        <v>438</v>
      </c>
      <c r="H29" s="488">
        <v>4408</v>
      </c>
      <c r="I29" s="488">
        <v>13142</v>
      </c>
      <c r="J29" s="235" t="s">
        <v>454</v>
      </c>
      <c r="L29" s="200"/>
      <c r="M29" s="200"/>
      <c r="N29" s="200"/>
      <c r="O29" s="200"/>
      <c r="P29" s="200"/>
      <c r="Q29" s="200"/>
      <c r="R29" s="200"/>
      <c r="S29" s="200"/>
    </row>
    <row r="30" spans="1:19" s="11" customFormat="1" ht="24.95" customHeight="1">
      <c r="B30" s="507" t="s">
        <v>455</v>
      </c>
      <c r="C30" s="50" t="s">
        <v>456</v>
      </c>
      <c r="D30" s="50"/>
      <c r="E30" s="488">
        <v>109</v>
      </c>
      <c r="F30" s="533" t="s">
        <v>1185</v>
      </c>
      <c r="G30" s="492" t="s">
        <v>438</v>
      </c>
      <c r="H30" s="488">
        <v>523</v>
      </c>
      <c r="I30" s="488">
        <f>ROUND(H30*M3,0)</f>
        <v>1381</v>
      </c>
      <c r="J30" s="235" t="s">
        <v>439</v>
      </c>
      <c r="L30" s="200"/>
      <c r="M30" s="200"/>
      <c r="N30" s="200"/>
      <c r="O30" s="200"/>
      <c r="P30" s="200"/>
      <c r="Q30" s="200"/>
      <c r="R30" s="200"/>
      <c r="S30" s="200"/>
    </row>
    <row r="31" spans="1:19" s="11" customFormat="1" ht="24.95" customHeight="1">
      <c r="B31" s="507" t="s">
        <v>457</v>
      </c>
      <c r="C31" s="50" t="s">
        <v>458</v>
      </c>
      <c r="D31" s="50"/>
      <c r="E31" s="488">
        <v>141</v>
      </c>
      <c r="F31" s="503" t="s">
        <v>459</v>
      </c>
      <c r="G31" s="492" t="s">
        <v>460</v>
      </c>
      <c r="H31" s="488">
        <v>964</v>
      </c>
      <c r="I31" s="488">
        <f>ROUND(H31*M3,0)</f>
        <v>2545</v>
      </c>
      <c r="J31" s="235" t="s">
        <v>461</v>
      </c>
      <c r="L31" s="200"/>
      <c r="M31" s="200"/>
      <c r="N31" s="200"/>
      <c r="O31" s="200"/>
      <c r="P31" s="200"/>
      <c r="Q31" s="200"/>
      <c r="R31" s="200"/>
      <c r="S31" s="200"/>
    </row>
    <row r="32" spans="1:19" s="11" customFormat="1" ht="24.95" customHeight="1">
      <c r="B32" s="507" t="s">
        <v>624</v>
      </c>
      <c r="C32" s="50" t="s">
        <v>462</v>
      </c>
      <c r="D32" s="50"/>
      <c r="E32" s="488">
        <v>95</v>
      </c>
      <c r="F32" s="533" t="s">
        <v>1184</v>
      </c>
      <c r="G32" s="492" t="s">
        <v>460</v>
      </c>
      <c r="H32" s="488">
        <f>H152</f>
        <v>1040</v>
      </c>
      <c r="I32" s="488">
        <f>ROUND(H32*M3,0)</f>
        <v>2746</v>
      </c>
      <c r="J32" s="235" t="s">
        <v>463</v>
      </c>
      <c r="L32" s="200"/>
      <c r="M32" s="80"/>
      <c r="N32" s="200"/>
      <c r="O32" s="200"/>
      <c r="P32" s="200"/>
      <c r="Q32" s="200"/>
      <c r="R32" s="200"/>
      <c r="S32" s="200"/>
    </row>
    <row r="33" spans="1:19" s="11" customFormat="1" ht="24.95" customHeight="1">
      <c r="B33" s="505" t="s">
        <v>115</v>
      </c>
      <c r="C33" s="258" t="s">
        <v>464</v>
      </c>
      <c r="D33" s="258"/>
      <c r="E33" s="239">
        <v>86</v>
      </c>
      <c r="F33" s="533" t="s">
        <v>1183</v>
      </c>
      <c r="G33" s="492" t="s">
        <v>465</v>
      </c>
      <c r="H33" s="488">
        <f>H140</f>
        <v>901</v>
      </c>
      <c r="I33" s="488">
        <f>ROUND(H33*M3,0)</f>
        <v>2379</v>
      </c>
      <c r="J33" s="235" t="s">
        <v>466</v>
      </c>
      <c r="L33" s="200"/>
      <c r="M33" s="80"/>
      <c r="N33" s="200"/>
      <c r="O33" s="200"/>
      <c r="P33" s="200"/>
      <c r="Q33" s="200"/>
      <c r="R33" s="200"/>
      <c r="S33" s="200"/>
    </row>
    <row r="34" spans="1:19" s="11" customFormat="1" ht="24.95" customHeight="1">
      <c r="B34" s="505" t="s">
        <v>467</v>
      </c>
      <c r="C34" s="258" t="s">
        <v>468</v>
      </c>
      <c r="D34" s="258"/>
      <c r="E34" s="239">
        <v>70</v>
      </c>
      <c r="F34" s="533" t="s">
        <v>1182</v>
      </c>
      <c r="G34" s="492" t="s">
        <v>465</v>
      </c>
      <c r="H34" s="488">
        <f>H139</f>
        <v>746</v>
      </c>
      <c r="I34" s="488">
        <f>ROUND(H34*M3,0)</f>
        <v>1969</v>
      </c>
      <c r="J34" s="235" t="s">
        <v>466</v>
      </c>
      <c r="L34" s="200"/>
      <c r="M34" s="80"/>
      <c r="N34" s="200"/>
      <c r="O34" s="200"/>
      <c r="P34" s="200"/>
      <c r="Q34" s="200"/>
      <c r="R34" s="200"/>
      <c r="S34" s="200"/>
    </row>
    <row r="35" spans="1:19" s="11" customFormat="1" ht="24.95" customHeight="1">
      <c r="B35" s="507" t="s">
        <v>114</v>
      </c>
      <c r="C35" s="50" t="s">
        <v>469</v>
      </c>
      <c r="D35" s="50"/>
      <c r="E35" s="488">
        <v>127</v>
      </c>
      <c r="F35" s="503" t="s">
        <v>470</v>
      </c>
      <c r="G35" s="492" t="s">
        <v>471</v>
      </c>
      <c r="H35" s="488">
        <v>1330</v>
      </c>
      <c r="I35" s="488">
        <f>ROUND(H35*M3,0)</f>
        <v>3511</v>
      </c>
      <c r="J35" s="235" t="s">
        <v>472</v>
      </c>
      <c r="L35" s="200"/>
      <c r="M35" s="80"/>
      <c r="N35" s="200"/>
      <c r="O35" s="200"/>
      <c r="P35" s="200"/>
      <c r="Q35" s="200"/>
      <c r="R35" s="200"/>
      <c r="S35" s="200"/>
    </row>
    <row r="36" spans="1:19" s="11" customFormat="1" ht="18" customHeight="1">
      <c r="B36" s="507" t="s">
        <v>473</v>
      </c>
      <c r="C36" s="50" t="s">
        <v>474</v>
      </c>
      <c r="D36" s="50"/>
      <c r="E36" s="488">
        <v>547</v>
      </c>
      <c r="F36" s="503" t="s">
        <v>64</v>
      </c>
      <c r="G36" s="492" t="s">
        <v>64</v>
      </c>
      <c r="H36" s="488">
        <f>ROUND(I36/3,0)</f>
        <v>4927</v>
      </c>
      <c r="I36" s="488">
        <v>14781</v>
      </c>
      <c r="J36" s="235" t="s">
        <v>475</v>
      </c>
      <c r="L36" s="200"/>
      <c r="M36" s="80"/>
      <c r="N36" s="200"/>
      <c r="O36" s="200"/>
      <c r="P36" s="200"/>
      <c r="Q36" s="200"/>
      <c r="R36" s="200"/>
      <c r="S36" s="200"/>
    </row>
    <row r="37" spans="1:19" s="11" customFormat="1" ht="24.95" customHeight="1">
      <c r="B37" s="491" t="s">
        <v>476</v>
      </c>
      <c r="C37" s="50" t="s">
        <v>477</v>
      </c>
      <c r="D37" s="50"/>
      <c r="E37" s="488">
        <v>89</v>
      </c>
      <c r="F37" s="533" t="s">
        <v>1181</v>
      </c>
      <c r="G37" s="492" t="s">
        <v>478</v>
      </c>
      <c r="H37" s="488">
        <v>0</v>
      </c>
      <c r="I37" s="488">
        <v>2854</v>
      </c>
      <c r="J37" s="235" t="s">
        <v>479</v>
      </c>
      <c r="L37" s="200"/>
      <c r="M37" s="80"/>
      <c r="N37" s="200"/>
      <c r="O37" s="200"/>
      <c r="P37" s="200"/>
      <c r="Q37" s="200"/>
      <c r="R37" s="200"/>
      <c r="S37" s="200"/>
    </row>
    <row r="38" spans="1:19" ht="24.95" customHeight="1">
      <c r="A38" s="11"/>
      <c r="B38" s="507" t="s">
        <v>480</v>
      </c>
      <c r="C38" s="50" t="s">
        <v>112</v>
      </c>
      <c r="D38" s="50"/>
      <c r="E38" s="488">
        <v>92</v>
      </c>
      <c r="F38" s="503" t="s">
        <v>481</v>
      </c>
      <c r="G38" s="492" t="s">
        <v>482</v>
      </c>
      <c r="H38" s="488">
        <v>1270</v>
      </c>
      <c r="I38" s="488">
        <v>0</v>
      </c>
      <c r="J38" s="235" t="s">
        <v>483</v>
      </c>
    </row>
    <row r="39" spans="1:19" ht="24.95" customHeight="1">
      <c r="A39" s="11"/>
      <c r="B39" s="507" t="s">
        <v>484</v>
      </c>
      <c r="C39" s="50" t="s">
        <v>485</v>
      </c>
      <c r="D39" s="50"/>
      <c r="E39" s="488">
        <v>94</v>
      </c>
      <c r="F39" s="503" t="s">
        <v>486</v>
      </c>
      <c r="G39" s="492" t="s">
        <v>487</v>
      </c>
      <c r="H39" s="488">
        <v>905</v>
      </c>
      <c r="I39" s="488">
        <v>2806</v>
      </c>
      <c r="J39" s="235" t="s">
        <v>488</v>
      </c>
    </row>
    <row r="40" spans="1:19" s="11" customFormat="1" ht="24.95" customHeight="1">
      <c r="B40" s="507" t="s">
        <v>489</v>
      </c>
      <c r="C40" s="232" t="s">
        <v>490</v>
      </c>
      <c r="D40" s="232"/>
      <c r="E40" s="488">
        <v>668</v>
      </c>
      <c r="F40" s="503" t="s">
        <v>113</v>
      </c>
      <c r="G40" s="492" t="s">
        <v>491</v>
      </c>
      <c r="H40" s="488">
        <v>4936</v>
      </c>
      <c r="I40" s="488">
        <v>14314</v>
      </c>
      <c r="J40" s="235" t="s">
        <v>492</v>
      </c>
      <c r="L40" s="200"/>
      <c r="M40" s="200"/>
      <c r="N40" s="200"/>
      <c r="O40" s="200"/>
      <c r="P40" s="200"/>
      <c r="Q40" s="200"/>
      <c r="R40" s="200"/>
      <c r="S40" s="200"/>
    </row>
    <row r="41" spans="1:19" s="11" customFormat="1" ht="24.95" customHeight="1">
      <c r="B41" s="507" t="s">
        <v>626</v>
      </c>
      <c r="C41" s="50" t="s">
        <v>493</v>
      </c>
      <c r="D41" s="50"/>
      <c r="E41" s="488">
        <v>264</v>
      </c>
      <c r="F41" s="497" t="s">
        <v>437</v>
      </c>
      <c r="G41" s="492" t="s">
        <v>124</v>
      </c>
      <c r="H41" s="488">
        <v>1940</v>
      </c>
      <c r="I41" s="488">
        <f>ROUND(H41*M3,0)</f>
        <v>5122</v>
      </c>
      <c r="J41" s="235" t="s">
        <v>122</v>
      </c>
      <c r="L41" s="200"/>
      <c r="M41" s="516"/>
      <c r="N41" s="200"/>
      <c r="O41" s="200"/>
      <c r="P41" s="200"/>
      <c r="Q41" s="200"/>
      <c r="R41" s="200"/>
      <c r="S41" s="200"/>
    </row>
    <row r="42" spans="1:19" s="11" customFormat="1" ht="24.95" customHeight="1">
      <c r="B42" s="540" t="s">
        <v>1188</v>
      </c>
      <c r="C42" s="259" t="s">
        <v>123</v>
      </c>
      <c r="D42" s="259"/>
      <c r="E42" s="236">
        <v>428</v>
      </c>
      <c r="F42" s="509" t="s">
        <v>64</v>
      </c>
      <c r="G42" s="254" t="s">
        <v>628</v>
      </c>
      <c r="H42" s="236">
        <v>2655</v>
      </c>
      <c r="I42" s="236">
        <v>7700</v>
      </c>
      <c r="J42" s="235" t="s">
        <v>449</v>
      </c>
      <c r="L42" s="200"/>
      <c r="M42" s="200"/>
      <c r="N42" s="200"/>
      <c r="O42" s="200"/>
      <c r="P42" s="200"/>
      <c r="Q42" s="200"/>
      <c r="R42" s="200"/>
      <c r="S42" s="200"/>
    </row>
    <row r="43" spans="1:19" s="11" customFormat="1" ht="24.95" customHeight="1">
      <c r="B43" s="507" t="s">
        <v>629</v>
      </c>
      <c r="C43" s="260" t="s">
        <v>630</v>
      </c>
      <c r="D43" s="261"/>
      <c r="E43" s="488">
        <v>425</v>
      </c>
      <c r="F43" s="497" t="s">
        <v>113</v>
      </c>
      <c r="G43" s="492" t="s">
        <v>631</v>
      </c>
      <c r="H43" s="488">
        <v>4117</v>
      </c>
      <c r="I43" s="488">
        <v>11117</v>
      </c>
      <c r="J43" s="235" t="s">
        <v>632</v>
      </c>
      <c r="L43" s="200"/>
      <c r="M43" s="200"/>
      <c r="N43" s="200"/>
      <c r="O43" s="200"/>
      <c r="P43" s="200"/>
      <c r="Q43" s="200"/>
      <c r="R43" s="200"/>
      <c r="S43" s="200"/>
    </row>
    <row r="44" spans="1:19" s="11" customFormat="1" ht="24.95" customHeight="1">
      <c r="B44" s="262" t="s">
        <v>158</v>
      </c>
      <c r="C44" s="263" t="s">
        <v>633</v>
      </c>
      <c r="D44" s="264"/>
      <c r="E44" s="265">
        <v>3073</v>
      </c>
      <c r="F44" s="513" t="s">
        <v>634</v>
      </c>
      <c r="G44" s="266" t="s">
        <v>635</v>
      </c>
      <c r="H44" s="265">
        <v>12000</v>
      </c>
      <c r="I44" s="265">
        <v>33600</v>
      </c>
      <c r="J44" s="267" t="s">
        <v>636</v>
      </c>
      <c r="L44" s="226"/>
      <c r="M44" s="200"/>
      <c r="N44" s="200"/>
      <c r="O44" s="200"/>
      <c r="P44" s="200"/>
      <c r="Q44" s="200"/>
      <c r="R44" s="200"/>
      <c r="S44" s="200"/>
    </row>
    <row r="45" spans="1:19" s="11" customFormat="1" ht="18" customHeight="1">
      <c r="B45" s="901" t="s">
        <v>637</v>
      </c>
      <c r="C45" s="902"/>
      <c r="D45" s="903"/>
      <c r="E45" s="240">
        <f>SUM(E29:E44)</f>
        <v>7263</v>
      </c>
      <c r="F45" s="230"/>
      <c r="G45" s="241"/>
      <c r="H45" s="240">
        <f>SUM(H29:H44)</f>
        <v>42662</v>
      </c>
      <c r="I45" s="240">
        <f>SUM(I29:I44)</f>
        <v>119967</v>
      </c>
      <c r="J45" s="242"/>
      <c r="L45" s="538">
        <f>M3</f>
        <v>2.64</v>
      </c>
      <c r="M45" s="200"/>
      <c r="N45" s="200"/>
      <c r="O45" s="200"/>
      <c r="P45" s="200"/>
      <c r="Q45" s="200"/>
      <c r="R45" s="200"/>
      <c r="S45" s="200"/>
    </row>
    <row r="46" spans="1:19" s="11" customFormat="1" ht="22.5" customHeight="1">
      <c r="A46" s="3" t="s">
        <v>638</v>
      </c>
      <c r="B46" s="200"/>
      <c r="C46" s="200"/>
      <c r="D46" s="200"/>
      <c r="E46" s="200"/>
      <c r="F46" s="200"/>
      <c r="G46" s="200"/>
      <c r="H46" s="200"/>
      <c r="I46" s="200"/>
      <c r="L46" s="263"/>
      <c r="M46" s="268"/>
      <c r="N46" s="91"/>
      <c r="O46" s="269"/>
      <c r="P46" s="270"/>
      <c r="Q46" s="269"/>
      <c r="R46" s="269"/>
      <c r="S46" s="269"/>
    </row>
    <row r="47" spans="1:19" s="11" customFormat="1" ht="22.5" customHeight="1">
      <c r="B47" s="893" t="s">
        <v>639</v>
      </c>
      <c r="C47" s="909" t="s">
        <v>640</v>
      </c>
      <c r="D47" s="911" t="s">
        <v>641</v>
      </c>
      <c r="E47" s="912"/>
      <c r="F47" s="887" t="s">
        <v>642</v>
      </c>
      <c r="G47" s="904" t="s">
        <v>643</v>
      </c>
      <c r="H47" s="905"/>
      <c r="I47" s="904" t="s">
        <v>644</v>
      </c>
      <c r="J47" s="906"/>
      <c r="K47" s="1" t="s">
        <v>645</v>
      </c>
      <c r="L47" s="200"/>
      <c r="M47" s="200"/>
      <c r="N47" s="200"/>
      <c r="O47" s="200"/>
      <c r="P47" s="200"/>
      <c r="Q47" s="200"/>
      <c r="R47" s="200"/>
      <c r="S47" s="200"/>
    </row>
    <row r="48" spans="1:19" s="11" customFormat="1" ht="22.5" customHeight="1">
      <c r="B48" s="894"/>
      <c r="C48" s="910"/>
      <c r="D48" s="913"/>
      <c r="E48" s="914"/>
      <c r="F48" s="888"/>
      <c r="G48" s="502" t="s">
        <v>646</v>
      </c>
      <c r="H48" s="502" t="s">
        <v>647</v>
      </c>
      <c r="I48" s="502" t="s">
        <v>646</v>
      </c>
      <c r="J48" s="511" t="s">
        <v>648</v>
      </c>
      <c r="K48" s="200"/>
      <c r="L48" s="893" t="s">
        <v>649</v>
      </c>
      <c r="M48" s="887" t="s">
        <v>650</v>
      </c>
      <c r="N48" s="887" t="s">
        <v>651</v>
      </c>
      <c r="O48" s="774" t="s">
        <v>652</v>
      </c>
      <c r="P48" s="775"/>
      <c r="Q48" s="788"/>
      <c r="R48" s="887" t="s">
        <v>653</v>
      </c>
      <c r="S48" s="885" t="s">
        <v>654</v>
      </c>
    </row>
    <row r="49" spans="2:19" s="11" customFormat="1" ht="22.5" customHeight="1">
      <c r="B49" s="271" t="s">
        <v>655</v>
      </c>
      <c r="C49" s="490" t="s">
        <v>656</v>
      </c>
      <c r="D49" s="272" t="s">
        <v>657</v>
      </c>
      <c r="E49" s="273"/>
      <c r="F49" s="274">
        <v>31914</v>
      </c>
      <c r="G49" s="274">
        <v>100</v>
      </c>
      <c r="H49" s="274">
        <v>178</v>
      </c>
      <c r="I49" s="274">
        <f t="shared" ref="I49:I88" si="0">ROUND(I$131/G$131*G49,0)</f>
        <v>172</v>
      </c>
      <c r="J49" s="275">
        <f t="shared" ref="J49:J88" si="1">ROUND(I49*L$45,0)</f>
        <v>454</v>
      </c>
      <c r="K49" s="200"/>
      <c r="L49" s="894"/>
      <c r="M49" s="888"/>
      <c r="N49" s="888"/>
      <c r="O49" s="512" t="s">
        <v>658</v>
      </c>
      <c r="P49" s="496" t="s">
        <v>659</v>
      </c>
      <c r="Q49" s="495" t="s">
        <v>660</v>
      </c>
      <c r="R49" s="888"/>
      <c r="S49" s="886"/>
    </row>
    <row r="50" spans="2:19" s="11" customFormat="1" ht="22.5" customHeight="1">
      <c r="B50" s="276" t="s">
        <v>661</v>
      </c>
      <c r="C50" s="509" t="s">
        <v>662</v>
      </c>
      <c r="D50" s="277" t="s">
        <v>663</v>
      </c>
      <c r="E50" s="278"/>
      <c r="F50" s="239">
        <v>17036</v>
      </c>
      <c r="G50" s="239">
        <v>99</v>
      </c>
      <c r="H50" s="239">
        <v>183</v>
      </c>
      <c r="I50" s="239">
        <f t="shared" si="0"/>
        <v>171</v>
      </c>
      <c r="J50" s="279">
        <f t="shared" si="1"/>
        <v>451</v>
      </c>
      <c r="K50" s="200"/>
      <c r="L50" s="280" t="s">
        <v>664</v>
      </c>
      <c r="M50" s="281">
        <f>'1.과거인구'!C6</f>
        <v>386517</v>
      </c>
      <c r="N50" s="281">
        <f>M50-'1.과거인구'!C44</f>
        <v>13125</v>
      </c>
      <c r="O50" s="282">
        <f t="shared" ref="O50:O59" si="2">P50-Q50</f>
        <v>4469</v>
      </c>
      <c r="P50" s="283">
        <v>6425</v>
      </c>
      <c r="Q50" s="281">
        <v>1956</v>
      </c>
      <c r="R50" s="282">
        <f t="shared" ref="R50:R59" si="3">N50-O50</f>
        <v>8656</v>
      </c>
      <c r="S50" s="523">
        <f t="shared" ref="S50:S61" si="4">ROUND(R50/N50,3)*100</f>
        <v>66</v>
      </c>
    </row>
    <row r="51" spans="2:19" s="11" customFormat="1" ht="22.5" customHeight="1">
      <c r="B51" s="276" t="s">
        <v>665</v>
      </c>
      <c r="C51" s="509" t="s">
        <v>662</v>
      </c>
      <c r="D51" s="277" t="s">
        <v>666</v>
      </c>
      <c r="E51" s="278"/>
      <c r="F51" s="239">
        <v>25755</v>
      </c>
      <c r="G51" s="239">
        <v>232</v>
      </c>
      <c r="H51" s="239">
        <v>538</v>
      </c>
      <c r="I51" s="239">
        <f t="shared" si="0"/>
        <v>400</v>
      </c>
      <c r="J51" s="279">
        <f t="shared" si="1"/>
        <v>1056</v>
      </c>
      <c r="K51" s="200"/>
      <c r="L51" s="280" t="s">
        <v>667</v>
      </c>
      <c r="M51" s="281">
        <f>'1.과거인구'!D6</f>
        <v>406052</v>
      </c>
      <c r="N51" s="281">
        <f t="shared" ref="N51:N59" si="5">M51-M50</f>
        <v>19535</v>
      </c>
      <c r="O51" s="282">
        <f t="shared" si="2"/>
        <v>4621</v>
      </c>
      <c r="P51" s="283">
        <v>6488</v>
      </c>
      <c r="Q51" s="281">
        <v>1867</v>
      </c>
      <c r="R51" s="282">
        <f t="shared" si="3"/>
        <v>14914</v>
      </c>
      <c r="S51" s="523">
        <f t="shared" si="4"/>
        <v>76.3</v>
      </c>
    </row>
    <row r="52" spans="2:19" s="11" customFormat="1" ht="22.5" customHeight="1">
      <c r="B52" s="276" t="s">
        <v>668</v>
      </c>
      <c r="C52" s="509" t="s">
        <v>669</v>
      </c>
      <c r="D52" s="277" t="s">
        <v>670</v>
      </c>
      <c r="E52" s="278"/>
      <c r="F52" s="239">
        <v>98176</v>
      </c>
      <c r="G52" s="239">
        <v>765</v>
      </c>
      <c r="H52" s="239">
        <v>2219</v>
      </c>
      <c r="I52" s="239">
        <f t="shared" si="0"/>
        <v>1318</v>
      </c>
      <c r="J52" s="279">
        <f t="shared" si="1"/>
        <v>3480</v>
      </c>
      <c r="K52" s="200"/>
      <c r="L52" s="280" t="s">
        <v>671</v>
      </c>
      <c r="M52" s="281">
        <f>'1.과거인구'!E6</f>
        <v>425135</v>
      </c>
      <c r="N52" s="281">
        <f t="shared" si="5"/>
        <v>19083</v>
      </c>
      <c r="O52" s="282">
        <f t="shared" si="2"/>
        <v>5223</v>
      </c>
      <c r="P52" s="283">
        <v>7272</v>
      </c>
      <c r="Q52" s="281">
        <v>2049</v>
      </c>
      <c r="R52" s="282">
        <f t="shared" si="3"/>
        <v>13860</v>
      </c>
      <c r="S52" s="523">
        <f t="shared" si="4"/>
        <v>72.599999999999994</v>
      </c>
    </row>
    <row r="53" spans="2:19" s="11" customFormat="1" ht="22.5" customHeight="1">
      <c r="B53" s="276" t="s">
        <v>672</v>
      </c>
      <c r="C53" s="509" t="s">
        <v>662</v>
      </c>
      <c r="D53" s="277" t="s">
        <v>673</v>
      </c>
      <c r="E53" s="278"/>
      <c r="F53" s="239">
        <v>25602</v>
      </c>
      <c r="G53" s="239">
        <v>218</v>
      </c>
      <c r="H53" s="239">
        <v>599</v>
      </c>
      <c r="I53" s="239">
        <f t="shared" si="0"/>
        <v>375</v>
      </c>
      <c r="J53" s="279">
        <f t="shared" si="1"/>
        <v>990</v>
      </c>
      <c r="K53" s="200"/>
      <c r="L53" s="280" t="s">
        <v>674</v>
      </c>
      <c r="M53" s="281">
        <f>'1.과거인구'!F6</f>
        <v>436708</v>
      </c>
      <c r="N53" s="281">
        <f t="shared" si="5"/>
        <v>11573</v>
      </c>
      <c r="O53" s="282">
        <f t="shared" si="2"/>
        <v>4738</v>
      </c>
      <c r="P53" s="283">
        <v>6691</v>
      </c>
      <c r="Q53" s="281">
        <v>1953</v>
      </c>
      <c r="R53" s="282">
        <f t="shared" si="3"/>
        <v>6835</v>
      </c>
      <c r="S53" s="523">
        <f t="shared" si="4"/>
        <v>59.099999999999994</v>
      </c>
    </row>
    <row r="54" spans="2:19" s="11" customFormat="1" ht="22.5" customHeight="1">
      <c r="B54" s="276" t="s">
        <v>675</v>
      </c>
      <c r="C54" s="509" t="s">
        <v>656</v>
      </c>
      <c r="D54" s="277" t="s">
        <v>676</v>
      </c>
      <c r="E54" s="278"/>
      <c r="F54" s="239">
        <v>30998</v>
      </c>
      <c r="G54" s="239">
        <v>271</v>
      </c>
      <c r="H54" s="239">
        <v>720</v>
      </c>
      <c r="I54" s="239">
        <f t="shared" si="0"/>
        <v>467</v>
      </c>
      <c r="J54" s="279">
        <f t="shared" si="1"/>
        <v>1233</v>
      </c>
      <c r="K54" s="200"/>
      <c r="L54" s="280" t="s">
        <v>677</v>
      </c>
      <c r="M54" s="281">
        <f>'1.과거인구'!G6</f>
        <v>445485</v>
      </c>
      <c r="N54" s="281">
        <f t="shared" si="5"/>
        <v>8777</v>
      </c>
      <c r="O54" s="282">
        <f t="shared" si="2"/>
        <v>3631</v>
      </c>
      <c r="P54" s="283">
        <v>5688</v>
      </c>
      <c r="Q54" s="281">
        <v>2057</v>
      </c>
      <c r="R54" s="282">
        <f t="shared" si="3"/>
        <v>5146</v>
      </c>
      <c r="S54" s="523">
        <f t="shared" si="4"/>
        <v>58.599999999999994</v>
      </c>
    </row>
    <row r="55" spans="2:19" s="11" customFormat="1" ht="22.5" customHeight="1">
      <c r="B55" s="276" t="s">
        <v>678</v>
      </c>
      <c r="C55" s="509" t="s">
        <v>662</v>
      </c>
      <c r="D55" s="277" t="s">
        <v>679</v>
      </c>
      <c r="E55" s="278"/>
      <c r="F55" s="239">
        <v>49503</v>
      </c>
      <c r="G55" s="239">
        <v>440</v>
      </c>
      <c r="H55" s="239">
        <v>979</v>
      </c>
      <c r="I55" s="239">
        <f t="shared" si="0"/>
        <v>758</v>
      </c>
      <c r="J55" s="279">
        <f t="shared" si="1"/>
        <v>2001</v>
      </c>
      <c r="K55" s="200"/>
      <c r="L55" s="280" t="s">
        <v>680</v>
      </c>
      <c r="M55" s="281">
        <f>'1.과거인구'!H6</f>
        <v>462714</v>
      </c>
      <c r="N55" s="281">
        <f t="shared" si="5"/>
        <v>17229</v>
      </c>
      <c r="O55" s="282">
        <f t="shared" si="2"/>
        <v>3801</v>
      </c>
      <c r="P55" s="283">
        <v>5730</v>
      </c>
      <c r="Q55" s="281">
        <v>1929</v>
      </c>
      <c r="R55" s="282">
        <f t="shared" si="3"/>
        <v>13428</v>
      </c>
      <c r="S55" s="523">
        <f t="shared" si="4"/>
        <v>77.900000000000006</v>
      </c>
    </row>
    <row r="56" spans="2:19" s="11" customFormat="1" ht="22.5" customHeight="1">
      <c r="B56" s="276" t="s">
        <v>681</v>
      </c>
      <c r="C56" s="509" t="s">
        <v>662</v>
      </c>
      <c r="D56" s="284" t="s">
        <v>682</v>
      </c>
      <c r="E56" s="278"/>
      <c r="F56" s="239">
        <v>25478</v>
      </c>
      <c r="G56" s="239">
        <v>244</v>
      </c>
      <c r="H56" s="239">
        <v>578</v>
      </c>
      <c r="I56" s="239">
        <f t="shared" si="0"/>
        <v>420</v>
      </c>
      <c r="J56" s="279">
        <f t="shared" si="1"/>
        <v>1109</v>
      </c>
      <c r="K56" s="200"/>
      <c r="L56" s="280" t="s">
        <v>683</v>
      </c>
      <c r="M56" s="281">
        <f>'1.과거인구'!I6</f>
        <v>509744</v>
      </c>
      <c r="N56" s="281">
        <f t="shared" si="5"/>
        <v>47030</v>
      </c>
      <c r="O56" s="282">
        <f t="shared" si="2"/>
        <v>4108</v>
      </c>
      <c r="P56" s="283">
        <v>6115</v>
      </c>
      <c r="Q56" s="281">
        <v>2007</v>
      </c>
      <c r="R56" s="282">
        <f t="shared" si="3"/>
        <v>42922</v>
      </c>
      <c r="S56" s="523">
        <f t="shared" si="4"/>
        <v>91.3</v>
      </c>
    </row>
    <row r="57" spans="2:19" s="11" customFormat="1" ht="22.5" customHeight="1">
      <c r="B57" s="276" t="s">
        <v>684</v>
      </c>
      <c r="C57" s="509" t="s">
        <v>662</v>
      </c>
      <c r="D57" s="277" t="s">
        <v>685</v>
      </c>
      <c r="E57" s="278"/>
      <c r="F57" s="239">
        <v>66194</v>
      </c>
      <c r="G57" s="239">
        <v>573</v>
      </c>
      <c r="H57" s="239">
        <v>1444</v>
      </c>
      <c r="I57" s="239">
        <f t="shared" si="0"/>
        <v>987</v>
      </c>
      <c r="J57" s="279">
        <f t="shared" si="1"/>
        <v>2606</v>
      </c>
      <c r="K57" s="200"/>
      <c r="L57" s="280" t="s">
        <v>686</v>
      </c>
      <c r="M57" s="281">
        <f>'1.과거인구'!J6</f>
        <v>518818</v>
      </c>
      <c r="N57" s="281">
        <f t="shared" si="5"/>
        <v>9074</v>
      </c>
      <c r="O57" s="282">
        <f t="shared" si="2"/>
        <v>3922</v>
      </c>
      <c r="P57" s="283">
        <v>5898</v>
      </c>
      <c r="Q57" s="281">
        <v>1976</v>
      </c>
      <c r="R57" s="282">
        <f t="shared" si="3"/>
        <v>5152</v>
      </c>
      <c r="S57" s="523">
        <f t="shared" si="4"/>
        <v>56.8</v>
      </c>
    </row>
    <row r="58" spans="2:19" s="11" customFormat="1" ht="22.5" customHeight="1">
      <c r="B58" s="276" t="s">
        <v>687</v>
      </c>
      <c r="C58" s="509" t="s">
        <v>662</v>
      </c>
      <c r="D58" s="277" t="s">
        <v>688</v>
      </c>
      <c r="E58" s="278"/>
      <c r="F58" s="239">
        <v>57714</v>
      </c>
      <c r="G58" s="239">
        <v>499</v>
      </c>
      <c r="H58" s="239">
        <v>1197</v>
      </c>
      <c r="I58" s="239">
        <f t="shared" si="0"/>
        <v>859</v>
      </c>
      <c r="J58" s="279">
        <f t="shared" si="1"/>
        <v>2268</v>
      </c>
      <c r="K58" s="200"/>
      <c r="L58" s="280" t="s">
        <v>689</v>
      </c>
      <c r="M58" s="281">
        <f>'1.과거인구'!K6</f>
        <v>531193</v>
      </c>
      <c r="N58" s="281">
        <f t="shared" si="5"/>
        <v>12375</v>
      </c>
      <c r="O58" s="282">
        <f t="shared" si="2"/>
        <v>4341</v>
      </c>
      <c r="P58" s="283">
        <v>6378</v>
      </c>
      <c r="Q58" s="281">
        <v>2037</v>
      </c>
      <c r="R58" s="282">
        <f t="shared" si="3"/>
        <v>8034</v>
      </c>
      <c r="S58" s="523">
        <f t="shared" si="4"/>
        <v>64.900000000000006</v>
      </c>
    </row>
    <row r="59" spans="2:19" s="11" customFormat="1" ht="22.5" customHeight="1">
      <c r="B59" s="276" t="s">
        <v>690</v>
      </c>
      <c r="C59" s="509" t="s">
        <v>662</v>
      </c>
      <c r="D59" s="277" t="s">
        <v>691</v>
      </c>
      <c r="E59" s="278"/>
      <c r="F59" s="239">
        <v>35724</v>
      </c>
      <c r="G59" s="239">
        <v>284</v>
      </c>
      <c r="H59" s="239">
        <v>643</v>
      </c>
      <c r="I59" s="239">
        <f t="shared" si="0"/>
        <v>489</v>
      </c>
      <c r="J59" s="279">
        <f t="shared" si="1"/>
        <v>1291</v>
      </c>
      <c r="K59" s="200"/>
      <c r="L59" s="285" t="s">
        <v>692</v>
      </c>
      <c r="M59" s="286">
        <f>'1.과거인구'!L6</f>
        <v>540742</v>
      </c>
      <c r="N59" s="286">
        <f t="shared" si="5"/>
        <v>9549</v>
      </c>
      <c r="O59" s="282">
        <f t="shared" si="2"/>
        <v>4837</v>
      </c>
      <c r="P59" s="282">
        <f>555+552+604+562+561+492+581+573+549+696+590+620</f>
        <v>6935</v>
      </c>
      <c r="Q59" s="286">
        <f>197+174+188+141+200+171+164+192+147+180+185+159</f>
        <v>2098</v>
      </c>
      <c r="R59" s="282">
        <f t="shared" si="3"/>
        <v>4712</v>
      </c>
      <c r="S59" s="524">
        <f t="shared" si="4"/>
        <v>49.3</v>
      </c>
    </row>
    <row r="60" spans="2:19" s="11" customFormat="1" ht="22.5" customHeight="1">
      <c r="B60" s="276" t="s">
        <v>693</v>
      </c>
      <c r="C60" s="509" t="s">
        <v>662</v>
      </c>
      <c r="D60" s="277" t="s">
        <v>694</v>
      </c>
      <c r="E60" s="278"/>
      <c r="F60" s="239">
        <v>56334</v>
      </c>
      <c r="G60" s="239">
        <v>575</v>
      </c>
      <c r="H60" s="239">
        <v>1589</v>
      </c>
      <c r="I60" s="239">
        <f t="shared" si="0"/>
        <v>990</v>
      </c>
      <c r="J60" s="279">
        <f t="shared" si="1"/>
        <v>2614</v>
      </c>
      <c r="K60" s="200"/>
      <c r="L60" s="918" t="s">
        <v>695</v>
      </c>
      <c r="M60" s="919"/>
      <c r="N60" s="240">
        <f>AVERAGE(N50:N59)</f>
        <v>16735</v>
      </c>
      <c r="O60" s="240">
        <f>AVERAGE(O50:O59)</f>
        <v>4369.1000000000004</v>
      </c>
      <c r="P60" s="240">
        <f>AVERAGE(P50:P59)</f>
        <v>6362</v>
      </c>
      <c r="Q60" s="240">
        <f>AVERAGE(Q50:Q59)</f>
        <v>1992.9</v>
      </c>
      <c r="R60" s="240">
        <f>AVERAGE(R50:R59)</f>
        <v>12365.9</v>
      </c>
      <c r="S60" s="287">
        <f t="shared" si="4"/>
        <v>73.900000000000006</v>
      </c>
    </row>
    <row r="61" spans="2:19" s="11" customFormat="1" ht="22.5" customHeight="1">
      <c r="B61" s="276" t="s">
        <v>696</v>
      </c>
      <c r="C61" s="509" t="s">
        <v>662</v>
      </c>
      <c r="D61" s="277" t="s">
        <v>697</v>
      </c>
      <c r="E61" s="278"/>
      <c r="F61" s="239">
        <v>10824</v>
      </c>
      <c r="G61" s="239">
        <v>58</v>
      </c>
      <c r="H61" s="239">
        <v>145</v>
      </c>
      <c r="I61" s="239">
        <f t="shared" si="0"/>
        <v>100</v>
      </c>
      <c r="J61" s="279">
        <f t="shared" si="1"/>
        <v>264</v>
      </c>
      <c r="K61" s="200"/>
      <c r="L61" s="891" t="s">
        <v>698</v>
      </c>
      <c r="M61" s="892"/>
      <c r="N61" s="70">
        <f>AVERAGE(N55:N59)</f>
        <v>19051.400000000001</v>
      </c>
      <c r="O61" s="70">
        <f>AVERAGE(O55:O59)</f>
        <v>4201.8</v>
      </c>
      <c r="P61" s="70">
        <f>AVERAGE(P55:P59)</f>
        <v>6211.2</v>
      </c>
      <c r="Q61" s="70">
        <f>AVERAGE(Q55:Q59)</f>
        <v>2009.4</v>
      </c>
      <c r="R61" s="70">
        <f>AVERAGE(R55:R59)</f>
        <v>14849.6</v>
      </c>
      <c r="S61" s="288">
        <f t="shared" si="4"/>
        <v>77.900000000000006</v>
      </c>
    </row>
    <row r="62" spans="2:19" s="11" customFormat="1" ht="22.5" customHeight="1">
      <c r="B62" s="276" t="s">
        <v>699</v>
      </c>
      <c r="C62" s="509" t="s">
        <v>662</v>
      </c>
      <c r="D62" s="277" t="s">
        <v>700</v>
      </c>
      <c r="E62" s="278"/>
      <c r="F62" s="239">
        <v>24618</v>
      </c>
      <c r="G62" s="239">
        <v>191</v>
      </c>
      <c r="H62" s="239">
        <v>516</v>
      </c>
      <c r="I62" s="239">
        <f t="shared" si="0"/>
        <v>329</v>
      </c>
      <c r="J62" s="279">
        <f t="shared" si="1"/>
        <v>869</v>
      </c>
      <c r="K62" s="200"/>
      <c r="L62" s="895" t="s">
        <v>701</v>
      </c>
      <c r="M62" s="896"/>
      <c r="N62" s="883" t="s">
        <v>702</v>
      </c>
      <c r="O62" s="883"/>
      <c r="P62" s="882">
        <v>60</v>
      </c>
      <c r="Q62" s="882"/>
      <c r="R62" s="874" t="s">
        <v>1142</v>
      </c>
      <c r="S62" s="875"/>
    </row>
    <row r="63" spans="2:19" s="11" customFormat="1" ht="22.5" customHeight="1">
      <c r="B63" s="276" t="s">
        <v>703</v>
      </c>
      <c r="C63" s="509" t="s">
        <v>704</v>
      </c>
      <c r="D63" s="277" t="s">
        <v>705</v>
      </c>
      <c r="E63" s="278"/>
      <c r="F63" s="239">
        <v>47100</v>
      </c>
      <c r="G63" s="239">
        <v>416</v>
      </c>
      <c r="H63" s="239">
        <v>995</v>
      </c>
      <c r="I63" s="239">
        <f t="shared" si="0"/>
        <v>717</v>
      </c>
      <c r="J63" s="279">
        <f t="shared" si="1"/>
        <v>1893</v>
      </c>
      <c r="K63" s="200"/>
      <c r="L63" s="897"/>
      <c r="M63" s="898"/>
      <c r="N63" s="289" t="s">
        <v>706</v>
      </c>
      <c r="O63" s="289"/>
      <c r="P63" s="884">
        <v>60</v>
      </c>
      <c r="Q63" s="884"/>
      <c r="R63" s="876"/>
      <c r="S63" s="877"/>
    </row>
    <row r="64" spans="2:19" s="11" customFormat="1" ht="22.5" customHeight="1">
      <c r="B64" s="276" t="s">
        <v>707</v>
      </c>
      <c r="C64" s="509" t="s">
        <v>704</v>
      </c>
      <c r="D64" s="277" t="s">
        <v>708</v>
      </c>
      <c r="E64" s="278"/>
      <c r="F64" s="239">
        <v>59394</v>
      </c>
      <c r="G64" s="239">
        <v>505</v>
      </c>
      <c r="H64" s="239">
        <v>1370</v>
      </c>
      <c r="I64" s="239">
        <f t="shared" si="0"/>
        <v>870</v>
      </c>
      <c r="J64" s="279">
        <f t="shared" si="1"/>
        <v>2297</v>
      </c>
      <c r="K64" s="200"/>
      <c r="L64" s="897"/>
      <c r="M64" s="898"/>
      <c r="N64" s="289" t="s">
        <v>709</v>
      </c>
      <c r="O64" s="289"/>
      <c r="P64" s="884">
        <f>P63</f>
        <v>60</v>
      </c>
      <c r="Q64" s="884"/>
      <c r="R64" s="876"/>
      <c r="S64" s="877"/>
    </row>
    <row r="65" spans="2:19" s="11" customFormat="1" ht="22.5" customHeight="1">
      <c r="B65" s="276" t="s">
        <v>710</v>
      </c>
      <c r="C65" s="509" t="s">
        <v>704</v>
      </c>
      <c r="D65" s="277" t="s">
        <v>711</v>
      </c>
      <c r="E65" s="278"/>
      <c r="F65" s="239">
        <v>30371</v>
      </c>
      <c r="G65" s="239">
        <v>148</v>
      </c>
      <c r="H65" s="239">
        <v>308</v>
      </c>
      <c r="I65" s="239">
        <f t="shared" si="0"/>
        <v>255</v>
      </c>
      <c r="J65" s="279">
        <f t="shared" si="1"/>
        <v>673</v>
      </c>
      <c r="K65" s="200"/>
      <c r="L65" s="897"/>
      <c r="M65" s="898"/>
      <c r="N65" s="289" t="s">
        <v>712</v>
      </c>
      <c r="O65" s="289"/>
      <c r="P65" s="884">
        <v>30</v>
      </c>
      <c r="Q65" s="884"/>
      <c r="R65" s="876"/>
      <c r="S65" s="877"/>
    </row>
    <row r="66" spans="2:19" s="11" customFormat="1" ht="22.5" customHeight="1">
      <c r="B66" s="276" t="s">
        <v>713</v>
      </c>
      <c r="C66" s="509" t="s">
        <v>704</v>
      </c>
      <c r="D66" s="277" t="s">
        <v>714</v>
      </c>
      <c r="E66" s="278"/>
      <c r="F66" s="239">
        <v>43808</v>
      </c>
      <c r="G66" s="239">
        <v>378</v>
      </c>
      <c r="H66" s="239">
        <v>933</v>
      </c>
      <c r="I66" s="239">
        <f t="shared" si="0"/>
        <v>651</v>
      </c>
      <c r="J66" s="279">
        <f t="shared" si="1"/>
        <v>1719</v>
      </c>
      <c r="K66" s="200"/>
      <c r="L66" s="899"/>
      <c r="M66" s="900"/>
      <c r="N66" s="290" t="s">
        <v>715</v>
      </c>
      <c r="O66" s="290"/>
      <c r="P66" s="880">
        <f>P64</f>
        <v>60</v>
      </c>
      <c r="Q66" s="880"/>
      <c r="R66" s="878"/>
      <c r="S66" s="879"/>
    </row>
    <row r="67" spans="2:19" s="11" customFormat="1" ht="22.5" customHeight="1">
      <c r="B67" s="276" t="s">
        <v>716</v>
      </c>
      <c r="C67" s="509" t="s">
        <v>704</v>
      </c>
      <c r="D67" s="277" t="s">
        <v>717</v>
      </c>
      <c r="E67" s="278"/>
      <c r="F67" s="239">
        <v>56039</v>
      </c>
      <c r="G67" s="239">
        <v>370</v>
      </c>
      <c r="H67" s="239">
        <v>926</v>
      </c>
      <c r="I67" s="239">
        <f t="shared" si="0"/>
        <v>637</v>
      </c>
      <c r="J67" s="279">
        <f t="shared" si="1"/>
        <v>1682</v>
      </c>
    </row>
    <row r="68" spans="2:19" s="11" customFormat="1" ht="22.5" customHeight="1">
      <c r="B68" s="276" t="s">
        <v>718</v>
      </c>
      <c r="C68" s="509" t="s">
        <v>704</v>
      </c>
      <c r="D68" s="277" t="s">
        <v>719</v>
      </c>
      <c r="E68" s="278"/>
      <c r="F68" s="239">
        <v>48389</v>
      </c>
      <c r="G68" s="239">
        <v>419</v>
      </c>
      <c r="H68" s="239">
        <v>999</v>
      </c>
      <c r="I68" s="239">
        <f t="shared" si="0"/>
        <v>722</v>
      </c>
      <c r="J68" s="279">
        <f t="shared" si="1"/>
        <v>1906</v>
      </c>
    </row>
    <row r="69" spans="2:19" s="11" customFormat="1" ht="22.5" customHeight="1">
      <c r="B69" s="276" t="s">
        <v>720</v>
      </c>
      <c r="C69" s="509" t="s">
        <v>704</v>
      </c>
      <c r="D69" s="277" t="s">
        <v>721</v>
      </c>
      <c r="E69" s="278"/>
      <c r="F69" s="239">
        <v>78207</v>
      </c>
      <c r="G69" s="239">
        <v>627</v>
      </c>
      <c r="H69" s="239">
        <v>1566</v>
      </c>
      <c r="I69" s="239">
        <f t="shared" si="0"/>
        <v>1080</v>
      </c>
      <c r="J69" s="279">
        <f t="shared" si="1"/>
        <v>2851</v>
      </c>
    </row>
    <row r="70" spans="2:19" s="11" customFormat="1" ht="22.5" customHeight="1">
      <c r="B70" s="276" t="s">
        <v>722</v>
      </c>
      <c r="C70" s="509" t="s">
        <v>704</v>
      </c>
      <c r="D70" s="284" t="s">
        <v>723</v>
      </c>
      <c r="E70" s="291"/>
      <c r="F70" s="239">
        <v>56442</v>
      </c>
      <c r="G70" s="239">
        <v>487</v>
      </c>
      <c r="H70" s="239">
        <v>1217</v>
      </c>
      <c r="I70" s="239">
        <f t="shared" si="0"/>
        <v>839</v>
      </c>
      <c r="J70" s="279">
        <f t="shared" si="1"/>
        <v>2215</v>
      </c>
    </row>
    <row r="71" spans="2:19" s="11" customFormat="1" ht="22.5" customHeight="1">
      <c r="B71" s="276" t="s">
        <v>724</v>
      </c>
      <c r="C71" s="509" t="s">
        <v>704</v>
      </c>
      <c r="D71" s="284" t="s">
        <v>725</v>
      </c>
      <c r="E71" s="291"/>
      <c r="F71" s="239">
        <v>56453</v>
      </c>
      <c r="G71" s="239">
        <v>439</v>
      </c>
      <c r="H71" s="239">
        <v>1029</v>
      </c>
      <c r="I71" s="239">
        <f t="shared" si="0"/>
        <v>756</v>
      </c>
      <c r="J71" s="279">
        <f t="shared" si="1"/>
        <v>1996</v>
      </c>
    </row>
    <row r="72" spans="2:19" s="11" customFormat="1" ht="22.5" customHeight="1">
      <c r="B72" s="276" t="s">
        <v>726</v>
      </c>
      <c r="C72" s="509" t="s">
        <v>704</v>
      </c>
      <c r="D72" s="284" t="s">
        <v>727</v>
      </c>
      <c r="E72" s="291"/>
      <c r="F72" s="239">
        <v>54930</v>
      </c>
      <c r="G72" s="239">
        <v>509</v>
      </c>
      <c r="H72" s="239">
        <v>1298</v>
      </c>
      <c r="I72" s="239">
        <f t="shared" si="0"/>
        <v>877</v>
      </c>
      <c r="J72" s="279">
        <f t="shared" si="1"/>
        <v>2315</v>
      </c>
    </row>
    <row r="73" spans="2:19" s="11" customFormat="1" ht="22.5" customHeight="1">
      <c r="B73" s="292" t="s">
        <v>728</v>
      </c>
      <c r="C73" s="509" t="s">
        <v>704</v>
      </c>
      <c r="D73" s="284" t="s">
        <v>729</v>
      </c>
      <c r="E73" s="291"/>
      <c r="F73" s="239">
        <v>31867</v>
      </c>
      <c r="G73" s="239">
        <v>189</v>
      </c>
      <c r="H73" s="239">
        <v>489</v>
      </c>
      <c r="I73" s="239">
        <f t="shared" si="0"/>
        <v>326</v>
      </c>
      <c r="J73" s="279">
        <f t="shared" si="1"/>
        <v>861</v>
      </c>
    </row>
    <row r="74" spans="2:19" s="11" customFormat="1" ht="22.5" customHeight="1">
      <c r="B74" s="292" t="s">
        <v>730</v>
      </c>
      <c r="C74" s="509" t="s">
        <v>704</v>
      </c>
      <c r="D74" s="284" t="s">
        <v>731</v>
      </c>
      <c r="E74" s="291"/>
      <c r="F74" s="239">
        <v>38012</v>
      </c>
      <c r="G74" s="239">
        <v>306</v>
      </c>
      <c r="H74" s="239">
        <v>746</v>
      </c>
      <c r="I74" s="239">
        <f t="shared" si="0"/>
        <v>527</v>
      </c>
      <c r="J74" s="279">
        <f t="shared" si="1"/>
        <v>1391</v>
      </c>
      <c r="L74" s="200"/>
      <c r="M74" s="200"/>
      <c r="N74" s="200"/>
      <c r="O74" s="200"/>
      <c r="P74" s="200"/>
      <c r="Q74" s="200"/>
      <c r="R74" s="200"/>
      <c r="S74" s="200"/>
    </row>
    <row r="75" spans="2:19" s="11" customFormat="1" ht="22.5" customHeight="1">
      <c r="B75" s="292" t="s">
        <v>732</v>
      </c>
      <c r="C75" s="509" t="s">
        <v>704</v>
      </c>
      <c r="D75" s="284" t="s">
        <v>733</v>
      </c>
      <c r="E75" s="291"/>
      <c r="F75" s="239">
        <v>36576</v>
      </c>
      <c r="G75" s="239">
        <v>139</v>
      </c>
      <c r="H75" s="239">
        <v>326</v>
      </c>
      <c r="I75" s="239">
        <f t="shared" si="0"/>
        <v>239</v>
      </c>
      <c r="J75" s="279">
        <f t="shared" si="1"/>
        <v>631</v>
      </c>
      <c r="L75" s="200"/>
      <c r="M75" s="200"/>
      <c r="N75" s="200"/>
      <c r="O75" s="200"/>
      <c r="P75" s="200"/>
      <c r="Q75" s="200"/>
      <c r="R75" s="200"/>
      <c r="S75" s="200"/>
    </row>
    <row r="76" spans="2:19" s="11" customFormat="1" ht="22.5" customHeight="1">
      <c r="B76" s="292" t="s">
        <v>734</v>
      </c>
      <c r="C76" s="509" t="s">
        <v>704</v>
      </c>
      <c r="D76" s="284" t="s">
        <v>735</v>
      </c>
      <c r="E76" s="291"/>
      <c r="F76" s="239">
        <v>63737</v>
      </c>
      <c r="G76" s="239">
        <v>527</v>
      </c>
      <c r="H76" s="239">
        <v>1411</v>
      </c>
      <c r="I76" s="239">
        <f t="shared" si="0"/>
        <v>908</v>
      </c>
      <c r="J76" s="279">
        <f t="shared" si="1"/>
        <v>2397</v>
      </c>
    </row>
    <row r="77" spans="2:19" s="11" customFormat="1" ht="22.5" customHeight="1">
      <c r="B77" s="292" t="s">
        <v>736</v>
      </c>
      <c r="C77" s="497" t="s">
        <v>656</v>
      </c>
      <c r="D77" s="284" t="s">
        <v>737</v>
      </c>
      <c r="E77" s="291"/>
      <c r="F77" s="239">
        <v>26548</v>
      </c>
      <c r="G77" s="239">
        <v>190</v>
      </c>
      <c r="H77" s="239">
        <v>473</v>
      </c>
      <c r="I77" s="239">
        <f t="shared" si="0"/>
        <v>327</v>
      </c>
      <c r="J77" s="279">
        <f t="shared" si="1"/>
        <v>863</v>
      </c>
    </row>
    <row r="78" spans="2:19" s="11" customFormat="1" ht="22.5" customHeight="1">
      <c r="B78" s="292" t="s">
        <v>738</v>
      </c>
      <c r="C78" s="509" t="s">
        <v>662</v>
      </c>
      <c r="D78" s="284" t="s">
        <v>739</v>
      </c>
      <c r="E78" s="291"/>
      <c r="F78" s="239">
        <v>76590</v>
      </c>
      <c r="G78" s="239">
        <v>758</v>
      </c>
      <c r="H78" s="239">
        <v>1614</v>
      </c>
      <c r="I78" s="239">
        <f t="shared" si="0"/>
        <v>1306</v>
      </c>
      <c r="J78" s="279">
        <f t="shared" si="1"/>
        <v>3448</v>
      </c>
      <c r="K78" s="200"/>
      <c r="L78" s="293"/>
      <c r="M78" s="294"/>
      <c r="N78" s="295"/>
      <c r="O78" s="295"/>
      <c r="P78" s="296"/>
      <c r="Q78" s="296"/>
      <c r="R78" s="294"/>
      <c r="S78" s="517"/>
    </row>
    <row r="79" spans="2:19" s="11" customFormat="1" ht="22.5" customHeight="1">
      <c r="B79" s="292" t="s">
        <v>740</v>
      </c>
      <c r="C79" s="509" t="s">
        <v>662</v>
      </c>
      <c r="D79" s="284" t="s">
        <v>741</v>
      </c>
      <c r="E79" s="291"/>
      <c r="F79" s="239">
        <v>40526</v>
      </c>
      <c r="G79" s="239">
        <v>284</v>
      </c>
      <c r="H79" s="239">
        <v>587</v>
      </c>
      <c r="I79" s="239">
        <f t="shared" si="0"/>
        <v>489</v>
      </c>
      <c r="J79" s="279">
        <f t="shared" si="1"/>
        <v>1291</v>
      </c>
      <c r="K79" s="200"/>
      <c r="L79" s="293"/>
      <c r="M79" s="294"/>
      <c r="N79" s="295"/>
      <c r="O79" s="295"/>
      <c r="P79" s="296"/>
      <c r="Q79" s="296"/>
      <c r="R79" s="294"/>
      <c r="S79" s="517"/>
    </row>
    <row r="80" spans="2:19" s="11" customFormat="1" ht="22.5" customHeight="1">
      <c r="B80" s="292" t="s">
        <v>742</v>
      </c>
      <c r="C80" s="497" t="s">
        <v>743</v>
      </c>
      <c r="D80" s="284" t="s">
        <v>744</v>
      </c>
      <c r="E80" s="291"/>
      <c r="F80" s="239">
        <v>16572</v>
      </c>
      <c r="G80" s="239">
        <v>204</v>
      </c>
      <c r="H80" s="239">
        <v>530</v>
      </c>
      <c r="I80" s="239">
        <f t="shared" si="0"/>
        <v>351</v>
      </c>
      <c r="J80" s="279">
        <f t="shared" si="1"/>
        <v>927</v>
      </c>
      <c r="K80" s="200"/>
      <c r="L80" s="293"/>
      <c r="M80" s="294"/>
      <c r="N80" s="295"/>
      <c r="O80" s="295"/>
      <c r="P80" s="296"/>
      <c r="Q80" s="296"/>
      <c r="R80" s="294"/>
      <c r="S80" s="517"/>
    </row>
    <row r="81" spans="1:19" s="11" customFormat="1" ht="22.5" customHeight="1">
      <c r="B81" s="292" t="s">
        <v>745</v>
      </c>
      <c r="C81" s="497" t="s">
        <v>743</v>
      </c>
      <c r="D81" s="284" t="s">
        <v>746</v>
      </c>
      <c r="E81" s="291"/>
      <c r="F81" s="239">
        <v>29184</v>
      </c>
      <c r="G81" s="239">
        <v>284</v>
      </c>
      <c r="H81" s="239">
        <v>738</v>
      </c>
      <c r="I81" s="239">
        <f t="shared" si="0"/>
        <v>489</v>
      </c>
      <c r="J81" s="279">
        <f t="shared" si="1"/>
        <v>1291</v>
      </c>
      <c r="K81" s="200"/>
      <c r="L81" s="293"/>
      <c r="M81" s="294"/>
      <c r="N81" s="295"/>
      <c r="O81" s="295"/>
      <c r="P81" s="296"/>
      <c r="Q81" s="296"/>
      <c r="R81" s="294"/>
      <c r="S81" s="517"/>
    </row>
    <row r="82" spans="1:19" s="11" customFormat="1" ht="22.5" customHeight="1">
      <c r="B82" s="292" t="s">
        <v>747</v>
      </c>
      <c r="C82" s="497" t="s">
        <v>743</v>
      </c>
      <c r="D82" s="284" t="s">
        <v>748</v>
      </c>
      <c r="E82" s="291"/>
      <c r="F82" s="239">
        <v>24992</v>
      </c>
      <c r="G82" s="239">
        <v>120</v>
      </c>
      <c r="H82" s="239">
        <v>313</v>
      </c>
      <c r="I82" s="239">
        <f t="shared" si="0"/>
        <v>207</v>
      </c>
      <c r="J82" s="279">
        <f t="shared" si="1"/>
        <v>546</v>
      </c>
      <c r="K82" s="200"/>
      <c r="L82" s="293"/>
      <c r="M82" s="294"/>
      <c r="N82" s="295"/>
      <c r="O82" s="295"/>
      <c r="P82" s="296"/>
      <c r="Q82" s="296"/>
      <c r="R82" s="294"/>
      <c r="S82" s="517"/>
    </row>
    <row r="83" spans="1:19" s="11" customFormat="1" ht="22.5" customHeight="1">
      <c r="B83" s="292" t="s">
        <v>749</v>
      </c>
      <c r="C83" s="497" t="s">
        <v>743</v>
      </c>
      <c r="D83" s="284" t="s">
        <v>750</v>
      </c>
      <c r="E83" s="291"/>
      <c r="F83" s="239">
        <v>25936</v>
      </c>
      <c r="G83" s="239">
        <v>139</v>
      </c>
      <c r="H83" s="239">
        <v>361</v>
      </c>
      <c r="I83" s="239">
        <f t="shared" si="0"/>
        <v>239</v>
      </c>
      <c r="J83" s="279">
        <f t="shared" si="1"/>
        <v>631</v>
      </c>
      <c r="K83" s="200"/>
      <c r="L83" s="293"/>
      <c r="M83" s="294"/>
      <c r="N83" s="295"/>
      <c r="O83" s="295"/>
      <c r="P83" s="296"/>
      <c r="Q83" s="296"/>
      <c r="R83" s="294"/>
      <c r="S83" s="517"/>
    </row>
    <row r="84" spans="1:19" s="11" customFormat="1" ht="22.5" customHeight="1">
      <c r="B84" s="292" t="s">
        <v>751</v>
      </c>
      <c r="C84" s="497" t="s">
        <v>743</v>
      </c>
      <c r="D84" s="284" t="s">
        <v>752</v>
      </c>
      <c r="E84" s="291"/>
      <c r="F84" s="239">
        <v>75720</v>
      </c>
      <c r="G84" s="239">
        <v>542</v>
      </c>
      <c r="H84" s="239">
        <v>1409</v>
      </c>
      <c r="I84" s="239">
        <f t="shared" si="0"/>
        <v>934</v>
      </c>
      <c r="J84" s="279">
        <f t="shared" si="1"/>
        <v>2466</v>
      </c>
      <c r="K84" s="200"/>
      <c r="L84" s="293"/>
      <c r="M84" s="294"/>
      <c r="N84" s="295"/>
      <c r="O84" s="295"/>
      <c r="P84" s="296"/>
      <c r="Q84" s="296"/>
      <c r="R84" s="294"/>
      <c r="S84" s="517"/>
    </row>
    <row r="85" spans="1:19" s="11" customFormat="1" ht="22.5" customHeight="1">
      <c r="B85" s="292" t="s">
        <v>753</v>
      </c>
      <c r="C85" s="497" t="s">
        <v>743</v>
      </c>
      <c r="D85" s="284" t="s">
        <v>754</v>
      </c>
      <c r="E85" s="291"/>
      <c r="F85" s="239">
        <v>27066</v>
      </c>
      <c r="G85" s="239">
        <v>251</v>
      </c>
      <c r="H85" s="239">
        <v>653</v>
      </c>
      <c r="I85" s="239">
        <f t="shared" si="0"/>
        <v>432</v>
      </c>
      <c r="J85" s="279">
        <f t="shared" si="1"/>
        <v>1140</v>
      </c>
      <c r="K85" s="200"/>
      <c r="L85" s="293"/>
      <c r="M85" s="294"/>
      <c r="N85" s="295"/>
      <c r="O85" s="295"/>
      <c r="P85" s="296"/>
      <c r="Q85" s="296"/>
      <c r="R85" s="294"/>
      <c r="S85" s="517"/>
    </row>
    <row r="86" spans="1:19" s="11" customFormat="1" ht="22.5" customHeight="1">
      <c r="B86" s="292" t="s">
        <v>755</v>
      </c>
      <c r="C86" s="497" t="s">
        <v>743</v>
      </c>
      <c r="D86" s="297" t="s">
        <v>756</v>
      </c>
      <c r="E86" s="298"/>
      <c r="F86" s="239">
        <v>28687</v>
      </c>
      <c r="G86" s="239">
        <v>462</v>
      </c>
      <c r="H86" s="239">
        <v>1201</v>
      </c>
      <c r="I86" s="239">
        <f t="shared" si="0"/>
        <v>796</v>
      </c>
      <c r="J86" s="279">
        <f t="shared" si="1"/>
        <v>2101</v>
      </c>
      <c r="K86" s="200"/>
      <c r="L86" s="293"/>
      <c r="M86" s="294"/>
      <c r="N86" s="295"/>
      <c r="O86" s="295"/>
      <c r="P86" s="296"/>
      <c r="Q86" s="296"/>
      <c r="R86" s="294"/>
      <c r="S86" s="517"/>
    </row>
    <row r="87" spans="1:19" ht="22.5" customHeight="1">
      <c r="A87" s="11"/>
      <c r="B87" s="292" t="s">
        <v>757</v>
      </c>
      <c r="C87" s="497" t="s">
        <v>743</v>
      </c>
      <c r="D87" s="297" t="s">
        <v>758</v>
      </c>
      <c r="E87" s="298"/>
      <c r="F87" s="239">
        <v>21970</v>
      </c>
      <c r="G87" s="239">
        <v>384</v>
      </c>
      <c r="H87" s="239">
        <v>998</v>
      </c>
      <c r="I87" s="239">
        <f t="shared" si="0"/>
        <v>661</v>
      </c>
      <c r="J87" s="279">
        <f t="shared" si="1"/>
        <v>1745</v>
      </c>
      <c r="K87" s="200"/>
      <c r="L87" s="293"/>
      <c r="M87" s="294"/>
      <c r="N87" s="295"/>
      <c r="O87" s="295"/>
      <c r="P87" s="296"/>
      <c r="Q87" s="296"/>
      <c r="R87" s="294"/>
      <c r="S87" s="517"/>
    </row>
    <row r="88" spans="1:19" ht="22.5" customHeight="1">
      <c r="A88" s="11"/>
      <c r="B88" s="299" t="s">
        <v>759</v>
      </c>
      <c r="C88" s="504" t="s">
        <v>743</v>
      </c>
      <c r="D88" s="300" t="s">
        <v>760</v>
      </c>
      <c r="E88" s="301"/>
      <c r="F88" s="70">
        <v>29061</v>
      </c>
      <c r="G88" s="70">
        <v>115</v>
      </c>
      <c r="H88" s="70">
        <v>299</v>
      </c>
      <c r="I88" s="70">
        <f t="shared" si="0"/>
        <v>198</v>
      </c>
      <c r="J88" s="302">
        <f t="shared" si="1"/>
        <v>523</v>
      </c>
      <c r="K88" s="200"/>
      <c r="L88" s="293"/>
      <c r="M88" s="294"/>
      <c r="N88" s="295"/>
      <c r="O88" s="295"/>
      <c r="P88" s="296"/>
      <c r="Q88" s="296"/>
      <c r="R88" s="294"/>
      <c r="S88" s="517"/>
    </row>
    <row r="89" spans="1:19" ht="22.5" customHeight="1">
      <c r="A89" s="11"/>
      <c r="B89" s="893" t="s">
        <v>639</v>
      </c>
      <c r="C89" s="909" t="s">
        <v>640</v>
      </c>
      <c r="D89" s="911" t="s">
        <v>761</v>
      </c>
      <c r="E89" s="912"/>
      <c r="F89" s="887" t="s">
        <v>762</v>
      </c>
      <c r="G89" s="904" t="s">
        <v>763</v>
      </c>
      <c r="H89" s="905"/>
      <c r="I89" s="904" t="s">
        <v>764</v>
      </c>
      <c r="J89" s="906"/>
      <c r="K89" s="200"/>
      <c r="L89" s="293"/>
      <c r="M89" s="294"/>
      <c r="N89" s="295"/>
      <c r="O89" s="295"/>
      <c r="P89" s="296"/>
      <c r="Q89" s="296"/>
      <c r="R89" s="294"/>
      <c r="S89" s="517"/>
    </row>
    <row r="90" spans="1:19" ht="22.5" customHeight="1">
      <c r="A90" s="11"/>
      <c r="B90" s="894"/>
      <c r="C90" s="910"/>
      <c r="D90" s="913"/>
      <c r="E90" s="914"/>
      <c r="F90" s="888"/>
      <c r="G90" s="502" t="s">
        <v>646</v>
      </c>
      <c r="H90" s="502" t="s">
        <v>647</v>
      </c>
      <c r="I90" s="502" t="s">
        <v>646</v>
      </c>
      <c r="J90" s="511" t="s">
        <v>648</v>
      </c>
      <c r="K90" s="200"/>
      <c r="L90" s="293"/>
      <c r="M90" s="294"/>
      <c r="N90" s="295"/>
      <c r="O90" s="295"/>
      <c r="P90" s="296"/>
      <c r="Q90" s="296"/>
      <c r="R90" s="294"/>
      <c r="S90" s="517"/>
    </row>
    <row r="91" spans="1:19" ht="22.7" customHeight="1">
      <c r="A91" s="11"/>
      <c r="B91" s="303" t="s">
        <v>765</v>
      </c>
      <c r="C91" s="490" t="s">
        <v>743</v>
      </c>
      <c r="D91" s="304" t="s">
        <v>766</v>
      </c>
      <c r="E91" s="305"/>
      <c r="F91" s="274">
        <v>25567</v>
      </c>
      <c r="G91" s="274">
        <v>115</v>
      </c>
      <c r="H91" s="274">
        <v>299</v>
      </c>
      <c r="I91" s="274">
        <f t="shared" ref="I91:I130" si="6">ROUND(I$131/G$131*G91,0)</f>
        <v>198</v>
      </c>
      <c r="J91" s="275">
        <f t="shared" ref="J91:J130" si="7">ROUND(I91*L$45,0)</f>
        <v>523</v>
      </c>
      <c r="K91" s="1" t="s">
        <v>767</v>
      </c>
      <c r="L91" s="294"/>
      <c r="M91" s="294"/>
      <c r="N91" s="295"/>
      <c r="O91" s="295"/>
      <c r="P91" s="295"/>
      <c r="Q91" s="295"/>
      <c r="R91" s="295"/>
      <c r="S91" s="517"/>
    </row>
    <row r="92" spans="1:19" ht="22.7" customHeight="1">
      <c r="A92" s="11"/>
      <c r="B92" s="307" t="s">
        <v>768</v>
      </c>
      <c r="C92" s="497" t="s">
        <v>743</v>
      </c>
      <c r="D92" s="297" t="s">
        <v>769</v>
      </c>
      <c r="E92" s="298"/>
      <c r="F92" s="239">
        <v>27982</v>
      </c>
      <c r="G92" s="239">
        <v>225</v>
      </c>
      <c r="H92" s="239">
        <v>585</v>
      </c>
      <c r="I92" s="239">
        <f t="shared" si="6"/>
        <v>388</v>
      </c>
      <c r="J92" s="279">
        <f t="shared" si="7"/>
        <v>1024</v>
      </c>
      <c r="K92" s="200"/>
      <c r="L92" s="781" t="s">
        <v>649</v>
      </c>
      <c r="M92" s="783"/>
      <c r="N92" s="887" t="s">
        <v>770</v>
      </c>
      <c r="O92" s="774" t="s">
        <v>771</v>
      </c>
      <c r="P92" s="775"/>
      <c r="Q92" s="775"/>
      <c r="R92" s="788"/>
      <c r="S92" s="306" t="s">
        <v>772</v>
      </c>
    </row>
    <row r="93" spans="1:19" ht="22.7" customHeight="1">
      <c r="A93" s="11"/>
      <c r="B93" s="307" t="s">
        <v>773</v>
      </c>
      <c r="C93" s="497" t="s">
        <v>774</v>
      </c>
      <c r="D93" s="297" t="s">
        <v>775</v>
      </c>
      <c r="E93" s="298"/>
      <c r="F93" s="239">
        <v>11794</v>
      </c>
      <c r="G93" s="239">
        <v>57</v>
      </c>
      <c r="H93" s="239">
        <v>149</v>
      </c>
      <c r="I93" s="239">
        <f>ROUND(I$131/G$131*G93,0)</f>
        <v>98</v>
      </c>
      <c r="J93" s="279">
        <f t="shared" si="7"/>
        <v>259</v>
      </c>
      <c r="K93" s="200"/>
      <c r="L93" s="784"/>
      <c r="M93" s="786"/>
      <c r="N93" s="888"/>
      <c r="O93" s="504" t="s">
        <v>776</v>
      </c>
      <c r="P93" s="504" t="s">
        <v>777</v>
      </c>
      <c r="Q93" s="504" t="s">
        <v>778</v>
      </c>
      <c r="R93" s="504" t="s">
        <v>779</v>
      </c>
      <c r="S93" s="308"/>
    </row>
    <row r="94" spans="1:19" ht="22.7" customHeight="1">
      <c r="A94" s="11"/>
      <c r="B94" s="307" t="s">
        <v>780</v>
      </c>
      <c r="C94" s="497" t="s">
        <v>774</v>
      </c>
      <c r="D94" s="297" t="s">
        <v>781</v>
      </c>
      <c r="E94" s="298"/>
      <c r="F94" s="239">
        <v>12707</v>
      </c>
      <c r="G94" s="239">
        <v>39</v>
      </c>
      <c r="H94" s="239">
        <v>101</v>
      </c>
      <c r="I94" s="239">
        <f t="shared" si="6"/>
        <v>67</v>
      </c>
      <c r="J94" s="279">
        <f t="shared" si="7"/>
        <v>177</v>
      </c>
      <c r="K94" s="200"/>
      <c r="L94" s="787" t="s">
        <v>782</v>
      </c>
      <c r="M94" s="788"/>
      <c r="N94" s="494">
        <f>SUM(N95,N105,N110,N126,N127)</f>
        <v>347208</v>
      </c>
      <c r="O94" s="493">
        <f>SUM(O95,O105,O110,O126,O127)</f>
        <v>52100</v>
      </c>
      <c r="P94" s="493">
        <f>SUM(P95,P105,P110,P126,P127)</f>
        <v>116600</v>
      </c>
      <c r="Q94" s="493">
        <f>SUM(Q95,Q105,Q110,Q126,Q127)</f>
        <v>194300</v>
      </c>
      <c r="R94" s="493">
        <f>SUM(R95,R105,R110,R126,R127)</f>
        <v>194300</v>
      </c>
      <c r="S94" s="510"/>
    </row>
    <row r="95" spans="1:19" ht="22.7" customHeight="1">
      <c r="A95" s="11"/>
      <c r="B95" s="307" t="s">
        <v>783</v>
      </c>
      <c r="C95" s="497" t="s">
        <v>774</v>
      </c>
      <c r="D95" s="297" t="s">
        <v>784</v>
      </c>
      <c r="E95" s="298"/>
      <c r="F95" s="239">
        <v>19357</v>
      </c>
      <c r="G95" s="239">
        <v>56</v>
      </c>
      <c r="H95" s="239">
        <v>146</v>
      </c>
      <c r="I95" s="239">
        <f t="shared" si="6"/>
        <v>96</v>
      </c>
      <c r="J95" s="279">
        <f t="shared" si="7"/>
        <v>253</v>
      </c>
      <c r="K95" s="200"/>
      <c r="L95" s="796" t="s">
        <v>785</v>
      </c>
      <c r="M95" s="492" t="s">
        <v>786</v>
      </c>
      <c r="N95" s="205">
        <f>SUM(N96:N104)</f>
        <v>82544</v>
      </c>
      <c r="O95" s="205">
        <f>SUM(O96:O104)</f>
        <v>0</v>
      </c>
      <c r="P95" s="205">
        <f>SUM(P96:P104)</f>
        <v>12100</v>
      </c>
      <c r="Q95" s="205">
        <f>SUM(Q96:Q104)</f>
        <v>49500</v>
      </c>
      <c r="R95" s="205">
        <f>SUM(R96:R104)</f>
        <v>49500</v>
      </c>
      <c r="S95" s="514"/>
    </row>
    <row r="96" spans="1:19" ht="22.7" customHeight="1">
      <c r="A96" s="11"/>
      <c r="B96" s="307" t="s">
        <v>787</v>
      </c>
      <c r="C96" s="497" t="s">
        <v>774</v>
      </c>
      <c r="D96" s="297" t="s">
        <v>788</v>
      </c>
      <c r="E96" s="298"/>
      <c r="F96" s="239">
        <v>16288</v>
      </c>
      <c r="G96" s="239">
        <v>31</v>
      </c>
      <c r="H96" s="239">
        <v>81</v>
      </c>
      <c r="I96" s="239">
        <f t="shared" si="6"/>
        <v>53</v>
      </c>
      <c r="J96" s="279">
        <f t="shared" si="7"/>
        <v>140</v>
      </c>
      <c r="K96" s="200"/>
      <c r="L96" s="789"/>
      <c r="M96" s="492" t="str">
        <f t="shared" ref="M96:M104" si="8">B5</f>
        <v>제5일반산업단지</v>
      </c>
      <c r="N96" s="205">
        <f>사회유입인구!I5</f>
        <v>3048</v>
      </c>
      <c r="O96" s="488">
        <v>0</v>
      </c>
      <c r="P96" s="488">
        <f>ROUND($N96*사회유입인구!$P$62/100,-2)</f>
        <v>1800</v>
      </c>
      <c r="Q96" s="488">
        <f>ROUND($N96*사회유입인구!$P$62/100,-2)</f>
        <v>1800</v>
      </c>
      <c r="R96" s="488">
        <f>ROUND($N96*사회유입인구!$P$62/100,-2)</f>
        <v>1800</v>
      </c>
      <c r="S96" s="514"/>
    </row>
    <row r="97" spans="1:19" ht="22.7" customHeight="1">
      <c r="A97" s="11"/>
      <c r="B97" s="307" t="s">
        <v>789</v>
      </c>
      <c r="C97" s="497" t="s">
        <v>774</v>
      </c>
      <c r="D97" s="297" t="s">
        <v>790</v>
      </c>
      <c r="E97" s="298"/>
      <c r="F97" s="239">
        <v>16364</v>
      </c>
      <c r="G97" s="239">
        <v>102</v>
      </c>
      <c r="H97" s="239">
        <v>265</v>
      </c>
      <c r="I97" s="239">
        <f t="shared" si="6"/>
        <v>176</v>
      </c>
      <c r="J97" s="279">
        <f t="shared" si="7"/>
        <v>465</v>
      </c>
      <c r="K97" s="200"/>
      <c r="L97" s="789"/>
      <c r="M97" s="492" t="str">
        <f t="shared" si="8"/>
        <v>제3산업단지 확장</v>
      </c>
      <c r="N97" s="205">
        <f>사회유입인구!I6</f>
        <v>11912</v>
      </c>
      <c r="O97" s="488">
        <v>0</v>
      </c>
      <c r="P97" s="488">
        <f>ROUND($N97*사회유입인구!$P$62/100,-2)</f>
        <v>7100</v>
      </c>
      <c r="Q97" s="488">
        <f>ROUND($N97*사회유입인구!$P$62/100,-2)</f>
        <v>7100</v>
      </c>
      <c r="R97" s="488">
        <f>ROUND($N97*사회유입인구!$P$62/100,-2)</f>
        <v>7100</v>
      </c>
      <c r="S97" s="514"/>
    </row>
    <row r="98" spans="1:19" ht="22.7" customHeight="1">
      <c r="A98" s="11"/>
      <c r="B98" s="307" t="s">
        <v>791</v>
      </c>
      <c r="C98" s="497" t="s">
        <v>774</v>
      </c>
      <c r="D98" s="297" t="s">
        <v>792</v>
      </c>
      <c r="E98" s="298"/>
      <c r="F98" s="239">
        <v>14683</v>
      </c>
      <c r="G98" s="239">
        <v>55</v>
      </c>
      <c r="H98" s="239">
        <v>143</v>
      </c>
      <c r="I98" s="239">
        <f t="shared" si="6"/>
        <v>95</v>
      </c>
      <c r="J98" s="279">
        <f t="shared" si="7"/>
        <v>251</v>
      </c>
      <c r="K98" s="200"/>
      <c r="L98" s="789"/>
      <c r="M98" s="492" t="str">
        <f t="shared" si="8"/>
        <v>풍세 산업단지</v>
      </c>
      <c r="N98" s="205">
        <f>사회유입인구!I7</f>
        <v>5400</v>
      </c>
      <c r="O98" s="488">
        <v>0</v>
      </c>
      <c r="P98" s="488">
        <f>ROUND($N98*사회유입인구!$P$62/100,-2)</f>
        <v>3200</v>
      </c>
      <c r="Q98" s="488">
        <f>ROUND($N98*사회유입인구!$P$62/100,-2)</f>
        <v>3200</v>
      </c>
      <c r="R98" s="488">
        <f>ROUND($N98*사회유입인구!$P$62/100,-2)</f>
        <v>3200</v>
      </c>
      <c r="S98" s="514"/>
    </row>
    <row r="99" spans="1:19" ht="22.7" customHeight="1">
      <c r="A99" s="11"/>
      <c r="B99" s="307" t="s">
        <v>793</v>
      </c>
      <c r="C99" s="497" t="s">
        <v>774</v>
      </c>
      <c r="D99" s="297" t="s">
        <v>794</v>
      </c>
      <c r="E99" s="298"/>
      <c r="F99" s="239">
        <v>28583</v>
      </c>
      <c r="G99" s="239">
        <v>148</v>
      </c>
      <c r="H99" s="239">
        <v>385</v>
      </c>
      <c r="I99" s="239">
        <f t="shared" si="6"/>
        <v>255</v>
      </c>
      <c r="J99" s="279">
        <f t="shared" si="7"/>
        <v>673</v>
      </c>
      <c r="K99" s="200"/>
      <c r="L99" s="789"/>
      <c r="M99" s="492" t="str">
        <f t="shared" si="8"/>
        <v>동부바이오 산업단지</v>
      </c>
      <c r="N99" s="205">
        <f>사회유입인구!I8</f>
        <v>272</v>
      </c>
      <c r="O99" s="488">
        <v>0</v>
      </c>
      <c r="P99" s="488">
        <v>0</v>
      </c>
      <c r="Q99" s="488">
        <f>ROUND($N99*사회유입인구!$P$62/100,-2)</f>
        <v>200</v>
      </c>
      <c r="R99" s="488">
        <f>ROUND($N99*사회유입인구!$P$62/100,-2)</f>
        <v>200</v>
      </c>
      <c r="S99" s="514"/>
    </row>
    <row r="100" spans="1:19" ht="22.7" customHeight="1">
      <c r="A100" s="11"/>
      <c r="B100" s="307" t="s">
        <v>795</v>
      </c>
      <c r="C100" s="497" t="s">
        <v>774</v>
      </c>
      <c r="D100" s="297" t="s">
        <v>796</v>
      </c>
      <c r="E100" s="298"/>
      <c r="F100" s="239">
        <v>26706</v>
      </c>
      <c r="G100" s="239">
        <v>78</v>
      </c>
      <c r="H100" s="239">
        <v>203</v>
      </c>
      <c r="I100" s="239">
        <f t="shared" si="6"/>
        <v>134</v>
      </c>
      <c r="J100" s="279">
        <f t="shared" si="7"/>
        <v>354</v>
      </c>
      <c r="K100" s="200"/>
      <c r="L100" s="789"/>
      <c r="M100" s="492" t="str">
        <f t="shared" si="8"/>
        <v>입장밸리 산업단지</v>
      </c>
      <c r="N100" s="205">
        <f>사회유입인구!I9</f>
        <v>322</v>
      </c>
      <c r="O100" s="488">
        <v>0</v>
      </c>
      <c r="P100" s="488">
        <v>0</v>
      </c>
      <c r="Q100" s="488">
        <f>ROUND($N100*사회유입인구!$P$62/100,-2)</f>
        <v>200</v>
      </c>
      <c r="R100" s="488">
        <f>ROUND($N100*사회유입인구!$P$62/100,-2)</f>
        <v>200</v>
      </c>
      <c r="S100" s="514"/>
    </row>
    <row r="101" spans="1:19" ht="22.7" customHeight="1">
      <c r="A101" s="11"/>
      <c r="B101" s="307" t="s">
        <v>797</v>
      </c>
      <c r="C101" s="508" t="s">
        <v>704</v>
      </c>
      <c r="D101" s="297" t="s">
        <v>798</v>
      </c>
      <c r="E101" s="298"/>
      <c r="F101" s="239">
        <v>30082</v>
      </c>
      <c r="G101" s="239">
        <v>65</v>
      </c>
      <c r="H101" s="239">
        <v>271</v>
      </c>
      <c r="I101" s="239">
        <f t="shared" si="6"/>
        <v>112</v>
      </c>
      <c r="J101" s="279">
        <f t="shared" si="7"/>
        <v>296</v>
      </c>
      <c r="K101" s="200"/>
      <c r="L101" s="789"/>
      <c r="M101" s="492" t="str">
        <f t="shared" si="8"/>
        <v>북부BIT 산업단지</v>
      </c>
      <c r="N101" s="205">
        <f>사회유입인구!I10</f>
        <v>0</v>
      </c>
      <c r="O101" s="488">
        <v>0</v>
      </c>
      <c r="P101" s="488">
        <v>0</v>
      </c>
      <c r="Q101" s="488">
        <f>ROUND($N101*사회유입인구!$P$62/100,-2)</f>
        <v>0</v>
      </c>
      <c r="R101" s="488">
        <f>ROUND($N101*사회유입인구!$P$62/100,-2)</f>
        <v>0</v>
      </c>
      <c r="S101" s="514"/>
    </row>
    <row r="102" spans="1:19" ht="22.7" customHeight="1">
      <c r="A102" s="11"/>
      <c r="B102" s="307" t="s">
        <v>799</v>
      </c>
      <c r="C102" s="508" t="s">
        <v>704</v>
      </c>
      <c r="D102" s="297" t="s">
        <v>800</v>
      </c>
      <c r="E102" s="298"/>
      <c r="F102" s="239">
        <v>20096</v>
      </c>
      <c r="G102" s="239">
        <v>271</v>
      </c>
      <c r="H102" s="239">
        <v>723</v>
      </c>
      <c r="I102" s="239">
        <f t="shared" si="6"/>
        <v>467</v>
      </c>
      <c r="J102" s="279">
        <f t="shared" si="7"/>
        <v>1233</v>
      </c>
      <c r="K102" s="200"/>
      <c r="L102" s="789"/>
      <c r="M102" s="492" t="str">
        <f t="shared" si="8"/>
        <v>제6지방산업단지</v>
      </c>
      <c r="N102" s="205">
        <f>사회유입인구!I11</f>
        <v>39000</v>
      </c>
      <c r="O102" s="488">
        <v>0</v>
      </c>
      <c r="P102" s="488">
        <v>0</v>
      </c>
      <c r="Q102" s="488">
        <f>ROUND($N102*사회유입인구!$P$62/100,-2)</f>
        <v>23400</v>
      </c>
      <c r="R102" s="488">
        <f>ROUND($N102*사회유입인구!$P$62/100,-2)</f>
        <v>23400</v>
      </c>
      <c r="S102" s="514"/>
    </row>
    <row r="103" spans="1:19" ht="22.7" customHeight="1">
      <c r="A103" s="11"/>
      <c r="B103" s="307" t="s">
        <v>801</v>
      </c>
      <c r="C103" s="508" t="s">
        <v>704</v>
      </c>
      <c r="D103" s="297" t="s">
        <v>802</v>
      </c>
      <c r="E103" s="298"/>
      <c r="F103" s="239">
        <v>50908</v>
      </c>
      <c r="G103" s="239">
        <v>146</v>
      </c>
      <c r="H103" s="239">
        <v>235</v>
      </c>
      <c r="I103" s="239">
        <f t="shared" si="6"/>
        <v>251</v>
      </c>
      <c r="J103" s="279">
        <f t="shared" si="7"/>
        <v>663</v>
      </c>
      <c r="K103" s="200"/>
      <c r="L103" s="789"/>
      <c r="M103" s="492" t="str">
        <f t="shared" si="8"/>
        <v>북부광역 클러스터</v>
      </c>
      <c r="N103" s="205">
        <f>사회유입인구!I12</f>
        <v>10000</v>
      </c>
      <c r="O103" s="488">
        <v>0</v>
      </c>
      <c r="P103" s="488">
        <v>0</v>
      </c>
      <c r="Q103" s="488">
        <f>ROUND($N103*사회유입인구!$P$62/100,-2)</f>
        <v>6000</v>
      </c>
      <c r="R103" s="488">
        <f>ROUND($N103*사회유입인구!$P$62/100,-2)</f>
        <v>6000</v>
      </c>
      <c r="S103" s="514"/>
    </row>
    <row r="104" spans="1:19" ht="22.7" customHeight="1">
      <c r="A104" s="11"/>
      <c r="B104" s="307" t="s">
        <v>803</v>
      </c>
      <c r="C104" s="508" t="s">
        <v>704</v>
      </c>
      <c r="D104" s="297" t="s">
        <v>804</v>
      </c>
      <c r="E104" s="298"/>
      <c r="F104" s="239">
        <v>27941</v>
      </c>
      <c r="G104" s="239">
        <v>138</v>
      </c>
      <c r="H104" s="239">
        <v>539</v>
      </c>
      <c r="I104" s="239">
        <f t="shared" si="6"/>
        <v>238</v>
      </c>
      <c r="J104" s="279">
        <f t="shared" si="7"/>
        <v>628</v>
      </c>
      <c r="K104" s="200"/>
      <c r="L104" s="797"/>
      <c r="M104" s="492" t="str">
        <f t="shared" si="8"/>
        <v>수신일반산업단지</v>
      </c>
      <c r="N104" s="205">
        <f>사회유입인구!I13</f>
        <v>12590</v>
      </c>
      <c r="O104" s="488">
        <v>0</v>
      </c>
      <c r="P104" s="488">
        <v>0</v>
      </c>
      <c r="Q104" s="488">
        <f>ROUND($N104*사회유입인구!$P$62/100,-2)</f>
        <v>7600</v>
      </c>
      <c r="R104" s="488">
        <f>ROUND($N104*사회유입인구!$P$62/100,-2)</f>
        <v>7600</v>
      </c>
      <c r="S104" s="514"/>
    </row>
    <row r="105" spans="1:19" ht="22.7" customHeight="1">
      <c r="A105" s="11"/>
      <c r="B105" s="307" t="s">
        <v>805</v>
      </c>
      <c r="C105" s="508" t="s">
        <v>704</v>
      </c>
      <c r="D105" s="297" t="s">
        <v>806</v>
      </c>
      <c r="E105" s="298"/>
      <c r="F105" s="239">
        <v>13734</v>
      </c>
      <c r="G105" s="239">
        <v>65</v>
      </c>
      <c r="H105" s="239">
        <v>315</v>
      </c>
      <c r="I105" s="239">
        <f t="shared" si="6"/>
        <v>112</v>
      </c>
      <c r="J105" s="279">
        <f t="shared" si="7"/>
        <v>296</v>
      </c>
      <c r="K105" s="200"/>
      <c r="L105" s="796" t="s">
        <v>807</v>
      </c>
      <c r="M105" s="492" t="s">
        <v>786</v>
      </c>
      <c r="N105" s="205">
        <f>SUM(N106:N109)</f>
        <v>64764</v>
      </c>
      <c r="O105" s="205">
        <f>SUM(O106:O109)</f>
        <v>14200</v>
      </c>
      <c r="P105" s="205">
        <f>SUM(P106:P109)</f>
        <v>32300</v>
      </c>
      <c r="Q105" s="205">
        <f>SUM(Q106:Q109)</f>
        <v>38900</v>
      </c>
      <c r="R105" s="205">
        <f>SUM(R106:R109)</f>
        <v>38900</v>
      </c>
      <c r="S105" s="514"/>
    </row>
    <row r="106" spans="1:19" ht="22.7" customHeight="1">
      <c r="A106" s="11"/>
      <c r="B106" s="307" t="s">
        <v>808</v>
      </c>
      <c r="C106" s="508" t="s">
        <v>704</v>
      </c>
      <c r="D106" s="297" t="s">
        <v>809</v>
      </c>
      <c r="E106" s="298"/>
      <c r="F106" s="239">
        <v>33548</v>
      </c>
      <c r="G106" s="239">
        <v>255</v>
      </c>
      <c r="H106" s="239">
        <v>521</v>
      </c>
      <c r="I106" s="239">
        <f t="shared" si="6"/>
        <v>439</v>
      </c>
      <c r="J106" s="279">
        <f t="shared" si="7"/>
        <v>1159</v>
      </c>
      <c r="K106" s="200"/>
      <c r="L106" s="789"/>
      <c r="M106" s="497" t="str">
        <f>B18</f>
        <v>청수지구</v>
      </c>
      <c r="N106" s="205">
        <f>사회유입인구!I18</f>
        <v>20444</v>
      </c>
      <c r="O106" s="488">
        <f>ROUND($N106*사회유입인구!$P$63/100,-2)</f>
        <v>12300</v>
      </c>
      <c r="P106" s="488">
        <f>ROUND($N106*사회유입인구!$P$63/100,-2)</f>
        <v>12300</v>
      </c>
      <c r="Q106" s="488">
        <f>ROUND($N106*사회유입인구!$P$63/100,-2)</f>
        <v>12300</v>
      </c>
      <c r="R106" s="488">
        <f>ROUND($N106*사회유입인구!$P$63/100,-2)</f>
        <v>12300</v>
      </c>
      <c r="S106" s="514"/>
    </row>
    <row r="107" spans="1:19" ht="22.7" customHeight="1">
      <c r="A107" s="11"/>
      <c r="B107" s="307" t="s">
        <v>810</v>
      </c>
      <c r="C107" s="508" t="s">
        <v>811</v>
      </c>
      <c r="D107" s="297" t="s">
        <v>812</v>
      </c>
      <c r="E107" s="298"/>
      <c r="F107" s="239">
        <v>61843</v>
      </c>
      <c r="G107" s="239">
        <v>425</v>
      </c>
      <c r="H107" s="239">
        <v>1089</v>
      </c>
      <c r="I107" s="239">
        <f t="shared" si="6"/>
        <v>732</v>
      </c>
      <c r="J107" s="279">
        <f t="shared" si="7"/>
        <v>1932</v>
      </c>
      <c r="K107" s="200"/>
      <c r="L107" s="789"/>
      <c r="M107" s="492" t="str">
        <f>B19</f>
        <v>배방지구
(아산신도시 1단계)</v>
      </c>
      <c r="N107" s="205">
        <f>사회유입인구!I19</f>
        <v>3122</v>
      </c>
      <c r="O107" s="488">
        <f>ROUND($N107*사회유입인구!$P$63/100,-2)</f>
        <v>1900</v>
      </c>
      <c r="P107" s="488">
        <f>ROUND($N107*사회유입인구!$P$63/100,-2)</f>
        <v>1900</v>
      </c>
      <c r="Q107" s="488">
        <f>ROUND($N107*사회유입인구!$P$63/100,-2)</f>
        <v>1900</v>
      </c>
      <c r="R107" s="488">
        <f>ROUND($N107*사회유입인구!$P$63/100,-2)</f>
        <v>1900</v>
      </c>
      <c r="S107" s="514"/>
    </row>
    <row r="108" spans="1:19" ht="22.7" customHeight="1">
      <c r="A108" s="11"/>
      <c r="B108" s="307" t="s">
        <v>813</v>
      </c>
      <c r="C108" s="508" t="s">
        <v>811</v>
      </c>
      <c r="D108" s="297" t="s">
        <v>814</v>
      </c>
      <c r="E108" s="298"/>
      <c r="F108" s="239">
        <v>122475</v>
      </c>
      <c r="G108" s="239">
        <v>996</v>
      </c>
      <c r="H108" s="239">
        <v>2713</v>
      </c>
      <c r="I108" s="239">
        <f t="shared" si="6"/>
        <v>1715</v>
      </c>
      <c r="J108" s="279">
        <f t="shared" si="7"/>
        <v>4528</v>
      </c>
      <c r="K108" s="200"/>
      <c r="L108" s="789"/>
      <c r="M108" s="492" t="str">
        <f>B21</f>
        <v>탕정지구
(아산신도시 2단계)</v>
      </c>
      <c r="N108" s="205">
        <f>사회유입인구!I21</f>
        <v>30198</v>
      </c>
      <c r="O108" s="488">
        <v>0</v>
      </c>
      <c r="P108" s="488">
        <f>ROUND($N108*사회유입인구!$P$63/100,-2)</f>
        <v>18100</v>
      </c>
      <c r="Q108" s="488">
        <f>ROUND($N108*사회유입인구!$P$63/100,-2)</f>
        <v>18100</v>
      </c>
      <c r="R108" s="488">
        <f>ROUND($N108*사회유입인구!$P$63/100,-2)</f>
        <v>18100</v>
      </c>
      <c r="S108" s="514"/>
    </row>
    <row r="109" spans="1:19" ht="22.7" customHeight="1">
      <c r="A109" s="11"/>
      <c r="B109" s="307" t="s">
        <v>815</v>
      </c>
      <c r="C109" s="508" t="s">
        <v>704</v>
      </c>
      <c r="D109" s="297" t="s">
        <v>816</v>
      </c>
      <c r="E109" s="298"/>
      <c r="F109" s="239">
        <v>72971</v>
      </c>
      <c r="G109" s="239">
        <v>427</v>
      </c>
      <c r="H109" s="239">
        <v>1509</v>
      </c>
      <c r="I109" s="239">
        <f t="shared" si="6"/>
        <v>735</v>
      </c>
      <c r="J109" s="279">
        <f t="shared" si="7"/>
        <v>1940</v>
      </c>
      <c r="K109" s="200"/>
      <c r="L109" s="797"/>
      <c r="M109" s="497" t="str">
        <f>B23</f>
        <v>북부지구</v>
      </c>
      <c r="N109" s="205">
        <f>사회유입인구!I23</f>
        <v>11000</v>
      </c>
      <c r="O109" s="488">
        <v>0</v>
      </c>
      <c r="P109" s="488">
        <v>0</v>
      </c>
      <c r="Q109" s="488">
        <f>ROUND($N109*사회유입인구!$P$63/100,-2)</f>
        <v>6600</v>
      </c>
      <c r="R109" s="488">
        <f>ROUND($N109*사회유입인구!$P$63/100,-2)</f>
        <v>6600</v>
      </c>
      <c r="S109" s="514"/>
    </row>
    <row r="110" spans="1:19" ht="22.7" customHeight="1">
      <c r="A110" s="11"/>
      <c r="B110" s="307" t="s">
        <v>817</v>
      </c>
      <c r="C110" s="508" t="s">
        <v>774</v>
      </c>
      <c r="D110" s="297" t="s">
        <v>818</v>
      </c>
      <c r="E110" s="298"/>
      <c r="F110" s="239">
        <v>29153</v>
      </c>
      <c r="G110" s="239">
        <v>133</v>
      </c>
      <c r="H110" s="239">
        <v>346</v>
      </c>
      <c r="I110" s="239">
        <f t="shared" si="6"/>
        <v>229</v>
      </c>
      <c r="J110" s="279">
        <f t="shared" si="7"/>
        <v>605</v>
      </c>
      <c r="K110" s="200"/>
      <c r="L110" s="796" t="s">
        <v>819</v>
      </c>
      <c r="M110" s="492" t="s">
        <v>786</v>
      </c>
      <c r="N110" s="205">
        <f>SUM(N111:N125)</f>
        <v>119967</v>
      </c>
      <c r="O110" s="205">
        <f>SUM(O111:O125)</f>
        <v>18200</v>
      </c>
      <c r="P110" s="205">
        <f>SUM(P111:P125)</f>
        <v>38300</v>
      </c>
      <c r="Q110" s="205">
        <f>SUM(Q111:Q125)</f>
        <v>72000</v>
      </c>
      <c r="R110" s="205">
        <f>SUM(R111:R125)</f>
        <v>72000</v>
      </c>
      <c r="S110" s="514"/>
    </row>
    <row r="111" spans="1:19" ht="22.7" customHeight="1">
      <c r="A111" s="11"/>
      <c r="B111" s="307" t="s">
        <v>820</v>
      </c>
      <c r="C111" s="508" t="s">
        <v>774</v>
      </c>
      <c r="D111" s="297" t="s">
        <v>821</v>
      </c>
      <c r="E111" s="298"/>
      <c r="F111" s="239">
        <v>23457</v>
      </c>
      <c r="G111" s="239">
        <v>78</v>
      </c>
      <c r="H111" s="239">
        <v>203</v>
      </c>
      <c r="I111" s="239">
        <f t="shared" si="6"/>
        <v>134</v>
      </c>
      <c r="J111" s="279">
        <f t="shared" si="7"/>
        <v>354</v>
      </c>
      <c r="K111" s="200"/>
      <c r="L111" s="789"/>
      <c r="M111" s="497" t="str">
        <f t="shared" ref="M111:M119" si="9">B29</f>
        <v>신방 통정지구</v>
      </c>
      <c r="N111" s="205">
        <f>사회유입인구!I29</f>
        <v>13142</v>
      </c>
      <c r="O111" s="488">
        <f>ROUND($N111*사회유입인구!$P$64/100,-2)</f>
        <v>7900</v>
      </c>
      <c r="P111" s="488">
        <f>ROUND($N111*사회유입인구!$P$64/100,-2)</f>
        <v>7900</v>
      </c>
      <c r="Q111" s="488">
        <f>ROUND($N111*사회유입인구!$P$64/100,-2)</f>
        <v>7900</v>
      </c>
      <c r="R111" s="488">
        <f>ROUND($N111*사회유입인구!$P$64/100,-2)</f>
        <v>7900</v>
      </c>
      <c r="S111" s="514"/>
    </row>
    <row r="112" spans="1:19" ht="22.7" customHeight="1">
      <c r="A112" s="11"/>
      <c r="B112" s="307" t="s">
        <v>822</v>
      </c>
      <c r="C112" s="508" t="s">
        <v>704</v>
      </c>
      <c r="D112" s="297" t="s">
        <v>823</v>
      </c>
      <c r="E112" s="298"/>
      <c r="F112" s="239">
        <v>65755</v>
      </c>
      <c r="G112" s="239">
        <v>430</v>
      </c>
      <c r="H112" s="239">
        <v>951</v>
      </c>
      <c r="I112" s="239">
        <f t="shared" si="6"/>
        <v>741</v>
      </c>
      <c r="J112" s="279">
        <f t="shared" si="7"/>
        <v>1956</v>
      </c>
      <c r="K112" s="200"/>
      <c r="L112" s="789"/>
      <c r="M112" s="497" t="str">
        <f t="shared" si="9"/>
        <v>쌍용·신방지구</v>
      </c>
      <c r="N112" s="205">
        <f>사회유입인구!I30</f>
        <v>1381</v>
      </c>
      <c r="O112" s="488">
        <f>ROUND($N112*사회유입인구!$P$64/100,-2)</f>
        <v>800</v>
      </c>
      <c r="P112" s="488">
        <f>ROUND($N112*사회유입인구!$P$64/100,-2)</f>
        <v>800</v>
      </c>
      <c r="Q112" s="488">
        <f>ROUND($N112*사회유입인구!$P$64/100,-2)</f>
        <v>800</v>
      </c>
      <c r="R112" s="488">
        <f>ROUND($N112*사회유입인구!$P$64/100,-2)</f>
        <v>800</v>
      </c>
      <c r="S112" s="514"/>
    </row>
    <row r="113" spans="1:19" ht="22.7" customHeight="1">
      <c r="A113" s="11"/>
      <c r="B113" s="307" t="s">
        <v>824</v>
      </c>
      <c r="C113" s="508" t="s">
        <v>704</v>
      </c>
      <c r="D113" s="297" t="s">
        <v>825</v>
      </c>
      <c r="E113" s="298"/>
      <c r="F113" s="239">
        <v>34301</v>
      </c>
      <c r="G113" s="239">
        <v>331</v>
      </c>
      <c r="H113" s="239">
        <v>965</v>
      </c>
      <c r="I113" s="239">
        <f t="shared" si="6"/>
        <v>570</v>
      </c>
      <c r="J113" s="279">
        <f t="shared" si="7"/>
        <v>1505</v>
      </c>
      <c r="K113" s="200"/>
      <c r="L113" s="789"/>
      <c r="M113" s="497" t="str">
        <f t="shared" si="9"/>
        <v>쌍용지구</v>
      </c>
      <c r="N113" s="205">
        <f>사회유입인구!I31</f>
        <v>2545</v>
      </c>
      <c r="O113" s="488">
        <f>ROUND($N113*사회유입인구!$P$64/100,-2)</f>
        <v>1500</v>
      </c>
      <c r="P113" s="488">
        <f>ROUND($N113*사회유입인구!$P$64/100,-2)</f>
        <v>1500</v>
      </c>
      <c r="Q113" s="488">
        <f>ROUND($N113*사회유입인구!$P$64/100,-2)</f>
        <v>1500</v>
      </c>
      <c r="R113" s="488">
        <f>ROUND($N113*사회유입인구!$P$64/100,-2)</f>
        <v>1500</v>
      </c>
      <c r="S113" s="514"/>
    </row>
    <row r="114" spans="1:19" ht="22.7" customHeight="1">
      <c r="A114" s="11"/>
      <c r="B114" s="307" t="s">
        <v>826</v>
      </c>
      <c r="C114" s="508" t="s">
        <v>704</v>
      </c>
      <c r="D114" s="297" t="s">
        <v>827</v>
      </c>
      <c r="E114" s="298"/>
      <c r="F114" s="239">
        <v>67222</v>
      </c>
      <c r="G114" s="239">
        <v>563</v>
      </c>
      <c r="H114" s="239">
        <v>1280</v>
      </c>
      <c r="I114" s="239">
        <f t="shared" si="6"/>
        <v>970</v>
      </c>
      <c r="J114" s="279">
        <f t="shared" si="7"/>
        <v>2561</v>
      </c>
      <c r="K114" s="200"/>
      <c r="L114" s="789"/>
      <c r="M114" s="497" t="str">
        <f t="shared" si="9"/>
        <v>백석지구</v>
      </c>
      <c r="N114" s="205">
        <f>사회유입인구!I32</f>
        <v>2746</v>
      </c>
      <c r="O114" s="488">
        <f>ROUND($N114*사회유입인구!$P$64/100,-2)</f>
        <v>1600</v>
      </c>
      <c r="P114" s="488">
        <f>ROUND($N114*사회유입인구!$P$64/100,-2)</f>
        <v>1600</v>
      </c>
      <c r="Q114" s="488">
        <f>ROUND($N114*사회유입인구!$P$64/100,-2)</f>
        <v>1600</v>
      </c>
      <c r="R114" s="488">
        <f>ROUND($N114*사회유입인구!$P$64/100,-2)</f>
        <v>1600</v>
      </c>
      <c r="S114" s="514"/>
    </row>
    <row r="115" spans="1:19" ht="22.7" customHeight="1">
      <c r="A115" s="11"/>
      <c r="B115" s="307" t="s">
        <v>828</v>
      </c>
      <c r="C115" s="508" t="s">
        <v>704</v>
      </c>
      <c r="D115" s="297" t="s">
        <v>829</v>
      </c>
      <c r="E115" s="298"/>
      <c r="F115" s="239">
        <v>49187</v>
      </c>
      <c r="G115" s="239">
        <v>398</v>
      </c>
      <c r="H115" s="239">
        <v>954</v>
      </c>
      <c r="I115" s="239">
        <f t="shared" si="6"/>
        <v>686</v>
      </c>
      <c r="J115" s="279">
        <f t="shared" si="7"/>
        <v>1811</v>
      </c>
      <c r="K115" s="200"/>
      <c r="L115" s="789"/>
      <c r="M115" s="497" t="str">
        <f t="shared" si="9"/>
        <v>백석2지구</v>
      </c>
      <c r="N115" s="205">
        <f>사회유입인구!I33</f>
        <v>2379</v>
      </c>
      <c r="O115" s="488">
        <f>ROUND($N115*사회유입인구!$P$64/100,-2)</f>
        <v>1400</v>
      </c>
      <c r="P115" s="488">
        <f>ROUND($N115*사회유입인구!$P$64/100,-2)</f>
        <v>1400</v>
      </c>
      <c r="Q115" s="488">
        <f>ROUND($N115*사회유입인구!$P$64/100,-2)</f>
        <v>1400</v>
      </c>
      <c r="R115" s="488">
        <f>ROUND($N115*사회유입인구!$P$64/100,-2)</f>
        <v>1400</v>
      </c>
      <c r="S115" s="514"/>
    </row>
    <row r="116" spans="1:19" ht="22.7" customHeight="1">
      <c r="A116" s="11"/>
      <c r="B116" s="307" t="s">
        <v>830</v>
      </c>
      <c r="C116" s="508" t="s">
        <v>774</v>
      </c>
      <c r="D116" s="297" t="s">
        <v>831</v>
      </c>
      <c r="E116" s="298"/>
      <c r="F116" s="239">
        <v>22291</v>
      </c>
      <c r="G116" s="239">
        <v>87</v>
      </c>
      <c r="H116" s="239">
        <v>226</v>
      </c>
      <c r="I116" s="239">
        <f t="shared" si="6"/>
        <v>150</v>
      </c>
      <c r="J116" s="279">
        <f t="shared" si="7"/>
        <v>396</v>
      </c>
      <c r="K116" s="200"/>
      <c r="L116" s="789"/>
      <c r="M116" s="497" t="str">
        <f t="shared" si="9"/>
        <v>백석3지구</v>
      </c>
      <c r="N116" s="205">
        <f>사회유입인구!I34</f>
        <v>1969</v>
      </c>
      <c r="O116" s="488">
        <f>ROUND($N116*사회유입인구!$P$64/100,-2)</f>
        <v>1200</v>
      </c>
      <c r="P116" s="488">
        <f>ROUND($N116*사회유입인구!$P$64/100,-2)</f>
        <v>1200</v>
      </c>
      <c r="Q116" s="488">
        <f>ROUND($N116*사회유입인구!$P$64/100,-2)</f>
        <v>1200</v>
      </c>
      <c r="R116" s="488">
        <f>ROUND($N116*사회유입인구!$P$64/100,-2)</f>
        <v>1200</v>
      </c>
      <c r="S116" s="514"/>
    </row>
    <row r="117" spans="1:19" ht="22.7" customHeight="1">
      <c r="A117" s="11"/>
      <c r="B117" s="307" t="s">
        <v>832</v>
      </c>
      <c r="C117" s="508" t="s">
        <v>774</v>
      </c>
      <c r="D117" s="297" t="s">
        <v>833</v>
      </c>
      <c r="E117" s="298"/>
      <c r="F117" s="239">
        <v>43877</v>
      </c>
      <c r="G117" s="239">
        <v>271</v>
      </c>
      <c r="H117" s="239">
        <v>705</v>
      </c>
      <c r="I117" s="239">
        <f t="shared" si="6"/>
        <v>467</v>
      </c>
      <c r="J117" s="279">
        <f t="shared" si="7"/>
        <v>1233</v>
      </c>
      <c r="K117" s="200"/>
      <c r="L117" s="789"/>
      <c r="M117" s="497" t="str">
        <f t="shared" si="9"/>
        <v>백석4지구</v>
      </c>
      <c r="N117" s="205">
        <f>사회유입인구!I35</f>
        <v>3511</v>
      </c>
      <c r="O117" s="488">
        <f>ROUND($N117*사회유입인구!$P$64/100,-2)</f>
        <v>2100</v>
      </c>
      <c r="P117" s="488">
        <f>ROUND($N117*사회유입인구!$P$64/100,-2)</f>
        <v>2100</v>
      </c>
      <c r="Q117" s="488">
        <f>ROUND($N117*사회유입인구!$P$64/100,-2)</f>
        <v>2100</v>
      </c>
      <c r="R117" s="488">
        <f>ROUND($N117*사회유입인구!$P$64/100,-2)</f>
        <v>2100</v>
      </c>
      <c r="S117" s="514"/>
    </row>
    <row r="118" spans="1:19" ht="22.7" customHeight="1">
      <c r="A118" s="11"/>
      <c r="B118" s="307" t="s">
        <v>834</v>
      </c>
      <c r="C118" s="508" t="s">
        <v>704</v>
      </c>
      <c r="D118" s="297" t="s">
        <v>835</v>
      </c>
      <c r="E118" s="298"/>
      <c r="F118" s="239">
        <v>41540</v>
      </c>
      <c r="G118" s="239">
        <v>373</v>
      </c>
      <c r="H118" s="239">
        <v>868</v>
      </c>
      <c r="I118" s="239">
        <f t="shared" si="6"/>
        <v>642</v>
      </c>
      <c r="J118" s="279">
        <f t="shared" si="7"/>
        <v>1695</v>
      </c>
      <c r="K118" s="200"/>
      <c r="L118" s="789"/>
      <c r="M118" s="497" t="str">
        <f t="shared" si="9"/>
        <v>백석 미개발지구</v>
      </c>
      <c r="N118" s="205">
        <f>사회유입인구!I36</f>
        <v>14781</v>
      </c>
      <c r="O118" s="488">
        <v>0</v>
      </c>
      <c r="P118" s="488">
        <v>0</v>
      </c>
      <c r="Q118" s="488">
        <f>ROUND($N118*사회유입인구!$P$64/100,-2)</f>
        <v>8900</v>
      </c>
      <c r="R118" s="488">
        <f>ROUND($N118*사회유입인구!$P$64/100,-2)</f>
        <v>8900</v>
      </c>
      <c r="S118" s="514"/>
    </row>
    <row r="119" spans="1:19" ht="22.7" customHeight="1">
      <c r="A119" s="11"/>
      <c r="B119" s="307" t="s">
        <v>836</v>
      </c>
      <c r="C119" s="508" t="s">
        <v>704</v>
      </c>
      <c r="D119" s="297" t="s">
        <v>837</v>
      </c>
      <c r="E119" s="298"/>
      <c r="F119" s="239">
        <v>32184</v>
      </c>
      <c r="G119" s="239">
        <v>141</v>
      </c>
      <c r="H119" s="239">
        <v>242</v>
      </c>
      <c r="I119" s="239">
        <f t="shared" si="6"/>
        <v>243</v>
      </c>
      <c r="J119" s="279">
        <f t="shared" si="7"/>
        <v>642</v>
      </c>
      <c r="K119" s="200"/>
      <c r="L119" s="789"/>
      <c r="M119" s="497" t="str">
        <f t="shared" si="9"/>
        <v>새텃말지구</v>
      </c>
      <c r="N119" s="205">
        <f>사회유입인구!I37</f>
        <v>2854</v>
      </c>
      <c r="O119" s="488">
        <v>0</v>
      </c>
      <c r="P119" s="488">
        <f>ROUND($N119*사회유입인구!$P$64/100,-2)</f>
        <v>1700</v>
      </c>
      <c r="Q119" s="488">
        <f>ROUND($N119*사회유입인구!$P$64/100,-2)</f>
        <v>1700</v>
      </c>
      <c r="R119" s="488">
        <f>ROUND($N119*사회유입인구!$P$64/100,-2)</f>
        <v>1700</v>
      </c>
      <c r="S119" s="514"/>
    </row>
    <row r="120" spans="1:19" ht="22.7" customHeight="1">
      <c r="A120" s="11"/>
      <c r="B120" s="307" t="s">
        <v>838</v>
      </c>
      <c r="C120" s="508" t="s">
        <v>704</v>
      </c>
      <c r="D120" s="297" t="s">
        <v>839</v>
      </c>
      <c r="E120" s="298"/>
      <c r="F120" s="239">
        <v>36789</v>
      </c>
      <c r="G120" s="239">
        <v>408</v>
      </c>
      <c r="H120" s="239">
        <v>846</v>
      </c>
      <c r="I120" s="239">
        <f t="shared" si="6"/>
        <v>703</v>
      </c>
      <c r="J120" s="279">
        <f t="shared" si="7"/>
        <v>1856</v>
      </c>
      <c r="K120" s="200"/>
      <c r="L120" s="789"/>
      <c r="M120" s="497" t="str">
        <f t="shared" ref="M120:M125" si="10">B39</f>
        <v>용곡2지구</v>
      </c>
      <c r="N120" s="205">
        <f>사회유입인구!I39</f>
        <v>2806</v>
      </c>
      <c r="O120" s="488">
        <f>ROUND($N120*사회유입인구!$P$64/100,-2)</f>
        <v>1700</v>
      </c>
      <c r="P120" s="488">
        <f>ROUND($N120*사회유입인구!$P$64/100,-2)</f>
        <v>1700</v>
      </c>
      <c r="Q120" s="488">
        <f>ROUND($N120*사회유입인구!$P$64/100,-2)</f>
        <v>1700</v>
      </c>
      <c r="R120" s="488">
        <f>ROUND($N120*사회유입인구!$P$64/100,-2)</f>
        <v>1700</v>
      </c>
      <c r="S120" s="514"/>
    </row>
    <row r="121" spans="1:19" ht="22.7" customHeight="1">
      <c r="A121" s="11"/>
      <c r="B121" s="307" t="s">
        <v>840</v>
      </c>
      <c r="C121" s="497" t="s">
        <v>841</v>
      </c>
      <c r="D121" s="297" t="s">
        <v>842</v>
      </c>
      <c r="E121" s="298"/>
      <c r="F121" s="239">
        <v>11580</v>
      </c>
      <c r="G121" s="239">
        <v>64</v>
      </c>
      <c r="H121" s="239">
        <v>155</v>
      </c>
      <c r="I121" s="239">
        <f t="shared" si="6"/>
        <v>110</v>
      </c>
      <c r="J121" s="279">
        <f t="shared" si="7"/>
        <v>290</v>
      </c>
      <c r="K121" s="200"/>
      <c r="L121" s="789"/>
      <c r="M121" s="497" t="str">
        <f t="shared" si="10"/>
        <v>신월 국민임대주택</v>
      </c>
      <c r="N121" s="205">
        <f>사회유입인구!I40</f>
        <v>14314</v>
      </c>
      <c r="O121" s="488">
        <v>0</v>
      </c>
      <c r="P121" s="488">
        <f>ROUND($N121*사회유입인구!$P$64/100,-2)</f>
        <v>8600</v>
      </c>
      <c r="Q121" s="488">
        <f>ROUND($N121*사회유입인구!$P$64/100,-2)</f>
        <v>8600</v>
      </c>
      <c r="R121" s="488">
        <f>ROUND($N121*사회유입인구!$P$64/100,-2)</f>
        <v>8600</v>
      </c>
      <c r="S121" s="514"/>
    </row>
    <row r="122" spans="1:19" ht="22.7" customHeight="1">
      <c r="A122" s="11"/>
      <c r="B122" s="307" t="s">
        <v>843</v>
      </c>
      <c r="C122" s="508" t="s">
        <v>704</v>
      </c>
      <c r="D122" s="297" t="s">
        <v>844</v>
      </c>
      <c r="E122" s="298"/>
      <c r="F122" s="239">
        <v>41542</v>
      </c>
      <c r="G122" s="239">
        <v>224</v>
      </c>
      <c r="H122" s="239">
        <v>597</v>
      </c>
      <c r="I122" s="239">
        <f t="shared" si="6"/>
        <v>386</v>
      </c>
      <c r="J122" s="279">
        <f t="shared" si="7"/>
        <v>1019</v>
      </c>
      <c r="K122" s="200"/>
      <c r="L122" s="789"/>
      <c r="M122" s="497" t="str">
        <f t="shared" si="10"/>
        <v>매주 지구</v>
      </c>
      <c r="N122" s="205">
        <f>사회유입인구!I41</f>
        <v>5122</v>
      </c>
      <c r="O122" s="488">
        <v>0</v>
      </c>
      <c r="P122" s="488">
        <f>ROUND($N122*사회유입인구!$P$64/100,-2)</f>
        <v>3100</v>
      </c>
      <c r="Q122" s="488">
        <f>ROUND($N122*사회유입인구!$P$64/100,-2)</f>
        <v>3100</v>
      </c>
      <c r="R122" s="488">
        <f>ROUND($N122*사회유입인구!$P$64/100,-2)</f>
        <v>3100</v>
      </c>
      <c r="S122" s="514"/>
    </row>
    <row r="123" spans="1:19" ht="22.7" customHeight="1">
      <c r="A123" s="11"/>
      <c r="B123" s="307" t="s">
        <v>845</v>
      </c>
      <c r="C123" s="508" t="s">
        <v>704</v>
      </c>
      <c r="D123" s="297" t="s">
        <v>846</v>
      </c>
      <c r="E123" s="298"/>
      <c r="F123" s="239">
        <v>42985</v>
      </c>
      <c r="G123" s="239">
        <v>560</v>
      </c>
      <c r="H123" s="239">
        <v>1405</v>
      </c>
      <c r="I123" s="239">
        <f t="shared" si="6"/>
        <v>965</v>
      </c>
      <c r="J123" s="279">
        <f t="shared" si="7"/>
        <v>2548</v>
      </c>
      <c r="K123" s="200"/>
      <c r="L123" s="789"/>
      <c r="M123" s="497" t="str">
        <f t="shared" si="10"/>
        <v>청당지구</v>
      </c>
      <c r="N123" s="205">
        <f>사회유입인구!I42</f>
        <v>7700</v>
      </c>
      <c r="O123" s="488">
        <v>0</v>
      </c>
      <c r="P123" s="488">
        <v>0</v>
      </c>
      <c r="Q123" s="488">
        <f>ROUND($N123*사회유입인구!$P$64/100,-2)</f>
        <v>4600</v>
      </c>
      <c r="R123" s="488">
        <f>ROUND($N123*사회유입인구!$P$64/100,-2)</f>
        <v>4600</v>
      </c>
      <c r="S123" s="514"/>
    </row>
    <row r="124" spans="1:19" ht="22.7" customHeight="1">
      <c r="A124" s="11"/>
      <c r="B124" s="307" t="s">
        <v>847</v>
      </c>
      <c r="C124" s="508" t="s">
        <v>704</v>
      </c>
      <c r="D124" s="297" t="s">
        <v>848</v>
      </c>
      <c r="E124" s="298"/>
      <c r="F124" s="239">
        <v>36491</v>
      </c>
      <c r="G124" s="239">
        <v>247</v>
      </c>
      <c r="H124" s="239">
        <v>608</v>
      </c>
      <c r="I124" s="239">
        <f t="shared" si="6"/>
        <v>425</v>
      </c>
      <c r="J124" s="279">
        <f t="shared" si="7"/>
        <v>1122</v>
      </c>
      <c r="K124" s="200"/>
      <c r="L124" s="789"/>
      <c r="M124" s="497" t="str">
        <f t="shared" si="10"/>
        <v>성환 국민임대주택</v>
      </c>
      <c r="N124" s="205">
        <f>사회유입인구!I43</f>
        <v>11117</v>
      </c>
      <c r="O124" s="488">
        <v>0</v>
      </c>
      <c r="P124" s="488">
        <f>ROUND($N124*사회유입인구!$P$64/100,-2)</f>
        <v>6700</v>
      </c>
      <c r="Q124" s="488">
        <f>ROUND($N124*사회유입인구!$P$64/100,-2)</f>
        <v>6700</v>
      </c>
      <c r="R124" s="488">
        <f>ROUND($N124*사회유입인구!$P$64/100,-2)</f>
        <v>6700</v>
      </c>
      <c r="S124" s="514"/>
    </row>
    <row r="125" spans="1:19" ht="22.7" customHeight="1">
      <c r="A125" s="11"/>
      <c r="B125" s="307" t="s">
        <v>849</v>
      </c>
      <c r="C125" s="508" t="s">
        <v>704</v>
      </c>
      <c r="D125" s="297" t="s">
        <v>850</v>
      </c>
      <c r="E125" s="298"/>
      <c r="F125" s="239">
        <v>52198</v>
      </c>
      <c r="G125" s="239">
        <v>514</v>
      </c>
      <c r="H125" s="239">
        <v>1304</v>
      </c>
      <c r="I125" s="239">
        <f t="shared" si="6"/>
        <v>885</v>
      </c>
      <c r="J125" s="279">
        <f t="shared" si="7"/>
        <v>2336</v>
      </c>
      <c r="K125" s="200"/>
      <c r="L125" s="797"/>
      <c r="M125" s="497" t="str">
        <f t="shared" si="10"/>
        <v>국제비즈니스파크</v>
      </c>
      <c r="N125" s="205">
        <f>사회유입인구!I44</f>
        <v>33600</v>
      </c>
      <c r="O125" s="488">
        <v>0</v>
      </c>
      <c r="P125" s="488">
        <v>0</v>
      </c>
      <c r="Q125" s="488">
        <f>ROUND($N125*사회유입인구!$P$64/100,-2)</f>
        <v>20200</v>
      </c>
      <c r="R125" s="488">
        <f>ROUND($N125*사회유입인구!$P$64/100,-2)</f>
        <v>20200</v>
      </c>
      <c r="S125" s="514"/>
    </row>
    <row r="126" spans="1:19" ht="22.7" customHeight="1">
      <c r="A126" s="11"/>
      <c r="B126" s="307" t="s">
        <v>851</v>
      </c>
      <c r="C126" s="497" t="s">
        <v>841</v>
      </c>
      <c r="D126" s="297" t="s">
        <v>852</v>
      </c>
      <c r="E126" s="298"/>
      <c r="F126" s="239">
        <v>47300</v>
      </c>
      <c r="G126" s="239">
        <v>130</v>
      </c>
      <c r="H126" s="239">
        <v>351</v>
      </c>
      <c r="I126" s="239">
        <f t="shared" si="6"/>
        <v>224</v>
      </c>
      <c r="J126" s="279">
        <f t="shared" si="7"/>
        <v>591</v>
      </c>
      <c r="K126" s="200"/>
      <c r="L126" s="827" t="s">
        <v>712</v>
      </c>
      <c r="M126" s="772"/>
      <c r="N126" s="205">
        <f>J131-H131</f>
        <v>47183</v>
      </c>
      <c r="O126" s="488">
        <f>인구배분!E132</f>
        <v>0</v>
      </c>
      <c r="P126" s="488">
        <f>인구배분!F132</f>
        <v>14200</v>
      </c>
      <c r="Q126" s="488">
        <f>인구배분!G132</f>
        <v>14200</v>
      </c>
      <c r="R126" s="488">
        <f>인구배분!H132</f>
        <v>14200</v>
      </c>
      <c r="S126" s="514"/>
    </row>
    <row r="127" spans="1:19" ht="22.7" customHeight="1">
      <c r="A127" s="11"/>
      <c r="B127" s="307" t="s">
        <v>853</v>
      </c>
      <c r="C127" s="497" t="s">
        <v>774</v>
      </c>
      <c r="D127" s="297" t="s">
        <v>854</v>
      </c>
      <c r="E127" s="298"/>
      <c r="F127" s="239">
        <v>23764</v>
      </c>
      <c r="G127" s="239">
        <v>180</v>
      </c>
      <c r="H127" s="239">
        <v>468</v>
      </c>
      <c r="I127" s="239">
        <f t="shared" si="6"/>
        <v>310</v>
      </c>
      <c r="J127" s="279">
        <f t="shared" si="7"/>
        <v>818</v>
      </c>
      <c r="K127" s="200"/>
      <c r="L127" s="915" t="s">
        <v>855</v>
      </c>
      <c r="M127" s="916"/>
      <c r="N127" s="210">
        <f>I179</f>
        <v>32750</v>
      </c>
      <c r="O127" s="70">
        <f>인구배분!E166</f>
        <v>19700</v>
      </c>
      <c r="P127" s="70">
        <f>인구배분!F166</f>
        <v>19700</v>
      </c>
      <c r="Q127" s="70">
        <f>인구배분!G166</f>
        <v>19700</v>
      </c>
      <c r="R127" s="70">
        <f>인구배분!H166</f>
        <v>19700</v>
      </c>
      <c r="S127" s="511"/>
    </row>
    <row r="128" spans="1:19" s="11" customFormat="1" ht="22.7" customHeight="1">
      <c r="B128" s="307" t="s">
        <v>856</v>
      </c>
      <c r="C128" s="508" t="s">
        <v>704</v>
      </c>
      <c r="D128" s="297" t="s">
        <v>857</v>
      </c>
      <c r="E128" s="298"/>
      <c r="F128" s="239">
        <v>67726</v>
      </c>
      <c r="G128" s="239">
        <v>582</v>
      </c>
      <c r="H128" s="239">
        <v>1539</v>
      </c>
      <c r="I128" s="239">
        <f>ROUND(I$131/G$131*G128,0)</f>
        <v>1002</v>
      </c>
      <c r="J128" s="279">
        <f t="shared" si="7"/>
        <v>2645</v>
      </c>
      <c r="O128" s="401"/>
      <c r="P128" s="401"/>
      <c r="Q128" s="401"/>
      <c r="R128" s="401"/>
    </row>
    <row r="129" spans="1:19" s="11" customFormat="1" ht="22.7" customHeight="1">
      <c r="B129" s="307" t="s">
        <v>858</v>
      </c>
      <c r="C129" s="508" t="s">
        <v>704</v>
      </c>
      <c r="D129" s="297" t="s">
        <v>859</v>
      </c>
      <c r="E129" s="298"/>
      <c r="F129" s="239">
        <v>29054</v>
      </c>
      <c r="G129" s="239">
        <v>87</v>
      </c>
      <c r="H129" s="239">
        <v>197</v>
      </c>
      <c r="I129" s="239">
        <f t="shared" si="6"/>
        <v>150</v>
      </c>
      <c r="J129" s="279">
        <f t="shared" si="7"/>
        <v>396</v>
      </c>
    </row>
    <row r="130" spans="1:19" ht="22.7" customHeight="1">
      <c r="A130" s="11"/>
      <c r="B130" s="299" t="s">
        <v>860</v>
      </c>
      <c r="C130" s="504" t="s">
        <v>841</v>
      </c>
      <c r="D130" s="300" t="s">
        <v>861</v>
      </c>
      <c r="E130" s="301"/>
      <c r="F130" s="70">
        <v>18163</v>
      </c>
      <c r="G130" s="70">
        <v>196</v>
      </c>
      <c r="H130" s="70">
        <v>568</v>
      </c>
      <c r="I130" s="70">
        <f t="shared" si="6"/>
        <v>338</v>
      </c>
      <c r="J130" s="302">
        <f t="shared" si="7"/>
        <v>892</v>
      </c>
      <c r="L130" s="11"/>
      <c r="M130" s="11"/>
      <c r="N130" s="11"/>
      <c r="O130" s="11"/>
      <c r="P130" s="11"/>
      <c r="Q130" s="11"/>
      <c r="R130" s="11"/>
      <c r="S130" s="11"/>
    </row>
    <row r="131" spans="1:19" ht="22.7" customHeight="1">
      <c r="A131" s="11"/>
      <c r="B131" s="907" t="s">
        <v>862</v>
      </c>
      <c r="C131" s="908"/>
      <c r="D131" s="309" t="s">
        <v>863</v>
      </c>
      <c r="E131" s="310"/>
      <c r="F131" s="240">
        <f>SUM(F49:F130)</f>
        <v>3130235</v>
      </c>
      <c r="G131" s="240">
        <f>SUM(G49:G130)</f>
        <v>23432</v>
      </c>
      <c r="H131" s="240">
        <f>SUM(H49:H130)</f>
        <v>59367</v>
      </c>
      <c r="I131" s="240">
        <v>40359</v>
      </c>
      <c r="J131" s="311">
        <f>SUM(J49:J130)</f>
        <v>106550</v>
      </c>
      <c r="L131" s="69"/>
      <c r="M131" s="11"/>
      <c r="N131" s="11"/>
      <c r="O131" s="11"/>
      <c r="P131" s="11"/>
      <c r="Q131" s="11"/>
      <c r="R131" s="11"/>
      <c r="S131" s="11"/>
    </row>
    <row r="132" spans="1:19" ht="12.95" customHeight="1">
      <c r="A132" s="3" t="s">
        <v>1141</v>
      </c>
      <c r="D132" s="312"/>
      <c r="F132" s="244"/>
      <c r="G132" s="244"/>
      <c r="H132" s="11"/>
      <c r="L132" s="69"/>
      <c r="M132" s="11"/>
      <c r="N132" s="11"/>
      <c r="O132" s="11"/>
      <c r="P132" s="11"/>
      <c r="Q132" s="11"/>
      <c r="R132" s="11"/>
      <c r="S132" s="11"/>
    </row>
    <row r="133" spans="1:19" ht="15" customHeight="1">
      <c r="A133" s="3"/>
      <c r="D133" s="257"/>
      <c r="F133" s="244"/>
      <c r="G133" s="244"/>
      <c r="H133" s="11"/>
      <c r="J133" s="313" t="s">
        <v>864</v>
      </c>
      <c r="L133" s="11"/>
      <c r="M133" s="69"/>
      <c r="N133" s="11"/>
      <c r="O133" s="11"/>
      <c r="P133" s="11"/>
      <c r="Q133" s="11"/>
      <c r="R133" s="11"/>
      <c r="S133" s="11"/>
    </row>
    <row r="134" spans="1:19" ht="24.95" customHeight="1">
      <c r="A134" s="11"/>
      <c r="B134" s="314" t="s">
        <v>865</v>
      </c>
      <c r="C134" s="228"/>
      <c r="D134" s="315" t="s">
        <v>641</v>
      </c>
      <c r="E134" s="315"/>
      <c r="F134" s="315"/>
      <c r="G134" s="229" t="s">
        <v>866</v>
      </c>
      <c r="H134" s="229" t="s">
        <v>867</v>
      </c>
      <c r="I134" s="229" t="s">
        <v>868</v>
      </c>
      <c r="J134" s="231" t="s">
        <v>869</v>
      </c>
      <c r="L134" s="11"/>
      <c r="M134" s="69"/>
      <c r="N134" s="11"/>
      <c r="O134" s="11"/>
      <c r="P134" s="11"/>
      <c r="Q134" s="11"/>
      <c r="R134" s="11"/>
      <c r="S134" s="11"/>
    </row>
    <row r="135" spans="1:19" ht="20.100000000000001" customHeight="1">
      <c r="A135" s="11"/>
      <c r="B135" s="316" t="s">
        <v>870</v>
      </c>
      <c r="C135" s="50"/>
      <c r="D135" s="232" t="s">
        <v>871</v>
      </c>
      <c r="E135" s="317"/>
      <c r="F135" s="251"/>
      <c r="G135" s="254" t="s">
        <v>872</v>
      </c>
      <c r="H135" s="236">
        <v>724</v>
      </c>
      <c r="I135" s="488">
        <v>0</v>
      </c>
      <c r="J135" s="318" t="s">
        <v>1190</v>
      </c>
      <c r="L135" s="11"/>
      <c r="M135" s="69"/>
      <c r="N135" s="11"/>
      <c r="O135" s="11"/>
      <c r="P135" s="11"/>
      <c r="Q135" s="11"/>
      <c r="R135" s="11"/>
      <c r="S135" s="11"/>
    </row>
    <row r="136" spans="1:19" ht="20.100000000000001" customHeight="1">
      <c r="A136" s="11"/>
      <c r="B136" s="316" t="s">
        <v>873</v>
      </c>
      <c r="C136" s="259"/>
      <c r="D136" s="251" t="s">
        <v>874</v>
      </c>
      <c r="E136" s="317"/>
      <c r="F136" s="251"/>
      <c r="G136" s="492" t="s">
        <v>875</v>
      </c>
      <c r="H136" s="236">
        <v>295</v>
      </c>
      <c r="I136" s="488">
        <f>ROUND(H136*J$179,0)</f>
        <v>779</v>
      </c>
      <c r="J136" s="235" t="s">
        <v>1186</v>
      </c>
      <c r="L136" s="11"/>
      <c r="M136" s="69"/>
      <c r="N136" s="11"/>
      <c r="O136" s="11"/>
      <c r="P136" s="11"/>
      <c r="Q136" s="11"/>
      <c r="R136" s="11"/>
      <c r="S136" s="11"/>
    </row>
    <row r="137" spans="1:19" ht="20.100000000000001" customHeight="1">
      <c r="A137" s="11"/>
      <c r="B137" s="316" t="s">
        <v>877</v>
      </c>
      <c r="C137" s="259"/>
      <c r="D137" s="251" t="s">
        <v>878</v>
      </c>
      <c r="E137" s="317"/>
      <c r="F137" s="251"/>
      <c r="G137" s="492" t="s">
        <v>879</v>
      </c>
      <c r="H137" s="236">
        <v>1348</v>
      </c>
      <c r="I137" s="488">
        <f>ROUND(H137*J$179,0)</f>
        <v>3559</v>
      </c>
      <c r="J137" s="235" t="s">
        <v>1186</v>
      </c>
      <c r="L137" s="11"/>
      <c r="M137" s="69"/>
      <c r="N137" s="11"/>
      <c r="O137" s="11"/>
      <c r="P137" s="11"/>
      <c r="Q137" s="11"/>
      <c r="R137" s="11"/>
      <c r="S137" s="11"/>
    </row>
    <row r="138" spans="1:19" ht="20.100000000000001" customHeight="1">
      <c r="A138" s="11"/>
      <c r="B138" s="316" t="s">
        <v>880</v>
      </c>
      <c r="C138" s="259"/>
      <c r="D138" s="251" t="s">
        <v>881</v>
      </c>
      <c r="E138" s="317"/>
      <c r="F138" s="251"/>
      <c r="G138" s="492" t="s">
        <v>882</v>
      </c>
      <c r="H138" s="236">
        <v>935</v>
      </c>
      <c r="I138" s="488">
        <f>ROUND(H138*J$179,0)</f>
        <v>2468</v>
      </c>
      <c r="J138" s="235" t="s">
        <v>1186</v>
      </c>
      <c r="M138" s="69"/>
      <c r="N138" s="11"/>
      <c r="O138" s="11"/>
      <c r="P138" s="11"/>
      <c r="Q138" s="11"/>
      <c r="R138" s="11"/>
      <c r="S138" s="11"/>
    </row>
    <row r="139" spans="1:19" ht="20.100000000000001" customHeight="1">
      <c r="A139" s="11"/>
      <c r="B139" s="316" t="s">
        <v>883</v>
      </c>
      <c r="C139" s="259"/>
      <c r="D139" s="251" t="s">
        <v>884</v>
      </c>
      <c r="E139" s="317"/>
      <c r="F139" s="251"/>
      <c r="G139" s="492" t="s">
        <v>885</v>
      </c>
      <c r="H139" s="236">
        <v>746</v>
      </c>
      <c r="I139" s="488">
        <v>0</v>
      </c>
      <c r="J139" s="235" t="s">
        <v>1189</v>
      </c>
      <c r="L139" s="11"/>
      <c r="M139" s="11"/>
      <c r="N139" s="11"/>
      <c r="O139" s="11"/>
      <c r="P139" s="11"/>
      <c r="Q139" s="11"/>
      <c r="R139" s="11"/>
      <c r="S139" s="11"/>
    </row>
    <row r="140" spans="1:19" ht="20.100000000000001" customHeight="1">
      <c r="A140" s="11"/>
      <c r="B140" s="316" t="s">
        <v>886</v>
      </c>
      <c r="C140" s="259"/>
      <c r="D140" s="251" t="s">
        <v>887</v>
      </c>
      <c r="E140" s="317"/>
      <c r="F140" s="251"/>
      <c r="G140" s="492" t="s">
        <v>885</v>
      </c>
      <c r="H140" s="236">
        <v>901</v>
      </c>
      <c r="I140" s="488">
        <v>0</v>
      </c>
      <c r="J140" s="235" t="s">
        <v>887</v>
      </c>
      <c r="L140" s="11"/>
      <c r="M140" s="11"/>
      <c r="N140" s="11"/>
      <c r="O140" s="11"/>
      <c r="P140" s="11"/>
      <c r="Q140" s="11"/>
      <c r="R140" s="11"/>
      <c r="S140" s="11"/>
    </row>
    <row r="141" spans="1:19" ht="20.100000000000001" customHeight="1">
      <c r="A141" s="11"/>
      <c r="B141" s="316" t="s">
        <v>888</v>
      </c>
      <c r="C141" s="259"/>
      <c r="D141" s="251" t="s">
        <v>889</v>
      </c>
      <c r="E141" s="317"/>
      <c r="F141" s="251"/>
      <c r="G141" s="492" t="s">
        <v>890</v>
      </c>
      <c r="H141" s="236">
        <v>1163</v>
      </c>
      <c r="I141" s="488">
        <f>ROUND(H141*J$179,0)</f>
        <v>3070</v>
      </c>
      <c r="J141" s="235" t="s">
        <v>1195</v>
      </c>
      <c r="L141" s="11"/>
      <c r="M141" s="11"/>
      <c r="N141" s="11"/>
      <c r="O141" s="11"/>
      <c r="P141" s="11"/>
      <c r="Q141" s="11"/>
      <c r="R141" s="11"/>
      <c r="S141" s="11"/>
    </row>
    <row r="142" spans="1:19" ht="20.100000000000001" customHeight="1">
      <c r="A142" s="11"/>
      <c r="B142" s="316" t="s">
        <v>891</v>
      </c>
      <c r="C142" s="232"/>
      <c r="D142" s="319" t="s">
        <v>892</v>
      </c>
      <c r="E142" s="317"/>
      <c r="F142" s="251"/>
      <c r="G142" s="492" t="s">
        <v>893</v>
      </c>
      <c r="H142" s="236">
        <v>479</v>
      </c>
      <c r="I142" s="488">
        <v>0</v>
      </c>
      <c r="J142" s="235" t="s">
        <v>1191</v>
      </c>
      <c r="L142" s="11"/>
      <c r="M142" s="11"/>
      <c r="N142" s="11"/>
      <c r="O142" s="11"/>
      <c r="P142" s="11"/>
      <c r="Q142" s="11"/>
      <c r="R142" s="11"/>
      <c r="S142" s="11"/>
    </row>
    <row r="143" spans="1:19" ht="20.100000000000001" customHeight="1">
      <c r="A143" s="11"/>
      <c r="B143" s="316" t="s">
        <v>894</v>
      </c>
      <c r="C143" s="259"/>
      <c r="D143" s="251" t="s">
        <v>895</v>
      </c>
      <c r="E143" s="317"/>
      <c r="F143" s="251"/>
      <c r="G143" s="492" t="s">
        <v>896</v>
      </c>
      <c r="H143" s="236">
        <v>238</v>
      </c>
      <c r="I143" s="488">
        <f>ROUND(H143*J$179,0)</f>
        <v>628</v>
      </c>
      <c r="J143" s="235" t="s">
        <v>1186</v>
      </c>
      <c r="L143" s="11"/>
      <c r="M143" s="11"/>
      <c r="N143" s="11"/>
      <c r="O143" s="11"/>
      <c r="P143" s="11"/>
      <c r="Q143" s="11"/>
      <c r="R143" s="11"/>
      <c r="S143" s="11"/>
    </row>
    <row r="144" spans="1:19" ht="20.100000000000001" customHeight="1">
      <c r="A144" s="11"/>
      <c r="B144" s="316" t="s">
        <v>897</v>
      </c>
      <c r="C144" s="259"/>
      <c r="D144" s="251" t="s">
        <v>898</v>
      </c>
      <c r="E144" s="317"/>
      <c r="F144" s="251"/>
      <c r="G144" s="254" t="s">
        <v>899</v>
      </c>
      <c r="H144" s="236">
        <v>44</v>
      </c>
      <c r="I144" s="488">
        <f>ROUND(H144*J$179,0)</f>
        <v>116</v>
      </c>
      <c r="J144" s="235" t="s">
        <v>1194</v>
      </c>
      <c r="L144" s="11"/>
      <c r="M144" s="11"/>
      <c r="N144" s="11"/>
      <c r="O144" s="11"/>
      <c r="P144" s="11"/>
      <c r="Q144" s="11"/>
      <c r="R144" s="11"/>
      <c r="S144" s="11"/>
    </row>
    <row r="145" spans="1:19" ht="20.100000000000001" customHeight="1">
      <c r="A145" s="11"/>
      <c r="B145" s="316" t="s">
        <v>900</v>
      </c>
      <c r="C145" s="259"/>
      <c r="D145" s="251" t="s">
        <v>901</v>
      </c>
      <c r="E145" s="317"/>
      <c r="F145" s="251"/>
      <c r="G145" s="254" t="s">
        <v>896</v>
      </c>
      <c r="H145" s="236">
        <v>571</v>
      </c>
      <c r="I145" s="488">
        <f>ROUND(H145*J$179,0)</f>
        <v>1507</v>
      </c>
      <c r="J145" s="235" t="s">
        <v>1186</v>
      </c>
      <c r="L145" s="11"/>
      <c r="M145" s="11"/>
      <c r="N145" s="11"/>
      <c r="O145" s="11"/>
      <c r="P145" s="11"/>
      <c r="Q145" s="11"/>
      <c r="R145" s="11"/>
      <c r="S145" s="11"/>
    </row>
    <row r="146" spans="1:19" ht="20.100000000000001" customHeight="1">
      <c r="A146" s="11"/>
      <c r="B146" s="316" t="s">
        <v>902</v>
      </c>
      <c r="C146" s="259"/>
      <c r="D146" s="251" t="s">
        <v>903</v>
      </c>
      <c r="E146" s="317"/>
      <c r="F146" s="251"/>
      <c r="G146" s="254" t="s">
        <v>890</v>
      </c>
      <c r="H146" s="236">
        <v>1049</v>
      </c>
      <c r="I146" s="488">
        <v>0</v>
      </c>
      <c r="J146" s="235" t="s">
        <v>1193</v>
      </c>
      <c r="L146" s="11"/>
      <c r="M146" s="11"/>
      <c r="N146" s="11"/>
      <c r="O146" s="11"/>
      <c r="P146" s="11"/>
      <c r="Q146" s="11"/>
      <c r="R146" s="11"/>
      <c r="S146" s="11"/>
    </row>
    <row r="147" spans="1:19" ht="20.100000000000001" customHeight="1">
      <c r="A147" s="11"/>
      <c r="B147" s="316" t="s">
        <v>904</v>
      </c>
      <c r="C147" s="259"/>
      <c r="D147" s="251" t="s">
        <v>905</v>
      </c>
      <c r="E147" s="317"/>
      <c r="F147" s="251"/>
      <c r="G147" s="254" t="s">
        <v>906</v>
      </c>
      <c r="H147" s="236">
        <v>937</v>
      </c>
      <c r="I147" s="488">
        <f>ROUND(H147*J$179,0)</f>
        <v>2474</v>
      </c>
      <c r="J147" s="235" t="s">
        <v>1186</v>
      </c>
      <c r="L147" s="11"/>
      <c r="M147" s="11"/>
      <c r="N147" s="11"/>
      <c r="O147" s="11"/>
      <c r="P147" s="11"/>
      <c r="Q147" s="11"/>
      <c r="R147" s="11"/>
      <c r="S147" s="11"/>
    </row>
    <row r="148" spans="1:19" ht="20.100000000000001" customHeight="1">
      <c r="A148" s="11"/>
      <c r="B148" s="316" t="s">
        <v>907</v>
      </c>
      <c r="C148" s="259"/>
      <c r="D148" s="251" t="s">
        <v>908</v>
      </c>
      <c r="E148" s="317"/>
      <c r="F148" s="251"/>
      <c r="G148" s="492" t="s">
        <v>896</v>
      </c>
      <c r="H148" s="236">
        <v>764</v>
      </c>
      <c r="I148" s="488">
        <v>0</v>
      </c>
      <c r="J148" s="235" t="s">
        <v>1193</v>
      </c>
      <c r="L148" s="11"/>
      <c r="M148" s="11"/>
      <c r="N148" s="11"/>
      <c r="O148" s="11"/>
      <c r="P148" s="11"/>
      <c r="Q148" s="11"/>
      <c r="R148" s="11"/>
      <c r="S148" s="11"/>
    </row>
    <row r="149" spans="1:19" ht="20.100000000000001" customHeight="1">
      <c r="A149" s="11"/>
      <c r="B149" s="316" t="s">
        <v>909</v>
      </c>
      <c r="C149" s="259"/>
      <c r="D149" s="251" t="s">
        <v>910</v>
      </c>
      <c r="E149" s="317"/>
      <c r="F149" s="251"/>
      <c r="G149" s="492" t="s">
        <v>911</v>
      </c>
      <c r="H149" s="236">
        <v>498</v>
      </c>
      <c r="I149" s="488">
        <f>ROUND(H149*J$179,0)</f>
        <v>1315</v>
      </c>
      <c r="J149" s="235" t="s">
        <v>1186</v>
      </c>
      <c r="L149" s="11"/>
      <c r="M149" s="11"/>
      <c r="N149" s="11"/>
      <c r="O149" s="11"/>
      <c r="P149" s="11"/>
      <c r="Q149" s="11"/>
      <c r="R149" s="11"/>
      <c r="S149" s="11"/>
    </row>
    <row r="150" spans="1:19" ht="20.100000000000001" customHeight="1">
      <c r="A150" s="11"/>
      <c r="B150" s="316" t="s">
        <v>912</v>
      </c>
      <c r="C150" s="259"/>
      <c r="D150" s="251" t="s">
        <v>913</v>
      </c>
      <c r="E150" s="317"/>
      <c r="F150" s="251"/>
      <c r="G150" s="492" t="s">
        <v>914</v>
      </c>
      <c r="H150" s="236">
        <v>499</v>
      </c>
      <c r="I150" s="488">
        <f>ROUND(H150*J$179,0)</f>
        <v>1317</v>
      </c>
      <c r="J150" s="235" t="s">
        <v>1186</v>
      </c>
      <c r="L150" s="11"/>
      <c r="M150" s="11"/>
      <c r="N150" s="11"/>
      <c r="O150" s="11"/>
      <c r="P150" s="11"/>
      <c r="Q150" s="11"/>
      <c r="R150" s="11"/>
      <c r="S150" s="11"/>
    </row>
    <row r="151" spans="1:19" ht="20.100000000000001" customHeight="1">
      <c r="A151" s="11"/>
      <c r="B151" s="316" t="s">
        <v>915</v>
      </c>
      <c r="C151" s="259"/>
      <c r="D151" s="251" t="s">
        <v>916</v>
      </c>
      <c r="E151" s="317"/>
      <c r="F151" s="251"/>
      <c r="G151" s="492" t="s">
        <v>917</v>
      </c>
      <c r="H151" s="236">
        <v>417</v>
      </c>
      <c r="I151" s="488">
        <v>0</v>
      </c>
      <c r="J151" s="235" t="s">
        <v>1193</v>
      </c>
      <c r="L151" s="11"/>
      <c r="M151" s="11"/>
      <c r="N151" s="11"/>
      <c r="O151" s="11"/>
      <c r="P151" s="11"/>
      <c r="Q151" s="11"/>
      <c r="R151" s="11"/>
      <c r="S151" s="11"/>
    </row>
    <row r="152" spans="1:19" ht="20.100000000000001" customHeight="1">
      <c r="A152" s="11"/>
      <c r="B152" s="316" t="s">
        <v>918</v>
      </c>
      <c r="C152" s="259"/>
      <c r="D152" s="251" t="s">
        <v>919</v>
      </c>
      <c r="E152" s="317"/>
      <c r="F152" s="251"/>
      <c r="G152" s="492" t="s">
        <v>875</v>
      </c>
      <c r="H152" s="236">
        <v>1040</v>
      </c>
      <c r="I152" s="488">
        <v>0</v>
      </c>
      <c r="J152" s="235" t="s">
        <v>1192</v>
      </c>
      <c r="L152" s="11"/>
      <c r="M152" s="11"/>
      <c r="N152" s="11"/>
      <c r="O152" s="11"/>
      <c r="P152" s="11"/>
      <c r="Q152" s="11"/>
      <c r="R152" s="11"/>
      <c r="S152" s="11"/>
    </row>
    <row r="153" spans="1:19" ht="20.100000000000001" customHeight="1">
      <c r="A153" s="11"/>
      <c r="B153" s="316" t="s">
        <v>920</v>
      </c>
      <c r="C153" s="259"/>
      <c r="D153" s="251" t="s">
        <v>921</v>
      </c>
      <c r="E153" s="317"/>
      <c r="F153" s="251"/>
      <c r="G153" s="492" t="s">
        <v>922</v>
      </c>
      <c r="H153" s="236">
        <v>297</v>
      </c>
      <c r="I153" s="488">
        <f>ROUND(H153*J$179,0)</f>
        <v>784</v>
      </c>
      <c r="J153" s="235" t="s">
        <v>1186</v>
      </c>
      <c r="L153" s="11"/>
      <c r="M153" s="11"/>
      <c r="N153" s="11"/>
      <c r="O153" s="11"/>
      <c r="P153" s="11"/>
      <c r="Q153" s="11"/>
      <c r="R153" s="11"/>
      <c r="S153" s="11"/>
    </row>
    <row r="154" spans="1:19" ht="20.100000000000001" customHeight="1">
      <c r="A154" s="11"/>
      <c r="B154" s="316" t="s">
        <v>923</v>
      </c>
      <c r="C154" s="259"/>
      <c r="D154" s="251" t="s">
        <v>924</v>
      </c>
      <c r="E154" s="317"/>
      <c r="F154" s="251"/>
      <c r="G154" s="254" t="s">
        <v>899</v>
      </c>
      <c r="H154" s="236">
        <v>151</v>
      </c>
      <c r="I154" s="488">
        <f>ROUND(H154*J$179,0)</f>
        <v>399</v>
      </c>
      <c r="J154" s="235" t="s">
        <v>1194</v>
      </c>
      <c r="L154" s="11"/>
      <c r="M154" s="11"/>
      <c r="N154" s="11"/>
      <c r="O154" s="11"/>
      <c r="P154" s="11"/>
      <c r="Q154" s="11"/>
      <c r="R154" s="11"/>
      <c r="S154" s="11"/>
    </row>
    <row r="155" spans="1:19" ht="20.100000000000001" customHeight="1">
      <c r="A155" s="11"/>
      <c r="B155" s="316" t="s">
        <v>925</v>
      </c>
      <c r="C155" s="259"/>
      <c r="D155" s="251" t="s">
        <v>926</v>
      </c>
      <c r="E155" s="317"/>
      <c r="F155" s="251"/>
      <c r="G155" s="492" t="s">
        <v>906</v>
      </c>
      <c r="H155" s="236">
        <v>239</v>
      </c>
      <c r="I155" s="236">
        <f>ROUND(H155*J$179,0)</f>
        <v>631</v>
      </c>
      <c r="J155" s="235" t="s">
        <v>1186</v>
      </c>
      <c r="L155" s="11"/>
      <c r="M155" s="11"/>
      <c r="N155" s="11"/>
      <c r="O155" s="11"/>
      <c r="P155" s="11"/>
      <c r="Q155" s="11"/>
      <c r="R155" s="11"/>
      <c r="S155" s="11"/>
    </row>
    <row r="156" spans="1:19" ht="20.100000000000001" customHeight="1">
      <c r="A156" s="11"/>
      <c r="B156" s="320" t="s">
        <v>927</v>
      </c>
      <c r="C156" s="50"/>
      <c r="D156" s="232" t="s">
        <v>928</v>
      </c>
      <c r="E156" s="321"/>
      <c r="F156" s="232"/>
      <c r="G156" s="492" t="s">
        <v>929</v>
      </c>
      <c r="H156" s="488">
        <v>286</v>
      </c>
      <c r="I156" s="488">
        <f>ROUND(H156*J$179,0)</f>
        <v>755</v>
      </c>
      <c r="J156" s="235" t="s">
        <v>1194</v>
      </c>
      <c r="L156" s="11"/>
      <c r="M156" s="11"/>
      <c r="N156" s="11"/>
      <c r="O156" s="11"/>
      <c r="P156" s="11"/>
      <c r="Q156" s="11"/>
      <c r="R156" s="11"/>
      <c r="S156" s="11"/>
    </row>
    <row r="157" spans="1:19" ht="20.100000000000001" customHeight="1">
      <c r="A157" s="11"/>
      <c r="B157" s="320" t="s">
        <v>930</v>
      </c>
      <c r="C157" s="50"/>
      <c r="D157" s="232" t="s">
        <v>931</v>
      </c>
      <c r="E157" s="321"/>
      <c r="F157" s="232"/>
      <c r="G157" s="254" t="s">
        <v>899</v>
      </c>
      <c r="H157" s="488">
        <v>897</v>
      </c>
      <c r="I157" s="488">
        <v>0</v>
      </c>
      <c r="J157" s="235" t="s">
        <v>1197</v>
      </c>
      <c r="L157" s="11"/>
      <c r="M157" s="11"/>
      <c r="N157" s="11"/>
      <c r="O157" s="11"/>
      <c r="P157" s="11"/>
      <c r="Q157" s="11"/>
      <c r="R157" s="11"/>
      <c r="S157" s="11"/>
    </row>
    <row r="158" spans="1:19" ht="20.100000000000001" customHeight="1">
      <c r="A158" s="11"/>
      <c r="B158" s="320" t="s">
        <v>932</v>
      </c>
      <c r="C158" s="50"/>
      <c r="D158" s="232" t="s">
        <v>933</v>
      </c>
      <c r="E158" s="321"/>
      <c r="F158" s="232"/>
      <c r="G158" s="254" t="s">
        <v>876</v>
      </c>
      <c r="H158" s="488">
        <v>48</v>
      </c>
      <c r="I158" s="488">
        <f t="shared" ref="I158:I167" si="11">ROUND(H158*J$179,0)</f>
        <v>127</v>
      </c>
      <c r="J158" s="235" t="s">
        <v>1194</v>
      </c>
      <c r="L158" s="11"/>
      <c r="M158" s="11"/>
      <c r="N158" s="11"/>
      <c r="O158" s="11"/>
      <c r="P158" s="11"/>
      <c r="Q158" s="11"/>
      <c r="R158" s="11"/>
      <c r="S158" s="11"/>
    </row>
    <row r="159" spans="1:19" ht="20.100000000000001" customHeight="1">
      <c r="A159" s="11"/>
      <c r="B159" s="320" t="s">
        <v>934</v>
      </c>
      <c r="C159" s="50"/>
      <c r="D159" s="232" t="s">
        <v>935</v>
      </c>
      <c r="E159" s="321"/>
      <c r="F159" s="232"/>
      <c r="G159" s="254" t="s">
        <v>876</v>
      </c>
      <c r="H159" s="488">
        <v>148</v>
      </c>
      <c r="I159" s="488">
        <f t="shared" si="11"/>
        <v>391</v>
      </c>
      <c r="J159" s="235" t="s">
        <v>1194</v>
      </c>
      <c r="L159" s="11"/>
      <c r="M159" s="11"/>
      <c r="N159" s="11"/>
      <c r="O159" s="11"/>
      <c r="P159" s="11"/>
      <c r="Q159" s="11"/>
      <c r="R159" s="11"/>
      <c r="S159" s="11"/>
    </row>
    <row r="160" spans="1:19" ht="20.100000000000001" customHeight="1">
      <c r="A160" s="11"/>
      <c r="B160" s="320" t="s">
        <v>936</v>
      </c>
      <c r="C160" s="50"/>
      <c r="D160" s="232" t="s">
        <v>937</v>
      </c>
      <c r="E160" s="321"/>
      <c r="F160" s="232"/>
      <c r="G160" s="254" t="s">
        <v>876</v>
      </c>
      <c r="H160" s="488">
        <v>221</v>
      </c>
      <c r="I160" s="488">
        <f t="shared" si="11"/>
        <v>583</v>
      </c>
      <c r="J160" s="235" t="s">
        <v>1194</v>
      </c>
      <c r="L160" s="11"/>
      <c r="M160" s="11"/>
      <c r="N160" s="11"/>
      <c r="O160" s="11"/>
      <c r="P160" s="11"/>
      <c r="Q160" s="11"/>
      <c r="R160" s="11"/>
      <c r="S160" s="11"/>
    </row>
    <row r="161" spans="1:19" ht="20.100000000000001" customHeight="1">
      <c r="A161" s="11"/>
      <c r="B161" s="320" t="s">
        <v>938</v>
      </c>
      <c r="C161" s="50"/>
      <c r="D161" s="232" t="s">
        <v>939</v>
      </c>
      <c r="E161" s="321"/>
      <c r="F161" s="232"/>
      <c r="G161" s="254" t="s">
        <v>876</v>
      </c>
      <c r="H161" s="488">
        <v>146</v>
      </c>
      <c r="I161" s="488">
        <f t="shared" si="11"/>
        <v>385</v>
      </c>
      <c r="J161" s="235" t="s">
        <v>1194</v>
      </c>
      <c r="L161" s="11"/>
      <c r="M161" s="11"/>
      <c r="N161" s="11"/>
      <c r="O161" s="11"/>
      <c r="P161" s="11"/>
      <c r="Q161" s="11"/>
      <c r="R161" s="11"/>
      <c r="S161" s="11"/>
    </row>
    <row r="162" spans="1:19" ht="20.100000000000001" customHeight="1">
      <c r="A162" s="11"/>
      <c r="B162" s="320" t="s">
        <v>940</v>
      </c>
      <c r="C162" s="50"/>
      <c r="D162" s="232" t="s">
        <v>941</v>
      </c>
      <c r="E162" s="321"/>
      <c r="F162" s="232"/>
      <c r="G162" s="254" t="s">
        <v>876</v>
      </c>
      <c r="H162" s="488">
        <v>230</v>
      </c>
      <c r="I162" s="488">
        <f t="shared" si="11"/>
        <v>607</v>
      </c>
      <c r="J162" s="235" t="s">
        <v>1194</v>
      </c>
      <c r="L162" s="11"/>
      <c r="M162" s="11"/>
      <c r="N162" s="11"/>
      <c r="O162" s="11"/>
      <c r="P162" s="11"/>
      <c r="Q162" s="11"/>
      <c r="R162" s="11"/>
      <c r="S162" s="11"/>
    </row>
    <row r="163" spans="1:19" ht="20.100000000000001" customHeight="1">
      <c r="A163" s="11"/>
      <c r="B163" s="320" t="s">
        <v>942</v>
      </c>
      <c r="C163" s="50"/>
      <c r="D163" s="232" t="s">
        <v>943</v>
      </c>
      <c r="E163" s="321"/>
      <c r="F163" s="232"/>
      <c r="G163" s="254" t="s">
        <v>876</v>
      </c>
      <c r="H163" s="488">
        <v>915</v>
      </c>
      <c r="I163" s="488">
        <f t="shared" si="11"/>
        <v>2416</v>
      </c>
      <c r="J163" s="235" t="s">
        <v>1194</v>
      </c>
      <c r="L163" s="11"/>
      <c r="M163" s="11"/>
      <c r="N163" s="11"/>
      <c r="O163" s="11"/>
      <c r="P163" s="11"/>
      <c r="Q163" s="11"/>
      <c r="R163" s="11"/>
      <c r="S163" s="11"/>
    </row>
    <row r="164" spans="1:19" ht="20.100000000000001" customHeight="1">
      <c r="A164" s="11"/>
      <c r="B164" s="320" t="s">
        <v>944</v>
      </c>
      <c r="C164" s="50"/>
      <c r="D164" s="232" t="s">
        <v>945</v>
      </c>
      <c r="E164" s="321"/>
      <c r="F164" s="232"/>
      <c r="G164" s="254" t="s">
        <v>876</v>
      </c>
      <c r="H164" s="488">
        <v>285</v>
      </c>
      <c r="I164" s="488">
        <f t="shared" si="11"/>
        <v>752</v>
      </c>
      <c r="J164" s="235" t="s">
        <v>1194</v>
      </c>
      <c r="L164" s="11"/>
      <c r="M164" s="11"/>
      <c r="N164" s="11"/>
      <c r="O164" s="11"/>
      <c r="P164" s="11"/>
      <c r="Q164" s="11"/>
      <c r="R164" s="11"/>
      <c r="S164" s="11"/>
    </row>
    <row r="165" spans="1:19" ht="20.100000000000001" customHeight="1">
      <c r="A165" s="11"/>
      <c r="B165" s="320" t="s">
        <v>946</v>
      </c>
      <c r="C165" s="50"/>
      <c r="D165" s="232" t="s">
        <v>947</v>
      </c>
      <c r="E165" s="321"/>
      <c r="F165" s="232"/>
      <c r="G165" s="254" t="s">
        <v>876</v>
      </c>
      <c r="H165" s="488">
        <v>910</v>
      </c>
      <c r="I165" s="488">
        <f t="shared" si="11"/>
        <v>2402</v>
      </c>
      <c r="J165" s="235" t="s">
        <v>1194</v>
      </c>
      <c r="L165" s="11"/>
      <c r="M165" s="11"/>
      <c r="N165" s="11"/>
      <c r="O165" s="11"/>
      <c r="P165" s="11"/>
      <c r="Q165" s="11"/>
      <c r="R165" s="11"/>
      <c r="S165" s="11"/>
    </row>
    <row r="166" spans="1:19" ht="20.100000000000001" customHeight="1">
      <c r="A166" s="11"/>
      <c r="B166" s="320" t="s">
        <v>948</v>
      </c>
      <c r="C166" s="50"/>
      <c r="D166" s="232" t="s">
        <v>949</v>
      </c>
      <c r="E166" s="321"/>
      <c r="F166" s="232"/>
      <c r="G166" s="254" t="s">
        <v>876</v>
      </c>
      <c r="H166" s="488">
        <v>297</v>
      </c>
      <c r="I166" s="488">
        <f t="shared" si="11"/>
        <v>784</v>
      </c>
      <c r="J166" s="235" t="s">
        <v>1194</v>
      </c>
      <c r="L166" s="11"/>
      <c r="M166" s="11"/>
      <c r="N166" s="11"/>
      <c r="O166" s="11"/>
      <c r="P166" s="11"/>
      <c r="Q166" s="11"/>
      <c r="R166" s="11"/>
      <c r="S166" s="11"/>
    </row>
    <row r="167" spans="1:19" ht="20.100000000000001" customHeight="1">
      <c r="A167" s="11"/>
      <c r="B167" s="320" t="s">
        <v>950</v>
      </c>
      <c r="C167" s="50"/>
      <c r="D167" s="232" t="s">
        <v>951</v>
      </c>
      <c r="E167" s="321"/>
      <c r="F167" s="232"/>
      <c r="G167" s="254" t="s">
        <v>876</v>
      </c>
      <c r="H167" s="488">
        <v>170</v>
      </c>
      <c r="I167" s="488">
        <f t="shared" si="11"/>
        <v>449</v>
      </c>
      <c r="J167" s="235" t="s">
        <v>1194</v>
      </c>
      <c r="L167" s="11"/>
      <c r="M167" s="11"/>
      <c r="N167" s="11"/>
      <c r="O167" s="11"/>
      <c r="P167" s="11"/>
      <c r="Q167" s="11"/>
      <c r="R167" s="11"/>
      <c r="S167" s="11"/>
    </row>
    <row r="168" spans="1:19" ht="20.100000000000001" customHeight="1">
      <c r="A168" s="11"/>
      <c r="B168" s="320" t="s">
        <v>952</v>
      </c>
      <c r="C168" s="50"/>
      <c r="D168" s="232" t="s">
        <v>953</v>
      </c>
      <c r="E168" s="321"/>
      <c r="F168" s="232"/>
      <c r="G168" s="492" t="s">
        <v>954</v>
      </c>
      <c r="H168" s="488">
        <v>504</v>
      </c>
      <c r="I168" s="488">
        <v>0</v>
      </c>
      <c r="J168" s="235" t="s">
        <v>1190</v>
      </c>
      <c r="L168" s="11"/>
      <c r="M168" s="11"/>
      <c r="N168" s="11"/>
      <c r="O168" s="11"/>
      <c r="P168" s="11"/>
      <c r="Q168" s="11"/>
      <c r="R168" s="11"/>
      <c r="S168" s="11"/>
    </row>
    <row r="169" spans="1:19" ht="20.100000000000001" customHeight="1">
      <c r="A169" s="11"/>
      <c r="B169" s="49" t="s">
        <v>955</v>
      </c>
      <c r="C169" s="50"/>
      <c r="D169" s="232" t="s">
        <v>956</v>
      </c>
      <c r="E169" s="321"/>
      <c r="F169" s="232"/>
      <c r="G169" s="492" t="s">
        <v>957</v>
      </c>
      <c r="H169" s="488">
        <v>720</v>
      </c>
      <c r="I169" s="488">
        <v>0</v>
      </c>
      <c r="J169" s="235" t="s">
        <v>1190</v>
      </c>
      <c r="L169" s="11"/>
      <c r="M169" s="11"/>
      <c r="N169" s="11"/>
      <c r="O169" s="11"/>
      <c r="P169" s="11"/>
      <c r="Q169" s="11"/>
      <c r="R169" s="11"/>
      <c r="S169" s="11"/>
    </row>
    <row r="170" spans="1:19" ht="20.100000000000001" customHeight="1">
      <c r="A170" s="11"/>
      <c r="B170" s="49" t="s">
        <v>955</v>
      </c>
      <c r="C170" s="50"/>
      <c r="D170" s="232" t="s">
        <v>958</v>
      </c>
      <c r="E170" s="321"/>
      <c r="F170" s="232"/>
      <c r="G170" s="492" t="s">
        <v>957</v>
      </c>
      <c r="H170" s="488">
        <v>736</v>
      </c>
      <c r="I170" s="488">
        <v>0</v>
      </c>
      <c r="J170" s="235" t="s">
        <v>1190</v>
      </c>
      <c r="L170" s="11"/>
      <c r="M170" s="11"/>
      <c r="N170" s="11"/>
      <c r="O170" s="11"/>
      <c r="P170" s="11"/>
      <c r="Q170" s="11"/>
      <c r="R170" s="11"/>
      <c r="S170" s="11"/>
    </row>
    <row r="171" spans="1:19" ht="20.100000000000001" customHeight="1">
      <c r="A171" s="11"/>
      <c r="B171" s="49" t="s">
        <v>959</v>
      </c>
      <c r="C171" s="50"/>
      <c r="D171" s="232" t="s">
        <v>960</v>
      </c>
      <c r="E171" s="321"/>
      <c r="F171" s="232"/>
      <c r="G171" s="492" t="s">
        <v>961</v>
      </c>
      <c r="H171" s="488">
        <v>438</v>
      </c>
      <c r="I171" s="488">
        <f>ROUND(H171*J$179,0)</f>
        <v>1156</v>
      </c>
      <c r="J171" s="235" t="s">
        <v>1186</v>
      </c>
      <c r="L171" s="11"/>
      <c r="M171" s="11"/>
      <c r="N171" s="11"/>
      <c r="O171" s="11"/>
      <c r="P171" s="11"/>
      <c r="Q171" s="11"/>
      <c r="R171" s="11"/>
      <c r="S171" s="11"/>
    </row>
    <row r="172" spans="1:19" ht="20.100000000000001" customHeight="1">
      <c r="A172" s="11"/>
      <c r="B172" s="322" t="s">
        <v>962</v>
      </c>
      <c r="C172" s="258"/>
      <c r="D172" s="323" t="s">
        <v>963</v>
      </c>
      <c r="E172" s="324"/>
      <c r="F172" s="232"/>
      <c r="G172" s="492" t="s">
        <v>964</v>
      </c>
      <c r="H172" s="488">
        <v>265</v>
      </c>
      <c r="I172" s="488">
        <f>ROUND(H172*J$179,0)</f>
        <v>700</v>
      </c>
      <c r="J172" s="235" t="s">
        <v>1186</v>
      </c>
      <c r="L172" s="11"/>
      <c r="M172" s="11"/>
      <c r="N172" s="11"/>
      <c r="O172" s="11"/>
      <c r="P172" s="11"/>
      <c r="Q172" s="11"/>
      <c r="R172" s="11"/>
      <c r="S172" s="11"/>
    </row>
    <row r="173" spans="1:19" ht="20.100000000000001" customHeight="1">
      <c r="A173" s="11"/>
      <c r="B173" s="322" t="s">
        <v>965</v>
      </c>
      <c r="C173" s="258"/>
      <c r="D173" s="323" t="s">
        <v>966</v>
      </c>
      <c r="E173" s="324"/>
      <c r="F173" s="232"/>
      <c r="G173" s="492" t="s">
        <v>967</v>
      </c>
      <c r="H173" s="488">
        <v>425</v>
      </c>
      <c r="I173" s="488">
        <f>ROUND(H173*J$179,0)</f>
        <v>1122</v>
      </c>
      <c r="J173" s="235" t="s">
        <v>1186</v>
      </c>
      <c r="L173" s="325"/>
      <c r="M173" s="325"/>
      <c r="N173" s="325"/>
      <c r="O173" s="11"/>
      <c r="P173" s="11"/>
      <c r="Q173" s="11"/>
      <c r="R173" s="11"/>
      <c r="S173" s="11"/>
    </row>
    <row r="174" spans="1:19" ht="20.100000000000001" customHeight="1">
      <c r="A174" s="11"/>
      <c r="B174" s="322" t="s">
        <v>968</v>
      </c>
      <c r="C174" s="258"/>
      <c r="D174" s="323" t="s">
        <v>969</v>
      </c>
      <c r="E174" s="324"/>
      <c r="F174" s="232"/>
      <c r="G174" s="492" t="s">
        <v>954</v>
      </c>
      <c r="H174" s="488">
        <v>271</v>
      </c>
      <c r="I174" s="488">
        <f>ROUND(H174*J$179,0)</f>
        <v>715</v>
      </c>
      <c r="J174" s="235" t="s">
        <v>1186</v>
      </c>
      <c r="L174" s="325"/>
      <c r="M174" s="325"/>
      <c r="N174" s="325"/>
      <c r="O174" s="11"/>
      <c r="P174" s="11"/>
      <c r="Q174" s="11"/>
      <c r="R174" s="11"/>
      <c r="S174" s="11"/>
    </row>
    <row r="175" spans="1:19" ht="20.100000000000001" customHeight="1">
      <c r="A175" s="11"/>
      <c r="B175" s="322" t="s">
        <v>970</v>
      </c>
      <c r="C175" s="258"/>
      <c r="D175" s="323" t="s">
        <v>971</v>
      </c>
      <c r="E175" s="324"/>
      <c r="F175" s="232"/>
      <c r="G175" s="492" t="s">
        <v>954</v>
      </c>
      <c r="H175" s="488">
        <v>136</v>
      </c>
      <c r="I175" s="488">
        <f>ROUND(H175*J$179,0)</f>
        <v>359</v>
      </c>
      <c r="J175" s="235" t="s">
        <v>1186</v>
      </c>
      <c r="L175" s="326"/>
      <c r="M175" s="326"/>
      <c r="N175" s="326"/>
      <c r="O175" s="11"/>
      <c r="P175" s="11"/>
      <c r="Q175" s="11"/>
      <c r="R175" s="11"/>
      <c r="S175" s="11"/>
    </row>
    <row r="176" spans="1:19" ht="20.100000000000001" customHeight="1">
      <c r="A176" s="11"/>
      <c r="B176" s="322" t="s">
        <v>972</v>
      </c>
      <c r="C176" s="258"/>
      <c r="D176" s="323" t="s">
        <v>973</v>
      </c>
      <c r="E176" s="324"/>
      <c r="F176" s="232"/>
      <c r="G176" s="492" t="s">
        <v>974</v>
      </c>
      <c r="H176" s="488">
        <v>457</v>
      </c>
      <c r="I176" s="488">
        <v>0</v>
      </c>
      <c r="J176" s="235" t="s">
        <v>1190</v>
      </c>
      <c r="L176" s="327"/>
      <c r="M176" s="327"/>
      <c r="N176" s="327"/>
      <c r="O176" s="11"/>
      <c r="P176" s="11"/>
      <c r="Q176" s="11"/>
      <c r="R176" s="11"/>
      <c r="S176" s="11"/>
    </row>
    <row r="177" spans="1:19" ht="20.100000000000001" customHeight="1">
      <c r="A177" s="11"/>
      <c r="B177" s="322" t="s">
        <v>975</v>
      </c>
      <c r="C177" s="258"/>
      <c r="D177" s="323" t="s">
        <v>976</v>
      </c>
      <c r="E177" s="324"/>
      <c r="F177" s="232"/>
      <c r="G177" s="492" t="s">
        <v>957</v>
      </c>
      <c r="H177" s="488">
        <v>398</v>
      </c>
      <c r="I177" s="488">
        <v>0</v>
      </c>
      <c r="J177" s="235" t="s">
        <v>1190</v>
      </c>
      <c r="L177" s="11"/>
      <c r="M177" s="11"/>
      <c r="N177" s="11"/>
      <c r="O177" s="11"/>
      <c r="P177" s="11"/>
      <c r="Q177" s="11"/>
      <c r="R177" s="11"/>
      <c r="S177" s="11"/>
    </row>
    <row r="178" spans="1:19" ht="20.100000000000001" customHeight="1">
      <c r="A178" s="11"/>
      <c r="B178" s="322" t="s">
        <v>977</v>
      </c>
      <c r="C178" s="258"/>
      <c r="D178" s="323" t="s">
        <v>978</v>
      </c>
      <c r="E178" s="324"/>
      <c r="F178" s="323"/>
      <c r="G178" s="328" t="s">
        <v>979</v>
      </c>
      <c r="H178" s="239">
        <v>1039</v>
      </c>
      <c r="I178" s="239">
        <v>0</v>
      </c>
      <c r="J178" s="536" t="s">
        <v>1190</v>
      </c>
      <c r="L178" s="11"/>
      <c r="M178" s="11"/>
      <c r="N178" s="11"/>
      <c r="O178" s="11"/>
      <c r="P178" s="11"/>
      <c r="Q178" s="11"/>
      <c r="R178" s="11"/>
      <c r="S178" s="11"/>
    </row>
    <row r="179" spans="1:19" ht="20.100000000000001" customHeight="1">
      <c r="A179" s="11"/>
      <c r="B179" s="901" t="s">
        <v>980</v>
      </c>
      <c r="C179" s="902"/>
      <c r="D179" s="902"/>
      <c r="E179" s="902"/>
      <c r="F179" s="903"/>
      <c r="G179" s="241"/>
      <c r="H179" s="240">
        <f>SUM(H135:H178)</f>
        <v>23277</v>
      </c>
      <c r="I179" s="240">
        <f>SUM(I135:I178)</f>
        <v>32750</v>
      </c>
      <c r="J179" s="535">
        <f>M3</f>
        <v>2.64</v>
      </c>
      <c r="L179" s="11"/>
      <c r="M179" s="11"/>
      <c r="N179" s="11"/>
      <c r="O179" s="11"/>
      <c r="P179" s="11"/>
      <c r="Q179" s="11"/>
      <c r="R179" s="11"/>
      <c r="S179" s="11"/>
    </row>
    <row r="180" spans="1:19" ht="20.100000000000001" customHeight="1">
      <c r="B180" s="200" t="s">
        <v>981</v>
      </c>
      <c r="L180" s="11"/>
      <c r="M180" s="11"/>
      <c r="N180" s="11"/>
      <c r="O180" s="11"/>
      <c r="P180" s="11"/>
      <c r="Q180" s="11"/>
      <c r="R180" s="11"/>
      <c r="S180" s="11"/>
    </row>
    <row r="181" spans="1:19" ht="24.95" customHeight="1">
      <c r="L181" s="11"/>
      <c r="M181" s="11"/>
      <c r="N181" s="11"/>
      <c r="O181" s="11"/>
      <c r="P181" s="11"/>
      <c r="Q181" s="11"/>
      <c r="R181" s="11"/>
      <c r="S181" s="11"/>
    </row>
    <row r="182" spans="1:19" ht="24.95" customHeight="1">
      <c r="L182" s="11"/>
      <c r="M182" s="11"/>
      <c r="N182" s="11"/>
      <c r="O182" s="11"/>
      <c r="P182" s="11"/>
      <c r="Q182" s="11"/>
      <c r="R182" s="11"/>
      <c r="S182" s="11"/>
    </row>
    <row r="183" spans="1:19" ht="24.95" customHeight="1">
      <c r="L183" s="11"/>
      <c r="M183" s="11"/>
      <c r="N183" s="11"/>
      <c r="O183" s="11"/>
      <c r="P183" s="11"/>
      <c r="Q183" s="11"/>
      <c r="R183" s="11"/>
      <c r="S183" s="11"/>
    </row>
    <row r="184" spans="1:19" ht="24.95" customHeight="1">
      <c r="L184" s="11"/>
      <c r="M184" s="11"/>
      <c r="N184" s="11"/>
      <c r="O184" s="11"/>
      <c r="P184" s="11"/>
      <c r="Q184" s="11"/>
      <c r="R184" s="11"/>
      <c r="S184" s="11"/>
    </row>
    <row r="185" spans="1:19" ht="24.9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L185" s="11"/>
      <c r="M185" s="11"/>
      <c r="N185" s="11"/>
      <c r="O185" s="11"/>
      <c r="P185" s="11"/>
      <c r="Q185" s="11"/>
      <c r="R185" s="11"/>
      <c r="S185" s="11"/>
    </row>
    <row r="186" spans="1:19" ht="24.9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L186" s="11"/>
      <c r="M186" s="11"/>
      <c r="N186" s="11"/>
      <c r="O186" s="11"/>
      <c r="P186" s="11"/>
      <c r="Q186" s="11"/>
      <c r="R186" s="11"/>
      <c r="S186" s="11"/>
    </row>
    <row r="187" spans="1:19" ht="24.9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L187" s="11"/>
      <c r="M187" s="11"/>
      <c r="N187" s="11"/>
      <c r="O187" s="11"/>
      <c r="P187" s="11"/>
      <c r="Q187" s="11"/>
      <c r="R187" s="11"/>
      <c r="S187" s="11"/>
    </row>
    <row r="188" spans="1:19" ht="24.9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L188" s="11"/>
      <c r="M188" s="11"/>
      <c r="N188" s="11"/>
      <c r="O188" s="11"/>
      <c r="P188" s="11"/>
      <c r="Q188" s="11"/>
      <c r="R188" s="11"/>
      <c r="S188" s="11"/>
    </row>
    <row r="189" spans="1:19" ht="24.9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L189" s="11"/>
      <c r="M189" s="11"/>
      <c r="N189" s="11"/>
      <c r="O189" s="11"/>
      <c r="P189" s="11"/>
      <c r="Q189" s="11"/>
      <c r="R189" s="11"/>
      <c r="S189" s="11"/>
    </row>
    <row r="190" spans="1:19" ht="24.9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L190" s="11"/>
      <c r="M190" s="11"/>
      <c r="N190" s="11"/>
      <c r="O190" s="11"/>
      <c r="P190" s="11"/>
      <c r="Q190" s="11"/>
      <c r="R190" s="11"/>
      <c r="S190" s="11"/>
    </row>
    <row r="191" spans="1:19" ht="24.9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9" ht="24.95" customHeight="1">
      <c r="K192" s="200"/>
    </row>
    <row r="193" spans="11:19" ht="24.95" customHeight="1">
      <c r="K193" s="200"/>
    </row>
    <row r="194" spans="11:19" ht="24.95" customHeight="1">
      <c r="K194" s="200"/>
    </row>
    <row r="195" spans="11:19" ht="24.95" customHeight="1">
      <c r="L195" s="329"/>
      <c r="M195" s="11"/>
      <c r="N195" s="11"/>
      <c r="O195" s="11"/>
      <c r="P195" s="11"/>
      <c r="Q195" s="11"/>
      <c r="R195" s="11"/>
      <c r="S195" s="11"/>
    </row>
    <row r="196" spans="11:19" ht="24.95" customHeight="1">
      <c r="L196" s="11"/>
      <c r="M196" s="11"/>
      <c r="N196" s="11"/>
      <c r="O196" s="11"/>
      <c r="P196" s="11"/>
      <c r="Q196" s="11"/>
      <c r="R196" s="11"/>
      <c r="S196" s="11"/>
    </row>
    <row r="197" spans="11:19" ht="24.95" customHeight="1">
      <c r="L197" s="11"/>
      <c r="M197" s="11"/>
      <c r="N197" s="11"/>
      <c r="O197" s="11"/>
      <c r="P197" s="11"/>
      <c r="Q197" s="11"/>
      <c r="R197" s="11"/>
      <c r="S197" s="11"/>
    </row>
    <row r="198" spans="11:19" ht="24.95" customHeight="1">
      <c r="L198" s="11"/>
      <c r="M198" s="11"/>
      <c r="N198" s="11"/>
      <c r="O198" s="11"/>
      <c r="P198" s="11"/>
      <c r="Q198" s="11"/>
      <c r="R198" s="11"/>
      <c r="S198" s="11"/>
    </row>
    <row r="199" spans="11:19" ht="24.95" customHeight="1">
      <c r="L199" s="11"/>
      <c r="M199" s="11"/>
      <c r="N199" s="11"/>
      <c r="O199" s="11"/>
      <c r="P199" s="11"/>
      <c r="Q199" s="11"/>
      <c r="R199" s="11"/>
      <c r="S199" s="11"/>
    </row>
    <row r="200" spans="11:19" ht="24.95" customHeight="1">
      <c r="L200" s="11"/>
      <c r="M200" s="11"/>
      <c r="N200" s="11"/>
      <c r="O200" s="11"/>
      <c r="P200" s="11"/>
      <c r="Q200" s="11"/>
      <c r="R200" s="11"/>
      <c r="S200" s="11"/>
    </row>
    <row r="201" spans="11:19" ht="24.95" customHeight="1">
      <c r="L201" s="11"/>
      <c r="M201" s="11"/>
      <c r="N201" s="11"/>
      <c r="O201" s="11"/>
      <c r="P201" s="11"/>
      <c r="Q201" s="11"/>
      <c r="R201" s="11"/>
      <c r="S201" s="11"/>
    </row>
    <row r="202" spans="11:19" ht="24.95" customHeight="1">
      <c r="K202" s="200"/>
    </row>
    <row r="203" spans="11:19" ht="24.95" customHeight="1">
      <c r="K203" s="200"/>
    </row>
    <row r="204" spans="11:19" ht="24.95" customHeight="1">
      <c r="K204" s="200"/>
    </row>
    <row r="205" spans="11:19" ht="24.95" customHeight="1">
      <c r="K205" s="200"/>
    </row>
    <row r="206" spans="11:19" ht="24.95" customHeight="1">
      <c r="K206" s="200"/>
    </row>
    <row r="207" spans="11:19" ht="24.95" customHeight="1">
      <c r="K207" s="200"/>
    </row>
    <row r="208" spans="11:19" ht="24.95" customHeight="1">
      <c r="K208" s="200"/>
    </row>
    <row r="209" spans="11:13" ht="24.95" customHeight="1">
      <c r="K209" s="200"/>
    </row>
    <row r="210" spans="11:13" ht="24.95" customHeight="1">
      <c r="K210" s="200"/>
    </row>
    <row r="211" spans="11:13" ht="24.95" customHeight="1">
      <c r="K211" s="200"/>
    </row>
    <row r="212" spans="11:13" ht="24.95" customHeight="1">
      <c r="K212" s="200"/>
    </row>
    <row r="213" spans="11:13" ht="24.95" customHeight="1">
      <c r="K213" s="200"/>
    </row>
    <row r="214" spans="11:13" ht="24.95" customHeight="1">
      <c r="K214" s="200"/>
    </row>
    <row r="216" spans="11:13" ht="24.95" customHeight="1">
      <c r="M216" s="11"/>
    </row>
    <row r="217" spans="11:13" ht="24.95" customHeight="1">
      <c r="M217" s="11"/>
    </row>
    <row r="218" spans="11:13" ht="24.95" customHeight="1">
      <c r="M218" s="11"/>
    </row>
    <row r="219" spans="11:13" ht="24.95" customHeight="1">
      <c r="M219" s="11"/>
    </row>
    <row r="220" spans="11:13" ht="24.95" customHeight="1">
      <c r="M220" s="11"/>
    </row>
    <row r="221" spans="11:13" ht="24.95" customHeight="1">
      <c r="M221" s="11"/>
    </row>
    <row r="222" spans="11:13" ht="24.95" customHeight="1">
      <c r="M222" s="11"/>
    </row>
    <row r="223" spans="11:13" ht="24.95" customHeight="1">
      <c r="M223" s="11"/>
    </row>
    <row r="224" spans="11:13" ht="24.95" customHeight="1">
      <c r="M224" s="11"/>
    </row>
    <row r="225" spans="13:13" ht="24.95" customHeight="1">
      <c r="M225" s="11"/>
    </row>
    <row r="226" spans="13:13" ht="24.95" customHeight="1">
      <c r="M226" s="11"/>
    </row>
    <row r="227" spans="13:13" ht="24.95" customHeight="1">
      <c r="M227" s="11"/>
    </row>
    <row r="228" spans="13:13" ht="24.95" customHeight="1">
      <c r="M228" s="11"/>
    </row>
    <row r="229" spans="13:13" ht="24.95" customHeight="1">
      <c r="M229" s="11"/>
    </row>
    <row r="230" spans="13:13" ht="24.95" customHeight="1">
      <c r="M230" s="11"/>
    </row>
    <row r="231" spans="13:13" ht="24.95" customHeight="1">
      <c r="M231" s="11"/>
    </row>
    <row r="232" spans="13:13" ht="24.95" customHeight="1">
      <c r="M232" s="11"/>
    </row>
    <row r="233" spans="13:13" ht="24.95" customHeight="1">
      <c r="M233" s="11"/>
    </row>
    <row r="234" spans="13:13" ht="24.95" customHeight="1">
      <c r="M234" s="11"/>
    </row>
    <row r="235" spans="13:13" ht="24.95" customHeight="1">
      <c r="M235" s="11"/>
    </row>
    <row r="236" spans="13:13" ht="24.95" customHeight="1">
      <c r="M236" s="11"/>
    </row>
    <row r="237" spans="13:13" ht="24.95" customHeight="1">
      <c r="M237" s="11"/>
    </row>
    <row r="238" spans="13:13" ht="24.95" customHeight="1">
      <c r="M238" s="11"/>
    </row>
    <row r="239" spans="13:13" ht="24.95" customHeight="1">
      <c r="M239" s="11"/>
    </row>
    <row r="240" spans="13:13" ht="24.95" customHeight="1">
      <c r="M240" s="11"/>
    </row>
    <row r="241" spans="13:13" ht="24.95" customHeight="1">
      <c r="M241" s="11"/>
    </row>
    <row r="242" spans="13:13" ht="24.95" customHeight="1">
      <c r="M242" s="11"/>
    </row>
    <row r="243" spans="13:13" ht="24.95" customHeight="1">
      <c r="M243" s="11"/>
    </row>
    <row r="244" spans="13:13" ht="24.95" customHeight="1">
      <c r="M244" s="11"/>
    </row>
    <row r="245" spans="13:13" ht="24.95" customHeight="1">
      <c r="M245" s="11"/>
    </row>
  </sheetData>
  <mergeCells count="54">
    <mergeCell ref="O48:Q48"/>
    <mergeCell ref="R48:R49"/>
    <mergeCell ref="C19:D20"/>
    <mergeCell ref="J21:J22"/>
    <mergeCell ref="B24:D24"/>
    <mergeCell ref="B45:D45"/>
    <mergeCell ref="G47:H47"/>
    <mergeCell ref="I47:J47"/>
    <mergeCell ref="C12:D12"/>
    <mergeCell ref="C13:D13"/>
    <mergeCell ref="L60:M60"/>
    <mergeCell ref="B14:D14"/>
    <mergeCell ref="B19:B20"/>
    <mergeCell ref="F19:F20"/>
    <mergeCell ref="B21:B22"/>
    <mergeCell ref="F21:F22"/>
    <mergeCell ref="C21:D22"/>
    <mergeCell ref="L110:L125"/>
    <mergeCell ref="L127:M127"/>
    <mergeCell ref="L105:L109"/>
    <mergeCell ref="L94:M94"/>
    <mergeCell ref="L126:M126"/>
    <mergeCell ref="L61:M61"/>
    <mergeCell ref="L48:L49"/>
    <mergeCell ref="L62:M66"/>
    <mergeCell ref="B179:F179"/>
    <mergeCell ref="F89:F90"/>
    <mergeCell ref="G89:H89"/>
    <mergeCell ref="I89:J89"/>
    <mergeCell ref="B131:C131"/>
    <mergeCell ref="B89:B90"/>
    <mergeCell ref="C89:C90"/>
    <mergeCell ref="D89:E90"/>
    <mergeCell ref="C47:C48"/>
    <mergeCell ref="B47:B48"/>
    <mergeCell ref="F47:F48"/>
    <mergeCell ref="D47:E48"/>
    <mergeCell ref="L95:L104"/>
    <mergeCell ref="R62:S66"/>
    <mergeCell ref="O92:R92"/>
    <mergeCell ref="P66:Q66"/>
    <mergeCell ref="G19:G20"/>
    <mergeCell ref="P62:Q62"/>
    <mergeCell ref="N62:O62"/>
    <mergeCell ref="P64:Q64"/>
    <mergeCell ref="P65:Q65"/>
    <mergeCell ref="G21:G22"/>
    <mergeCell ref="S48:S49"/>
    <mergeCell ref="M48:M49"/>
    <mergeCell ref="N92:N93"/>
    <mergeCell ref="L92:M93"/>
    <mergeCell ref="J19:J20"/>
    <mergeCell ref="P63:Q63"/>
    <mergeCell ref="N48:N49"/>
  </mergeCells>
  <phoneticPr fontId="2" type="noConversion"/>
  <printOptions horizontalCentered="1"/>
  <pageMargins left="0.55118110236220474" right="0.55118110236220474" top="0.78740157480314965" bottom="0.59055118110236227" header="0.51181102362204722" footer="0.51181102362204722"/>
  <pageSetup paperSize="9" scale="75" orientation="portrait" r:id="rId1"/>
  <headerFooter alignWithMargins="0"/>
  <rowBreaks count="1" manualBreakCount="1">
    <brk id="45" max="1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0"/>
  </sheetPr>
  <dimension ref="A1:K35"/>
  <sheetViews>
    <sheetView showGridLines="0" view="pageBreakPreview" zoomScale="74" zoomScaleSheetLayoutView="74" workbookViewId="0">
      <selection activeCell="F21" sqref="F21"/>
    </sheetView>
  </sheetViews>
  <sheetFormatPr defaultRowHeight="24.95" customHeight="1"/>
  <cols>
    <col min="1" max="1" width="3.77734375" style="499" customWidth="1"/>
    <col min="2" max="2" width="3.33203125" style="499" customWidth="1"/>
    <col min="3" max="3" width="15.88671875" style="499" customWidth="1"/>
    <col min="4" max="8" width="10.21875" style="499" customWidth="1"/>
    <col min="9" max="9" width="8.21875" style="499" customWidth="1"/>
    <col min="10" max="10" width="9.5546875" style="499" bestFit="1" customWidth="1"/>
    <col min="11" max="16384" width="8.88671875" style="499"/>
  </cols>
  <sheetData>
    <row r="1" spans="1:11" ht="24.95" customHeight="1">
      <c r="A1" s="17" t="s">
        <v>982</v>
      </c>
    </row>
    <row r="2" spans="1:11" ht="24.95" customHeight="1">
      <c r="A2" s="1" t="s">
        <v>983</v>
      </c>
    </row>
    <row r="3" spans="1:11" ht="15" customHeight="1">
      <c r="I3" s="7" t="s">
        <v>984</v>
      </c>
    </row>
    <row r="4" spans="1:11" ht="30" customHeight="1">
      <c r="A4" s="924" t="s">
        <v>985</v>
      </c>
      <c r="B4" s="925"/>
      <c r="C4" s="926"/>
      <c r="D4" s="501" t="s">
        <v>986</v>
      </c>
      <c r="E4" s="330" t="s">
        <v>776</v>
      </c>
      <c r="F4" s="330" t="s">
        <v>777</v>
      </c>
      <c r="G4" s="330" t="s">
        <v>778</v>
      </c>
      <c r="H4" s="330" t="s">
        <v>779</v>
      </c>
      <c r="I4" s="23" t="s">
        <v>772</v>
      </c>
    </row>
    <row r="5" spans="1:11" ht="30" customHeight="1">
      <c r="A5" s="830" t="s">
        <v>987</v>
      </c>
      <c r="B5" s="331" t="s">
        <v>988</v>
      </c>
      <c r="C5" s="331"/>
      <c r="D5" s="217">
        <f>'1.과거인구'!L6</f>
        <v>540742</v>
      </c>
      <c r="E5" s="217">
        <f>'2.인구추정'!D222</f>
        <v>592150</v>
      </c>
      <c r="F5" s="217">
        <f>'2.인구추정'!D227</f>
        <v>677831</v>
      </c>
      <c r="G5" s="217">
        <f>'2.인구추정'!D232</f>
        <v>763511</v>
      </c>
      <c r="H5" s="217">
        <f>'2.인구추정'!D237</f>
        <v>849192</v>
      </c>
      <c r="I5" s="218"/>
    </row>
    <row r="6" spans="1:11" ht="30" customHeight="1">
      <c r="A6" s="867"/>
      <c r="B6" s="332" t="s">
        <v>989</v>
      </c>
      <c r="C6" s="332"/>
      <c r="D6" s="203">
        <f>D5</f>
        <v>540742</v>
      </c>
      <c r="E6" s="203">
        <f>'2.인구추정'!E222</f>
        <v>604780</v>
      </c>
      <c r="F6" s="203">
        <f>'2.인구추정'!E227</f>
        <v>728801</v>
      </c>
      <c r="G6" s="203">
        <f>'2.인구추정'!E232</f>
        <v>878256</v>
      </c>
      <c r="H6" s="203">
        <f>'2.인구추정'!E237</f>
        <v>1058359</v>
      </c>
      <c r="I6" s="506" t="s">
        <v>990</v>
      </c>
    </row>
    <row r="7" spans="1:11" ht="30" customHeight="1">
      <c r="A7" s="867"/>
      <c r="B7" s="332" t="s">
        <v>991</v>
      </c>
      <c r="C7" s="332"/>
      <c r="D7" s="203">
        <f>D6</f>
        <v>540742</v>
      </c>
      <c r="E7" s="203">
        <f>'2.인구추정'!F222</f>
        <v>600442</v>
      </c>
      <c r="F7" s="203">
        <f>'2.인구추정'!F227</f>
        <v>689863</v>
      </c>
      <c r="G7" s="203">
        <f>'2.인구추정'!F232</f>
        <v>779284</v>
      </c>
      <c r="H7" s="203">
        <f>'2.인구추정'!F237</f>
        <v>868704</v>
      </c>
      <c r="I7" s="506"/>
    </row>
    <row r="8" spans="1:11" ht="30" customHeight="1">
      <c r="A8" s="867"/>
      <c r="B8" s="332" t="s">
        <v>992</v>
      </c>
      <c r="C8" s="332"/>
      <c r="D8" s="203">
        <f>D7</f>
        <v>540742</v>
      </c>
      <c r="E8" s="203">
        <f>'2.인구추정'!G222</f>
        <v>592027</v>
      </c>
      <c r="F8" s="203">
        <f>'2.인구추정'!G227</f>
        <v>674522</v>
      </c>
      <c r="G8" s="203">
        <f>'2.인구추정'!G232</f>
        <v>756255</v>
      </c>
      <c r="H8" s="203">
        <f>'2.인구추정'!G237</f>
        <v>837408</v>
      </c>
      <c r="I8" s="506"/>
    </row>
    <row r="9" spans="1:11" ht="30" customHeight="1">
      <c r="A9" s="867"/>
      <c r="B9" s="332" t="s">
        <v>993</v>
      </c>
      <c r="C9" s="332"/>
      <c r="D9" s="203">
        <f>D8</f>
        <v>540742</v>
      </c>
      <c r="E9" s="203">
        <f>'2.인구추정'!H222</f>
        <v>600062</v>
      </c>
      <c r="F9" s="203">
        <f>'2.인구추정'!H227</f>
        <v>682906</v>
      </c>
      <c r="G9" s="203">
        <f>'2.인구추정'!H232</f>
        <v>755580</v>
      </c>
      <c r="H9" s="203">
        <f>'2.인구추정'!H237</f>
        <v>816083</v>
      </c>
      <c r="I9" s="506"/>
    </row>
    <row r="10" spans="1:11" ht="30" customHeight="1">
      <c r="A10" s="867"/>
      <c r="B10" s="332" t="s">
        <v>994</v>
      </c>
      <c r="C10" s="332"/>
      <c r="D10" s="203">
        <f>ROUND(AVERAGE(D5,D7:D9),0)</f>
        <v>540742</v>
      </c>
      <c r="E10" s="203">
        <f>ROUND(AVERAGE(E5,E7:E9),0)</f>
        <v>596170</v>
      </c>
      <c r="F10" s="203">
        <f>ROUND(AVERAGE(F5,F7:F9),0)</f>
        <v>681281</v>
      </c>
      <c r="G10" s="203">
        <f>ROUND(AVERAGE(G5,G7:G9),0)</f>
        <v>763658</v>
      </c>
      <c r="H10" s="203">
        <f>ROUND(AVERAGE(H5,H7:H9),0)</f>
        <v>842847</v>
      </c>
      <c r="I10" s="506"/>
    </row>
    <row r="11" spans="1:11" ht="30" customHeight="1">
      <c r="A11" s="927" t="s">
        <v>995</v>
      </c>
      <c r="B11" s="332" t="s">
        <v>996</v>
      </c>
      <c r="C11" s="332"/>
      <c r="D11" s="203">
        <f>'2.2생잔모형'!C6</f>
        <v>540742</v>
      </c>
      <c r="E11" s="203">
        <f>ROUND('2.2생잔모형'!D6,-2)</f>
        <v>553200</v>
      </c>
      <c r="F11" s="203">
        <f>ROUND('2.2생잔모형'!E6,-2)</f>
        <v>572600</v>
      </c>
      <c r="G11" s="203">
        <f>ROUND('2.2생잔모형'!F6,-2)</f>
        <v>588100</v>
      </c>
      <c r="H11" s="203">
        <f>ROUND('2.2생잔모형'!G6,-2)</f>
        <v>602400</v>
      </c>
      <c r="I11" s="506"/>
      <c r="K11" s="537"/>
    </row>
    <row r="12" spans="1:11" ht="30" customHeight="1">
      <c r="A12" s="928"/>
      <c r="B12" s="934" t="s">
        <v>997</v>
      </c>
      <c r="C12" s="500" t="s">
        <v>702</v>
      </c>
      <c r="D12" s="203">
        <v>0</v>
      </c>
      <c r="E12" s="203">
        <f>사회유입인구!O95</f>
        <v>0</v>
      </c>
      <c r="F12" s="203">
        <f>사회유입인구!P95</f>
        <v>12100</v>
      </c>
      <c r="G12" s="203">
        <f>사회유입인구!Q95</f>
        <v>49500</v>
      </c>
      <c r="H12" s="203">
        <f>사회유입인구!R95</f>
        <v>49500</v>
      </c>
      <c r="I12" s="506"/>
      <c r="K12" s="537"/>
    </row>
    <row r="13" spans="1:11" ht="30" customHeight="1">
      <c r="A13" s="928"/>
      <c r="B13" s="935"/>
      <c r="C13" s="500" t="s">
        <v>706</v>
      </c>
      <c r="D13" s="203">
        <v>0</v>
      </c>
      <c r="E13" s="203">
        <f>사회유입인구!O105</f>
        <v>14200</v>
      </c>
      <c r="F13" s="203">
        <f>사회유입인구!P105</f>
        <v>32300</v>
      </c>
      <c r="G13" s="203">
        <f>사회유입인구!Q105</f>
        <v>38900</v>
      </c>
      <c r="H13" s="203">
        <f>사회유입인구!R105</f>
        <v>38900</v>
      </c>
      <c r="I13" s="506"/>
      <c r="K13" s="537"/>
    </row>
    <row r="14" spans="1:11" ht="30" customHeight="1">
      <c r="A14" s="928"/>
      <c r="B14" s="935"/>
      <c r="C14" s="500" t="s">
        <v>709</v>
      </c>
      <c r="D14" s="203">
        <v>0</v>
      </c>
      <c r="E14" s="203">
        <f>사회유입인구!O110</f>
        <v>18200</v>
      </c>
      <c r="F14" s="203">
        <f>사회유입인구!P110</f>
        <v>38300</v>
      </c>
      <c r="G14" s="203">
        <f>사회유입인구!Q110</f>
        <v>72000</v>
      </c>
      <c r="H14" s="203">
        <f>사회유입인구!R110</f>
        <v>72000</v>
      </c>
      <c r="I14" s="506"/>
      <c r="K14" s="537"/>
    </row>
    <row r="15" spans="1:11" ht="30" customHeight="1">
      <c r="A15" s="928"/>
      <c r="B15" s="935"/>
      <c r="C15" s="333" t="s">
        <v>712</v>
      </c>
      <c r="D15" s="203">
        <v>0</v>
      </c>
      <c r="E15" s="203">
        <f>사회유입인구!O126</f>
        <v>0</v>
      </c>
      <c r="F15" s="203">
        <f>사회유입인구!P126</f>
        <v>14200</v>
      </c>
      <c r="G15" s="203">
        <f>사회유입인구!Q126</f>
        <v>14200</v>
      </c>
      <c r="H15" s="203">
        <f>사회유입인구!R126</f>
        <v>14200</v>
      </c>
      <c r="I15" s="506"/>
      <c r="K15" s="537"/>
    </row>
    <row r="16" spans="1:11" ht="30" customHeight="1">
      <c r="A16" s="928"/>
      <c r="B16" s="935"/>
      <c r="C16" s="500" t="s">
        <v>855</v>
      </c>
      <c r="D16" s="203">
        <v>0</v>
      </c>
      <c r="E16" s="203">
        <f>사회유입인구!O127</f>
        <v>19700</v>
      </c>
      <c r="F16" s="203">
        <f>사회유입인구!P127</f>
        <v>19700</v>
      </c>
      <c r="G16" s="203">
        <f>사회유입인구!Q127</f>
        <v>19700</v>
      </c>
      <c r="H16" s="203">
        <f>사회유입인구!R127</f>
        <v>19700</v>
      </c>
      <c r="I16" s="506"/>
    </row>
    <row r="17" spans="1:10" ht="30" customHeight="1">
      <c r="A17" s="928"/>
      <c r="B17" s="936"/>
      <c r="C17" s="500" t="s">
        <v>786</v>
      </c>
      <c r="D17" s="203">
        <f>SUM(D12:D16)</f>
        <v>0</v>
      </c>
      <c r="E17" s="203">
        <f>SUM(E12:E16)</f>
        <v>52100</v>
      </c>
      <c r="F17" s="203">
        <f>SUM(F12:F16)</f>
        <v>116600</v>
      </c>
      <c r="G17" s="203">
        <f>SUM(G12:G16)</f>
        <v>194300</v>
      </c>
      <c r="H17" s="203">
        <f>SUM(H12:H16)</f>
        <v>194300</v>
      </c>
      <c r="I17" s="506"/>
    </row>
    <row r="18" spans="1:10" ht="30" customHeight="1">
      <c r="A18" s="830"/>
      <c r="B18" s="332" t="s">
        <v>998</v>
      </c>
      <c r="C18" s="332"/>
      <c r="D18" s="203">
        <f>D11+D17</f>
        <v>540742</v>
      </c>
      <c r="E18" s="203">
        <f>E11+E17</f>
        <v>605300</v>
      </c>
      <c r="F18" s="203">
        <f>F11+F17</f>
        <v>689200</v>
      </c>
      <c r="G18" s="203">
        <f>G11+G17</f>
        <v>782400</v>
      </c>
      <c r="H18" s="203">
        <f>H11+H17</f>
        <v>796700</v>
      </c>
      <c r="I18" s="506"/>
      <c r="J18" s="4"/>
    </row>
    <row r="19" spans="1:10" ht="30" customHeight="1">
      <c r="A19" s="927" t="s">
        <v>999</v>
      </c>
      <c r="B19" s="334" t="s">
        <v>1000</v>
      </c>
      <c r="C19" s="334"/>
      <c r="D19" s="203"/>
      <c r="E19" s="203">
        <v>630000</v>
      </c>
      <c r="F19" s="203">
        <v>730000</v>
      </c>
      <c r="G19" s="203">
        <v>780000</v>
      </c>
      <c r="H19" s="203" t="s">
        <v>1001</v>
      </c>
      <c r="I19" s="14" t="s">
        <v>1002</v>
      </c>
    </row>
    <row r="20" spans="1:10" ht="30" customHeight="1">
      <c r="A20" s="928"/>
      <c r="B20" s="334" t="s">
        <v>1003</v>
      </c>
      <c r="C20" s="334"/>
      <c r="D20" s="203"/>
      <c r="E20" s="203">
        <v>720000</v>
      </c>
      <c r="F20" s="203">
        <v>760000</v>
      </c>
      <c r="G20" s="203">
        <v>780000</v>
      </c>
      <c r="H20" s="203" t="s">
        <v>1001</v>
      </c>
      <c r="I20" s="14" t="s">
        <v>1004</v>
      </c>
    </row>
    <row r="21" spans="1:10" ht="30" customHeight="1">
      <c r="A21" s="928"/>
      <c r="B21" s="334" t="s">
        <v>1005</v>
      </c>
      <c r="C21" s="334"/>
      <c r="D21" s="335"/>
      <c r="E21" s="335" t="s">
        <v>1006</v>
      </c>
      <c r="F21" s="335" t="s">
        <v>1007</v>
      </c>
      <c r="G21" s="335" t="s">
        <v>1008</v>
      </c>
      <c r="H21" s="203" t="s">
        <v>1001</v>
      </c>
      <c r="I21" s="14" t="s">
        <v>1009</v>
      </c>
    </row>
    <row r="22" spans="1:10" ht="30" customHeight="1">
      <c r="A22" s="928"/>
      <c r="B22" s="334" t="s">
        <v>1010</v>
      </c>
      <c r="C22" s="334"/>
      <c r="D22" s="203"/>
      <c r="E22" s="203">
        <v>567000</v>
      </c>
      <c r="F22" s="203">
        <v>660000</v>
      </c>
      <c r="G22" s="203">
        <v>780000</v>
      </c>
      <c r="H22" s="203">
        <v>800000</v>
      </c>
      <c r="I22" s="14" t="s">
        <v>1011</v>
      </c>
    </row>
    <row r="23" spans="1:10" ht="30" customHeight="1">
      <c r="A23" s="928"/>
      <c r="B23" s="336" t="s">
        <v>1012</v>
      </c>
      <c r="C23" s="336"/>
      <c r="D23" s="337"/>
      <c r="E23" s="338" t="s">
        <v>1013</v>
      </c>
      <c r="F23" s="338" t="s">
        <v>1014</v>
      </c>
      <c r="G23" s="338" t="s">
        <v>1015</v>
      </c>
      <c r="H23" s="337" t="s">
        <v>1001</v>
      </c>
      <c r="I23" s="339" t="s">
        <v>1016</v>
      </c>
    </row>
    <row r="24" spans="1:10" ht="30" customHeight="1">
      <c r="A24" s="924" t="s">
        <v>1017</v>
      </c>
      <c r="B24" s="925"/>
      <c r="C24" s="926"/>
      <c r="D24" s="518">
        <f>D18</f>
        <v>540742</v>
      </c>
      <c r="E24" s="518">
        <f>ROUND(E18,-3)</f>
        <v>605000</v>
      </c>
      <c r="F24" s="518">
        <f>ROUND(F18,-4)</f>
        <v>690000</v>
      </c>
      <c r="G24" s="518">
        <f>ROUND(G18,-4)</f>
        <v>780000</v>
      </c>
      <c r="H24" s="518">
        <f>ROUND(H18,-4)</f>
        <v>800000</v>
      </c>
      <c r="I24" s="23"/>
    </row>
    <row r="25" spans="1:10" ht="24.95" customHeight="1">
      <c r="A25" s="340"/>
      <c r="B25" s="340"/>
      <c r="C25" s="340"/>
      <c r="D25" s="519"/>
      <c r="E25" s="519"/>
      <c r="F25" s="519"/>
      <c r="G25" s="519"/>
      <c r="H25" s="519"/>
      <c r="I25" s="340"/>
    </row>
    <row r="26" spans="1:10" ht="24.95" customHeight="1">
      <c r="A26" s="341" t="s">
        <v>1018</v>
      </c>
      <c r="B26" s="340"/>
      <c r="C26" s="340"/>
      <c r="D26" s="519"/>
      <c r="E26" s="519"/>
      <c r="F26" s="519"/>
      <c r="G26" s="519"/>
      <c r="H26" s="519"/>
      <c r="I26" s="340"/>
    </row>
    <row r="27" spans="1:10" ht="24.95" customHeight="1">
      <c r="I27" s="7" t="s">
        <v>1019</v>
      </c>
    </row>
    <row r="28" spans="1:10" ht="24.95" customHeight="1">
      <c r="A28" s="932" t="s">
        <v>985</v>
      </c>
      <c r="B28" s="933"/>
      <c r="C28" s="933"/>
      <c r="D28" s="501" t="s">
        <v>986</v>
      </c>
      <c r="E28" s="501" t="s">
        <v>776</v>
      </c>
      <c r="F28" s="501" t="s">
        <v>777</v>
      </c>
      <c r="G28" s="501" t="s">
        <v>778</v>
      </c>
      <c r="H28" s="501" t="s">
        <v>779</v>
      </c>
      <c r="I28" s="23" t="s">
        <v>772</v>
      </c>
    </row>
    <row r="29" spans="1:10" ht="24.95" customHeight="1">
      <c r="A29" s="930" t="s">
        <v>1020</v>
      </c>
      <c r="B29" s="931"/>
      <c r="C29" s="931"/>
      <c r="D29" s="342">
        <f>D24</f>
        <v>540742</v>
      </c>
      <c r="E29" s="342">
        <f>E24</f>
        <v>605000</v>
      </c>
      <c r="F29" s="342">
        <f>F24</f>
        <v>690000</v>
      </c>
      <c r="G29" s="342">
        <f>G24</f>
        <v>780000</v>
      </c>
      <c r="H29" s="342">
        <f>H24</f>
        <v>800000</v>
      </c>
      <c r="I29" s="218"/>
    </row>
    <row r="30" spans="1:10" ht="24.95" customHeight="1">
      <c r="A30" s="867" t="s">
        <v>1021</v>
      </c>
      <c r="B30" s="929"/>
      <c r="C30" s="929"/>
      <c r="D30" s="343">
        <f>D29-D31</f>
        <v>540742</v>
      </c>
      <c r="E30" s="343">
        <f>E29-E31</f>
        <v>605000</v>
      </c>
      <c r="F30" s="343">
        <f>F29-F31</f>
        <v>686800</v>
      </c>
      <c r="G30" s="343">
        <f>G29-G31</f>
        <v>762800</v>
      </c>
      <c r="H30" s="343">
        <f>H29-H31</f>
        <v>782800</v>
      </c>
      <c r="I30" s="506"/>
    </row>
    <row r="31" spans="1:10" ht="24.95" customHeight="1">
      <c r="A31" s="868" t="s">
        <v>1022</v>
      </c>
      <c r="B31" s="866"/>
      <c r="C31" s="866"/>
      <c r="D31" s="344">
        <v>0</v>
      </c>
      <c r="E31" s="344">
        <f>SUM(인구배분!O8:O11,인구배분!O13:O15)</f>
        <v>0</v>
      </c>
      <c r="F31" s="344">
        <f>SUM(인구배분!P8:P11,인구배분!P13:P15)</f>
        <v>3200</v>
      </c>
      <c r="G31" s="344">
        <f>SUM(인구배분!Q8:Q11,인구배분!Q13:Q15)</f>
        <v>17200</v>
      </c>
      <c r="H31" s="344">
        <f>SUM(인구배분!R8:R11,인구배분!R13:R15)</f>
        <v>17200</v>
      </c>
      <c r="I31" s="487"/>
    </row>
    <row r="32" spans="1:10" ht="24.95" customHeight="1">
      <c r="E32" s="4">
        <f>E24-D24</f>
        <v>64258</v>
      </c>
      <c r="F32" s="4">
        <f>F24-E24</f>
        <v>85000</v>
      </c>
      <c r="G32" s="4">
        <f>G24-F24</f>
        <v>90000</v>
      </c>
      <c r="H32" s="4">
        <f>H24-G24</f>
        <v>20000</v>
      </c>
    </row>
    <row r="33" spans="3:8" ht="24.95" customHeight="1">
      <c r="C33" s="923" t="s">
        <v>1023</v>
      </c>
      <c r="D33" s="923"/>
      <c r="E33" s="4">
        <f>E24-E17</f>
        <v>552900</v>
      </c>
      <c r="F33" s="4">
        <f>F24-F17</f>
        <v>573400</v>
      </c>
      <c r="G33" s="4">
        <f>G24-G17</f>
        <v>585700</v>
      </c>
      <c r="H33" s="4">
        <f>H24-H17</f>
        <v>605700</v>
      </c>
    </row>
    <row r="34" spans="3:8" ht="24.95" customHeight="1">
      <c r="C34" s="923" t="s">
        <v>1024</v>
      </c>
      <c r="D34" s="923"/>
      <c r="E34" s="4">
        <f>인구배분!O208</f>
        <v>86900</v>
      </c>
      <c r="F34" s="4">
        <f>인구배분!P208</f>
        <v>215700</v>
      </c>
      <c r="G34" s="4">
        <f>인구배분!Q208</f>
        <v>335800</v>
      </c>
      <c r="H34" s="4">
        <f>인구배분!R208</f>
        <v>335800</v>
      </c>
    </row>
    <row r="35" spans="3:8" ht="24.95" customHeight="1">
      <c r="C35" s="923" t="s">
        <v>1025</v>
      </c>
      <c r="D35" s="923"/>
      <c r="E35" s="4">
        <f>E24-E34</f>
        <v>518100</v>
      </c>
      <c r="F35" s="4">
        <f>F24-F34</f>
        <v>474300</v>
      </c>
      <c r="G35" s="4">
        <f>G24-G34</f>
        <v>444200</v>
      </c>
      <c r="H35" s="4">
        <f>H24-H34</f>
        <v>464200</v>
      </c>
    </row>
  </sheetData>
  <mergeCells count="13">
    <mergeCell ref="C35:D35"/>
    <mergeCell ref="A24:C24"/>
    <mergeCell ref="A4:C4"/>
    <mergeCell ref="A19:A23"/>
    <mergeCell ref="A5:A10"/>
    <mergeCell ref="C34:D34"/>
    <mergeCell ref="C33:D33"/>
    <mergeCell ref="A11:A18"/>
    <mergeCell ref="A31:C31"/>
    <mergeCell ref="A30:C30"/>
    <mergeCell ref="A29:C29"/>
    <mergeCell ref="A28:C28"/>
    <mergeCell ref="B12:B17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Y231"/>
  <sheetViews>
    <sheetView showGridLines="0" view="pageBreakPreview" zoomScaleSheetLayoutView="100" workbookViewId="0">
      <selection activeCell="I169" sqref="A169:I170"/>
    </sheetView>
  </sheetViews>
  <sheetFormatPr defaultRowHeight="15.95" customHeight="1"/>
  <cols>
    <col min="1" max="1" width="14.77734375" style="345" customWidth="1"/>
    <col min="2" max="2" width="5.77734375" style="345" bestFit="1" customWidth="1"/>
    <col min="3" max="3" width="6.33203125" style="345" bestFit="1" customWidth="1"/>
    <col min="4" max="4" width="8" style="345" bestFit="1" customWidth="1"/>
    <col min="5" max="8" width="7.6640625" style="345" customWidth="1"/>
    <col min="9" max="9" width="7.88671875" style="345" customWidth="1"/>
    <col min="10" max="10" width="14.77734375" style="345" customWidth="1"/>
    <col min="11" max="11" width="5.77734375" style="345" bestFit="1" customWidth="1"/>
    <col min="12" max="12" width="6.33203125" style="345" bestFit="1" customWidth="1"/>
    <col min="13" max="13" width="7.33203125" style="345" bestFit="1" customWidth="1"/>
    <col min="14" max="15" width="6.88671875" style="345" bestFit="1" customWidth="1"/>
    <col min="16" max="18" width="8.5546875" style="345" bestFit="1" customWidth="1"/>
    <col min="19" max="19" width="4.6640625" style="345" bestFit="1" customWidth="1"/>
    <col min="20" max="23" width="12.33203125" style="345" customWidth="1"/>
    <col min="24" max="24" width="11.21875" style="345" customWidth="1"/>
    <col min="25" max="16384" width="8.88671875" style="345"/>
  </cols>
  <sheetData>
    <row r="1" spans="1:25" ht="15.95" customHeight="1">
      <c r="A1" s="1" t="s">
        <v>189</v>
      </c>
      <c r="T1" s="345" t="s">
        <v>171</v>
      </c>
    </row>
    <row r="2" spans="1:25" ht="15.95" customHeight="1">
      <c r="A2" s="3" t="s">
        <v>178</v>
      </c>
      <c r="J2" s="3" t="s">
        <v>190</v>
      </c>
      <c r="T2" s="347" t="s">
        <v>34</v>
      </c>
      <c r="U2" s="347" t="s">
        <v>174</v>
      </c>
      <c r="V2" s="347" t="s">
        <v>172</v>
      </c>
      <c r="W2" s="347" t="s">
        <v>173</v>
      </c>
      <c r="X2" s="347" t="s">
        <v>1026</v>
      </c>
    </row>
    <row r="3" spans="1:25" ht="15.95" customHeight="1">
      <c r="A3" s="604" t="s">
        <v>179</v>
      </c>
      <c r="J3" s="604" t="s">
        <v>179</v>
      </c>
      <c r="T3" s="348" t="s">
        <v>499</v>
      </c>
      <c r="U3" s="520">
        <v>1</v>
      </c>
      <c r="V3" s="520">
        <v>1</v>
      </c>
      <c r="W3" s="520">
        <v>1</v>
      </c>
      <c r="X3" s="520">
        <v>1</v>
      </c>
    </row>
    <row r="4" spans="1:25" ht="12.95" customHeight="1">
      <c r="A4" s="792" t="s">
        <v>109</v>
      </c>
      <c r="B4" s="939" t="s">
        <v>1027</v>
      </c>
      <c r="C4" s="945" t="s">
        <v>1030</v>
      </c>
      <c r="D4" s="939" t="s">
        <v>1028</v>
      </c>
      <c r="E4" s="272" t="s">
        <v>1029</v>
      </c>
      <c r="F4" s="605"/>
      <c r="G4" s="605"/>
      <c r="H4" s="606"/>
      <c r="I4" s="798" t="s">
        <v>121</v>
      </c>
      <c r="J4" s="943" t="s">
        <v>109</v>
      </c>
      <c r="K4" s="945" t="s">
        <v>1027</v>
      </c>
      <c r="L4" s="945" t="s">
        <v>1030</v>
      </c>
      <c r="M4" s="945" t="s">
        <v>1028</v>
      </c>
      <c r="N4" s="945" t="s">
        <v>1031</v>
      </c>
      <c r="O4" s="607" t="s">
        <v>188</v>
      </c>
      <c r="P4" s="608"/>
      <c r="Q4" s="608"/>
      <c r="R4" s="609"/>
      <c r="S4" s="949" t="s">
        <v>121</v>
      </c>
      <c r="T4" s="348" t="s">
        <v>157</v>
      </c>
      <c r="U4" s="520">
        <v>1</v>
      </c>
      <c r="V4" s="520">
        <v>1</v>
      </c>
      <c r="W4" s="520">
        <v>1</v>
      </c>
      <c r="X4" s="520">
        <v>1</v>
      </c>
    </row>
    <row r="5" spans="1:25" ht="12.95" customHeight="1">
      <c r="A5" s="794"/>
      <c r="B5" s="940"/>
      <c r="C5" s="946"/>
      <c r="D5" s="940"/>
      <c r="E5" s="581" t="s">
        <v>32</v>
      </c>
      <c r="F5" s="581" t="s">
        <v>494</v>
      </c>
      <c r="G5" s="581" t="s">
        <v>30</v>
      </c>
      <c r="H5" s="581" t="s">
        <v>29</v>
      </c>
      <c r="I5" s="799"/>
      <c r="J5" s="944"/>
      <c r="K5" s="946"/>
      <c r="L5" s="946"/>
      <c r="M5" s="946"/>
      <c r="N5" s="946"/>
      <c r="O5" s="584" t="s">
        <v>32</v>
      </c>
      <c r="P5" s="584" t="s">
        <v>494</v>
      </c>
      <c r="Q5" s="584" t="s">
        <v>30</v>
      </c>
      <c r="R5" s="584" t="s">
        <v>29</v>
      </c>
      <c r="S5" s="950"/>
      <c r="T5" s="348" t="s">
        <v>2</v>
      </c>
      <c r="U5" s="520">
        <v>1</v>
      </c>
      <c r="V5" s="520">
        <v>1</v>
      </c>
      <c r="W5" s="520">
        <f>+W4</f>
        <v>1</v>
      </c>
      <c r="X5" s="520">
        <f>+X4</f>
        <v>1</v>
      </c>
    </row>
    <row r="6" spans="1:25" ht="15" customHeight="1">
      <c r="A6" s="593" t="s">
        <v>1032</v>
      </c>
      <c r="B6" s="572" t="s">
        <v>44</v>
      </c>
      <c r="C6" s="349" t="s">
        <v>47</v>
      </c>
      <c r="D6" s="582" t="s">
        <v>47</v>
      </c>
      <c r="E6" s="572">
        <f>사회유입인구!O96</f>
        <v>0</v>
      </c>
      <c r="F6" s="572">
        <f>사회유입인구!P96</f>
        <v>1800</v>
      </c>
      <c r="G6" s="572">
        <f>사회유입인구!Q96</f>
        <v>1800</v>
      </c>
      <c r="H6" s="572">
        <f>사회유입인구!R96</f>
        <v>1800</v>
      </c>
      <c r="I6" s="235"/>
      <c r="J6" s="237" t="s">
        <v>1032</v>
      </c>
      <c r="K6" s="349" t="s">
        <v>44</v>
      </c>
      <c r="L6" s="349" t="s">
        <v>47</v>
      </c>
      <c r="M6" s="350" t="s">
        <v>47</v>
      </c>
      <c r="N6" s="349">
        <f>사회유입인구!I5</f>
        <v>3048</v>
      </c>
      <c r="O6" s="349">
        <v>0</v>
      </c>
      <c r="P6" s="349">
        <f>ROUND($N6*인구배분!U$3,-2)</f>
        <v>3000</v>
      </c>
      <c r="Q6" s="349">
        <f>ROUND($N6*인구배분!V$3,-2)</f>
        <v>3000</v>
      </c>
      <c r="R6" s="349">
        <f>ROUND($N6*인구배분!W$3,-2)</f>
        <v>3000</v>
      </c>
      <c r="S6" s="235"/>
      <c r="T6" s="348" t="s">
        <v>1033</v>
      </c>
      <c r="U6" s="520">
        <v>1</v>
      </c>
      <c r="V6" s="520">
        <v>1</v>
      </c>
      <c r="W6" s="520">
        <f>+W5</f>
        <v>1</v>
      </c>
      <c r="X6" s="520">
        <f>+X5</f>
        <v>1</v>
      </c>
    </row>
    <row r="7" spans="1:25" ht="15" customHeight="1">
      <c r="A7" s="573" t="s">
        <v>1034</v>
      </c>
      <c r="B7" s="572" t="s">
        <v>160</v>
      </c>
      <c r="C7" s="349" t="s">
        <v>508</v>
      </c>
      <c r="D7" s="582" t="s">
        <v>508</v>
      </c>
      <c r="E7" s="572">
        <f>사회유입인구!O97</f>
        <v>0</v>
      </c>
      <c r="F7" s="572">
        <f>사회유입인구!P97</f>
        <v>7100</v>
      </c>
      <c r="G7" s="572">
        <f>사회유입인구!Q97</f>
        <v>7100</v>
      </c>
      <c r="H7" s="572">
        <f>사회유입인구!R97</f>
        <v>7100</v>
      </c>
      <c r="I7" s="235"/>
      <c r="J7" s="610" t="s">
        <v>1034</v>
      </c>
      <c r="K7" s="349" t="s">
        <v>160</v>
      </c>
      <c r="L7" s="349" t="s">
        <v>508</v>
      </c>
      <c r="M7" s="350" t="s">
        <v>508</v>
      </c>
      <c r="N7" s="349">
        <f>사회유입인구!I6</f>
        <v>11912</v>
      </c>
      <c r="O7" s="349">
        <v>0</v>
      </c>
      <c r="P7" s="349">
        <f>ROUND($N7*인구배분!U$3,-2)</f>
        <v>11900</v>
      </c>
      <c r="Q7" s="349">
        <f>ROUND($N7*인구배분!V$3,-2)</f>
        <v>11900</v>
      </c>
      <c r="R7" s="349">
        <f>ROUND($N7*인구배분!W$3,-2)</f>
        <v>11900</v>
      </c>
      <c r="S7" s="235"/>
    </row>
    <row r="8" spans="1:25" ht="15" customHeight="1">
      <c r="A8" s="593" t="s">
        <v>1035</v>
      </c>
      <c r="B8" s="572" t="s">
        <v>200</v>
      </c>
      <c r="C8" s="349" t="s">
        <v>46</v>
      </c>
      <c r="D8" s="582" t="s">
        <v>161</v>
      </c>
      <c r="E8" s="572">
        <f>사회유입인구!O98</f>
        <v>0</v>
      </c>
      <c r="F8" s="572">
        <f>사회유입인구!P98</f>
        <v>3200</v>
      </c>
      <c r="G8" s="572">
        <f>사회유입인구!Q98</f>
        <v>3200</v>
      </c>
      <c r="H8" s="572">
        <f>사회유입인구!R98</f>
        <v>3200</v>
      </c>
      <c r="I8" s="235"/>
      <c r="J8" s="237" t="s">
        <v>1035</v>
      </c>
      <c r="K8" s="349" t="s">
        <v>200</v>
      </c>
      <c r="L8" s="349" t="s">
        <v>46</v>
      </c>
      <c r="M8" s="611" t="s">
        <v>161</v>
      </c>
      <c r="N8" s="612">
        <f>사회유입인구!I7</f>
        <v>5400</v>
      </c>
      <c r="O8" s="349">
        <v>0</v>
      </c>
      <c r="P8" s="349">
        <f t="shared" ref="P8:R11" si="0">F8</f>
        <v>3200</v>
      </c>
      <c r="Q8" s="349">
        <f t="shared" si="0"/>
        <v>3200</v>
      </c>
      <c r="R8" s="349">
        <f t="shared" si="0"/>
        <v>3200</v>
      </c>
      <c r="S8" s="235"/>
      <c r="T8" s="227" t="s">
        <v>109</v>
      </c>
      <c r="U8" s="230" t="s">
        <v>33</v>
      </c>
      <c r="V8" s="230" t="s">
        <v>32</v>
      </c>
      <c r="W8" s="230" t="s">
        <v>494</v>
      </c>
      <c r="X8" s="230" t="s">
        <v>30</v>
      </c>
      <c r="Y8" s="231" t="s">
        <v>29</v>
      </c>
    </row>
    <row r="9" spans="1:25" ht="15" customHeight="1">
      <c r="A9" s="593" t="s">
        <v>0</v>
      </c>
      <c r="B9" s="572" t="s">
        <v>167</v>
      </c>
      <c r="C9" s="349" t="s">
        <v>513</v>
      </c>
      <c r="D9" s="582" t="s">
        <v>161</v>
      </c>
      <c r="E9" s="572">
        <f>사회유입인구!O99</f>
        <v>0</v>
      </c>
      <c r="F9" s="572">
        <f>사회유입인구!P99</f>
        <v>0</v>
      </c>
      <c r="G9" s="572">
        <f>사회유입인구!Q99</f>
        <v>200</v>
      </c>
      <c r="H9" s="572">
        <f>사회유입인구!R99</f>
        <v>200</v>
      </c>
      <c r="I9" s="235"/>
      <c r="J9" s="237" t="s">
        <v>0</v>
      </c>
      <c r="K9" s="349" t="s">
        <v>167</v>
      </c>
      <c r="L9" s="349" t="s">
        <v>513</v>
      </c>
      <c r="M9" s="611" t="s">
        <v>161</v>
      </c>
      <c r="N9" s="349">
        <f>사회유입인구!I8</f>
        <v>272</v>
      </c>
      <c r="O9" s="349">
        <v>0</v>
      </c>
      <c r="P9" s="349">
        <f t="shared" si="0"/>
        <v>0</v>
      </c>
      <c r="Q9" s="349">
        <f t="shared" si="0"/>
        <v>200</v>
      </c>
      <c r="R9" s="349">
        <f t="shared" si="0"/>
        <v>200</v>
      </c>
      <c r="S9" s="235"/>
      <c r="T9" s="591" t="s">
        <v>614</v>
      </c>
      <c r="U9" s="613">
        <f>'처리구역별 인구 근거'!D7</f>
        <v>377481</v>
      </c>
      <c r="V9" s="613">
        <f>'처리구역별 인구 근거'!E7</f>
        <v>441700</v>
      </c>
      <c r="W9" s="613">
        <f>'처리구역별 인구 근거'!I7</f>
        <v>500900</v>
      </c>
      <c r="X9" s="613">
        <f>'처리구역별 인구 근거'!M7</f>
        <v>511800</v>
      </c>
      <c r="Y9" s="614">
        <f>'처리구역별 인구 근거'!Q7</f>
        <v>528600</v>
      </c>
    </row>
    <row r="10" spans="1:25" ht="15" customHeight="1">
      <c r="A10" s="593" t="s">
        <v>187</v>
      </c>
      <c r="B10" s="572" t="s">
        <v>164</v>
      </c>
      <c r="C10" s="349" t="s">
        <v>184</v>
      </c>
      <c r="D10" s="582" t="s">
        <v>161</v>
      </c>
      <c r="E10" s="572">
        <f>사회유입인구!O100</f>
        <v>0</v>
      </c>
      <c r="F10" s="572">
        <f>사회유입인구!P100</f>
        <v>0</v>
      </c>
      <c r="G10" s="572">
        <f>사회유입인구!Q100</f>
        <v>200</v>
      </c>
      <c r="H10" s="572">
        <f>사회유입인구!R100</f>
        <v>200</v>
      </c>
      <c r="I10" s="235"/>
      <c r="J10" s="237" t="s">
        <v>187</v>
      </c>
      <c r="K10" s="349" t="s">
        <v>164</v>
      </c>
      <c r="L10" s="349" t="s">
        <v>184</v>
      </c>
      <c r="M10" s="611" t="s">
        <v>161</v>
      </c>
      <c r="N10" s="612">
        <f>사회유입인구!I9</f>
        <v>322</v>
      </c>
      <c r="O10" s="349">
        <v>0</v>
      </c>
      <c r="P10" s="349">
        <f t="shared" si="0"/>
        <v>0</v>
      </c>
      <c r="Q10" s="349">
        <f t="shared" si="0"/>
        <v>200</v>
      </c>
      <c r="R10" s="349">
        <f t="shared" si="0"/>
        <v>200</v>
      </c>
      <c r="S10" s="235"/>
      <c r="T10" s="593" t="s">
        <v>510</v>
      </c>
      <c r="U10" s="205">
        <f>'처리구역별 인구 근거'!D47</f>
        <v>61641</v>
      </c>
      <c r="V10" s="205">
        <f>'처리구역별 인구 근거'!E47</f>
        <v>77200</v>
      </c>
      <c r="W10" s="205">
        <f>'처리구역별 인구 근거'!I47</f>
        <v>110100</v>
      </c>
      <c r="X10" s="205">
        <f>'처리구역별 인구 근거'!M47</f>
        <v>179800</v>
      </c>
      <c r="Y10" s="615">
        <f>'처리구역별 인구 근거'!Q47</f>
        <v>183300</v>
      </c>
    </row>
    <row r="11" spans="1:25" ht="15" customHeight="1">
      <c r="A11" s="593" t="s">
        <v>166</v>
      </c>
      <c r="B11" s="572" t="s">
        <v>155</v>
      </c>
      <c r="C11" s="350" t="s">
        <v>510</v>
      </c>
      <c r="D11" s="582" t="s">
        <v>161</v>
      </c>
      <c r="E11" s="572">
        <f>사회유입인구!O101</f>
        <v>0</v>
      </c>
      <c r="F11" s="572">
        <f>사회유입인구!P101</f>
        <v>0</v>
      </c>
      <c r="G11" s="572">
        <f>사회유입인구!Q101</f>
        <v>0</v>
      </c>
      <c r="H11" s="572">
        <f>사회유입인구!R101</f>
        <v>0</v>
      </c>
      <c r="I11" s="235"/>
      <c r="J11" s="237" t="s">
        <v>166</v>
      </c>
      <c r="K11" s="349" t="s">
        <v>155</v>
      </c>
      <c r="L11" s="350" t="s">
        <v>510</v>
      </c>
      <c r="M11" s="611" t="s">
        <v>161</v>
      </c>
      <c r="N11" s="612">
        <f>사회유입인구!I10</f>
        <v>0</v>
      </c>
      <c r="O11" s="349">
        <v>0</v>
      </c>
      <c r="P11" s="349">
        <f t="shared" si="0"/>
        <v>0</v>
      </c>
      <c r="Q11" s="349">
        <f t="shared" si="0"/>
        <v>0</v>
      </c>
      <c r="R11" s="349">
        <f t="shared" si="0"/>
        <v>0</v>
      </c>
      <c r="S11" s="235"/>
      <c r="T11" s="593" t="s">
        <v>511</v>
      </c>
      <c r="U11" s="205">
        <f>'처리구역별 인구 근거'!D60</f>
        <v>12035</v>
      </c>
      <c r="V11" s="205">
        <f>'처리구역별 인구 근거'!E60</f>
        <v>26900</v>
      </c>
      <c r="W11" s="205">
        <f>'처리구역별 인구 근거'!I60</f>
        <v>32900</v>
      </c>
      <c r="X11" s="205">
        <f>'처리구역별 인구 근거'!M60</f>
        <v>33300</v>
      </c>
      <c r="Y11" s="615">
        <f>'처리구역별 인구 근거'!Q60</f>
        <v>34000</v>
      </c>
    </row>
    <row r="12" spans="1:25" ht="15" customHeight="1">
      <c r="A12" s="593" t="s">
        <v>425</v>
      </c>
      <c r="B12" s="572" t="s">
        <v>617</v>
      </c>
      <c r="C12" s="349" t="s">
        <v>510</v>
      </c>
      <c r="D12" s="582" t="s">
        <v>510</v>
      </c>
      <c r="E12" s="572">
        <f>사회유입인구!O102</f>
        <v>0</v>
      </c>
      <c r="F12" s="572">
        <f>사회유입인구!P102</f>
        <v>0</v>
      </c>
      <c r="G12" s="572">
        <f>사회유입인구!Q102</f>
        <v>23400</v>
      </c>
      <c r="H12" s="572">
        <f>사회유입인구!R102</f>
        <v>23400</v>
      </c>
      <c r="I12" s="235"/>
      <c r="J12" s="237" t="s">
        <v>425</v>
      </c>
      <c r="K12" s="349" t="s">
        <v>617</v>
      </c>
      <c r="L12" s="349" t="s">
        <v>510</v>
      </c>
      <c r="M12" s="350" t="s">
        <v>510</v>
      </c>
      <c r="N12" s="349">
        <f>사회유입인구!I11</f>
        <v>39000</v>
      </c>
      <c r="O12" s="349">
        <v>0</v>
      </c>
      <c r="P12" s="349">
        <v>0</v>
      </c>
      <c r="Q12" s="349">
        <f>ROUND($N12*인구배분!U$3,-2)</f>
        <v>39000</v>
      </c>
      <c r="R12" s="349">
        <f>ROUND($N12*인구배분!V$3,-2)</f>
        <v>39000</v>
      </c>
      <c r="S12" s="235"/>
      <c r="T12" s="593" t="s">
        <v>53</v>
      </c>
      <c r="U12" s="205">
        <f>SUM(U9:U11)</f>
        <v>451157</v>
      </c>
      <c r="V12" s="205">
        <f>SUM(V9:V11)</f>
        <v>545800</v>
      </c>
      <c r="W12" s="205">
        <f>SUM(W9:W11)</f>
        <v>643900</v>
      </c>
      <c r="X12" s="205">
        <f>SUM(X9:X11)</f>
        <v>724900</v>
      </c>
      <c r="Y12" s="615">
        <f>SUM(Y9:Y11)</f>
        <v>745900</v>
      </c>
    </row>
    <row r="13" spans="1:25" ht="15" customHeight="1">
      <c r="A13" s="593" t="s">
        <v>1</v>
      </c>
      <c r="B13" s="572" t="s">
        <v>164</v>
      </c>
      <c r="C13" s="349" t="s">
        <v>184</v>
      </c>
      <c r="D13" s="582" t="s">
        <v>161</v>
      </c>
      <c r="E13" s="572">
        <f>사회유입인구!O103</f>
        <v>0</v>
      </c>
      <c r="F13" s="572">
        <f>사회유입인구!P103</f>
        <v>0</v>
      </c>
      <c r="G13" s="572">
        <f>사회유입인구!Q103</f>
        <v>6000</v>
      </c>
      <c r="H13" s="572">
        <f>사회유입인구!R103</f>
        <v>6000</v>
      </c>
      <c r="I13" s="235"/>
      <c r="J13" s="237" t="s">
        <v>1</v>
      </c>
      <c r="K13" s="349" t="s">
        <v>164</v>
      </c>
      <c r="L13" s="349" t="s">
        <v>184</v>
      </c>
      <c r="M13" s="611" t="s">
        <v>161</v>
      </c>
      <c r="N13" s="349">
        <f>사회유입인구!I12</f>
        <v>10000</v>
      </c>
      <c r="O13" s="349">
        <v>0</v>
      </c>
      <c r="P13" s="349">
        <f t="shared" ref="P13:R15" si="1">F13</f>
        <v>0</v>
      </c>
      <c r="Q13" s="349">
        <f t="shared" si="1"/>
        <v>6000</v>
      </c>
      <c r="R13" s="349">
        <f t="shared" si="1"/>
        <v>6000</v>
      </c>
      <c r="S13" s="235"/>
      <c r="T13" s="593" t="s">
        <v>500</v>
      </c>
      <c r="U13" s="205">
        <f>'3.계획인구'!D24</f>
        <v>540742</v>
      </c>
      <c r="V13" s="205">
        <f>'3.계획인구'!E24</f>
        <v>605000</v>
      </c>
      <c r="W13" s="205">
        <f>'3.계획인구'!F24</f>
        <v>690000</v>
      </c>
      <c r="X13" s="205">
        <f>'3.계획인구'!G24</f>
        <v>780000</v>
      </c>
      <c r="Y13" s="615">
        <f>'3.계획인구'!H24</f>
        <v>800000</v>
      </c>
    </row>
    <row r="14" spans="1:25" ht="15.95" customHeight="1">
      <c r="A14" s="954" t="s">
        <v>65</v>
      </c>
      <c r="B14" s="572" t="s">
        <v>44</v>
      </c>
      <c r="C14" s="349" t="s">
        <v>47</v>
      </c>
      <c r="D14" s="582" t="s">
        <v>161</v>
      </c>
      <c r="E14" s="572">
        <f>ROUND(사회유입인구!O104*$I14,-2)</f>
        <v>0</v>
      </c>
      <c r="F14" s="572">
        <f>ROUND(사회유입인구!P104*$I14,-2)</f>
        <v>0</v>
      </c>
      <c r="G14" s="572">
        <f>ROUND(사회유입인구!Q104*$I14,-2)</f>
        <v>6100</v>
      </c>
      <c r="H14" s="572">
        <f>ROUND(사회유입인구!R104*$I14,-2)</f>
        <v>6100</v>
      </c>
      <c r="I14" s="616">
        <v>0.8</v>
      </c>
      <c r="J14" s="954" t="s">
        <v>65</v>
      </c>
      <c r="K14" s="349" t="s">
        <v>44</v>
      </c>
      <c r="L14" s="349" t="s">
        <v>47</v>
      </c>
      <c r="M14" s="611" t="s">
        <v>161</v>
      </c>
      <c r="N14" s="951">
        <f>사회유입인구!I13</f>
        <v>12590</v>
      </c>
      <c r="O14" s="349">
        <v>0</v>
      </c>
      <c r="P14" s="349">
        <f t="shared" si="1"/>
        <v>0</v>
      </c>
      <c r="Q14" s="349">
        <f t="shared" si="1"/>
        <v>6100</v>
      </c>
      <c r="R14" s="349">
        <f t="shared" si="1"/>
        <v>6100</v>
      </c>
      <c r="S14" s="616">
        <v>0.8</v>
      </c>
      <c r="T14" s="592" t="s">
        <v>175</v>
      </c>
      <c r="U14" s="617">
        <f>U12/U13</f>
        <v>0.83432949539706547</v>
      </c>
      <c r="V14" s="617">
        <f>V12/V13</f>
        <v>0.90214876033057856</v>
      </c>
      <c r="W14" s="617">
        <f>W12/W13</f>
        <v>0.93318840579710149</v>
      </c>
      <c r="X14" s="617">
        <f>X12/X13</f>
        <v>0.92935897435897441</v>
      </c>
      <c r="Y14" s="618">
        <f>Y12/Y13</f>
        <v>0.93237499999999995</v>
      </c>
    </row>
    <row r="15" spans="1:25" ht="15.95" customHeight="1">
      <c r="A15" s="956"/>
      <c r="B15" s="575" t="s">
        <v>586</v>
      </c>
      <c r="C15" s="351" t="s">
        <v>47</v>
      </c>
      <c r="D15" s="578" t="s">
        <v>161</v>
      </c>
      <c r="E15" s="572">
        <f>ROUND(사회유입인구!O104*$I15,-2)</f>
        <v>0</v>
      </c>
      <c r="F15" s="572">
        <f>ROUND(사회유입인구!P104*$I15,-2)</f>
        <v>0</v>
      </c>
      <c r="G15" s="572">
        <f>ROUND(사회유입인구!Q104*$I15,-2)</f>
        <v>1500</v>
      </c>
      <c r="H15" s="572">
        <f>ROUND(사회유입인구!R104*$I15,-2)</f>
        <v>1500</v>
      </c>
      <c r="I15" s="616">
        <v>0.2</v>
      </c>
      <c r="J15" s="956"/>
      <c r="K15" s="351" t="s">
        <v>586</v>
      </c>
      <c r="L15" s="351" t="s">
        <v>47</v>
      </c>
      <c r="M15" s="611" t="s">
        <v>161</v>
      </c>
      <c r="N15" s="953"/>
      <c r="O15" s="349">
        <v>0</v>
      </c>
      <c r="P15" s="349">
        <f t="shared" si="1"/>
        <v>0</v>
      </c>
      <c r="Q15" s="349">
        <f t="shared" si="1"/>
        <v>1500</v>
      </c>
      <c r="R15" s="349">
        <f t="shared" si="1"/>
        <v>1500</v>
      </c>
      <c r="S15" s="616">
        <v>0.2</v>
      </c>
      <c r="T15" s="619"/>
    </row>
    <row r="16" spans="1:25" ht="15.95" customHeight="1">
      <c r="A16" s="227" t="s">
        <v>1036</v>
      </c>
      <c r="B16" s="240"/>
      <c r="C16" s="352"/>
      <c r="D16" s="230"/>
      <c r="E16" s="240">
        <f>SUM(E6:E15)</f>
        <v>0</v>
      </c>
      <c r="F16" s="240">
        <f>SUM(F6:F15)</f>
        <v>12100</v>
      </c>
      <c r="G16" s="240">
        <f>SUM(G6:G15)</f>
        <v>49500</v>
      </c>
      <c r="H16" s="240">
        <f>SUM(H6:H15)</f>
        <v>49500</v>
      </c>
      <c r="I16" s="242"/>
      <c r="J16" s="620" t="s">
        <v>1036</v>
      </c>
      <c r="K16" s="352"/>
      <c r="L16" s="352"/>
      <c r="M16" s="241"/>
      <c r="N16" s="352">
        <f>SUM(N6:N15)</f>
        <v>82544</v>
      </c>
      <c r="O16" s="352">
        <f>SUM(O6:O15)</f>
        <v>0</v>
      </c>
      <c r="P16" s="352">
        <f>SUM(P6:P15)</f>
        <v>18100</v>
      </c>
      <c r="Q16" s="352">
        <f>SUM(Q6:Q15)</f>
        <v>71100</v>
      </c>
      <c r="R16" s="352">
        <f>SUM(R6:R15)</f>
        <v>71100</v>
      </c>
      <c r="S16" s="621"/>
    </row>
    <row r="17" spans="1:19" ht="15.95" customHeight="1">
      <c r="A17" s="256"/>
      <c r="B17" s="91"/>
      <c r="C17" s="91"/>
      <c r="D17" s="256"/>
      <c r="E17" s="91"/>
      <c r="F17" s="91"/>
      <c r="G17" s="91"/>
      <c r="H17" s="91"/>
      <c r="I17" s="571"/>
      <c r="J17" s="256"/>
      <c r="K17" s="91"/>
      <c r="L17" s="91"/>
      <c r="M17" s="256"/>
      <c r="N17" s="91"/>
      <c r="O17" s="91"/>
      <c r="P17" s="91"/>
      <c r="Q17" s="91"/>
      <c r="R17" s="91"/>
      <c r="S17" s="571"/>
    </row>
    <row r="18" spans="1:19" ht="15.95" customHeight="1">
      <c r="A18" s="604" t="s">
        <v>1037</v>
      </c>
      <c r="J18" s="604" t="s">
        <v>1037</v>
      </c>
    </row>
    <row r="19" spans="1:19" ht="12.95" customHeight="1">
      <c r="A19" s="792" t="s">
        <v>109</v>
      </c>
      <c r="B19" s="939" t="s">
        <v>1027</v>
      </c>
      <c r="C19" s="945" t="s">
        <v>1030</v>
      </c>
      <c r="D19" s="939" t="s">
        <v>1028</v>
      </c>
      <c r="E19" s="272" t="s">
        <v>1029</v>
      </c>
      <c r="F19" s="605"/>
      <c r="G19" s="605"/>
      <c r="H19" s="606"/>
      <c r="I19" s="798" t="s">
        <v>121</v>
      </c>
      <c r="J19" s="943" t="s">
        <v>109</v>
      </c>
      <c r="K19" s="945" t="s">
        <v>1027</v>
      </c>
      <c r="L19" s="945" t="s">
        <v>1030</v>
      </c>
      <c r="M19" s="945" t="s">
        <v>1028</v>
      </c>
      <c r="N19" s="945" t="s">
        <v>182</v>
      </c>
      <c r="O19" s="607" t="s">
        <v>188</v>
      </c>
      <c r="P19" s="608"/>
      <c r="Q19" s="608"/>
      <c r="R19" s="609"/>
      <c r="S19" s="949" t="s">
        <v>121</v>
      </c>
    </row>
    <row r="20" spans="1:19" ht="12.95" customHeight="1">
      <c r="A20" s="794"/>
      <c r="B20" s="940"/>
      <c r="C20" s="946"/>
      <c r="D20" s="940"/>
      <c r="E20" s="581" t="s">
        <v>32</v>
      </c>
      <c r="F20" s="581" t="s">
        <v>494</v>
      </c>
      <c r="G20" s="581" t="s">
        <v>30</v>
      </c>
      <c r="H20" s="581" t="s">
        <v>29</v>
      </c>
      <c r="I20" s="799"/>
      <c r="J20" s="944"/>
      <c r="K20" s="946"/>
      <c r="L20" s="946"/>
      <c r="M20" s="946"/>
      <c r="N20" s="946"/>
      <c r="O20" s="584" t="s">
        <v>32</v>
      </c>
      <c r="P20" s="584" t="s">
        <v>494</v>
      </c>
      <c r="Q20" s="584" t="s">
        <v>30</v>
      </c>
      <c r="R20" s="584" t="s">
        <v>29</v>
      </c>
      <c r="S20" s="950"/>
    </row>
    <row r="21" spans="1:19" ht="15.95" customHeight="1">
      <c r="A21" s="579" t="s">
        <v>111</v>
      </c>
      <c r="B21" s="274" t="s">
        <v>35</v>
      </c>
      <c r="C21" s="355" t="s">
        <v>59</v>
      </c>
      <c r="D21" s="353" t="s">
        <v>159</v>
      </c>
      <c r="E21" s="599">
        <f>사회유입인구!O106</f>
        <v>12300</v>
      </c>
      <c r="F21" s="599">
        <f>사회유입인구!P106</f>
        <v>12300</v>
      </c>
      <c r="G21" s="599">
        <f>사회유입인구!Q106</f>
        <v>12300</v>
      </c>
      <c r="H21" s="599">
        <f>사회유입인구!R106</f>
        <v>12300</v>
      </c>
      <c r="I21" s="622"/>
      <c r="J21" s="623" t="s">
        <v>111</v>
      </c>
      <c r="K21" s="354" t="s">
        <v>35</v>
      </c>
      <c r="L21" s="567" t="s">
        <v>1206</v>
      </c>
      <c r="M21" s="355" t="s">
        <v>159</v>
      </c>
      <c r="N21" s="354">
        <f>사회유입인구!I18</f>
        <v>20444</v>
      </c>
      <c r="O21" s="589">
        <f>ROUND($N21*인구배분!U$4,-2)</f>
        <v>20400</v>
      </c>
      <c r="P21" s="589">
        <f>ROUND($N21*인구배분!V$4,-2)</f>
        <v>20400</v>
      </c>
      <c r="Q21" s="589">
        <f>ROUND($N21*인구배분!W$4,-2)</f>
        <v>20400</v>
      </c>
      <c r="R21" s="589">
        <f>ROUND($N21*인구배분!X$4,-2)</f>
        <v>20400</v>
      </c>
      <c r="S21" s="622"/>
    </row>
    <row r="22" spans="1:19" ht="24.95" customHeight="1">
      <c r="A22" s="573" t="s">
        <v>622</v>
      </c>
      <c r="B22" s="572" t="s">
        <v>41</v>
      </c>
      <c r="C22" s="349" t="s">
        <v>508</v>
      </c>
      <c r="D22" s="572" t="s">
        <v>508</v>
      </c>
      <c r="E22" s="599">
        <f>사회유입인구!O107</f>
        <v>1900</v>
      </c>
      <c r="F22" s="599">
        <f>사회유입인구!P107</f>
        <v>1900</v>
      </c>
      <c r="G22" s="599">
        <f>사회유입인구!Q107</f>
        <v>1900</v>
      </c>
      <c r="H22" s="599">
        <f>사회유입인구!R107</f>
        <v>1900</v>
      </c>
      <c r="I22" s="235"/>
      <c r="J22" s="573" t="s">
        <v>622</v>
      </c>
      <c r="K22" s="349" t="s">
        <v>41</v>
      </c>
      <c r="L22" s="349" t="s">
        <v>508</v>
      </c>
      <c r="M22" s="349" t="s">
        <v>508</v>
      </c>
      <c r="N22" s="612">
        <f>사회유입인구!I19</f>
        <v>3122</v>
      </c>
      <c r="O22" s="589">
        <f>ROUND($N22*인구배분!U$4,-2)</f>
        <v>3100</v>
      </c>
      <c r="P22" s="589">
        <f>ROUND($N22*인구배분!V$4,-2)</f>
        <v>3100</v>
      </c>
      <c r="Q22" s="589">
        <f>ROUND($N22*인구배분!W$4,-2)</f>
        <v>3100</v>
      </c>
      <c r="R22" s="589">
        <f>ROUND($N22*인구배분!X$4,-2)</f>
        <v>3100</v>
      </c>
      <c r="S22" s="235"/>
    </row>
    <row r="23" spans="1:19" ht="24.95" customHeight="1">
      <c r="A23" s="573" t="s">
        <v>623</v>
      </c>
      <c r="B23" s="572" t="s">
        <v>41</v>
      </c>
      <c r="C23" s="349" t="s">
        <v>508</v>
      </c>
      <c r="D23" s="572" t="s">
        <v>508</v>
      </c>
      <c r="E23" s="572">
        <f>사회유입인구!O108</f>
        <v>0</v>
      </c>
      <c r="F23" s="572">
        <f>사회유입인구!P108</f>
        <v>18100</v>
      </c>
      <c r="G23" s="572">
        <f>사회유입인구!Q108</f>
        <v>18100</v>
      </c>
      <c r="H23" s="572">
        <f>사회유입인구!R108</f>
        <v>18100</v>
      </c>
      <c r="I23" s="235"/>
      <c r="J23" s="573" t="s">
        <v>623</v>
      </c>
      <c r="K23" s="349" t="s">
        <v>41</v>
      </c>
      <c r="L23" s="349" t="s">
        <v>508</v>
      </c>
      <c r="M23" s="349" t="s">
        <v>508</v>
      </c>
      <c r="N23" s="349">
        <f>사회유입인구!I21</f>
        <v>30198</v>
      </c>
      <c r="O23" s="349">
        <v>0</v>
      </c>
      <c r="P23" s="589">
        <f>ROUND($N23*인구배분!U$4,-2)</f>
        <v>30200</v>
      </c>
      <c r="Q23" s="589">
        <f>ROUND($N23*인구배분!V$4,-2)</f>
        <v>30200</v>
      </c>
      <c r="R23" s="589">
        <f>ROUND($N23*인구배분!W$4,-2)</f>
        <v>30200</v>
      </c>
      <c r="S23" s="235"/>
    </row>
    <row r="24" spans="1:19" ht="15.95" customHeight="1">
      <c r="A24" s="592" t="s">
        <v>446</v>
      </c>
      <c r="B24" s="70" t="s">
        <v>616</v>
      </c>
      <c r="C24" s="356" t="s">
        <v>184</v>
      </c>
      <c r="D24" s="70" t="s">
        <v>184</v>
      </c>
      <c r="E24" s="572">
        <f>사회유입인구!O109</f>
        <v>0</v>
      </c>
      <c r="F24" s="572">
        <f>사회유입인구!P109</f>
        <v>0</v>
      </c>
      <c r="G24" s="572">
        <f>사회유입인구!Q109</f>
        <v>6600</v>
      </c>
      <c r="H24" s="572">
        <f>사회유입인구!R109</f>
        <v>6600</v>
      </c>
      <c r="I24" s="586"/>
      <c r="J24" s="583" t="s">
        <v>446</v>
      </c>
      <c r="K24" s="356" t="s">
        <v>616</v>
      </c>
      <c r="L24" s="356" t="s">
        <v>184</v>
      </c>
      <c r="M24" s="356" t="s">
        <v>184</v>
      </c>
      <c r="N24" s="356">
        <f>사회유입인구!I23</f>
        <v>11000</v>
      </c>
      <c r="O24" s="349">
        <v>0</v>
      </c>
      <c r="P24" s="589">
        <v>0</v>
      </c>
      <c r="Q24" s="589">
        <f>ROUND($N24*인구배분!V$4,-2)</f>
        <v>11000</v>
      </c>
      <c r="R24" s="589">
        <f>ROUND($N24*인구배분!W$4,-2)</f>
        <v>11000</v>
      </c>
      <c r="S24" s="586"/>
    </row>
    <row r="25" spans="1:19" ht="15.95" customHeight="1">
      <c r="A25" s="227" t="s">
        <v>1036</v>
      </c>
      <c r="B25" s="240"/>
      <c r="C25" s="352"/>
      <c r="D25" s="240"/>
      <c r="E25" s="624">
        <f>SUM(E21:E24)</f>
        <v>14200</v>
      </c>
      <c r="F25" s="624">
        <f>SUM(F21:F24)</f>
        <v>32300</v>
      </c>
      <c r="G25" s="624">
        <f>SUM(G21:G24)</f>
        <v>38900</v>
      </c>
      <c r="H25" s="624">
        <f>SUM(H21:H24)</f>
        <v>38900</v>
      </c>
      <c r="I25" s="231"/>
      <c r="J25" s="620" t="s">
        <v>1036</v>
      </c>
      <c r="K25" s="352"/>
      <c r="L25" s="352"/>
      <c r="M25" s="352"/>
      <c r="N25" s="625">
        <f>SUM(N21:N24)</f>
        <v>64764</v>
      </c>
      <c r="O25" s="625">
        <f>SUM(O21:O24)</f>
        <v>23500</v>
      </c>
      <c r="P25" s="625">
        <f>SUM(P21:P24)</f>
        <v>53700</v>
      </c>
      <c r="Q25" s="625">
        <f>SUM(Q21:Q24)</f>
        <v>64700</v>
      </c>
      <c r="R25" s="625">
        <f>SUM(R21:R24)</f>
        <v>64700</v>
      </c>
      <c r="S25" s="626"/>
    </row>
    <row r="26" spans="1:19" ht="15.95" customHeight="1">
      <c r="A26" s="256"/>
      <c r="B26" s="91"/>
      <c r="C26" s="91"/>
      <c r="D26" s="91"/>
      <c r="E26" s="91"/>
      <c r="F26" s="91"/>
      <c r="G26" s="91"/>
      <c r="H26" s="91"/>
      <c r="I26" s="256"/>
      <c r="J26" s="256"/>
      <c r="K26" s="91"/>
      <c r="L26" s="91"/>
      <c r="M26" s="91"/>
      <c r="N26" s="91"/>
      <c r="O26" s="91"/>
      <c r="P26" s="91"/>
      <c r="Q26" s="91"/>
      <c r="R26" s="91"/>
      <c r="S26" s="256"/>
    </row>
    <row r="27" spans="1:19" ht="15.95" customHeight="1">
      <c r="A27" s="604" t="s">
        <v>180</v>
      </c>
      <c r="J27" s="604" t="s">
        <v>180</v>
      </c>
    </row>
    <row r="28" spans="1:19" ht="12.95" customHeight="1">
      <c r="A28" s="792" t="s">
        <v>109</v>
      </c>
      <c r="B28" s="939" t="s">
        <v>1027</v>
      </c>
      <c r="C28" s="945" t="s">
        <v>1030</v>
      </c>
      <c r="D28" s="939" t="s">
        <v>1028</v>
      </c>
      <c r="E28" s="272" t="s">
        <v>1029</v>
      </c>
      <c r="F28" s="605"/>
      <c r="G28" s="605"/>
      <c r="H28" s="606"/>
      <c r="I28" s="798" t="s">
        <v>121</v>
      </c>
      <c r="J28" s="943" t="s">
        <v>109</v>
      </c>
      <c r="K28" s="945" t="s">
        <v>1027</v>
      </c>
      <c r="L28" s="945" t="s">
        <v>1030</v>
      </c>
      <c r="M28" s="945" t="s">
        <v>1028</v>
      </c>
      <c r="N28" s="945" t="s">
        <v>182</v>
      </c>
      <c r="O28" s="607" t="s">
        <v>188</v>
      </c>
      <c r="P28" s="608"/>
      <c r="Q28" s="608"/>
      <c r="R28" s="609"/>
      <c r="S28" s="949" t="s">
        <v>121</v>
      </c>
    </row>
    <row r="29" spans="1:19" ht="12.95" customHeight="1">
      <c r="A29" s="794"/>
      <c r="B29" s="940"/>
      <c r="C29" s="946"/>
      <c r="D29" s="940"/>
      <c r="E29" s="581" t="s">
        <v>32</v>
      </c>
      <c r="F29" s="581" t="s">
        <v>494</v>
      </c>
      <c r="G29" s="581" t="s">
        <v>30</v>
      </c>
      <c r="H29" s="581" t="s">
        <v>29</v>
      </c>
      <c r="I29" s="799"/>
      <c r="J29" s="944"/>
      <c r="K29" s="946"/>
      <c r="L29" s="946"/>
      <c r="M29" s="946"/>
      <c r="N29" s="946"/>
      <c r="O29" s="584" t="s">
        <v>32</v>
      </c>
      <c r="P29" s="584" t="s">
        <v>494</v>
      </c>
      <c r="Q29" s="584" t="s">
        <v>30</v>
      </c>
      <c r="R29" s="584" t="s">
        <v>29</v>
      </c>
      <c r="S29" s="950"/>
    </row>
    <row r="30" spans="1:19" ht="15" customHeight="1">
      <c r="A30" s="593" t="s">
        <v>162</v>
      </c>
      <c r="B30" s="580" t="s">
        <v>1038</v>
      </c>
      <c r="C30" s="577" t="s">
        <v>59</v>
      </c>
      <c r="D30" s="50" t="s">
        <v>159</v>
      </c>
      <c r="E30" s="572">
        <f>사회유입인구!O111</f>
        <v>7900</v>
      </c>
      <c r="F30" s="572">
        <f>사회유입인구!P111</f>
        <v>7900</v>
      </c>
      <c r="G30" s="572">
        <f>사회유입인구!Q111</f>
        <v>7900</v>
      </c>
      <c r="H30" s="572">
        <f>사회유입인구!R111</f>
        <v>7900</v>
      </c>
      <c r="I30" s="235"/>
      <c r="J30" s="237" t="s">
        <v>162</v>
      </c>
      <c r="K30" s="577" t="s">
        <v>1038</v>
      </c>
      <c r="L30" s="567" t="s">
        <v>1206</v>
      </c>
      <c r="M30" s="357" t="s">
        <v>159</v>
      </c>
      <c r="N30" s="349">
        <f>사회유입인구!I29</f>
        <v>13142</v>
      </c>
      <c r="O30" s="349">
        <f>ROUND($N30*인구배분!U$4,-2)</f>
        <v>13100</v>
      </c>
      <c r="P30" s="349">
        <f>ROUND($N30*인구배분!V$4,-2)</f>
        <v>13100</v>
      </c>
      <c r="Q30" s="349">
        <f>ROUND($N30*인구배분!W$4,-2)</f>
        <v>13100</v>
      </c>
      <c r="R30" s="349">
        <f>ROUND($N30*인구배분!X$4,-2)</f>
        <v>13100</v>
      </c>
      <c r="S30" s="235"/>
    </row>
    <row r="31" spans="1:19" ht="15.95" customHeight="1">
      <c r="A31" s="957" t="s">
        <v>455</v>
      </c>
      <c r="B31" s="582" t="s">
        <v>22</v>
      </c>
      <c r="C31" s="358" t="s">
        <v>59</v>
      </c>
      <c r="D31" s="594" t="s">
        <v>43</v>
      </c>
      <c r="E31" s="572">
        <f>ROUND(사회유입인구!O112*$I31,-2)</f>
        <v>500</v>
      </c>
      <c r="F31" s="572">
        <f>ROUND(사회유입인구!P112*$I31,-2)</f>
        <v>500</v>
      </c>
      <c r="G31" s="572">
        <f>ROUND(사회유입인구!Q112*$I31,-2)</f>
        <v>500</v>
      </c>
      <c r="H31" s="572">
        <f>ROUND(사회유입인구!R112*$I31,-2)</f>
        <v>500</v>
      </c>
      <c r="I31" s="622">
        <v>0.6</v>
      </c>
      <c r="J31" s="954" t="s">
        <v>455</v>
      </c>
      <c r="K31" s="350" t="s">
        <v>22</v>
      </c>
      <c r="L31" s="358" t="s">
        <v>506</v>
      </c>
      <c r="M31" s="328" t="s">
        <v>43</v>
      </c>
      <c r="N31" s="951">
        <f>사회유입인구!I30</f>
        <v>1381</v>
      </c>
      <c r="O31" s="349">
        <f>ROUND($N31*인구배분!U$4*$S31,-2)</f>
        <v>800</v>
      </c>
      <c r="P31" s="349">
        <f>ROUND($N31*인구배분!V$4*$S31,-2)</f>
        <v>800</v>
      </c>
      <c r="Q31" s="349">
        <f>ROUND($N31*인구배분!W$4*$S31,-2)</f>
        <v>800</v>
      </c>
      <c r="R31" s="349">
        <f>ROUND($N31*인구배분!X$4*$S31,-2)</f>
        <v>800</v>
      </c>
      <c r="S31" s="622">
        <v>0.6</v>
      </c>
    </row>
    <row r="32" spans="1:19" ht="15.95" customHeight="1">
      <c r="A32" s="791"/>
      <c r="B32" s="582" t="s">
        <v>1038</v>
      </c>
      <c r="C32" s="350" t="s">
        <v>59</v>
      </c>
      <c r="D32" s="50" t="s">
        <v>506</v>
      </c>
      <c r="E32" s="572">
        <f>ROUND(사회유입인구!O112*$I32,-2)</f>
        <v>300</v>
      </c>
      <c r="F32" s="572">
        <f>ROUND(사회유입인구!P112*$I32,-2)</f>
        <v>300</v>
      </c>
      <c r="G32" s="572">
        <f>ROUND(사회유입인구!Q112*$I32,-2)</f>
        <v>300</v>
      </c>
      <c r="H32" s="572">
        <f>ROUND(사회유입인구!R112*$I32,-2)</f>
        <v>300</v>
      </c>
      <c r="I32" s="622">
        <v>0.4</v>
      </c>
      <c r="J32" s="955"/>
      <c r="K32" s="350" t="s">
        <v>1038</v>
      </c>
      <c r="L32" s="350" t="s">
        <v>506</v>
      </c>
      <c r="M32" s="357" t="s">
        <v>506</v>
      </c>
      <c r="N32" s="952"/>
      <c r="O32" s="349">
        <f>ROUND($N31*인구배분!U$4*$S32,-2)</f>
        <v>600</v>
      </c>
      <c r="P32" s="349">
        <f>ROUND($N31*인구배분!V$4*$S32,-2)</f>
        <v>600</v>
      </c>
      <c r="Q32" s="349">
        <f>ROUND($N31*인구배분!W$4*$S32,-2)</f>
        <v>600</v>
      </c>
      <c r="R32" s="349">
        <f>ROUND($N31*인구배분!X$4*$S32,-2)</f>
        <v>600</v>
      </c>
      <c r="S32" s="622">
        <v>0.4</v>
      </c>
    </row>
    <row r="33" spans="1:19" ht="15" customHeight="1">
      <c r="A33" s="593" t="s">
        <v>457</v>
      </c>
      <c r="B33" s="580" t="s">
        <v>177</v>
      </c>
      <c r="C33" s="577" t="s">
        <v>59</v>
      </c>
      <c r="D33" s="50" t="s">
        <v>506</v>
      </c>
      <c r="E33" s="572">
        <f>사회유입인구!O113</f>
        <v>1500</v>
      </c>
      <c r="F33" s="572">
        <f>사회유입인구!P113</f>
        <v>1500</v>
      </c>
      <c r="G33" s="572">
        <f>사회유입인구!Q113</f>
        <v>1500</v>
      </c>
      <c r="H33" s="572">
        <f>사회유입인구!R113</f>
        <v>1500</v>
      </c>
      <c r="I33" s="235"/>
      <c r="J33" s="237" t="s">
        <v>457</v>
      </c>
      <c r="K33" s="577" t="s">
        <v>177</v>
      </c>
      <c r="L33" s="577" t="s">
        <v>506</v>
      </c>
      <c r="M33" s="357" t="s">
        <v>506</v>
      </c>
      <c r="N33" s="349">
        <f>사회유입인구!I31</f>
        <v>2545</v>
      </c>
      <c r="O33" s="349">
        <f>ROUND($N33*인구배분!U$4,-2)</f>
        <v>2500</v>
      </c>
      <c r="P33" s="349">
        <f>ROUND($N33*인구배분!V$4,-2)</f>
        <v>2500</v>
      </c>
      <c r="Q33" s="349">
        <f>ROUND($N33*인구배분!W$4,-2)</f>
        <v>2500</v>
      </c>
      <c r="R33" s="349">
        <f>ROUND($N33*인구배분!X$4,-2)</f>
        <v>2500</v>
      </c>
      <c r="S33" s="235"/>
    </row>
    <row r="34" spans="1:19" ht="15" customHeight="1">
      <c r="A34" s="593" t="s">
        <v>624</v>
      </c>
      <c r="B34" s="594" t="s">
        <v>41</v>
      </c>
      <c r="C34" s="328" t="s">
        <v>508</v>
      </c>
      <c r="D34" s="50" t="s">
        <v>508</v>
      </c>
      <c r="E34" s="572">
        <f>사회유입인구!O114</f>
        <v>1600</v>
      </c>
      <c r="F34" s="572">
        <f>사회유입인구!P114</f>
        <v>1600</v>
      </c>
      <c r="G34" s="572">
        <f>사회유입인구!Q114</f>
        <v>1600</v>
      </c>
      <c r="H34" s="572">
        <f>사회유입인구!R114</f>
        <v>1600</v>
      </c>
      <c r="I34" s="235"/>
      <c r="J34" s="237" t="s">
        <v>624</v>
      </c>
      <c r="K34" s="328" t="s">
        <v>41</v>
      </c>
      <c r="L34" s="328" t="s">
        <v>508</v>
      </c>
      <c r="M34" s="357" t="s">
        <v>508</v>
      </c>
      <c r="N34" s="349">
        <f>사회유입인구!I32</f>
        <v>2746</v>
      </c>
      <c r="O34" s="349">
        <f>ROUND($N34*인구배분!U$4,-2)</f>
        <v>2700</v>
      </c>
      <c r="P34" s="349">
        <f>ROUND($N34*인구배분!V$4,-2)</f>
        <v>2700</v>
      </c>
      <c r="Q34" s="349">
        <f>ROUND($N34*인구배분!W$4,-2)</f>
        <v>2700</v>
      </c>
      <c r="R34" s="349">
        <f>ROUND($N34*인구배분!X$4,-2)</f>
        <v>2700</v>
      </c>
      <c r="S34" s="235"/>
    </row>
    <row r="35" spans="1:19" ht="15" customHeight="1">
      <c r="A35" s="590" t="s">
        <v>115</v>
      </c>
      <c r="B35" s="594" t="s">
        <v>41</v>
      </c>
      <c r="C35" s="328" t="s">
        <v>508</v>
      </c>
      <c r="D35" s="258" t="s">
        <v>508</v>
      </c>
      <c r="E35" s="572">
        <f>사회유입인구!O115</f>
        <v>1400</v>
      </c>
      <c r="F35" s="572">
        <f>사회유입인구!P115</f>
        <v>1400</v>
      </c>
      <c r="G35" s="572">
        <f>사회유입인구!Q115</f>
        <v>1400</v>
      </c>
      <c r="H35" s="572">
        <f>사회유입인구!R115</f>
        <v>1400</v>
      </c>
      <c r="I35" s="235"/>
      <c r="J35" s="587" t="s">
        <v>115</v>
      </c>
      <c r="K35" s="328" t="s">
        <v>41</v>
      </c>
      <c r="L35" s="328" t="s">
        <v>508</v>
      </c>
      <c r="M35" s="359" t="s">
        <v>508</v>
      </c>
      <c r="N35" s="349">
        <f>사회유입인구!I33</f>
        <v>2379</v>
      </c>
      <c r="O35" s="349">
        <f>ROUND($N35*인구배분!U$4,-2)</f>
        <v>2400</v>
      </c>
      <c r="P35" s="349">
        <f>ROUND($N35*인구배분!V$4,-2)</f>
        <v>2400</v>
      </c>
      <c r="Q35" s="349">
        <f>ROUND($N35*인구배분!W$4,-2)</f>
        <v>2400</v>
      </c>
      <c r="R35" s="349">
        <f>ROUND($N35*인구배분!X$4,-2)</f>
        <v>2400</v>
      </c>
      <c r="S35" s="235"/>
    </row>
    <row r="36" spans="1:19" ht="15" customHeight="1">
      <c r="A36" s="590" t="s">
        <v>467</v>
      </c>
      <c r="B36" s="594" t="s">
        <v>41</v>
      </c>
      <c r="C36" s="328" t="s">
        <v>508</v>
      </c>
      <c r="D36" s="258" t="s">
        <v>508</v>
      </c>
      <c r="E36" s="572">
        <f>사회유입인구!O116</f>
        <v>1200</v>
      </c>
      <c r="F36" s="572">
        <f>사회유입인구!P116</f>
        <v>1200</v>
      </c>
      <c r="G36" s="572">
        <f>사회유입인구!Q116</f>
        <v>1200</v>
      </c>
      <c r="H36" s="572">
        <f>사회유입인구!R116</f>
        <v>1200</v>
      </c>
      <c r="I36" s="235"/>
      <c r="J36" s="587" t="s">
        <v>467</v>
      </c>
      <c r="K36" s="328" t="s">
        <v>41</v>
      </c>
      <c r="L36" s="328" t="s">
        <v>508</v>
      </c>
      <c r="M36" s="359" t="s">
        <v>508</v>
      </c>
      <c r="N36" s="349">
        <f>사회유입인구!I34</f>
        <v>1969</v>
      </c>
      <c r="O36" s="349">
        <f>ROUND($N36*인구배분!U$4,-2)</f>
        <v>2000</v>
      </c>
      <c r="P36" s="349">
        <f>ROUND($N36*인구배분!V$4,-2)</f>
        <v>2000</v>
      </c>
      <c r="Q36" s="349">
        <f>ROUND($N36*인구배분!W$4,-2)</f>
        <v>2000</v>
      </c>
      <c r="R36" s="349">
        <f>ROUND($N36*인구배분!X$4,-2)</f>
        <v>2000</v>
      </c>
      <c r="S36" s="235"/>
    </row>
    <row r="37" spans="1:19" ht="15" customHeight="1">
      <c r="A37" s="593" t="s">
        <v>114</v>
      </c>
      <c r="B37" s="594" t="s">
        <v>41</v>
      </c>
      <c r="C37" s="328" t="s">
        <v>508</v>
      </c>
      <c r="D37" s="50" t="s">
        <v>508</v>
      </c>
      <c r="E37" s="572">
        <f>사회유입인구!O117</f>
        <v>2100</v>
      </c>
      <c r="F37" s="572">
        <f>사회유입인구!P117</f>
        <v>2100</v>
      </c>
      <c r="G37" s="572">
        <f>사회유입인구!Q117</f>
        <v>2100</v>
      </c>
      <c r="H37" s="572">
        <f>사회유입인구!R117</f>
        <v>2100</v>
      </c>
      <c r="I37" s="235"/>
      <c r="J37" s="237" t="s">
        <v>114</v>
      </c>
      <c r="K37" s="328" t="s">
        <v>41</v>
      </c>
      <c r="L37" s="328" t="s">
        <v>508</v>
      </c>
      <c r="M37" s="357" t="s">
        <v>508</v>
      </c>
      <c r="N37" s="349">
        <f>사회유입인구!I35</f>
        <v>3511</v>
      </c>
      <c r="O37" s="349">
        <f>ROUND($N37*인구배분!U$4,-2)</f>
        <v>3500</v>
      </c>
      <c r="P37" s="349">
        <f>ROUND($N37*인구배분!V$4,-2)</f>
        <v>3500</v>
      </c>
      <c r="Q37" s="349">
        <f>ROUND($N37*인구배분!W$4,-2)</f>
        <v>3500</v>
      </c>
      <c r="R37" s="349">
        <f>ROUND($N37*인구배분!X$4,-2)</f>
        <v>3500</v>
      </c>
      <c r="S37" s="235"/>
    </row>
    <row r="38" spans="1:19" ht="15" customHeight="1">
      <c r="A38" s="593" t="s">
        <v>473</v>
      </c>
      <c r="B38" s="594" t="s">
        <v>41</v>
      </c>
      <c r="C38" s="328" t="s">
        <v>508</v>
      </c>
      <c r="D38" s="50" t="s">
        <v>508</v>
      </c>
      <c r="E38" s="572">
        <f>사회유입인구!O118</f>
        <v>0</v>
      </c>
      <c r="F38" s="572">
        <f>사회유입인구!P118</f>
        <v>0</v>
      </c>
      <c r="G38" s="572">
        <f>사회유입인구!Q118</f>
        <v>8900</v>
      </c>
      <c r="H38" s="572">
        <f>사회유입인구!R118</f>
        <v>8900</v>
      </c>
      <c r="I38" s="235"/>
      <c r="J38" s="237" t="s">
        <v>473</v>
      </c>
      <c r="K38" s="328" t="s">
        <v>41</v>
      </c>
      <c r="L38" s="328" t="s">
        <v>508</v>
      </c>
      <c r="M38" s="357" t="s">
        <v>508</v>
      </c>
      <c r="N38" s="349">
        <f>사회유입인구!I36</f>
        <v>14781</v>
      </c>
      <c r="O38" s="349">
        <v>0</v>
      </c>
      <c r="P38" s="627">
        <f>+O38</f>
        <v>0</v>
      </c>
      <c r="Q38" s="349">
        <f>ROUND($N38*인구배분!U$4,-2)</f>
        <v>14800</v>
      </c>
      <c r="R38" s="349">
        <f>ROUND($N38*인구배분!V$4,-2)</f>
        <v>14800</v>
      </c>
      <c r="S38" s="235"/>
    </row>
    <row r="39" spans="1:19" ht="15" customHeight="1">
      <c r="A39" s="573" t="s">
        <v>476</v>
      </c>
      <c r="B39" s="580" t="s">
        <v>35</v>
      </c>
      <c r="C39" s="577" t="s">
        <v>59</v>
      </c>
      <c r="D39" s="50" t="s">
        <v>159</v>
      </c>
      <c r="E39" s="572">
        <f>사회유입인구!O119</f>
        <v>0</v>
      </c>
      <c r="F39" s="572">
        <f>사회유입인구!P119</f>
        <v>1700</v>
      </c>
      <c r="G39" s="572">
        <f>사회유입인구!Q119</f>
        <v>1700</v>
      </c>
      <c r="H39" s="572">
        <f>사회유입인구!R119</f>
        <v>1700</v>
      </c>
      <c r="I39" s="235"/>
      <c r="J39" s="628" t="s">
        <v>476</v>
      </c>
      <c r="K39" s="577" t="s">
        <v>35</v>
      </c>
      <c r="L39" s="568" t="s">
        <v>1206</v>
      </c>
      <c r="M39" s="357" t="s">
        <v>159</v>
      </c>
      <c r="N39" s="349">
        <f>사회유입인구!I37</f>
        <v>2854</v>
      </c>
      <c r="O39" s="349">
        <v>0</v>
      </c>
      <c r="P39" s="349">
        <f>ROUND($N39*인구배분!U$4,-2)</f>
        <v>2900</v>
      </c>
      <c r="Q39" s="349">
        <f>ROUND($N39*인구배분!V$4,-2)</f>
        <v>2900</v>
      </c>
      <c r="R39" s="349">
        <f>ROUND($N39*인구배분!W$4,-2)</f>
        <v>2900</v>
      </c>
      <c r="S39" s="235"/>
    </row>
    <row r="40" spans="1:19" ht="15" customHeight="1">
      <c r="A40" s="593" t="s">
        <v>484</v>
      </c>
      <c r="B40" s="580" t="s">
        <v>1038</v>
      </c>
      <c r="C40" s="577" t="s">
        <v>59</v>
      </c>
      <c r="D40" s="50" t="s">
        <v>159</v>
      </c>
      <c r="E40" s="572">
        <f>사회유입인구!O120</f>
        <v>1700</v>
      </c>
      <c r="F40" s="572">
        <f>사회유입인구!P120</f>
        <v>1700</v>
      </c>
      <c r="G40" s="572">
        <f>사회유입인구!Q120</f>
        <v>1700</v>
      </c>
      <c r="H40" s="572">
        <f>사회유입인구!R120</f>
        <v>1700</v>
      </c>
      <c r="I40" s="235"/>
      <c r="J40" s="237" t="s">
        <v>484</v>
      </c>
      <c r="K40" s="577" t="s">
        <v>1038</v>
      </c>
      <c r="L40" s="568" t="s">
        <v>1206</v>
      </c>
      <c r="M40" s="357" t="s">
        <v>159</v>
      </c>
      <c r="N40" s="349">
        <f>사회유입인구!I39</f>
        <v>2806</v>
      </c>
      <c r="O40" s="349">
        <f>ROUND($N40*인구배분!U$4,-2)</f>
        <v>2800</v>
      </c>
      <c r="P40" s="349">
        <f>ROUND($N40*인구배분!V$4,-2)</f>
        <v>2800</v>
      </c>
      <c r="Q40" s="349">
        <f>ROUND($N40*인구배분!W$4,-2)</f>
        <v>2800</v>
      </c>
      <c r="R40" s="349">
        <f>ROUND($N40*인구배분!X$4,-2)</f>
        <v>2800</v>
      </c>
      <c r="S40" s="235"/>
    </row>
    <row r="41" spans="1:19" ht="15" customHeight="1">
      <c r="A41" s="593" t="s">
        <v>489</v>
      </c>
      <c r="B41" s="582" t="s">
        <v>616</v>
      </c>
      <c r="C41" s="350" t="s">
        <v>510</v>
      </c>
      <c r="D41" s="232" t="s">
        <v>510</v>
      </c>
      <c r="E41" s="572">
        <f>사회유입인구!O121</f>
        <v>0</v>
      </c>
      <c r="F41" s="572">
        <f>사회유입인구!P121</f>
        <v>8600</v>
      </c>
      <c r="G41" s="572">
        <f>사회유입인구!Q121</f>
        <v>8600</v>
      </c>
      <c r="H41" s="572">
        <f>사회유입인구!R121</f>
        <v>8600</v>
      </c>
      <c r="I41" s="235"/>
      <c r="J41" s="237" t="s">
        <v>489</v>
      </c>
      <c r="K41" s="350" t="s">
        <v>616</v>
      </c>
      <c r="L41" s="350" t="s">
        <v>510</v>
      </c>
      <c r="M41" s="360" t="s">
        <v>510</v>
      </c>
      <c r="N41" s="349">
        <f>사회유입인구!I40</f>
        <v>14314</v>
      </c>
      <c r="O41" s="349">
        <v>0</v>
      </c>
      <c r="P41" s="349">
        <f>ROUND($N41*인구배분!U$4,-2)</f>
        <v>14300</v>
      </c>
      <c r="Q41" s="349">
        <f>ROUND($N41*인구배분!V$4,-2)</f>
        <v>14300</v>
      </c>
      <c r="R41" s="349">
        <f>ROUND($N41*인구배분!W$4,-2)</f>
        <v>14300</v>
      </c>
      <c r="S41" s="235"/>
    </row>
    <row r="42" spans="1:19" ht="15" customHeight="1">
      <c r="A42" s="593" t="s">
        <v>626</v>
      </c>
      <c r="B42" s="580" t="s">
        <v>155</v>
      </c>
      <c r="C42" s="577" t="s">
        <v>510</v>
      </c>
      <c r="D42" s="50" t="s">
        <v>510</v>
      </c>
      <c r="E42" s="572">
        <f>사회유입인구!O122</f>
        <v>0</v>
      </c>
      <c r="F42" s="572">
        <f>사회유입인구!P122</f>
        <v>3100</v>
      </c>
      <c r="G42" s="572">
        <f>사회유입인구!Q122</f>
        <v>3100</v>
      </c>
      <c r="H42" s="572">
        <f>사회유입인구!R122</f>
        <v>3100</v>
      </c>
      <c r="I42" s="235"/>
      <c r="J42" s="237" t="s">
        <v>626</v>
      </c>
      <c r="K42" s="577" t="s">
        <v>155</v>
      </c>
      <c r="L42" s="577" t="s">
        <v>510</v>
      </c>
      <c r="M42" s="357" t="s">
        <v>510</v>
      </c>
      <c r="N42" s="349">
        <f>사회유입인구!I41</f>
        <v>5122</v>
      </c>
      <c r="O42" s="349">
        <v>0</v>
      </c>
      <c r="P42" s="349">
        <f>ROUND($N42*인구배분!U$4,-2)</f>
        <v>5100</v>
      </c>
      <c r="Q42" s="349">
        <f>ROUND($N42*인구배분!V$4,-2)</f>
        <v>5100</v>
      </c>
      <c r="R42" s="349">
        <f>ROUND($N42*인구배분!W$4,-2)</f>
        <v>5100</v>
      </c>
      <c r="S42" s="235"/>
    </row>
    <row r="43" spans="1:19" ht="15" customHeight="1">
      <c r="A43" s="591" t="s">
        <v>627</v>
      </c>
      <c r="B43" s="596" t="s">
        <v>35</v>
      </c>
      <c r="C43" s="254" t="s">
        <v>59</v>
      </c>
      <c r="D43" s="259" t="s">
        <v>159</v>
      </c>
      <c r="E43" s="572">
        <f>사회유입인구!O123</f>
        <v>0</v>
      </c>
      <c r="F43" s="572">
        <f>사회유입인구!P123</f>
        <v>0</v>
      </c>
      <c r="G43" s="572">
        <f>사회유입인구!Q123</f>
        <v>4600</v>
      </c>
      <c r="H43" s="572">
        <f>사회유입인구!R123</f>
        <v>4600</v>
      </c>
      <c r="I43" s="235"/>
      <c r="J43" s="588" t="s">
        <v>627</v>
      </c>
      <c r="K43" s="254" t="s">
        <v>35</v>
      </c>
      <c r="L43" s="568" t="s">
        <v>1206</v>
      </c>
      <c r="M43" s="361" t="s">
        <v>159</v>
      </c>
      <c r="N43" s="349">
        <f>사회유입인구!I42</f>
        <v>7700</v>
      </c>
      <c r="O43" s="349">
        <v>0</v>
      </c>
      <c r="P43" s="349">
        <v>0</v>
      </c>
      <c r="Q43" s="349">
        <f>ROUND($N43*인구배분!V$4,-2)</f>
        <v>7700</v>
      </c>
      <c r="R43" s="349">
        <f>ROUND($N43*인구배분!W$4,-2)</f>
        <v>7700</v>
      </c>
      <c r="S43" s="235"/>
    </row>
    <row r="44" spans="1:19" ht="15" customHeight="1">
      <c r="A44" s="629" t="s">
        <v>629</v>
      </c>
      <c r="B44" s="580" t="s">
        <v>155</v>
      </c>
      <c r="C44" s="577" t="s">
        <v>510</v>
      </c>
      <c r="D44" s="580" t="s">
        <v>510</v>
      </c>
      <c r="E44" s="572">
        <f>사회유입인구!O124</f>
        <v>0</v>
      </c>
      <c r="F44" s="572">
        <f>사회유입인구!P124</f>
        <v>6700</v>
      </c>
      <c r="G44" s="572">
        <f>사회유입인구!Q124</f>
        <v>6700</v>
      </c>
      <c r="H44" s="572">
        <f>사회유입인구!R124</f>
        <v>6700</v>
      </c>
      <c r="I44" s="235"/>
      <c r="J44" s="593" t="s">
        <v>629</v>
      </c>
      <c r="K44" s="577" t="s">
        <v>155</v>
      </c>
      <c r="L44" s="577" t="s">
        <v>510</v>
      </c>
      <c r="M44" s="357" t="s">
        <v>510</v>
      </c>
      <c r="N44" s="349">
        <f>사회유입인구!I43</f>
        <v>11117</v>
      </c>
      <c r="O44" s="349">
        <v>0</v>
      </c>
      <c r="P44" s="349">
        <f>ROUND($N44*인구배분!U$4,-2)</f>
        <v>11100</v>
      </c>
      <c r="Q44" s="349">
        <f>ROUND($N44*인구배분!V$4,-2)</f>
        <v>11100</v>
      </c>
      <c r="R44" s="349">
        <f>ROUND($N44*인구배분!W$4,-2)</f>
        <v>11100</v>
      </c>
      <c r="S44" s="235"/>
    </row>
    <row r="45" spans="1:19" ht="24.95" customHeight="1">
      <c r="A45" s="574" t="s">
        <v>186</v>
      </c>
      <c r="B45" s="575" t="s">
        <v>160</v>
      </c>
      <c r="C45" s="351" t="s">
        <v>510</v>
      </c>
      <c r="D45" s="263" t="s">
        <v>1039</v>
      </c>
      <c r="E45" s="599">
        <f>사회유입인구!O125</f>
        <v>0</v>
      </c>
      <c r="F45" s="599">
        <f>사회유입인구!P125</f>
        <v>0</v>
      </c>
      <c r="G45" s="599">
        <f>사회유입인구!Q125</f>
        <v>20200</v>
      </c>
      <c r="H45" s="599">
        <f>사회유입인구!R125</f>
        <v>20200</v>
      </c>
      <c r="I45" s="267"/>
      <c r="J45" s="630" t="s">
        <v>186</v>
      </c>
      <c r="K45" s="351" t="s">
        <v>160</v>
      </c>
      <c r="L45" s="351" t="s">
        <v>1207</v>
      </c>
      <c r="M45" s="362" t="s">
        <v>1039</v>
      </c>
      <c r="N45" s="589">
        <f>사회유입인구!I44</f>
        <v>33600</v>
      </c>
      <c r="O45" s="363">
        <v>0</v>
      </c>
      <c r="P45" s="589">
        <v>0</v>
      </c>
      <c r="Q45" s="589">
        <f>ROUND($N45*인구배분!V$4,-2)</f>
        <v>33600</v>
      </c>
      <c r="R45" s="589">
        <f>ROUND($N45*인구배분!W$4,-2)</f>
        <v>33600</v>
      </c>
      <c r="S45" s="267"/>
    </row>
    <row r="46" spans="1:19" ht="15" customHeight="1">
      <c r="A46" s="227" t="s">
        <v>1036</v>
      </c>
      <c r="B46" s="364"/>
      <c r="C46" s="365"/>
      <c r="D46" s="364"/>
      <c r="E46" s="240">
        <f>SUM(E30:E45)</f>
        <v>18200</v>
      </c>
      <c r="F46" s="624">
        <f>SUM(F30:F45)</f>
        <v>38300</v>
      </c>
      <c r="G46" s="624">
        <f>SUM(G30:G45)</f>
        <v>72000</v>
      </c>
      <c r="H46" s="624">
        <f>SUM(H30:H45)</f>
        <v>72000</v>
      </c>
      <c r="I46" s="242"/>
      <c r="J46" s="620" t="s">
        <v>1036</v>
      </c>
      <c r="K46" s="365"/>
      <c r="L46" s="365"/>
      <c r="M46" s="365"/>
      <c r="N46" s="631">
        <f>SUM(N30:N45)</f>
        <v>119967</v>
      </c>
      <c r="O46" s="352">
        <f>SUM(O30:O45)</f>
        <v>30400</v>
      </c>
      <c r="P46" s="632">
        <f>SUM(P30:P45)</f>
        <v>63800</v>
      </c>
      <c r="Q46" s="632">
        <f>SUM(Q30:Q45)</f>
        <v>119900</v>
      </c>
      <c r="R46" s="632">
        <f>SUM(R30:R45)</f>
        <v>119900</v>
      </c>
      <c r="S46" s="621"/>
    </row>
    <row r="47" spans="1:19" ht="17.100000000000001" customHeight="1">
      <c r="A47" s="604" t="s">
        <v>181</v>
      </c>
      <c r="B47" s="366"/>
      <c r="C47" s="366"/>
      <c r="D47" s="366"/>
      <c r="E47" s="91"/>
      <c r="F47" s="91"/>
      <c r="G47" s="91"/>
      <c r="H47" s="91"/>
      <c r="I47" s="571"/>
      <c r="J47" s="604" t="s">
        <v>181</v>
      </c>
      <c r="K47" s="366"/>
      <c r="L47" s="366"/>
      <c r="M47" s="366"/>
      <c r="N47" s="91"/>
      <c r="O47" s="91"/>
      <c r="P47" s="91"/>
      <c r="Q47" s="91"/>
      <c r="R47" s="91"/>
      <c r="S47" s="571"/>
    </row>
    <row r="48" spans="1:19" ht="17.100000000000001" customHeight="1">
      <c r="A48" s="792" t="s">
        <v>169</v>
      </c>
      <c r="B48" s="939" t="s">
        <v>1027</v>
      </c>
      <c r="C48" s="945" t="s">
        <v>1030</v>
      </c>
      <c r="D48" s="939" t="s">
        <v>1028</v>
      </c>
      <c r="E48" s="272" t="s">
        <v>1029</v>
      </c>
      <c r="F48" s="605"/>
      <c r="G48" s="605"/>
      <c r="H48" s="606"/>
      <c r="I48" s="958" t="s">
        <v>121</v>
      </c>
      <c r="J48" s="943" t="s">
        <v>169</v>
      </c>
      <c r="K48" s="945" t="s">
        <v>1027</v>
      </c>
      <c r="L48" s="945" t="s">
        <v>1030</v>
      </c>
      <c r="M48" s="945" t="s">
        <v>1028</v>
      </c>
      <c r="N48" s="945" t="s">
        <v>1031</v>
      </c>
      <c r="O48" s="607" t="s">
        <v>188</v>
      </c>
      <c r="P48" s="608"/>
      <c r="Q48" s="608"/>
      <c r="R48" s="609"/>
      <c r="S48" s="947" t="s">
        <v>121</v>
      </c>
    </row>
    <row r="49" spans="1:19" ht="17.100000000000001" customHeight="1">
      <c r="A49" s="794"/>
      <c r="B49" s="940"/>
      <c r="C49" s="946"/>
      <c r="D49" s="940"/>
      <c r="E49" s="581" t="s">
        <v>32</v>
      </c>
      <c r="F49" s="581" t="s">
        <v>494</v>
      </c>
      <c r="G49" s="581" t="s">
        <v>30</v>
      </c>
      <c r="H49" s="581" t="s">
        <v>29</v>
      </c>
      <c r="I49" s="959"/>
      <c r="J49" s="944"/>
      <c r="K49" s="946"/>
      <c r="L49" s="946"/>
      <c r="M49" s="946"/>
      <c r="N49" s="946"/>
      <c r="O49" s="584" t="s">
        <v>32</v>
      </c>
      <c r="P49" s="584" t="s">
        <v>494</v>
      </c>
      <c r="Q49" s="584" t="s">
        <v>30</v>
      </c>
      <c r="R49" s="584" t="s">
        <v>29</v>
      </c>
      <c r="S49" s="948"/>
    </row>
    <row r="50" spans="1:19" ht="17.100000000000001" customHeight="1">
      <c r="A50" s="276" t="s">
        <v>170</v>
      </c>
      <c r="B50" s="596" t="s">
        <v>1040</v>
      </c>
      <c r="C50" s="254" t="s">
        <v>48</v>
      </c>
      <c r="D50" s="50" t="s">
        <v>1041</v>
      </c>
      <c r="E50" s="599">
        <v>0</v>
      </c>
      <c r="F50" s="599">
        <f>ROUND((사회유입인구!J49-사회유입인구!H49)*사회유입인구!P$65/100,-2)</f>
        <v>100</v>
      </c>
      <c r="G50" s="599">
        <f t="shared" ref="G50:H69" si="2">+F50</f>
        <v>100</v>
      </c>
      <c r="H50" s="599">
        <f t="shared" si="2"/>
        <v>100</v>
      </c>
      <c r="I50" s="367"/>
      <c r="J50" s="368" t="s">
        <v>1042</v>
      </c>
      <c r="K50" s="254" t="s">
        <v>1043</v>
      </c>
      <c r="L50" s="254" t="s">
        <v>1041</v>
      </c>
      <c r="M50" s="357" t="s">
        <v>1041</v>
      </c>
      <c r="N50" s="589">
        <f>ROUND(사회유입인구!J49-사회유입인구!H49,-2)</f>
        <v>300</v>
      </c>
      <c r="O50" s="589">
        <v>0</v>
      </c>
      <c r="P50" s="589">
        <f t="shared" ref="P50:P89" si="3">ROUND($N50*U$5,-2)</f>
        <v>300</v>
      </c>
      <c r="Q50" s="589">
        <f t="shared" ref="Q50:Q89" si="4">ROUND($N50*V$5,-2)</f>
        <v>300</v>
      </c>
      <c r="R50" s="589">
        <f t="shared" ref="R50:R89" si="5">ROUND($N50*W$5,-2)</f>
        <v>300</v>
      </c>
      <c r="S50" s="318"/>
    </row>
    <row r="51" spans="1:19" ht="17.100000000000001" customHeight="1">
      <c r="A51" s="292" t="s">
        <v>1044</v>
      </c>
      <c r="B51" s="580" t="s">
        <v>1043</v>
      </c>
      <c r="C51" s="577" t="s">
        <v>48</v>
      </c>
      <c r="D51" s="232" t="s">
        <v>1041</v>
      </c>
      <c r="E51" s="572">
        <v>0</v>
      </c>
      <c r="F51" s="599">
        <f>ROUND((사회유입인구!J50-사회유입인구!H50)*사회유입인구!P$65/100,-2)</f>
        <v>100</v>
      </c>
      <c r="G51" s="599">
        <f t="shared" si="2"/>
        <v>100</v>
      </c>
      <c r="H51" s="599">
        <f t="shared" si="2"/>
        <v>100</v>
      </c>
      <c r="I51" s="603"/>
      <c r="J51" s="369" t="s">
        <v>1044</v>
      </c>
      <c r="K51" s="577" t="s">
        <v>1043</v>
      </c>
      <c r="L51" s="577" t="s">
        <v>1041</v>
      </c>
      <c r="M51" s="360" t="s">
        <v>1041</v>
      </c>
      <c r="N51" s="589">
        <f>ROUND(사회유입인구!J50-사회유입인구!H50,-2)</f>
        <v>300</v>
      </c>
      <c r="O51" s="349">
        <v>0</v>
      </c>
      <c r="P51" s="589">
        <f t="shared" si="3"/>
        <v>300</v>
      </c>
      <c r="Q51" s="589">
        <f t="shared" si="4"/>
        <v>300</v>
      </c>
      <c r="R51" s="589">
        <f t="shared" si="5"/>
        <v>300</v>
      </c>
      <c r="S51" s="16"/>
    </row>
    <row r="52" spans="1:19" ht="17.100000000000001" customHeight="1">
      <c r="A52" s="292" t="s">
        <v>1045</v>
      </c>
      <c r="B52" s="580" t="s">
        <v>1043</v>
      </c>
      <c r="C52" s="577" t="s">
        <v>48</v>
      </c>
      <c r="D52" s="232" t="s">
        <v>1041</v>
      </c>
      <c r="E52" s="572">
        <v>0</v>
      </c>
      <c r="F52" s="599">
        <f>ROUND((사회유입인구!J51-사회유입인구!H51)*사회유입인구!P$65/100,-2)</f>
        <v>200</v>
      </c>
      <c r="G52" s="599">
        <f t="shared" si="2"/>
        <v>200</v>
      </c>
      <c r="H52" s="599">
        <f t="shared" si="2"/>
        <v>200</v>
      </c>
      <c r="I52" s="603"/>
      <c r="J52" s="369" t="s">
        <v>1045</v>
      </c>
      <c r="K52" s="577" t="s">
        <v>1043</v>
      </c>
      <c r="L52" s="577" t="s">
        <v>1041</v>
      </c>
      <c r="M52" s="360" t="s">
        <v>1041</v>
      </c>
      <c r="N52" s="589">
        <f>ROUND(사회유입인구!J51-사회유입인구!H51,-2)</f>
        <v>500</v>
      </c>
      <c r="O52" s="349">
        <v>0</v>
      </c>
      <c r="P52" s="589">
        <f t="shared" si="3"/>
        <v>500</v>
      </c>
      <c r="Q52" s="589">
        <f t="shared" si="4"/>
        <v>500</v>
      </c>
      <c r="R52" s="589">
        <f t="shared" si="5"/>
        <v>500</v>
      </c>
      <c r="S52" s="16"/>
    </row>
    <row r="53" spans="1:19" ht="17.100000000000001" customHeight="1">
      <c r="A53" s="292" t="s">
        <v>1046</v>
      </c>
      <c r="B53" s="580" t="s">
        <v>1043</v>
      </c>
      <c r="C53" s="577" t="s">
        <v>48</v>
      </c>
      <c r="D53" s="232" t="s">
        <v>1041</v>
      </c>
      <c r="E53" s="572">
        <v>0</v>
      </c>
      <c r="F53" s="599">
        <f>ROUND((사회유입인구!J52-사회유입인구!H52)*사회유입인구!P$65/100,-2)</f>
        <v>400</v>
      </c>
      <c r="G53" s="599">
        <f t="shared" si="2"/>
        <v>400</v>
      </c>
      <c r="H53" s="599">
        <f t="shared" si="2"/>
        <v>400</v>
      </c>
      <c r="I53" s="603"/>
      <c r="J53" s="369" t="s">
        <v>1046</v>
      </c>
      <c r="K53" s="577" t="s">
        <v>1043</v>
      </c>
      <c r="L53" s="577" t="s">
        <v>1041</v>
      </c>
      <c r="M53" s="360" t="s">
        <v>1041</v>
      </c>
      <c r="N53" s="589">
        <f>ROUND(사회유입인구!J52-사회유입인구!H52,-2)</f>
        <v>1300</v>
      </c>
      <c r="O53" s="349">
        <v>0</v>
      </c>
      <c r="P53" s="589">
        <f t="shared" si="3"/>
        <v>1300</v>
      </c>
      <c r="Q53" s="589">
        <f t="shared" si="4"/>
        <v>1300</v>
      </c>
      <c r="R53" s="589">
        <f t="shared" si="5"/>
        <v>1300</v>
      </c>
      <c r="S53" s="16"/>
    </row>
    <row r="54" spans="1:19" ht="17.100000000000001" customHeight="1">
      <c r="A54" s="292" t="s">
        <v>1047</v>
      </c>
      <c r="B54" s="580" t="s">
        <v>1043</v>
      </c>
      <c r="C54" s="577" t="s">
        <v>48</v>
      </c>
      <c r="D54" s="232" t="s">
        <v>1041</v>
      </c>
      <c r="E54" s="572">
        <v>0</v>
      </c>
      <c r="F54" s="599">
        <f>ROUND((사회유입인구!J53-사회유입인구!H53)*사회유입인구!P$65/100,-2)</f>
        <v>100</v>
      </c>
      <c r="G54" s="599">
        <f t="shared" si="2"/>
        <v>100</v>
      </c>
      <c r="H54" s="599">
        <f t="shared" si="2"/>
        <v>100</v>
      </c>
      <c r="I54" s="603"/>
      <c r="J54" s="369" t="s">
        <v>1047</v>
      </c>
      <c r="K54" s="577" t="s">
        <v>1043</v>
      </c>
      <c r="L54" s="577" t="s">
        <v>1041</v>
      </c>
      <c r="M54" s="360" t="s">
        <v>1041</v>
      </c>
      <c r="N54" s="589">
        <f>ROUND(사회유입인구!J53-사회유입인구!H53,-2)</f>
        <v>400</v>
      </c>
      <c r="O54" s="349">
        <v>0</v>
      </c>
      <c r="P54" s="589">
        <f t="shared" si="3"/>
        <v>400</v>
      </c>
      <c r="Q54" s="589">
        <f t="shared" si="4"/>
        <v>400</v>
      </c>
      <c r="R54" s="589">
        <f t="shared" si="5"/>
        <v>400</v>
      </c>
      <c r="S54" s="16"/>
    </row>
    <row r="55" spans="1:19" ht="17.100000000000001" customHeight="1">
      <c r="A55" s="292" t="s">
        <v>1048</v>
      </c>
      <c r="B55" s="580" t="s">
        <v>1049</v>
      </c>
      <c r="C55" s="577" t="s">
        <v>1050</v>
      </c>
      <c r="D55" s="232" t="s">
        <v>1050</v>
      </c>
      <c r="E55" s="572">
        <v>0</v>
      </c>
      <c r="F55" s="599">
        <f>ROUND((사회유입인구!J54-사회유입인구!H54)*사회유입인구!P$65/100,-2)</f>
        <v>200</v>
      </c>
      <c r="G55" s="599">
        <f t="shared" si="2"/>
        <v>200</v>
      </c>
      <c r="H55" s="599">
        <f t="shared" si="2"/>
        <v>200</v>
      </c>
      <c r="I55" s="603"/>
      <c r="J55" s="369" t="s">
        <v>1048</v>
      </c>
      <c r="K55" s="577" t="s">
        <v>1049</v>
      </c>
      <c r="L55" s="577" t="s">
        <v>1050</v>
      </c>
      <c r="M55" s="360" t="s">
        <v>1050</v>
      </c>
      <c r="N55" s="589">
        <f>ROUND(사회유입인구!J54-사회유입인구!H54,-2)</f>
        <v>500</v>
      </c>
      <c r="O55" s="349">
        <v>0</v>
      </c>
      <c r="P55" s="589">
        <f t="shared" si="3"/>
        <v>500</v>
      </c>
      <c r="Q55" s="589">
        <f t="shared" si="4"/>
        <v>500</v>
      </c>
      <c r="R55" s="589">
        <f t="shared" si="5"/>
        <v>500</v>
      </c>
      <c r="S55" s="16"/>
    </row>
    <row r="56" spans="1:19" ht="17.100000000000001" customHeight="1">
      <c r="A56" s="292" t="s">
        <v>1051</v>
      </c>
      <c r="B56" s="580" t="s">
        <v>1049</v>
      </c>
      <c r="C56" s="577" t="s">
        <v>1050</v>
      </c>
      <c r="D56" s="232" t="s">
        <v>1050</v>
      </c>
      <c r="E56" s="572">
        <v>0</v>
      </c>
      <c r="F56" s="599">
        <f>ROUND((사회유입인구!J55-사회유입인구!H55)*사회유입인구!P$65/100,-2)</f>
        <v>300</v>
      </c>
      <c r="G56" s="599">
        <f t="shared" si="2"/>
        <v>300</v>
      </c>
      <c r="H56" s="599">
        <f t="shared" si="2"/>
        <v>300</v>
      </c>
      <c r="I56" s="603"/>
      <c r="J56" s="369" t="s">
        <v>1051</v>
      </c>
      <c r="K56" s="577" t="s">
        <v>1049</v>
      </c>
      <c r="L56" s="577" t="s">
        <v>1050</v>
      </c>
      <c r="M56" s="360" t="s">
        <v>1050</v>
      </c>
      <c r="N56" s="589">
        <f>ROUND(사회유입인구!J55-사회유입인구!H55,-2)</f>
        <v>1000</v>
      </c>
      <c r="O56" s="349">
        <v>0</v>
      </c>
      <c r="P56" s="589">
        <f t="shared" si="3"/>
        <v>1000</v>
      </c>
      <c r="Q56" s="589">
        <f t="shared" si="4"/>
        <v>1000</v>
      </c>
      <c r="R56" s="589">
        <f t="shared" si="5"/>
        <v>1000</v>
      </c>
      <c r="S56" s="16"/>
    </row>
    <row r="57" spans="1:19" ht="17.100000000000001" customHeight="1">
      <c r="A57" s="292" t="s">
        <v>1052</v>
      </c>
      <c r="B57" s="580" t="s">
        <v>1049</v>
      </c>
      <c r="C57" s="577" t="s">
        <v>1050</v>
      </c>
      <c r="D57" s="232" t="s">
        <v>1050</v>
      </c>
      <c r="E57" s="572">
        <v>0</v>
      </c>
      <c r="F57" s="599">
        <f>ROUND((사회유입인구!J56-사회유입인구!H56)*사회유입인구!P$65/100,-2)</f>
        <v>200</v>
      </c>
      <c r="G57" s="599">
        <f t="shared" si="2"/>
        <v>200</v>
      </c>
      <c r="H57" s="599">
        <f t="shared" si="2"/>
        <v>200</v>
      </c>
      <c r="I57" s="603"/>
      <c r="J57" s="369" t="s">
        <v>1052</v>
      </c>
      <c r="K57" s="577" t="s">
        <v>1049</v>
      </c>
      <c r="L57" s="577" t="s">
        <v>1050</v>
      </c>
      <c r="M57" s="360" t="s">
        <v>1050</v>
      </c>
      <c r="N57" s="589">
        <f>ROUND(사회유입인구!J56-사회유입인구!H56,-2)</f>
        <v>500</v>
      </c>
      <c r="O57" s="349">
        <v>0</v>
      </c>
      <c r="P57" s="589">
        <f t="shared" si="3"/>
        <v>500</v>
      </c>
      <c r="Q57" s="589">
        <f t="shared" si="4"/>
        <v>500</v>
      </c>
      <c r="R57" s="589">
        <f t="shared" si="5"/>
        <v>500</v>
      </c>
      <c r="S57" s="16"/>
    </row>
    <row r="58" spans="1:19" ht="17.100000000000001" customHeight="1">
      <c r="A58" s="292" t="s">
        <v>1053</v>
      </c>
      <c r="B58" s="580" t="s">
        <v>1049</v>
      </c>
      <c r="C58" s="577" t="s">
        <v>1050</v>
      </c>
      <c r="D58" s="232" t="s">
        <v>1050</v>
      </c>
      <c r="E58" s="572">
        <v>0</v>
      </c>
      <c r="F58" s="599">
        <f>ROUND((사회유입인구!J57-사회유입인구!H57)*사회유입인구!P$65/100,-2)</f>
        <v>300</v>
      </c>
      <c r="G58" s="599">
        <f t="shared" si="2"/>
        <v>300</v>
      </c>
      <c r="H58" s="599">
        <f t="shared" si="2"/>
        <v>300</v>
      </c>
      <c r="I58" s="603"/>
      <c r="J58" s="369" t="s">
        <v>1053</v>
      </c>
      <c r="K58" s="577" t="s">
        <v>1049</v>
      </c>
      <c r="L58" s="577" t="s">
        <v>1050</v>
      </c>
      <c r="M58" s="360" t="s">
        <v>1050</v>
      </c>
      <c r="N58" s="589">
        <f>ROUND(사회유입인구!J57-사회유입인구!H57,-2)</f>
        <v>1200</v>
      </c>
      <c r="O58" s="349">
        <v>0</v>
      </c>
      <c r="P58" s="589">
        <f t="shared" si="3"/>
        <v>1200</v>
      </c>
      <c r="Q58" s="589">
        <f t="shared" si="4"/>
        <v>1200</v>
      </c>
      <c r="R58" s="589">
        <f t="shared" si="5"/>
        <v>1200</v>
      </c>
      <c r="S58" s="16"/>
    </row>
    <row r="59" spans="1:19" ht="17.100000000000001" customHeight="1">
      <c r="A59" s="292" t="s">
        <v>1054</v>
      </c>
      <c r="B59" s="580" t="s">
        <v>1049</v>
      </c>
      <c r="C59" s="577" t="s">
        <v>1050</v>
      </c>
      <c r="D59" s="232" t="s">
        <v>1050</v>
      </c>
      <c r="E59" s="572">
        <v>0</v>
      </c>
      <c r="F59" s="599">
        <f>ROUND((사회유입인구!J58-사회유입인구!H58)*사회유입인구!P$65/100,-2)</f>
        <v>300</v>
      </c>
      <c r="G59" s="599">
        <f t="shared" si="2"/>
        <v>300</v>
      </c>
      <c r="H59" s="599">
        <f t="shared" si="2"/>
        <v>300</v>
      </c>
      <c r="I59" s="603"/>
      <c r="J59" s="369" t="s">
        <v>1054</v>
      </c>
      <c r="K59" s="577" t="s">
        <v>1049</v>
      </c>
      <c r="L59" s="577" t="s">
        <v>1050</v>
      </c>
      <c r="M59" s="360" t="s">
        <v>1050</v>
      </c>
      <c r="N59" s="589">
        <f>ROUND(사회유입인구!J58-사회유입인구!H58,-2)</f>
        <v>1100</v>
      </c>
      <c r="O59" s="349">
        <v>0</v>
      </c>
      <c r="P59" s="589">
        <f t="shared" si="3"/>
        <v>1100</v>
      </c>
      <c r="Q59" s="589">
        <f t="shared" si="4"/>
        <v>1100</v>
      </c>
      <c r="R59" s="589">
        <f t="shared" si="5"/>
        <v>1100</v>
      </c>
      <c r="S59" s="16"/>
    </row>
    <row r="60" spans="1:19" ht="17.100000000000001" customHeight="1">
      <c r="A60" s="292" t="s">
        <v>1055</v>
      </c>
      <c r="B60" s="580" t="s">
        <v>1049</v>
      </c>
      <c r="C60" s="577" t="s">
        <v>1050</v>
      </c>
      <c r="D60" s="232" t="s">
        <v>1050</v>
      </c>
      <c r="E60" s="572">
        <v>0</v>
      </c>
      <c r="F60" s="599">
        <f>ROUND((사회유입인구!J59-사회유입인구!H59)*사회유입인구!P$65/100,-2)</f>
        <v>200</v>
      </c>
      <c r="G60" s="599">
        <f t="shared" si="2"/>
        <v>200</v>
      </c>
      <c r="H60" s="599">
        <f t="shared" si="2"/>
        <v>200</v>
      </c>
      <c r="I60" s="603"/>
      <c r="J60" s="369" t="s">
        <v>1055</v>
      </c>
      <c r="K60" s="577" t="s">
        <v>1049</v>
      </c>
      <c r="L60" s="577" t="s">
        <v>1050</v>
      </c>
      <c r="M60" s="360" t="s">
        <v>1050</v>
      </c>
      <c r="N60" s="589">
        <f>ROUND(사회유입인구!J59-사회유입인구!H59,-2)</f>
        <v>600</v>
      </c>
      <c r="O60" s="349">
        <v>0</v>
      </c>
      <c r="P60" s="589">
        <f t="shared" si="3"/>
        <v>600</v>
      </c>
      <c r="Q60" s="589">
        <f t="shared" si="4"/>
        <v>600</v>
      </c>
      <c r="R60" s="589">
        <f t="shared" si="5"/>
        <v>600</v>
      </c>
      <c r="S60" s="16"/>
    </row>
    <row r="61" spans="1:19" ht="17.100000000000001" customHeight="1">
      <c r="A61" s="292" t="s">
        <v>1056</v>
      </c>
      <c r="B61" s="580" t="s">
        <v>1049</v>
      </c>
      <c r="C61" s="577" t="s">
        <v>1050</v>
      </c>
      <c r="D61" s="232" t="s">
        <v>1050</v>
      </c>
      <c r="E61" s="572">
        <v>0</v>
      </c>
      <c r="F61" s="599">
        <f>ROUND((사회유입인구!J60-사회유입인구!H60)*사회유입인구!P$65/100,-2)</f>
        <v>300</v>
      </c>
      <c r="G61" s="599">
        <f t="shared" si="2"/>
        <v>300</v>
      </c>
      <c r="H61" s="599">
        <f t="shared" si="2"/>
        <v>300</v>
      </c>
      <c r="I61" s="603"/>
      <c r="J61" s="369" t="s">
        <v>1056</v>
      </c>
      <c r="K61" s="577" t="s">
        <v>1049</v>
      </c>
      <c r="L61" s="577" t="s">
        <v>1050</v>
      </c>
      <c r="M61" s="360" t="s">
        <v>1050</v>
      </c>
      <c r="N61" s="589">
        <f>ROUND(사회유입인구!J60-사회유입인구!H60,-2)</f>
        <v>1000</v>
      </c>
      <c r="O61" s="349">
        <v>0</v>
      </c>
      <c r="P61" s="589">
        <f t="shared" si="3"/>
        <v>1000</v>
      </c>
      <c r="Q61" s="589">
        <f t="shared" si="4"/>
        <v>1000</v>
      </c>
      <c r="R61" s="589">
        <f t="shared" si="5"/>
        <v>1000</v>
      </c>
      <c r="S61" s="16"/>
    </row>
    <row r="62" spans="1:19" ht="17.100000000000001" customHeight="1">
      <c r="A62" s="292" t="s">
        <v>1057</v>
      </c>
      <c r="B62" s="580" t="s">
        <v>1058</v>
      </c>
      <c r="C62" s="577" t="s">
        <v>1050</v>
      </c>
      <c r="D62" s="232" t="s">
        <v>1050</v>
      </c>
      <c r="E62" s="572">
        <v>0</v>
      </c>
      <c r="F62" s="599">
        <f>ROUND((사회유입인구!J61-사회유입인구!H61)*사회유입인구!P$65/100,-2)</f>
        <v>0</v>
      </c>
      <c r="G62" s="599">
        <f t="shared" si="2"/>
        <v>0</v>
      </c>
      <c r="H62" s="599">
        <f t="shared" si="2"/>
        <v>0</v>
      </c>
      <c r="I62" s="603"/>
      <c r="J62" s="369" t="s">
        <v>1057</v>
      </c>
      <c r="K62" s="577" t="s">
        <v>1058</v>
      </c>
      <c r="L62" s="577" t="s">
        <v>1050</v>
      </c>
      <c r="M62" s="360" t="s">
        <v>1050</v>
      </c>
      <c r="N62" s="589">
        <f>ROUND(사회유입인구!J61-사회유입인구!H61,-2)</f>
        <v>100</v>
      </c>
      <c r="O62" s="349">
        <v>0</v>
      </c>
      <c r="P62" s="589">
        <f t="shared" si="3"/>
        <v>100</v>
      </c>
      <c r="Q62" s="589">
        <f t="shared" si="4"/>
        <v>100</v>
      </c>
      <c r="R62" s="589">
        <f t="shared" si="5"/>
        <v>100</v>
      </c>
      <c r="S62" s="16"/>
    </row>
    <row r="63" spans="1:19" ht="17.100000000000001" customHeight="1">
      <c r="A63" s="292" t="s">
        <v>1059</v>
      </c>
      <c r="B63" s="580" t="s">
        <v>1058</v>
      </c>
      <c r="C63" s="577" t="s">
        <v>1050</v>
      </c>
      <c r="D63" s="232" t="s">
        <v>1050</v>
      </c>
      <c r="E63" s="572">
        <v>0</v>
      </c>
      <c r="F63" s="599">
        <f>ROUND((사회유입인구!J62-사회유입인구!H62)*사회유입인구!P$65/100,-2)</f>
        <v>100</v>
      </c>
      <c r="G63" s="599">
        <f t="shared" si="2"/>
        <v>100</v>
      </c>
      <c r="H63" s="599">
        <f t="shared" si="2"/>
        <v>100</v>
      </c>
      <c r="I63" s="603"/>
      <c r="J63" s="369" t="s">
        <v>1059</v>
      </c>
      <c r="K63" s="577" t="s">
        <v>1058</v>
      </c>
      <c r="L63" s="577" t="s">
        <v>1050</v>
      </c>
      <c r="M63" s="360" t="s">
        <v>1050</v>
      </c>
      <c r="N63" s="589">
        <f>ROUND(사회유입인구!J62-사회유입인구!H62,-2)</f>
        <v>400</v>
      </c>
      <c r="O63" s="349">
        <v>0</v>
      </c>
      <c r="P63" s="589">
        <f t="shared" si="3"/>
        <v>400</v>
      </c>
      <c r="Q63" s="589">
        <f t="shared" si="4"/>
        <v>400</v>
      </c>
      <c r="R63" s="589">
        <f t="shared" si="5"/>
        <v>400</v>
      </c>
      <c r="S63" s="16"/>
    </row>
    <row r="64" spans="1:19" ht="17.100000000000001" customHeight="1">
      <c r="A64" s="292" t="s">
        <v>703</v>
      </c>
      <c r="B64" s="580" t="s">
        <v>1058</v>
      </c>
      <c r="C64" s="577" t="s">
        <v>1050</v>
      </c>
      <c r="D64" s="232" t="s">
        <v>1050</v>
      </c>
      <c r="E64" s="572">
        <v>0</v>
      </c>
      <c r="F64" s="599">
        <f>ROUND((사회유입인구!J63-사회유입인구!H63)*사회유입인구!P$65/100,-2)</f>
        <v>300</v>
      </c>
      <c r="G64" s="599">
        <f t="shared" si="2"/>
        <v>300</v>
      </c>
      <c r="H64" s="599">
        <f t="shared" si="2"/>
        <v>300</v>
      </c>
      <c r="I64" s="603"/>
      <c r="J64" s="369" t="s">
        <v>703</v>
      </c>
      <c r="K64" s="577" t="s">
        <v>1058</v>
      </c>
      <c r="L64" s="577" t="s">
        <v>1050</v>
      </c>
      <c r="M64" s="360" t="s">
        <v>1050</v>
      </c>
      <c r="N64" s="589">
        <f>ROUND(사회유입인구!J63-사회유입인구!H63,-2)</f>
        <v>900</v>
      </c>
      <c r="O64" s="349">
        <v>0</v>
      </c>
      <c r="P64" s="589">
        <f t="shared" si="3"/>
        <v>900</v>
      </c>
      <c r="Q64" s="589">
        <f t="shared" si="4"/>
        <v>900</v>
      </c>
      <c r="R64" s="589">
        <f t="shared" si="5"/>
        <v>900</v>
      </c>
      <c r="S64" s="16"/>
    </row>
    <row r="65" spans="1:19" ht="17.100000000000001" customHeight="1">
      <c r="A65" s="292" t="s">
        <v>707</v>
      </c>
      <c r="B65" s="580" t="s">
        <v>1058</v>
      </c>
      <c r="C65" s="577" t="s">
        <v>1050</v>
      </c>
      <c r="D65" s="232" t="s">
        <v>1050</v>
      </c>
      <c r="E65" s="572">
        <v>0</v>
      </c>
      <c r="F65" s="599">
        <f>ROUND((사회유입인구!J64-사회유입인구!H64)*사회유입인구!P$65/100,-2)</f>
        <v>300</v>
      </c>
      <c r="G65" s="599">
        <f t="shared" si="2"/>
        <v>300</v>
      </c>
      <c r="H65" s="599">
        <f t="shared" si="2"/>
        <v>300</v>
      </c>
      <c r="I65" s="603"/>
      <c r="J65" s="369" t="s">
        <v>707</v>
      </c>
      <c r="K65" s="577" t="s">
        <v>1058</v>
      </c>
      <c r="L65" s="577" t="s">
        <v>1050</v>
      </c>
      <c r="M65" s="360" t="s">
        <v>1050</v>
      </c>
      <c r="N65" s="589">
        <f>ROUND(사회유입인구!J64-사회유입인구!H64,-2)</f>
        <v>900</v>
      </c>
      <c r="O65" s="349">
        <v>0</v>
      </c>
      <c r="P65" s="589">
        <f t="shared" si="3"/>
        <v>900</v>
      </c>
      <c r="Q65" s="589">
        <f t="shared" si="4"/>
        <v>900</v>
      </c>
      <c r="R65" s="589">
        <f t="shared" si="5"/>
        <v>900</v>
      </c>
      <c r="S65" s="16"/>
    </row>
    <row r="66" spans="1:19" ht="17.100000000000001" customHeight="1">
      <c r="A66" s="292" t="s">
        <v>710</v>
      </c>
      <c r="B66" s="580" t="s">
        <v>1058</v>
      </c>
      <c r="C66" s="577" t="s">
        <v>1050</v>
      </c>
      <c r="D66" s="232" t="s">
        <v>1050</v>
      </c>
      <c r="E66" s="572">
        <v>0</v>
      </c>
      <c r="F66" s="599">
        <f>ROUND((사회유입인구!J65-사회유입인구!H65)*사회유입인구!P$65/100,-2)</f>
        <v>100</v>
      </c>
      <c r="G66" s="599">
        <f t="shared" si="2"/>
        <v>100</v>
      </c>
      <c r="H66" s="599">
        <f t="shared" si="2"/>
        <v>100</v>
      </c>
      <c r="I66" s="603"/>
      <c r="J66" s="369" t="s">
        <v>710</v>
      </c>
      <c r="K66" s="577" t="s">
        <v>1058</v>
      </c>
      <c r="L66" s="577" t="s">
        <v>1050</v>
      </c>
      <c r="M66" s="360" t="s">
        <v>1050</v>
      </c>
      <c r="N66" s="589">
        <f>ROUND(사회유입인구!J65-사회유입인구!H65,-2)</f>
        <v>400</v>
      </c>
      <c r="O66" s="349">
        <v>0</v>
      </c>
      <c r="P66" s="589">
        <f t="shared" si="3"/>
        <v>400</v>
      </c>
      <c r="Q66" s="589">
        <f t="shared" si="4"/>
        <v>400</v>
      </c>
      <c r="R66" s="589">
        <f t="shared" si="5"/>
        <v>400</v>
      </c>
      <c r="S66" s="16"/>
    </row>
    <row r="67" spans="1:19" ht="17.100000000000001" customHeight="1">
      <c r="A67" s="292" t="s">
        <v>713</v>
      </c>
      <c r="B67" s="580" t="s">
        <v>1058</v>
      </c>
      <c r="C67" s="577" t="s">
        <v>1050</v>
      </c>
      <c r="D67" s="232" t="s">
        <v>1050</v>
      </c>
      <c r="E67" s="572">
        <v>0</v>
      </c>
      <c r="F67" s="599">
        <f>ROUND((사회유입인구!J66-사회유입인구!H66)*사회유입인구!P$65/100,-2)</f>
        <v>200</v>
      </c>
      <c r="G67" s="599">
        <f t="shared" si="2"/>
        <v>200</v>
      </c>
      <c r="H67" s="599">
        <f t="shared" si="2"/>
        <v>200</v>
      </c>
      <c r="I67" s="603"/>
      <c r="J67" s="369" t="s">
        <v>713</v>
      </c>
      <c r="K67" s="577" t="s">
        <v>1058</v>
      </c>
      <c r="L67" s="577" t="s">
        <v>1050</v>
      </c>
      <c r="M67" s="360" t="s">
        <v>1050</v>
      </c>
      <c r="N67" s="589">
        <f>ROUND(사회유입인구!J66-사회유입인구!H66,-2)</f>
        <v>800</v>
      </c>
      <c r="O67" s="349">
        <v>0</v>
      </c>
      <c r="P67" s="589">
        <f t="shared" si="3"/>
        <v>800</v>
      </c>
      <c r="Q67" s="589">
        <f t="shared" si="4"/>
        <v>800</v>
      </c>
      <c r="R67" s="589">
        <f t="shared" si="5"/>
        <v>800</v>
      </c>
      <c r="S67" s="16"/>
    </row>
    <row r="68" spans="1:19" ht="17.100000000000001" customHeight="1">
      <c r="A68" s="292" t="s">
        <v>716</v>
      </c>
      <c r="B68" s="580" t="s">
        <v>1058</v>
      </c>
      <c r="C68" s="577" t="s">
        <v>1050</v>
      </c>
      <c r="D68" s="232" t="s">
        <v>1050</v>
      </c>
      <c r="E68" s="572">
        <v>0</v>
      </c>
      <c r="F68" s="599">
        <f>ROUND((사회유입인구!J67-사회유입인구!H67)*사회유입인구!P$65/100,-2)</f>
        <v>200</v>
      </c>
      <c r="G68" s="599">
        <f t="shared" si="2"/>
        <v>200</v>
      </c>
      <c r="H68" s="599">
        <f t="shared" si="2"/>
        <v>200</v>
      </c>
      <c r="I68" s="603"/>
      <c r="J68" s="369" t="s">
        <v>716</v>
      </c>
      <c r="K68" s="577" t="s">
        <v>1058</v>
      </c>
      <c r="L68" s="577" t="s">
        <v>1050</v>
      </c>
      <c r="M68" s="360" t="s">
        <v>1050</v>
      </c>
      <c r="N68" s="589">
        <f>ROUND(사회유입인구!J67-사회유입인구!H67,-2)</f>
        <v>800</v>
      </c>
      <c r="O68" s="349">
        <v>0</v>
      </c>
      <c r="P68" s="589">
        <f t="shared" si="3"/>
        <v>800</v>
      </c>
      <c r="Q68" s="589">
        <f t="shared" si="4"/>
        <v>800</v>
      </c>
      <c r="R68" s="589">
        <f t="shared" si="5"/>
        <v>800</v>
      </c>
      <c r="S68" s="16"/>
    </row>
    <row r="69" spans="1:19" ht="17.100000000000001" customHeight="1">
      <c r="A69" s="292" t="s">
        <v>718</v>
      </c>
      <c r="B69" s="580" t="s">
        <v>1058</v>
      </c>
      <c r="C69" s="577" t="s">
        <v>1050</v>
      </c>
      <c r="D69" s="232" t="s">
        <v>1050</v>
      </c>
      <c r="E69" s="572">
        <v>0</v>
      </c>
      <c r="F69" s="599">
        <f>ROUND((사회유입인구!J68-사회유입인구!H68)*사회유입인구!P$65/100,-2)</f>
        <v>300</v>
      </c>
      <c r="G69" s="599">
        <f t="shared" si="2"/>
        <v>300</v>
      </c>
      <c r="H69" s="599">
        <f t="shared" si="2"/>
        <v>300</v>
      </c>
      <c r="I69" s="603"/>
      <c r="J69" s="369" t="s">
        <v>718</v>
      </c>
      <c r="K69" s="577" t="s">
        <v>1058</v>
      </c>
      <c r="L69" s="577" t="s">
        <v>1050</v>
      </c>
      <c r="M69" s="360" t="s">
        <v>1050</v>
      </c>
      <c r="N69" s="589">
        <f>ROUND(사회유입인구!J68-사회유입인구!H68,-2)</f>
        <v>900</v>
      </c>
      <c r="O69" s="349">
        <v>0</v>
      </c>
      <c r="P69" s="589">
        <f t="shared" si="3"/>
        <v>900</v>
      </c>
      <c r="Q69" s="589">
        <f t="shared" si="4"/>
        <v>900</v>
      </c>
      <c r="R69" s="589">
        <f t="shared" si="5"/>
        <v>900</v>
      </c>
      <c r="S69" s="16"/>
    </row>
    <row r="70" spans="1:19" ht="17.100000000000001" customHeight="1">
      <c r="A70" s="292" t="s">
        <v>720</v>
      </c>
      <c r="B70" s="580" t="s">
        <v>1058</v>
      </c>
      <c r="C70" s="577" t="s">
        <v>1050</v>
      </c>
      <c r="D70" s="232" t="s">
        <v>1050</v>
      </c>
      <c r="E70" s="572">
        <v>0</v>
      </c>
      <c r="F70" s="599">
        <f>ROUND((사회유입인구!J69-사회유입인구!H69)*사회유입인구!P$65/100,-2)</f>
        <v>400</v>
      </c>
      <c r="G70" s="599">
        <f t="shared" ref="G70:H89" si="6">+F70</f>
        <v>400</v>
      </c>
      <c r="H70" s="599">
        <f t="shared" si="6"/>
        <v>400</v>
      </c>
      <c r="I70" s="603"/>
      <c r="J70" s="369" t="s">
        <v>720</v>
      </c>
      <c r="K70" s="577" t="s">
        <v>1058</v>
      </c>
      <c r="L70" s="577" t="s">
        <v>1050</v>
      </c>
      <c r="M70" s="360" t="s">
        <v>1050</v>
      </c>
      <c r="N70" s="589">
        <f>ROUND(사회유입인구!J69-사회유입인구!H69,-2)</f>
        <v>1300</v>
      </c>
      <c r="O70" s="349">
        <v>0</v>
      </c>
      <c r="P70" s="589">
        <f t="shared" si="3"/>
        <v>1300</v>
      </c>
      <c r="Q70" s="589">
        <f t="shared" si="4"/>
        <v>1300</v>
      </c>
      <c r="R70" s="589">
        <f t="shared" si="5"/>
        <v>1300</v>
      </c>
      <c r="S70" s="16"/>
    </row>
    <row r="71" spans="1:19" ht="17.100000000000001" customHeight="1">
      <c r="A71" s="292" t="s">
        <v>722</v>
      </c>
      <c r="B71" s="580" t="s">
        <v>1058</v>
      </c>
      <c r="C71" s="577" t="s">
        <v>1050</v>
      </c>
      <c r="D71" s="232" t="s">
        <v>1050</v>
      </c>
      <c r="E71" s="572">
        <v>0</v>
      </c>
      <c r="F71" s="599">
        <f>ROUND((사회유입인구!J70-사회유입인구!H70)*사회유입인구!P$65/100,-2)</f>
        <v>300</v>
      </c>
      <c r="G71" s="599">
        <f t="shared" si="6"/>
        <v>300</v>
      </c>
      <c r="H71" s="599">
        <f t="shared" si="6"/>
        <v>300</v>
      </c>
      <c r="I71" s="603"/>
      <c r="J71" s="369" t="s">
        <v>722</v>
      </c>
      <c r="K71" s="577" t="s">
        <v>1058</v>
      </c>
      <c r="L71" s="577" t="s">
        <v>1050</v>
      </c>
      <c r="M71" s="360" t="s">
        <v>1050</v>
      </c>
      <c r="N71" s="589">
        <f>ROUND(사회유입인구!J70-사회유입인구!H70,-2)</f>
        <v>1000</v>
      </c>
      <c r="O71" s="349">
        <v>0</v>
      </c>
      <c r="P71" s="589">
        <f t="shared" si="3"/>
        <v>1000</v>
      </c>
      <c r="Q71" s="589">
        <f t="shared" si="4"/>
        <v>1000</v>
      </c>
      <c r="R71" s="589">
        <f t="shared" si="5"/>
        <v>1000</v>
      </c>
      <c r="S71" s="16"/>
    </row>
    <row r="72" spans="1:19" ht="17.100000000000001" customHeight="1">
      <c r="A72" s="292" t="s">
        <v>724</v>
      </c>
      <c r="B72" s="580" t="s">
        <v>1058</v>
      </c>
      <c r="C72" s="577" t="s">
        <v>1060</v>
      </c>
      <c r="D72" s="232" t="s">
        <v>1060</v>
      </c>
      <c r="E72" s="572">
        <v>0</v>
      </c>
      <c r="F72" s="599">
        <f>ROUND((사회유입인구!J71-사회유입인구!H71)*사회유입인구!P$65/100,-2)</f>
        <v>300</v>
      </c>
      <c r="G72" s="599">
        <f t="shared" si="6"/>
        <v>300</v>
      </c>
      <c r="H72" s="599">
        <f t="shared" si="6"/>
        <v>300</v>
      </c>
      <c r="I72" s="603"/>
      <c r="J72" s="369" t="s">
        <v>724</v>
      </c>
      <c r="K72" s="577" t="s">
        <v>1058</v>
      </c>
      <c r="L72" s="577" t="s">
        <v>1060</v>
      </c>
      <c r="M72" s="360" t="s">
        <v>1060</v>
      </c>
      <c r="N72" s="589">
        <f>ROUND(사회유입인구!J71-사회유입인구!H71,-2)</f>
        <v>1000</v>
      </c>
      <c r="O72" s="349">
        <v>0</v>
      </c>
      <c r="P72" s="589">
        <f t="shared" si="3"/>
        <v>1000</v>
      </c>
      <c r="Q72" s="589">
        <f t="shared" si="4"/>
        <v>1000</v>
      </c>
      <c r="R72" s="589">
        <f t="shared" si="5"/>
        <v>1000</v>
      </c>
      <c r="S72" s="16"/>
    </row>
    <row r="73" spans="1:19" ht="17.100000000000001" customHeight="1">
      <c r="A73" s="292" t="s">
        <v>726</v>
      </c>
      <c r="B73" s="580" t="s">
        <v>1058</v>
      </c>
      <c r="C73" s="577" t="s">
        <v>1060</v>
      </c>
      <c r="D73" s="232" t="s">
        <v>1060</v>
      </c>
      <c r="E73" s="572">
        <v>0</v>
      </c>
      <c r="F73" s="599">
        <f>ROUND((사회유입인구!J72-사회유입인구!H72)*사회유입인구!P$65/100,-2)</f>
        <v>300</v>
      </c>
      <c r="G73" s="599">
        <f t="shared" si="6"/>
        <v>300</v>
      </c>
      <c r="H73" s="599">
        <f t="shared" si="6"/>
        <v>300</v>
      </c>
      <c r="I73" s="603"/>
      <c r="J73" s="369" t="s">
        <v>726</v>
      </c>
      <c r="K73" s="577" t="s">
        <v>1058</v>
      </c>
      <c r="L73" s="577" t="s">
        <v>1060</v>
      </c>
      <c r="M73" s="360" t="s">
        <v>1060</v>
      </c>
      <c r="N73" s="589">
        <f>ROUND(사회유입인구!J72-사회유입인구!H72,-2)</f>
        <v>1000</v>
      </c>
      <c r="O73" s="349">
        <v>0</v>
      </c>
      <c r="P73" s="589">
        <f t="shared" si="3"/>
        <v>1000</v>
      </c>
      <c r="Q73" s="589">
        <f t="shared" si="4"/>
        <v>1000</v>
      </c>
      <c r="R73" s="589">
        <f t="shared" si="5"/>
        <v>1000</v>
      </c>
      <c r="S73" s="16"/>
    </row>
    <row r="74" spans="1:19" ht="17.100000000000001" customHeight="1">
      <c r="A74" s="292" t="s">
        <v>728</v>
      </c>
      <c r="B74" s="580" t="s">
        <v>1061</v>
      </c>
      <c r="C74" s="577" t="s">
        <v>1060</v>
      </c>
      <c r="D74" s="232" t="s">
        <v>1060</v>
      </c>
      <c r="E74" s="572">
        <v>0</v>
      </c>
      <c r="F74" s="599">
        <f>ROUND((사회유입인구!J73-사회유입인구!H73)*사회유입인구!P$65/100,-2)</f>
        <v>100</v>
      </c>
      <c r="G74" s="599">
        <f t="shared" si="6"/>
        <v>100</v>
      </c>
      <c r="H74" s="599">
        <f t="shared" si="6"/>
        <v>100</v>
      </c>
      <c r="I74" s="603"/>
      <c r="J74" s="369" t="s">
        <v>728</v>
      </c>
      <c r="K74" s="577" t="s">
        <v>1061</v>
      </c>
      <c r="L74" s="577" t="s">
        <v>1060</v>
      </c>
      <c r="M74" s="360" t="s">
        <v>1060</v>
      </c>
      <c r="N74" s="589">
        <f>ROUND(사회유입인구!J73-사회유입인구!H73,-2)</f>
        <v>400</v>
      </c>
      <c r="O74" s="349">
        <v>0</v>
      </c>
      <c r="P74" s="589">
        <f t="shared" si="3"/>
        <v>400</v>
      </c>
      <c r="Q74" s="589">
        <f t="shared" si="4"/>
        <v>400</v>
      </c>
      <c r="R74" s="589">
        <f t="shared" si="5"/>
        <v>400</v>
      </c>
      <c r="S74" s="16"/>
    </row>
    <row r="75" spans="1:19" ht="17.100000000000001" customHeight="1">
      <c r="A75" s="292" t="s">
        <v>730</v>
      </c>
      <c r="B75" s="580" t="s">
        <v>1061</v>
      </c>
      <c r="C75" s="577" t="s">
        <v>1060</v>
      </c>
      <c r="D75" s="232" t="s">
        <v>1060</v>
      </c>
      <c r="E75" s="572">
        <v>0</v>
      </c>
      <c r="F75" s="599">
        <f>ROUND((사회유입인구!J74-사회유입인구!H74)*사회유입인구!P$65/100,-2)</f>
        <v>200</v>
      </c>
      <c r="G75" s="599">
        <f t="shared" si="6"/>
        <v>200</v>
      </c>
      <c r="H75" s="599">
        <f t="shared" si="6"/>
        <v>200</v>
      </c>
      <c r="I75" s="603"/>
      <c r="J75" s="369" t="s">
        <v>730</v>
      </c>
      <c r="K75" s="577" t="s">
        <v>1061</v>
      </c>
      <c r="L75" s="577" t="s">
        <v>1060</v>
      </c>
      <c r="M75" s="360" t="s">
        <v>1060</v>
      </c>
      <c r="N75" s="589">
        <f>ROUND(사회유입인구!J74-사회유입인구!H74,-2)</f>
        <v>600</v>
      </c>
      <c r="O75" s="349">
        <v>0</v>
      </c>
      <c r="P75" s="589">
        <f t="shared" si="3"/>
        <v>600</v>
      </c>
      <c r="Q75" s="589">
        <f t="shared" si="4"/>
        <v>600</v>
      </c>
      <c r="R75" s="589">
        <f t="shared" si="5"/>
        <v>600</v>
      </c>
      <c r="S75" s="16"/>
    </row>
    <row r="76" spans="1:19" ht="17.100000000000001" customHeight="1">
      <c r="A76" s="292" t="s">
        <v>732</v>
      </c>
      <c r="B76" s="580" t="s">
        <v>1061</v>
      </c>
      <c r="C76" s="577" t="s">
        <v>1060</v>
      </c>
      <c r="D76" s="232" t="s">
        <v>1060</v>
      </c>
      <c r="E76" s="572">
        <v>0</v>
      </c>
      <c r="F76" s="599">
        <f>ROUND((사회유입인구!J75-사회유입인구!H75)*사회유입인구!P$65/100,-2)</f>
        <v>100</v>
      </c>
      <c r="G76" s="599">
        <f t="shared" si="6"/>
        <v>100</v>
      </c>
      <c r="H76" s="599">
        <f t="shared" si="6"/>
        <v>100</v>
      </c>
      <c r="I76" s="603"/>
      <c r="J76" s="369" t="s">
        <v>732</v>
      </c>
      <c r="K76" s="577" t="s">
        <v>1061</v>
      </c>
      <c r="L76" s="577" t="s">
        <v>1060</v>
      </c>
      <c r="M76" s="360" t="s">
        <v>1060</v>
      </c>
      <c r="N76" s="589">
        <f>ROUND(사회유입인구!J75-사회유입인구!H75,-2)</f>
        <v>300</v>
      </c>
      <c r="O76" s="349">
        <v>0</v>
      </c>
      <c r="P76" s="589">
        <f t="shared" si="3"/>
        <v>300</v>
      </c>
      <c r="Q76" s="589">
        <f t="shared" si="4"/>
        <v>300</v>
      </c>
      <c r="R76" s="589">
        <f t="shared" si="5"/>
        <v>300</v>
      </c>
      <c r="S76" s="16"/>
    </row>
    <row r="77" spans="1:19" ht="17.100000000000001" customHeight="1">
      <c r="A77" s="292" t="s">
        <v>734</v>
      </c>
      <c r="B77" s="580" t="s">
        <v>1061</v>
      </c>
      <c r="C77" s="577" t="s">
        <v>1060</v>
      </c>
      <c r="D77" s="232" t="s">
        <v>1060</v>
      </c>
      <c r="E77" s="572">
        <v>0</v>
      </c>
      <c r="F77" s="599">
        <f>ROUND((사회유입인구!J76-사회유입인구!H76)*사회유입인구!P$65/100,-2)</f>
        <v>300</v>
      </c>
      <c r="G77" s="599">
        <f t="shared" si="6"/>
        <v>300</v>
      </c>
      <c r="H77" s="599">
        <f t="shared" si="6"/>
        <v>300</v>
      </c>
      <c r="I77" s="603"/>
      <c r="J77" s="369" t="s">
        <v>734</v>
      </c>
      <c r="K77" s="577" t="s">
        <v>1061</v>
      </c>
      <c r="L77" s="577" t="s">
        <v>1060</v>
      </c>
      <c r="M77" s="360" t="s">
        <v>1060</v>
      </c>
      <c r="N77" s="589">
        <f>ROUND(사회유입인구!J76-사회유입인구!H76,-2)</f>
        <v>1000</v>
      </c>
      <c r="O77" s="349">
        <v>0</v>
      </c>
      <c r="P77" s="589">
        <f t="shared" si="3"/>
        <v>1000</v>
      </c>
      <c r="Q77" s="589">
        <f t="shared" si="4"/>
        <v>1000</v>
      </c>
      <c r="R77" s="589">
        <f t="shared" si="5"/>
        <v>1000</v>
      </c>
      <c r="S77" s="16"/>
    </row>
    <row r="78" spans="1:19" ht="17.100000000000001" customHeight="1">
      <c r="A78" s="292" t="s">
        <v>736</v>
      </c>
      <c r="B78" s="580" t="s">
        <v>1062</v>
      </c>
      <c r="C78" s="577" t="s">
        <v>48</v>
      </c>
      <c r="D78" s="232" t="s">
        <v>1041</v>
      </c>
      <c r="E78" s="572">
        <v>0</v>
      </c>
      <c r="F78" s="599">
        <f>ROUND((사회유입인구!J77-사회유입인구!H77)*사회유입인구!P$65/100,-2)</f>
        <v>100</v>
      </c>
      <c r="G78" s="599">
        <f t="shared" si="6"/>
        <v>100</v>
      </c>
      <c r="H78" s="599">
        <f t="shared" si="6"/>
        <v>100</v>
      </c>
      <c r="I78" s="603"/>
      <c r="J78" s="369" t="s">
        <v>736</v>
      </c>
      <c r="K78" s="577" t="s">
        <v>1062</v>
      </c>
      <c r="L78" s="577" t="s">
        <v>1041</v>
      </c>
      <c r="M78" s="360" t="s">
        <v>1041</v>
      </c>
      <c r="N78" s="589">
        <f>ROUND(사회유입인구!J77-사회유입인구!H77,-2)</f>
        <v>400</v>
      </c>
      <c r="O78" s="349">
        <v>0</v>
      </c>
      <c r="P78" s="589">
        <f t="shared" si="3"/>
        <v>400</v>
      </c>
      <c r="Q78" s="589">
        <f t="shared" si="4"/>
        <v>400</v>
      </c>
      <c r="R78" s="589">
        <f t="shared" si="5"/>
        <v>400</v>
      </c>
      <c r="S78" s="16"/>
    </row>
    <row r="79" spans="1:19" ht="17.100000000000001" customHeight="1">
      <c r="A79" s="292" t="s">
        <v>1063</v>
      </c>
      <c r="B79" s="580" t="s">
        <v>1062</v>
      </c>
      <c r="C79" s="577" t="s">
        <v>48</v>
      </c>
      <c r="D79" s="232" t="s">
        <v>1041</v>
      </c>
      <c r="E79" s="572">
        <v>0</v>
      </c>
      <c r="F79" s="599">
        <f>ROUND((사회유입인구!J78-사회유입인구!H78)*사회유입인구!P$65/100,-2)</f>
        <v>600</v>
      </c>
      <c r="G79" s="599">
        <f t="shared" si="6"/>
        <v>600</v>
      </c>
      <c r="H79" s="599">
        <f t="shared" si="6"/>
        <v>600</v>
      </c>
      <c r="I79" s="603"/>
      <c r="J79" s="369" t="s">
        <v>1063</v>
      </c>
      <c r="K79" s="577" t="s">
        <v>1062</v>
      </c>
      <c r="L79" s="577" t="s">
        <v>1041</v>
      </c>
      <c r="M79" s="360" t="s">
        <v>1041</v>
      </c>
      <c r="N79" s="589">
        <f>ROUND(사회유입인구!J78-사회유입인구!H78,-2)</f>
        <v>1800</v>
      </c>
      <c r="O79" s="349">
        <v>0</v>
      </c>
      <c r="P79" s="589">
        <f t="shared" si="3"/>
        <v>1800</v>
      </c>
      <c r="Q79" s="589">
        <f t="shared" si="4"/>
        <v>1800</v>
      </c>
      <c r="R79" s="589">
        <f t="shared" si="5"/>
        <v>1800</v>
      </c>
      <c r="S79" s="16"/>
    </row>
    <row r="80" spans="1:19" ht="17.100000000000001" customHeight="1">
      <c r="A80" s="292" t="s">
        <v>1064</v>
      </c>
      <c r="B80" s="580" t="s">
        <v>1062</v>
      </c>
      <c r="C80" s="577" t="s">
        <v>48</v>
      </c>
      <c r="D80" s="232" t="s">
        <v>1041</v>
      </c>
      <c r="E80" s="572">
        <v>0</v>
      </c>
      <c r="F80" s="599">
        <f>ROUND((사회유입인구!J79-사회유입인구!H79)*사회유입인구!P$65/100,-2)</f>
        <v>200</v>
      </c>
      <c r="G80" s="599">
        <f t="shared" si="6"/>
        <v>200</v>
      </c>
      <c r="H80" s="599">
        <f t="shared" si="6"/>
        <v>200</v>
      </c>
      <c r="I80" s="603"/>
      <c r="J80" s="369" t="s">
        <v>1064</v>
      </c>
      <c r="K80" s="577" t="s">
        <v>1062</v>
      </c>
      <c r="L80" s="577" t="s">
        <v>1041</v>
      </c>
      <c r="M80" s="360" t="s">
        <v>1041</v>
      </c>
      <c r="N80" s="589">
        <f>ROUND(사회유입인구!J79-사회유입인구!H79,-2)</f>
        <v>700</v>
      </c>
      <c r="O80" s="349">
        <v>0</v>
      </c>
      <c r="P80" s="589">
        <f t="shared" si="3"/>
        <v>700</v>
      </c>
      <c r="Q80" s="589">
        <f t="shared" si="4"/>
        <v>700</v>
      </c>
      <c r="R80" s="589">
        <f t="shared" si="5"/>
        <v>700</v>
      </c>
      <c r="S80" s="16"/>
    </row>
    <row r="81" spans="1:19" ht="17.100000000000001" customHeight="1">
      <c r="A81" s="292" t="s">
        <v>1065</v>
      </c>
      <c r="B81" s="580" t="s">
        <v>1062</v>
      </c>
      <c r="C81" s="577" t="s">
        <v>48</v>
      </c>
      <c r="D81" s="232" t="s">
        <v>1041</v>
      </c>
      <c r="E81" s="572">
        <v>0</v>
      </c>
      <c r="F81" s="599">
        <f>ROUND((사회유입인구!J80-사회유입인구!H80)*사회유입인구!P$65/100,-2)</f>
        <v>100</v>
      </c>
      <c r="G81" s="599">
        <f t="shared" si="6"/>
        <v>100</v>
      </c>
      <c r="H81" s="599">
        <f t="shared" si="6"/>
        <v>100</v>
      </c>
      <c r="I81" s="603"/>
      <c r="J81" s="369" t="s">
        <v>1065</v>
      </c>
      <c r="K81" s="577" t="s">
        <v>1062</v>
      </c>
      <c r="L81" s="577" t="s">
        <v>1041</v>
      </c>
      <c r="M81" s="360" t="s">
        <v>1041</v>
      </c>
      <c r="N81" s="589">
        <f>ROUND(사회유입인구!J80-사회유입인구!H80,-2)</f>
        <v>400</v>
      </c>
      <c r="O81" s="349">
        <v>0</v>
      </c>
      <c r="P81" s="589">
        <f t="shared" si="3"/>
        <v>400</v>
      </c>
      <c r="Q81" s="589">
        <f t="shared" si="4"/>
        <v>400</v>
      </c>
      <c r="R81" s="589">
        <f t="shared" si="5"/>
        <v>400</v>
      </c>
      <c r="S81" s="16"/>
    </row>
    <row r="82" spans="1:19" ht="17.100000000000001" customHeight="1">
      <c r="A82" s="292" t="s">
        <v>1066</v>
      </c>
      <c r="B82" s="580" t="s">
        <v>1067</v>
      </c>
      <c r="C82" s="577" t="s">
        <v>48</v>
      </c>
      <c r="D82" s="232" t="s">
        <v>1041</v>
      </c>
      <c r="E82" s="572">
        <v>0</v>
      </c>
      <c r="F82" s="599">
        <f>ROUND((사회유입인구!J81-사회유입인구!H81)*사회유입인구!P$65/100,-2)</f>
        <v>200</v>
      </c>
      <c r="G82" s="599">
        <f t="shared" si="6"/>
        <v>200</v>
      </c>
      <c r="H82" s="599">
        <f t="shared" si="6"/>
        <v>200</v>
      </c>
      <c r="I82" s="603"/>
      <c r="J82" s="369" t="s">
        <v>1066</v>
      </c>
      <c r="K82" s="577" t="s">
        <v>1067</v>
      </c>
      <c r="L82" s="577" t="s">
        <v>1041</v>
      </c>
      <c r="M82" s="360" t="s">
        <v>1041</v>
      </c>
      <c r="N82" s="589">
        <f>ROUND(사회유입인구!J81-사회유입인구!H81,-2)</f>
        <v>600</v>
      </c>
      <c r="O82" s="349">
        <v>0</v>
      </c>
      <c r="P82" s="589">
        <f t="shared" si="3"/>
        <v>600</v>
      </c>
      <c r="Q82" s="589">
        <f t="shared" si="4"/>
        <v>600</v>
      </c>
      <c r="R82" s="589">
        <f t="shared" si="5"/>
        <v>600</v>
      </c>
      <c r="S82" s="16"/>
    </row>
    <row r="83" spans="1:19" ht="17.100000000000001" customHeight="1">
      <c r="A83" s="292" t="s">
        <v>1068</v>
      </c>
      <c r="B83" s="580" t="s">
        <v>1067</v>
      </c>
      <c r="C83" s="577" t="s">
        <v>48</v>
      </c>
      <c r="D83" s="232" t="s">
        <v>1041</v>
      </c>
      <c r="E83" s="572">
        <v>0</v>
      </c>
      <c r="F83" s="599">
        <f>ROUND((사회유입인구!J82-사회유입인구!H82)*사회유입인구!P$65/100,-2)</f>
        <v>100</v>
      </c>
      <c r="G83" s="599">
        <f t="shared" si="6"/>
        <v>100</v>
      </c>
      <c r="H83" s="599">
        <f t="shared" si="6"/>
        <v>100</v>
      </c>
      <c r="I83" s="603"/>
      <c r="J83" s="369" t="s">
        <v>1068</v>
      </c>
      <c r="K83" s="577" t="s">
        <v>1067</v>
      </c>
      <c r="L83" s="577" t="s">
        <v>1041</v>
      </c>
      <c r="M83" s="360" t="s">
        <v>1041</v>
      </c>
      <c r="N83" s="589">
        <f>ROUND(사회유입인구!J82-사회유입인구!H82,-2)</f>
        <v>200</v>
      </c>
      <c r="O83" s="349">
        <v>0</v>
      </c>
      <c r="P83" s="589">
        <f t="shared" si="3"/>
        <v>200</v>
      </c>
      <c r="Q83" s="589">
        <f t="shared" si="4"/>
        <v>200</v>
      </c>
      <c r="R83" s="589">
        <f t="shared" si="5"/>
        <v>200</v>
      </c>
      <c r="S83" s="16"/>
    </row>
    <row r="84" spans="1:19" ht="17.100000000000001" customHeight="1">
      <c r="A84" s="292" t="s">
        <v>1069</v>
      </c>
      <c r="B84" s="580" t="s">
        <v>1067</v>
      </c>
      <c r="C84" s="577" t="s">
        <v>48</v>
      </c>
      <c r="D84" s="232" t="s">
        <v>1041</v>
      </c>
      <c r="E84" s="572">
        <v>0</v>
      </c>
      <c r="F84" s="599">
        <f>ROUND((사회유입인구!J83-사회유입인구!H83)*사회유입인구!P$65/100,-2)</f>
        <v>100</v>
      </c>
      <c r="G84" s="599">
        <f t="shared" si="6"/>
        <v>100</v>
      </c>
      <c r="H84" s="599">
        <f t="shared" si="6"/>
        <v>100</v>
      </c>
      <c r="I84" s="603"/>
      <c r="J84" s="369" t="s">
        <v>1069</v>
      </c>
      <c r="K84" s="577" t="s">
        <v>1067</v>
      </c>
      <c r="L84" s="577" t="s">
        <v>1041</v>
      </c>
      <c r="M84" s="360" t="s">
        <v>1041</v>
      </c>
      <c r="N84" s="589">
        <f>ROUND(사회유입인구!J83-사회유입인구!H83,-2)</f>
        <v>300</v>
      </c>
      <c r="O84" s="349">
        <v>0</v>
      </c>
      <c r="P84" s="589">
        <f t="shared" si="3"/>
        <v>300</v>
      </c>
      <c r="Q84" s="589">
        <f t="shared" si="4"/>
        <v>300</v>
      </c>
      <c r="R84" s="589">
        <f t="shared" si="5"/>
        <v>300</v>
      </c>
      <c r="S84" s="16"/>
    </row>
    <row r="85" spans="1:19" ht="17.100000000000001" customHeight="1">
      <c r="A85" s="292" t="s">
        <v>1070</v>
      </c>
      <c r="B85" s="580" t="s">
        <v>1067</v>
      </c>
      <c r="C85" s="577" t="s">
        <v>48</v>
      </c>
      <c r="D85" s="232" t="s">
        <v>1041</v>
      </c>
      <c r="E85" s="572">
        <v>0</v>
      </c>
      <c r="F85" s="599">
        <f>ROUND((사회유입인구!J84-사회유입인구!H84)*사회유입인구!P$65/100,-2)</f>
        <v>300</v>
      </c>
      <c r="G85" s="599">
        <f t="shared" si="6"/>
        <v>300</v>
      </c>
      <c r="H85" s="599">
        <f t="shared" si="6"/>
        <v>300</v>
      </c>
      <c r="I85" s="603"/>
      <c r="J85" s="369" t="s">
        <v>1070</v>
      </c>
      <c r="K85" s="577" t="s">
        <v>1067</v>
      </c>
      <c r="L85" s="577" t="s">
        <v>1041</v>
      </c>
      <c r="M85" s="360" t="s">
        <v>1041</v>
      </c>
      <c r="N85" s="589">
        <f>ROUND(사회유입인구!J84-사회유입인구!H84,-2)</f>
        <v>1100</v>
      </c>
      <c r="O85" s="349">
        <v>0</v>
      </c>
      <c r="P85" s="589">
        <f t="shared" si="3"/>
        <v>1100</v>
      </c>
      <c r="Q85" s="589">
        <f t="shared" si="4"/>
        <v>1100</v>
      </c>
      <c r="R85" s="589">
        <f t="shared" si="5"/>
        <v>1100</v>
      </c>
      <c r="S85" s="16"/>
    </row>
    <row r="86" spans="1:19" ht="17.100000000000001" customHeight="1">
      <c r="A86" s="292" t="s">
        <v>1071</v>
      </c>
      <c r="B86" s="580" t="s">
        <v>1062</v>
      </c>
      <c r="C86" s="577" t="s">
        <v>48</v>
      </c>
      <c r="D86" s="232" t="s">
        <v>1041</v>
      </c>
      <c r="E86" s="572">
        <v>0</v>
      </c>
      <c r="F86" s="599">
        <f>ROUND((사회유입인구!J85-사회유입인구!H85)*사회유입인구!P$65/100,-2)</f>
        <v>100</v>
      </c>
      <c r="G86" s="599">
        <f t="shared" si="6"/>
        <v>100</v>
      </c>
      <c r="H86" s="599">
        <f t="shared" si="6"/>
        <v>100</v>
      </c>
      <c r="I86" s="603"/>
      <c r="J86" s="369" t="s">
        <v>1071</v>
      </c>
      <c r="K86" s="577" t="s">
        <v>1062</v>
      </c>
      <c r="L86" s="577" t="s">
        <v>1041</v>
      </c>
      <c r="M86" s="360" t="s">
        <v>1041</v>
      </c>
      <c r="N86" s="589">
        <f>ROUND(사회유입인구!J85-사회유입인구!H85,-2)</f>
        <v>500</v>
      </c>
      <c r="O86" s="349">
        <v>0</v>
      </c>
      <c r="P86" s="589">
        <f t="shared" si="3"/>
        <v>500</v>
      </c>
      <c r="Q86" s="589">
        <f t="shared" si="4"/>
        <v>500</v>
      </c>
      <c r="R86" s="589">
        <f t="shared" si="5"/>
        <v>500</v>
      </c>
      <c r="S86" s="16"/>
    </row>
    <row r="87" spans="1:19" ht="17.100000000000001" customHeight="1">
      <c r="A87" s="292" t="s">
        <v>1072</v>
      </c>
      <c r="B87" s="580" t="s">
        <v>1062</v>
      </c>
      <c r="C87" s="577" t="s">
        <v>48</v>
      </c>
      <c r="D87" s="232" t="s">
        <v>1041</v>
      </c>
      <c r="E87" s="572">
        <v>0</v>
      </c>
      <c r="F87" s="599">
        <f>ROUND((사회유입인구!J86-사회유입인구!H86)*사회유입인구!P$65/100,-2)</f>
        <v>300</v>
      </c>
      <c r="G87" s="599">
        <f t="shared" si="6"/>
        <v>300</v>
      </c>
      <c r="H87" s="599">
        <f t="shared" si="6"/>
        <v>300</v>
      </c>
      <c r="I87" s="603"/>
      <c r="J87" s="369" t="s">
        <v>1072</v>
      </c>
      <c r="K87" s="577" t="s">
        <v>1062</v>
      </c>
      <c r="L87" s="577" t="s">
        <v>1041</v>
      </c>
      <c r="M87" s="360" t="s">
        <v>1041</v>
      </c>
      <c r="N87" s="589">
        <f>ROUND(사회유입인구!J86-사회유입인구!H86,-2)</f>
        <v>900</v>
      </c>
      <c r="O87" s="349">
        <v>0</v>
      </c>
      <c r="P87" s="589">
        <f t="shared" si="3"/>
        <v>900</v>
      </c>
      <c r="Q87" s="589">
        <f t="shared" si="4"/>
        <v>900</v>
      </c>
      <c r="R87" s="589">
        <f t="shared" si="5"/>
        <v>900</v>
      </c>
      <c r="S87" s="16"/>
    </row>
    <row r="88" spans="1:19" ht="17.100000000000001" customHeight="1">
      <c r="A88" s="292" t="s">
        <v>1073</v>
      </c>
      <c r="B88" s="580" t="s">
        <v>1062</v>
      </c>
      <c r="C88" s="577" t="s">
        <v>48</v>
      </c>
      <c r="D88" s="232" t="s">
        <v>1041</v>
      </c>
      <c r="E88" s="572">
        <v>0</v>
      </c>
      <c r="F88" s="599">
        <f>ROUND((사회유입인구!J87-사회유입인구!H87)*사회유입인구!P$65/100,-2)</f>
        <v>200</v>
      </c>
      <c r="G88" s="599">
        <f t="shared" si="6"/>
        <v>200</v>
      </c>
      <c r="H88" s="599">
        <f t="shared" si="6"/>
        <v>200</v>
      </c>
      <c r="I88" s="603"/>
      <c r="J88" s="369" t="s">
        <v>1073</v>
      </c>
      <c r="K88" s="577" t="s">
        <v>1062</v>
      </c>
      <c r="L88" s="577" t="s">
        <v>1041</v>
      </c>
      <c r="M88" s="360" t="s">
        <v>1041</v>
      </c>
      <c r="N88" s="589">
        <f>ROUND(사회유입인구!J87-사회유입인구!H87,-2)</f>
        <v>700</v>
      </c>
      <c r="O88" s="349">
        <v>0</v>
      </c>
      <c r="P88" s="589">
        <f t="shared" si="3"/>
        <v>700</v>
      </c>
      <c r="Q88" s="589">
        <f t="shared" si="4"/>
        <v>700</v>
      </c>
      <c r="R88" s="589">
        <f t="shared" si="5"/>
        <v>700</v>
      </c>
      <c r="S88" s="16"/>
    </row>
    <row r="89" spans="1:19" ht="17.100000000000001" customHeight="1">
      <c r="A89" s="299" t="s">
        <v>1074</v>
      </c>
      <c r="B89" s="585" t="s">
        <v>1067</v>
      </c>
      <c r="C89" s="372" t="s">
        <v>1050</v>
      </c>
      <c r="D89" s="370" t="s">
        <v>1050</v>
      </c>
      <c r="E89" s="70">
        <v>0</v>
      </c>
      <c r="F89" s="70">
        <f>ROUND((사회유입인구!J88-사회유입인구!H88)*사회유입인구!P$65/100,-2)</f>
        <v>100</v>
      </c>
      <c r="G89" s="70">
        <f t="shared" si="6"/>
        <v>100</v>
      </c>
      <c r="H89" s="70">
        <f t="shared" si="6"/>
        <v>100</v>
      </c>
      <c r="I89" s="597"/>
      <c r="J89" s="371" t="s">
        <v>1074</v>
      </c>
      <c r="K89" s="372" t="s">
        <v>1067</v>
      </c>
      <c r="L89" s="372" t="s">
        <v>1050</v>
      </c>
      <c r="M89" s="373" t="s">
        <v>1050</v>
      </c>
      <c r="N89" s="356">
        <f>ROUND(사회유입인구!J88-사회유입인구!H88,-2)</f>
        <v>200</v>
      </c>
      <c r="O89" s="356">
        <v>0</v>
      </c>
      <c r="P89" s="356">
        <f t="shared" si="3"/>
        <v>200</v>
      </c>
      <c r="Q89" s="356">
        <f t="shared" si="4"/>
        <v>200</v>
      </c>
      <c r="R89" s="356">
        <f t="shared" si="5"/>
        <v>200</v>
      </c>
      <c r="S89" s="374"/>
    </row>
    <row r="90" spans="1:19" ht="17.100000000000001" customHeight="1">
      <c r="A90" s="792" t="s">
        <v>1075</v>
      </c>
      <c r="B90" s="939" t="s">
        <v>1076</v>
      </c>
      <c r="C90" s="945" t="s">
        <v>1030</v>
      </c>
      <c r="D90" s="939" t="s">
        <v>1077</v>
      </c>
      <c r="E90" s="272" t="s">
        <v>771</v>
      </c>
      <c r="F90" s="605"/>
      <c r="G90" s="605"/>
      <c r="H90" s="606"/>
      <c r="I90" s="958" t="s">
        <v>772</v>
      </c>
      <c r="J90" s="943" t="s">
        <v>1075</v>
      </c>
      <c r="K90" s="945" t="s">
        <v>1076</v>
      </c>
      <c r="L90" s="945" t="s">
        <v>1078</v>
      </c>
      <c r="M90" s="945" t="s">
        <v>1077</v>
      </c>
      <c r="N90" s="945" t="s">
        <v>1079</v>
      </c>
      <c r="O90" s="607" t="s">
        <v>1080</v>
      </c>
      <c r="P90" s="608"/>
      <c r="Q90" s="608"/>
      <c r="R90" s="609"/>
      <c r="S90" s="947" t="s">
        <v>772</v>
      </c>
    </row>
    <row r="91" spans="1:19" ht="17.100000000000001" customHeight="1">
      <c r="A91" s="794"/>
      <c r="B91" s="940"/>
      <c r="C91" s="946"/>
      <c r="D91" s="940"/>
      <c r="E91" s="581" t="s">
        <v>776</v>
      </c>
      <c r="F91" s="581" t="s">
        <v>777</v>
      </c>
      <c r="G91" s="581" t="s">
        <v>778</v>
      </c>
      <c r="H91" s="581" t="s">
        <v>779</v>
      </c>
      <c r="I91" s="959"/>
      <c r="J91" s="944"/>
      <c r="K91" s="946"/>
      <c r="L91" s="946"/>
      <c r="M91" s="946"/>
      <c r="N91" s="946"/>
      <c r="O91" s="584" t="s">
        <v>776</v>
      </c>
      <c r="P91" s="584" t="s">
        <v>777</v>
      </c>
      <c r="Q91" s="584" t="s">
        <v>778</v>
      </c>
      <c r="R91" s="584" t="s">
        <v>779</v>
      </c>
      <c r="S91" s="948"/>
    </row>
    <row r="92" spans="1:19" ht="17.100000000000001" customHeight="1">
      <c r="A92" s="276" t="s">
        <v>1081</v>
      </c>
      <c r="B92" s="596" t="s">
        <v>1067</v>
      </c>
      <c r="C92" s="254" t="s">
        <v>1050</v>
      </c>
      <c r="D92" s="251" t="s">
        <v>1050</v>
      </c>
      <c r="E92" s="572">
        <v>0</v>
      </c>
      <c r="F92" s="599">
        <f>ROUND((사회유입인구!J91-사회유입인구!H91)*사회유입인구!P$65/100,-2)</f>
        <v>100</v>
      </c>
      <c r="G92" s="599">
        <f t="shared" ref="G92:H111" si="7">+F92</f>
        <v>100</v>
      </c>
      <c r="H92" s="599">
        <f t="shared" si="7"/>
        <v>100</v>
      </c>
      <c r="I92" s="367"/>
      <c r="J92" s="368" t="s">
        <v>1081</v>
      </c>
      <c r="K92" s="254" t="s">
        <v>1067</v>
      </c>
      <c r="L92" s="254" t="s">
        <v>1050</v>
      </c>
      <c r="M92" s="375" t="s">
        <v>1050</v>
      </c>
      <c r="N92" s="589">
        <f>ROUND(사회유입인구!J91-사회유입인구!H91,-2)</f>
        <v>200</v>
      </c>
      <c r="O92" s="349">
        <v>0</v>
      </c>
      <c r="P92" s="589">
        <f t="shared" ref="P92:P131" si="8">ROUND($N92*U$5,-2)</f>
        <v>200</v>
      </c>
      <c r="Q92" s="589">
        <f t="shared" ref="Q92:Q131" si="9">ROUND($N92*V$5,-2)</f>
        <v>200</v>
      </c>
      <c r="R92" s="589">
        <f t="shared" ref="R92:R131" si="10">ROUND($N92*W$5,-2)</f>
        <v>200</v>
      </c>
      <c r="S92" s="318"/>
    </row>
    <row r="93" spans="1:19" ht="17.100000000000001" customHeight="1">
      <c r="A93" s="292" t="s">
        <v>1082</v>
      </c>
      <c r="B93" s="580" t="s">
        <v>1067</v>
      </c>
      <c r="C93" s="577" t="s">
        <v>48</v>
      </c>
      <c r="D93" s="232" t="s">
        <v>1041</v>
      </c>
      <c r="E93" s="572">
        <v>0</v>
      </c>
      <c r="F93" s="599">
        <f>ROUND((사회유입인구!J92-사회유입인구!H92)*사회유입인구!P$65/100,-2)</f>
        <v>100</v>
      </c>
      <c r="G93" s="599">
        <f t="shared" si="7"/>
        <v>100</v>
      </c>
      <c r="H93" s="599">
        <f t="shared" si="7"/>
        <v>100</v>
      </c>
      <c r="I93" s="603"/>
      <c r="J93" s="369" t="s">
        <v>1082</v>
      </c>
      <c r="K93" s="577" t="s">
        <v>1067</v>
      </c>
      <c r="L93" s="577" t="s">
        <v>1041</v>
      </c>
      <c r="M93" s="360" t="s">
        <v>1041</v>
      </c>
      <c r="N93" s="589">
        <f>ROUND(사회유입인구!J92-사회유입인구!H92,-2)</f>
        <v>400</v>
      </c>
      <c r="O93" s="349">
        <v>0</v>
      </c>
      <c r="P93" s="589">
        <f t="shared" si="8"/>
        <v>400</v>
      </c>
      <c r="Q93" s="589">
        <f t="shared" si="9"/>
        <v>400</v>
      </c>
      <c r="R93" s="589">
        <f t="shared" si="10"/>
        <v>400</v>
      </c>
      <c r="S93" s="16"/>
    </row>
    <row r="94" spans="1:19" ht="17.100000000000001" customHeight="1">
      <c r="A94" s="292" t="s">
        <v>773</v>
      </c>
      <c r="B94" s="580" t="s">
        <v>1067</v>
      </c>
      <c r="C94" s="577" t="s">
        <v>48</v>
      </c>
      <c r="D94" s="232" t="s">
        <v>1041</v>
      </c>
      <c r="E94" s="572">
        <v>0</v>
      </c>
      <c r="F94" s="599">
        <f>ROUND((사회유입인구!J93-사회유입인구!H93)*사회유입인구!P$65/100,-2)</f>
        <v>0</v>
      </c>
      <c r="G94" s="599">
        <f t="shared" si="7"/>
        <v>0</v>
      </c>
      <c r="H94" s="599">
        <f t="shared" si="7"/>
        <v>0</v>
      </c>
      <c r="I94" s="603"/>
      <c r="J94" s="369" t="s">
        <v>773</v>
      </c>
      <c r="K94" s="577" t="s">
        <v>1067</v>
      </c>
      <c r="L94" s="577" t="s">
        <v>1041</v>
      </c>
      <c r="M94" s="360" t="s">
        <v>1041</v>
      </c>
      <c r="N94" s="589">
        <f>ROUND(사회유입인구!J93-사회유입인구!H93,-2)</f>
        <v>100</v>
      </c>
      <c r="O94" s="349">
        <v>0</v>
      </c>
      <c r="P94" s="589">
        <f t="shared" si="8"/>
        <v>100</v>
      </c>
      <c r="Q94" s="589">
        <f t="shared" si="9"/>
        <v>100</v>
      </c>
      <c r="R94" s="589">
        <f t="shared" si="10"/>
        <v>100</v>
      </c>
      <c r="S94" s="16"/>
    </row>
    <row r="95" spans="1:19" ht="17.100000000000001" customHeight="1">
      <c r="A95" s="292" t="s">
        <v>780</v>
      </c>
      <c r="B95" s="580" t="s">
        <v>1067</v>
      </c>
      <c r="C95" s="577" t="s">
        <v>48</v>
      </c>
      <c r="D95" s="232" t="s">
        <v>1041</v>
      </c>
      <c r="E95" s="572">
        <v>0</v>
      </c>
      <c r="F95" s="599">
        <f>ROUND((사회유입인구!J94-사회유입인구!H94)*사회유입인구!P$65/100,-2)</f>
        <v>0</v>
      </c>
      <c r="G95" s="599">
        <f t="shared" si="7"/>
        <v>0</v>
      </c>
      <c r="H95" s="599">
        <f t="shared" si="7"/>
        <v>0</v>
      </c>
      <c r="I95" s="603"/>
      <c r="J95" s="369" t="s">
        <v>780</v>
      </c>
      <c r="K95" s="577" t="s">
        <v>1067</v>
      </c>
      <c r="L95" s="577" t="s">
        <v>1041</v>
      </c>
      <c r="M95" s="360" t="s">
        <v>1041</v>
      </c>
      <c r="N95" s="589">
        <f>ROUND(사회유입인구!J94-사회유입인구!H94,-2)</f>
        <v>100</v>
      </c>
      <c r="O95" s="349">
        <v>0</v>
      </c>
      <c r="P95" s="589">
        <f t="shared" si="8"/>
        <v>100</v>
      </c>
      <c r="Q95" s="589">
        <f t="shared" si="9"/>
        <v>100</v>
      </c>
      <c r="R95" s="589">
        <f t="shared" si="10"/>
        <v>100</v>
      </c>
      <c r="S95" s="16"/>
    </row>
    <row r="96" spans="1:19" ht="17.100000000000001" customHeight="1">
      <c r="A96" s="292" t="s">
        <v>783</v>
      </c>
      <c r="B96" s="580" t="s">
        <v>1067</v>
      </c>
      <c r="C96" s="577" t="s">
        <v>48</v>
      </c>
      <c r="D96" s="232" t="s">
        <v>1041</v>
      </c>
      <c r="E96" s="572">
        <v>0</v>
      </c>
      <c r="F96" s="599">
        <f>ROUND((사회유입인구!J95-사회유입인구!H95)*사회유입인구!P$65/100,-2)</f>
        <v>0</v>
      </c>
      <c r="G96" s="599">
        <f t="shared" si="7"/>
        <v>0</v>
      </c>
      <c r="H96" s="599">
        <f t="shared" si="7"/>
        <v>0</v>
      </c>
      <c r="I96" s="603"/>
      <c r="J96" s="369" t="s">
        <v>783</v>
      </c>
      <c r="K96" s="577" t="s">
        <v>1067</v>
      </c>
      <c r="L96" s="577" t="s">
        <v>1041</v>
      </c>
      <c r="M96" s="360" t="s">
        <v>1041</v>
      </c>
      <c r="N96" s="589">
        <f>ROUND(사회유입인구!J95-사회유입인구!H95,-2)</f>
        <v>100</v>
      </c>
      <c r="O96" s="349">
        <v>0</v>
      </c>
      <c r="P96" s="589">
        <f t="shared" si="8"/>
        <v>100</v>
      </c>
      <c r="Q96" s="589">
        <f t="shared" si="9"/>
        <v>100</v>
      </c>
      <c r="R96" s="589">
        <f t="shared" si="10"/>
        <v>100</v>
      </c>
      <c r="S96" s="16"/>
    </row>
    <row r="97" spans="1:19" ht="17.100000000000001" customHeight="1">
      <c r="A97" s="292" t="s">
        <v>787</v>
      </c>
      <c r="B97" s="580" t="s">
        <v>1067</v>
      </c>
      <c r="C97" s="577" t="s">
        <v>48</v>
      </c>
      <c r="D97" s="232" t="s">
        <v>1041</v>
      </c>
      <c r="E97" s="572">
        <v>0</v>
      </c>
      <c r="F97" s="599">
        <f>ROUND((사회유입인구!J96-사회유입인구!H96)*사회유입인구!P$65/100,-2)</f>
        <v>0</v>
      </c>
      <c r="G97" s="599">
        <f t="shared" si="7"/>
        <v>0</v>
      </c>
      <c r="H97" s="599">
        <f t="shared" si="7"/>
        <v>0</v>
      </c>
      <c r="I97" s="603"/>
      <c r="J97" s="369" t="s">
        <v>787</v>
      </c>
      <c r="K97" s="577" t="s">
        <v>1067</v>
      </c>
      <c r="L97" s="577" t="s">
        <v>1041</v>
      </c>
      <c r="M97" s="360" t="s">
        <v>1041</v>
      </c>
      <c r="N97" s="589">
        <f>ROUND(사회유입인구!J96-사회유입인구!H96,-2)</f>
        <v>100</v>
      </c>
      <c r="O97" s="349">
        <v>0</v>
      </c>
      <c r="P97" s="589">
        <f t="shared" si="8"/>
        <v>100</v>
      </c>
      <c r="Q97" s="589">
        <f t="shared" si="9"/>
        <v>100</v>
      </c>
      <c r="R97" s="589">
        <f t="shared" si="10"/>
        <v>100</v>
      </c>
      <c r="S97" s="16"/>
    </row>
    <row r="98" spans="1:19" ht="17.100000000000001" customHeight="1">
      <c r="A98" s="292" t="s">
        <v>789</v>
      </c>
      <c r="B98" s="580" t="s">
        <v>1067</v>
      </c>
      <c r="C98" s="577" t="s">
        <v>1050</v>
      </c>
      <c r="D98" s="232" t="s">
        <v>1050</v>
      </c>
      <c r="E98" s="572">
        <v>0</v>
      </c>
      <c r="F98" s="599">
        <f>ROUND((사회유입인구!J97-사회유입인구!H97)*사회유입인구!P$65/100,-2)</f>
        <v>100</v>
      </c>
      <c r="G98" s="599">
        <f t="shared" si="7"/>
        <v>100</v>
      </c>
      <c r="H98" s="599">
        <f t="shared" si="7"/>
        <v>100</v>
      </c>
      <c r="I98" s="603"/>
      <c r="J98" s="369" t="s">
        <v>789</v>
      </c>
      <c r="K98" s="577" t="s">
        <v>1067</v>
      </c>
      <c r="L98" s="577" t="s">
        <v>1050</v>
      </c>
      <c r="M98" s="360" t="s">
        <v>1050</v>
      </c>
      <c r="N98" s="589">
        <f>ROUND(사회유입인구!J97-사회유입인구!H97,-2)</f>
        <v>200</v>
      </c>
      <c r="O98" s="349">
        <v>0</v>
      </c>
      <c r="P98" s="589">
        <f t="shared" si="8"/>
        <v>200</v>
      </c>
      <c r="Q98" s="589">
        <f t="shared" si="9"/>
        <v>200</v>
      </c>
      <c r="R98" s="589">
        <f t="shared" si="10"/>
        <v>200</v>
      </c>
      <c r="S98" s="16"/>
    </row>
    <row r="99" spans="1:19" ht="17.100000000000001" customHeight="1">
      <c r="A99" s="292" t="s">
        <v>791</v>
      </c>
      <c r="B99" s="580" t="s">
        <v>1067</v>
      </c>
      <c r="C99" s="577" t="s">
        <v>1050</v>
      </c>
      <c r="D99" s="232" t="s">
        <v>1050</v>
      </c>
      <c r="E99" s="572">
        <v>0</v>
      </c>
      <c r="F99" s="599">
        <f>ROUND((사회유입인구!J98-사회유입인구!H98)*사회유입인구!P$65/100,-2)</f>
        <v>0</v>
      </c>
      <c r="G99" s="599">
        <f t="shared" si="7"/>
        <v>0</v>
      </c>
      <c r="H99" s="599">
        <f t="shared" si="7"/>
        <v>0</v>
      </c>
      <c r="I99" s="603"/>
      <c r="J99" s="369" t="s">
        <v>791</v>
      </c>
      <c r="K99" s="577" t="s">
        <v>1067</v>
      </c>
      <c r="L99" s="577" t="s">
        <v>1050</v>
      </c>
      <c r="M99" s="360" t="s">
        <v>1050</v>
      </c>
      <c r="N99" s="589">
        <f>ROUND(사회유입인구!J98-사회유입인구!H98,-2)</f>
        <v>100</v>
      </c>
      <c r="O99" s="349">
        <v>0</v>
      </c>
      <c r="P99" s="589">
        <f t="shared" si="8"/>
        <v>100</v>
      </c>
      <c r="Q99" s="589">
        <f t="shared" si="9"/>
        <v>100</v>
      </c>
      <c r="R99" s="589">
        <f t="shared" si="10"/>
        <v>100</v>
      </c>
      <c r="S99" s="16"/>
    </row>
    <row r="100" spans="1:19" ht="17.100000000000001" customHeight="1">
      <c r="A100" s="292" t="s">
        <v>793</v>
      </c>
      <c r="B100" s="580" t="s">
        <v>1067</v>
      </c>
      <c r="C100" s="577" t="s">
        <v>1050</v>
      </c>
      <c r="D100" s="232" t="s">
        <v>1050</v>
      </c>
      <c r="E100" s="572">
        <v>0</v>
      </c>
      <c r="F100" s="599">
        <f>ROUND((사회유입인구!J99-사회유입인구!H99)*사회유입인구!P$65/100,-2)</f>
        <v>100</v>
      </c>
      <c r="G100" s="599">
        <f t="shared" si="7"/>
        <v>100</v>
      </c>
      <c r="H100" s="599">
        <f t="shared" si="7"/>
        <v>100</v>
      </c>
      <c r="I100" s="603"/>
      <c r="J100" s="369" t="s">
        <v>793</v>
      </c>
      <c r="K100" s="577" t="s">
        <v>1067</v>
      </c>
      <c r="L100" s="577" t="s">
        <v>1050</v>
      </c>
      <c r="M100" s="360" t="s">
        <v>1050</v>
      </c>
      <c r="N100" s="589">
        <f>ROUND(사회유입인구!J99-사회유입인구!H99,-2)</f>
        <v>300</v>
      </c>
      <c r="O100" s="349">
        <v>0</v>
      </c>
      <c r="P100" s="589">
        <f t="shared" si="8"/>
        <v>300</v>
      </c>
      <c r="Q100" s="589">
        <f t="shared" si="9"/>
        <v>300</v>
      </c>
      <c r="R100" s="589">
        <f t="shared" si="10"/>
        <v>300</v>
      </c>
      <c r="S100" s="16"/>
    </row>
    <row r="101" spans="1:19" ht="17.100000000000001" customHeight="1">
      <c r="A101" s="292" t="s">
        <v>795</v>
      </c>
      <c r="B101" s="580" t="s">
        <v>1067</v>
      </c>
      <c r="C101" s="577" t="s">
        <v>1050</v>
      </c>
      <c r="D101" s="232" t="s">
        <v>1050</v>
      </c>
      <c r="E101" s="572">
        <v>0</v>
      </c>
      <c r="F101" s="599">
        <f>ROUND((사회유입인구!J100-사회유입인구!H100)*사회유입인구!P$65/100,-2)</f>
        <v>0</v>
      </c>
      <c r="G101" s="599">
        <f t="shared" si="7"/>
        <v>0</v>
      </c>
      <c r="H101" s="599">
        <f t="shared" si="7"/>
        <v>0</v>
      </c>
      <c r="I101" s="603"/>
      <c r="J101" s="369" t="s">
        <v>795</v>
      </c>
      <c r="K101" s="577" t="s">
        <v>1067</v>
      </c>
      <c r="L101" s="577" t="s">
        <v>1050</v>
      </c>
      <c r="M101" s="360" t="s">
        <v>1050</v>
      </c>
      <c r="N101" s="589">
        <f>ROUND(사회유입인구!J100-사회유입인구!H100,-2)</f>
        <v>200</v>
      </c>
      <c r="O101" s="349">
        <v>0</v>
      </c>
      <c r="P101" s="589">
        <f t="shared" si="8"/>
        <v>200</v>
      </c>
      <c r="Q101" s="589">
        <f t="shared" si="9"/>
        <v>200</v>
      </c>
      <c r="R101" s="589">
        <f t="shared" si="10"/>
        <v>200</v>
      </c>
      <c r="S101" s="16"/>
    </row>
    <row r="102" spans="1:19" ht="17.100000000000001" customHeight="1">
      <c r="A102" s="292" t="s">
        <v>797</v>
      </c>
      <c r="B102" s="580" t="s">
        <v>1067</v>
      </c>
      <c r="C102" s="577" t="s">
        <v>48</v>
      </c>
      <c r="D102" s="232" t="s">
        <v>1041</v>
      </c>
      <c r="E102" s="572">
        <v>0</v>
      </c>
      <c r="F102" s="599">
        <f>ROUND((사회유입인구!J101-사회유입인구!H101)*사회유입인구!P$65/100,-2)</f>
        <v>0</v>
      </c>
      <c r="G102" s="599">
        <f t="shared" si="7"/>
        <v>0</v>
      </c>
      <c r="H102" s="599">
        <f t="shared" si="7"/>
        <v>0</v>
      </c>
      <c r="I102" s="603"/>
      <c r="J102" s="369" t="s">
        <v>797</v>
      </c>
      <c r="K102" s="577" t="s">
        <v>1067</v>
      </c>
      <c r="L102" s="577" t="s">
        <v>1041</v>
      </c>
      <c r="M102" s="360" t="s">
        <v>1041</v>
      </c>
      <c r="N102" s="589">
        <f>ROUND(사회유입인구!J101-사회유입인구!H101,-2)</f>
        <v>0</v>
      </c>
      <c r="O102" s="349">
        <v>0</v>
      </c>
      <c r="P102" s="589">
        <f t="shared" si="8"/>
        <v>0</v>
      </c>
      <c r="Q102" s="589">
        <f t="shared" si="9"/>
        <v>0</v>
      </c>
      <c r="R102" s="589">
        <f t="shared" si="10"/>
        <v>0</v>
      </c>
      <c r="S102" s="16"/>
    </row>
    <row r="103" spans="1:19" ht="17.100000000000001" customHeight="1">
      <c r="A103" s="292" t="s">
        <v>799</v>
      </c>
      <c r="B103" s="580" t="s">
        <v>1067</v>
      </c>
      <c r="C103" s="577" t="s">
        <v>48</v>
      </c>
      <c r="D103" s="232" t="s">
        <v>1041</v>
      </c>
      <c r="E103" s="572">
        <v>0</v>
      </c>
      <c r="F103" s="599">
        <f>ROUND((사회유입인구!J102-사회유입인구!H102)*사회유입인구!P$65/100,-2)</f>
        <v>200</v>
      </c>
      <c r="G103" s="599">
        <f t="shared" si="7"/>
        <v>200</v>
      </c>
      <c r="H103" s="599">
        <f t="shared" si="7"/>
        <v>200</v>
      </c>
      <c r="I103" s="603"/>
      <c r="J103" s="369" t="s">
        <v>799</v>
      </c>
      <c r="K103" s="577" t="s">
        <v>1067</v>
      </c>
      <c r="L103" s="577" t="s">
        <v>1041</v>
      </c>
      <c r="M103" s="360" t="s">
        <v>1041</v>
      </c>
      <c r="N103" s="589">
        <f>ROUND(사회유입인구!J102-사회유입인구!H102,-2)</f>
        <v>500</v>
      </c>
      <c r="O103" s="349">
        <v>0</v>
      </c>
      <c r="P103" s="589">
        <f t="shared" si="8"/>
        <v>500</v>
      </c>
      <c r="Q103" s="589">
        <f t="shared" si="9"/>
        <v>500</v>
      </c>
      <c r="R103" s="589">
        <f t="shared" si="10"/>
        <v>500</v>
      </c>
      <c r="S103" s="16"/>
    </row>
    <row r="104" spans="1:19" ht="17.100000000000001" customHeight="1">
      <c r="A104" s="292" t="s">
        <v>801</v>
      </c>
      <c r="B104" s="580" t="s">
        <v>1083</v>
      </c>
      <c r="C104" s="360" t="s">
        <v>59</v>
      </c>
      <c r="D104" s="232" t="s">
        <v>1084</v>
      </c>
      <c r="E104" s="572">
        <v>0</v>
      </c>
      <c r="F104" s="599">
        <f>ROUND((사회유입인구!J103-사회유입인구!H103)*사회유입인구!P$65/100,-2)</f>
        <v>100</v>
      </c>
      <c r="G104" s="599">
        <f t="shared" si="7"/>
        <v>100</v>
      </c>
      <c r="H104" s="599">
        <f t="shared" si="7"/>
        <v>100</v>
      </c>
      <c r="I104" s="603"/>
      <c r="J104" s="369" t="s">
        <v>801</v>
      </c>
      <c r="K104" s="577" t="s">
        <v>1083</v>
      </c>
      <c r="L104" s="360" t="s">
        <v>1084</v>
      </c>
      <c r="M104" s="360" t="s">
        <v>1084</v>
      </c>
      <c r="N104" s="589">
        <f>ROUND(사회유입인구!J103-사회유입인구!H103,-2)</f>
        <v>400</v>
      </c>
      <c r="O104" s="349">
        <v>0</v>
      </c>
      <c r="P104" s="589">
        <f t="shared" si="8"/>
        <v>400</v>
      </c>
      <c r="Q104" s="589">
        <f t="shared" si="9"/>
        <v>400</v>
      </c>
      <c r="R104" s="589">
        <f t="shared" si="10"/>
        <v>400</v>
      </c>
      <c r="S104" s="16"/>
    </row>
    <row r="105" spans="1:19" ht="17.100000000000001" customHeight="1">
      <c r="A105" s="292" t="s">
        <v>803</v>
      </c>
      <c r="B105" s="580" t="s">
        <v>1061</v>
      </c>
      <c r="C105" s="360" t="s">
        <v>59</v>
      </c>
      <c r="D105" s="232" t="s">
        <v>1085</v>
      </c>
      <c r="E105" s="572">
        <v>0</v>
      </c>
      <c r="F105" s="599">
        <f>ROUND((사회유입인구!J104-사회유입인구!H104)*사회유입인구!P$65/100,-2)</f>
        <v>0</v>
      </c>
      <c r="G105" s="599">
        <f t="shared" si="7"/>
        <v>0</v>
      </c>
      <c r="H105" s="599">
        <f t="shared" si="7"/>
        <v>0</v>
      </c>
      <c r="I105" s="603"/>
      <c r="J105" s="369" t="s">
        <v>803</v>
      </c>
      <c r="K105" s="577" t="s">
        <v>1061</v>
      </c>
      <c r="L105" s="568" t="s">
        <v>1206</v>
      </c>
      <c r="M105" s="360" t="s">
        <v>1085</v>
      </c>
      <c r="N105" s="589">
        <f>ROUND(사회유입인구!J104-사회유입인구!H104,-2)</f>
        <v>100</v>
      </c>
      <c r="O105" s="349">
        <v>0</v>
      </c>
      <c r="P105" s="589">
        <f t="shared" si="8"/>
        <v>100</v>
      </c>
      <c r="Q105" s="589">
        <f t="shared" si="9"/>
        <v>100</v>
      </c>
      <c r="R105" s="589">
        <f t="shared" si="10"/>
        <v>100</v>
      </c>
      <c r="S105" s="16"/>
    </row>
    <row r="106" spans="1:19" ht="17.100000000000001" customHeight="1">
      <c r="A106" s="292" t="s">
        <v>805</v>
      </c>
      <c r="B106" s="580" t="s">
        <v>1061</v>
      </c>
      <c r="C106" s="360" t="s">
        <v>59</v>
      </c>
      <c r="D106" s="232" t="s">
        <v>1085</v>
      </c>
      <c r="E106" s="572">
        <v>0</v>
      </c>
      <c r="F106" s="599">
        <f>ROUND((사회유입인구!J105-사회유입인구!H105)*사회유입인구!P$65/100,-2)</f>
        <v>0</v>
      </c>
      <c r="G106" s="599">
        <f t="shared" si="7"/>
        <v>0</v>
      </c>
      <c r="H106" s="599">
        <f t="shared" si="7"/>
        <v>0</v>
      </c>
      <c r="I106" s="603"/>
      <c r="J106" s="369" t="s">
        <v>805</v>
      </c>
      <c r="K106" s="577" t="s">
        <v>1061</v>
      </c>
      <c r="L106" s="568" t="s">
        <v>1206</v>
      </c>
      <c r="M106" s="360" t="s">
        <v>1085</v>
      </c>
      <c r="N106" s="589">
        <f>ROUND(사회유입인구!J105-사회유입인구!H105,-2)</f>
        <v>0</v>
      </c>
      <c r="O106" s="349">
        <v>0</v>
      </c>
      <c r="P106" s="589">
        <f t="shared" si="8"/>
        <v>0</v>
      </c>
      <c r="Q106" s="589">
        <f t="shared" si="9"/>
        <v>0</v>
      </c>
      <c r="R106" s="589">
        <f t="shared" si="10"/>
        <v>0</v>
      </c>
      <c r="S106" s="16"/>
    </row>
    <row r="107" spans="1:19" ht="17.100000000000001" customHeight="1">
      <c r="A107" s="292" t="s">
        <v>808</v>
      </c>
      <c r="B107" s="580" t="s">
        <v>1086</v>
      </c>
      <c r="C107" s="360" t="s">
        <v>1087</v>
      </c>
      <c r="D107" s="232" t="s">
        <v>1087</v>
      </c>
      <c r="E107" s="572">
        <v>0</v>
      </c>
      <c r="F107" s="599">
        <f>ROUND((사회유입인구!J106-사회유입인구!H106)*사회유입인구!P$65/100,-2)</f>
        <v>200</v>
      </c>
      <c r="G107" s="599">
        <f t="shared" si="7"/>
        <v>200</v>
      </c>
      <c r="H107" s="599">
        <f t="shared" si="7"/>
        <v>200</v>
      </c>
      <c r="I107" s="603"/>
      <c r="J107" s="369" t="s">
        <v>808</v>
      </c>
      <c r="K107" s="577" t="s">
        <v>1086</v>
      </c>
      <c r="L107" s="360" t="s">
        <v>1087</v>
      </c>
      <c r="M107" s="360" t="s">
        <v>1087</v>
      </c>
      <c r="N107" s="589">
        <f>ROUND(사회유입인구!J106-사회유입인구!H106,-2)</f>
        <v>600</v>
      </c>
      <c r="O107" s="349">
        <v>0</v>
      </c>
      <c r="P107" s="589">
        <f t="shared" si="8"/>
        <v>600</v>
      </c>
      <c r="Q107" s="589">
        <f t="shared" si="9"/>
        <v>600</v>
      </c>
      <c r="R107" s="589">
        <f t="shared" si="10"/>
        <v>600</v>
      </c>
      <c r="S107" s="16"/>
    </row>
    <row r="108" spans="1:19" ht="17.100000000000001" customHeight="1">
      <c r="A108" s="292" t="s">
        <v>810</v>
      </c>
      <c r="B108" s="580" t="s">
        <v>1088</v>
      </c>
      <c r="C108" s="360" t="s">
        <v>1087</v>
      </c>
      <c r="D108" s="232" t="s">
        <v>1087</v>
      </c>
      <c r="E108" s="572">
        <v>0</v>
      </c>
      <c r="F108" s="599">
        <f>ROUND((사회유입인구!J107-사회유입인구!H107)*사회유입인구!P$65/100,-2)</f>
        <v>300</v>
      </c>
      <c r="G108" s="599">
        <f t="shared" si="7"/>
        <v>300</v>
      </c>
      <c r="H108" s="599">
        <f t="shared" si="7"/>
        <v>300</v>
      </c>
      <c r="I108" s="603"/>
      <c r="J108" s="369" t="s">
        <v>810</v>
      </c>
      <c r="K108" s="577" t="s">
        <v>1088</v>
      </c>
      <c r="L108" s="360" t="s">
        <v>1087</v>
      </c>
      <c r="M108" s="360" t="s">
        <v>1087</v>
      </c>
      <c r="N108" s="589">
        <f>ROUND(사회유입인구!J107-사회유입인구!H107,-2)</f>
        <v>800</v>
      </c>
      <c r="O108" s="349">
        <v>0</v>
      </c>
      <c r="P108" s="589">
        <f t="shared" si="8"/>
        <v>800</v>
      </c>
      <c r="Q108" s="589">
        <f t="shared" si="9"/>
        <v>800</v>
      </c>
      <c r="R108" s="589">
        <f t="shared" si="10"/>
        <v>800</v>
      </c>
      <c r="S108" s="16"/>
    </row>
    <row r="109" spans="1:19" ht="17.100000000000001" customHeight="1">
      <c r="A109" s="292" t="s">
        <v>813</v>
      </c>
      <c r="B109" s="580" t="s">
        <v>1088</v>
      </c>
      <c r="C109" s="360" t="s">
        <v>1087</v>
      </c>
      <c r="D109" s="232" t="s">
        <v>1087</v>
      </c>
      <c r="E109" s="572">
        <v>0</v>
      </c>
      <c r="F109" s="599">
        <f>ROUND((사회유입인구!J108-사회유입인구!H108)*사회유입인구!P$65/100,-2)</f>
        <v>500</v>
      </c>
      <c r="G109" s="599">
        <f t="shared" si="7"/>
        <v>500</v>
      </c>
      <c r="H109" s="599">
        <f t="shared" si="7"/>
        <v>500</v>
      </c>
      <c r="I109" s="603"/>
      <c r="J109" s="369" t="s">
        <v>813</v>
      </c>
      <c r="K109" s="577" t="s">
        <v>1088</v>
      </c>
      <c r="L109" s="360" t="s">
        <v>1087</v>
      </c>
      <c r="M109" s="360" t="s">
        <v>1087</v>
      </c>
      <c r="N109" s="589">
        <f>ROUND(사회유입인구!J108-사회유입인구!H108,-2)</f>
        <v>1800</v>
      </c>
      <c r="O109" s="349">
        <v>0</v>
      </c>
      <c r="P109" s="589">
        <f t="shared" si="8"/>
        <v>1800</v>
      </c>
      <c r="Q109" s="589">
        <f t="shared" si="9"/>
        <v>1800</v>
      </c>
      <c r="R109" s="589">
        <f t="shared" si="10"/>
        <v>1800</v>
      </c>
      <c r="S109" s="16"/>
    </row>
    <row r="110" spans="1:19" ht="17.100000000000001" customHeight="1">
      <c r="A110" s="292" t="s">
        <v>815</v>
      </c>
      <c r="B110" s="580" t="s">
        <v>1088</v>
      </c>
      <c r="C110" s="360" t="s">
        <v>1087</v>
      </c>
      <c r="D110" s="232" t="s">
        <v>1087</v>
      </c>
      <c r="E110" s="572">
        <v>0</v>
      </c>
      <c r="F110" s="599">
        <f>ROUND((사회유입인구!J109-사회유입인구!H109)*사회유입인구!P$65/100,-2)</f>
        <v>100</v>
      </c>
      <c r="G110" s="599">
        <f t="shared" si="7"/>
        <v>100</v>
      </c>
      <c r="H110" s="599">
        <f t="shared" si="7"/>
        <v>100</v>
      </c>
      <c r="I110" s="603"/>
      <c r="J110" s="369" t="s">
        <v>815</v>
      </c>
      <c r="K110" s="577" t="s">
        <v>1088</v>
      </c>
      <c r="L110" s="360" t="s">
        <v>1087</v>
      </c>
      <c r="M110" s="360" t="s">
        <v>1087</v>
      </c>
      <c r="N110" s="589">
        <f>ROUND(사회유입인구!J109-사회유입인구!H109,-2)</f>
        <v>400</v>
      </c>
      <c r="O110" s="349">
        <v>0</v>
      </c>
      <c r="P110" s="589">
        <f t="shared" si="8"/>
        <v>400</v>
      </c>
      <c r="Q110" s="589">
        <f t="shared" si="9"/>
        <v>400</v>
      </c>
      <c r="R110" s="589">
        <f t="shared" si="10"/>
        <v>400</v>
      </c>
      <c r="S110" s="16"/>
    </row>
    <row r="111" spans="1:19" ht="17.100000000000001" customHeight="1">
      <c r="A111" s="292" t="s">
        <v>817</v>
      </c>
      <c r="B111" s="580" t="s">
        <v>1088</v>
      </c>
      <c r="C111" s="360" t="s">
        <v>1087</v>
      </c>
      <c r="D111" s="232" t="s">
        <v>1087</v>
      </c>
      <c r="E111" s="572">
        <v>0</v>
      </c>
      <c r="F111" s="599">
        <f>ROUND((사회유입인구!J110-사회유입인구!H110)*사회유입인구!P$65/100,-2)</f>
        <v>100</v>
      </c>
      <c r="G111" s="599">
        <f t="shared" si="7"/>
        <v>100</v>
      </c>
      <c r="H111" s="599">
        <f t="shared" si="7"/>
        <v>100</v>
      </c>
      <c r="I111" s="603"/>
      <c r="J111" s="369" t="s">
        <v>817</v>
      </c>
      <c r="K111" s="577" t="s">
        <v>1088</v>
      </c>
      <c r="L111" s="360" t="s">
        <v>1087</v>
      </c>
      <c r="M111" s="360" t="s">
        <v>1087</v>
      </c>
      <c r="N111" s="589">
        <f>ROUND(사회유입인구!J110-사회유입인구!H110,-2)</f>
        <v>300</v>
      </c>
      <c r="O111" s="349">
        <v>0</v>
      </c>
      <c r="P111" s="589">
        <f t="shared" si="8"/>
        <v>300</v>
      </c>
      <c r="Q111" s="589">
        <f t="shared" si="9"/>
        <v>300</v>
      </c>
      <c r="R111" s="589">
        <f t="shared" si="10"/>
        <v>300</v>
      </c>
      <c r="S111" s="16"/>
    </row>
    <row r="112" spans="1:19" ht="17.100000000000001" customHeight="1">
      <c r="A112" s="292" t="s">
        <v>820</v>
      </c>
      <c r="B112" s="580" t="s">
        <v>1088</v>
      </c>
      <c r="C112" s="360" t="s">
        <v>1087</v>
      </c>
      <c r="D112" s="232" t="s">
        <v>1087</v>
      </c>
      <c r="E112" s="572">
        <v>0</v>
      </c>
      <c r="F112" s="599">
        <f>ROUND((사회유입인구!J111-사회유입인구!H111)*사회유입인구!P$65/100,-2)</f>
        <v>0</v>
      </c>
      <c r="G112" s="599">
        <f t="shared" ref="G112:H131" si="11">+F112</f>
        <v>0</v>
      </c>
      <c r="H112" s="599">
        <f t="shared" si="11"/>
        <v>0</v>
      </c>
      <c r="I112" s="603"/>
      <c r="J112" s="369" t="s">
        <v>820</v>
      </c>
      <c r="K112" s="577" t="s">
        <v>1088</v>
      </c>
      <c r="L112" s="360" t="s">
        <v>1087</v>
      </c>
      <c r="M112" s="360" t="s">
        <v>1087</v>
      </c>
      <c r="N112" s="589">
        <f>ROUND(사회유입인구!J111-사회유입인구!H111,-2)</f>
        <v>200</v>
      </c>
      <c r="O112" s="349">
        <v>0</v>
      </c>
      <c r="P112" s="589">
        <f t="shared" si="8"/>
        <v>200</v>
      </c>
      <c r="Q112" s="589">
        <f t="shared" si="9"/>
        <v>200</v>
      </c>
      <c r="R112" s="589">
        <f t="shared" si="10"/>
        <v>200</v>
      </c>
      <c r="S112" s="16"/>
    </row>
    <row r="113" spans="1:19" ht="17.100000000000001" customHeight="1">
      <c r="A113" s="292" t="s">
        <v>822</v>
      </c>
      <c r="B113" s="580" t="s">
        <v>1088</v>
      </c>
      <c r="C113" s="360" t="s">
        <v>1087</v>
      </c>
      <c r="D113" s="232" t="s">
        <v>1087</v>
      </c>
      <c r="E113" s="572">
        <v>0</v>
      </c>
      <c r="F113" s="599">
        <f>ROUND((사회유입인구!J112-사회유입인구!H112)*사회유입인구!P$65/100,-2)</f>
        <v>300</v>
      </c>
      <c r="G113" s="599">
        <f t="shared" si="11"/>
        <v>300</v>
      </c>
      <c r="H113" s="599">
        <f t="shared" si="11"/>
        <v>300</v>
      </c>
      <c r="I113" s="603"/>
      <c r="J113" s="369" t="s">
        <v>822</v>
      </c>
      <c r="K113" s="577" t="s">
        <v>1088</v>
      </c>
      <c r="L113" s="360" t="s">
        <v>1087</v>
      </c>
      <c r="M113" s="360" t="s">
        <v>1087</v>
      </c>
      <c r="N113" s="589">
        <f>ROUND(사회유입인구!J112-사회유입인구!H112,-2)</f>
        <v>1000</v>
      </c>
      <c r="O113" s="349">
        <v>0</v>
      </c>
      <c r="P113" s="589">
        <f t="shared" si="8"/>
        <v>1000</v>
      </c>
      <c r="Q113" s="589">
        <f t="shared" si="9"/>
        <v>1000</v>
      </c>
      <c r="R113" s="589">
        <f t="shared" si="10"/>
        <v>1000</v>
      </c>
      <c r="S113" s="16"/>
    </row>
    <row r="114" spans="1:19" ht="17.100000000000001" customHeight="1">
      <c r="A114" s="292" t="s">
        <v>824</v>
      </c>
      <c r="B114" s="580" t="s">
        <v>1089</v>
      </c>
      <c r="C114" s="360" t="s">
        <v>48</v>
      </c>
      <c r="D114" s="232" t="s">
        <v>1041</v>
      </c>
      <c r="E114" s="572">
        <v>0</v>
      </c>
      <c r="F114" s="599">
        <f>ROUND((사회유입인구!J113-사회유입인구!H113)*사회유입인구!P$65/100,-2)</f>
        <v>200</v>
      </c>
      <c r="G114" s="599">
        <f t="shared" si="11"/>
        <v>200</v>
      </c>
      <c r="H114" s="599">
        <f t="shared" si="11"/>
        <v>200</v>
      </c>
      <c r="I114" s="603"/>
      <c r="J114" s="369" t="s">
        <v>824</v>
      </c>
      <c r="K114" s="577" t="s">
        <v>1089</v>
      </c>
      <c r="L114" s="360" t="s">
        <v>1041</v>
      </c>
      <c r="M114" s="360" t="s">
        <v>1041</v>
      </c>
      <c r="N114" s="589">
        <f>ROUND(사회유입인구!J113-사회유입인구!H113,-2)</f>
        <v>500</v>
      </c>
      <c r="O114" s="349">
        <v>0</v>
      </c>
      <c r="P114" s="589">
        <f t="shared" si="8"/>
        <v>500</v>
      </c>
      <c r="Q114" s="589">
        <f t="shared" si="9"/>
        <v>500</v>
      </c>
      <c r="R114" s="589">
        <f t="shared" si="10"/>
        <v>500</v>
      </c>
      <c r="S114" s="16"/>
    </row>
    <row r="115" spans="1:19" ht="17.100000000000001" customHeight="1">
      <c r="A115" s="292" t="s">
        <v>826</v>
      </c>
      <c r="B115" s="580" t="s">
        <v>1089</v>
      </c>
      <c r="C115" s="360" t="s">
        <v>1087</v>
      </c>
      <c r="D115" s="232" t="s">
        <v>1087</v>
      </c>
      <c r="E115" s="572">
        <v>0</v>
      </c>
      <c r="F115" s="599">
        <f>ROUND((사회유입인구!J114-사회유입인구!H114)*사회유입인구!P$65/100,-2)</f>
        <v>400</v>
      </c>
      <c r="G115" s="599">
        <f t="shared" si="11"/>
        <v>400</v>
      </c>
      <c r="H115" s="599">
        <f t="shared" si="11"/>
        <v>400</v>
      </c>
      <c r="I115" s="603"/>
      <c r="J115" s="369" t="s">
        <v>826</v>
      </c>
      <c r="K115" s="577" t="s">
        <v>1089</v>
      </c>
      <c r="L115" s="360" t="s">
        <v>1087</v>
      </c>
      <c r="M115" s="360" t="s">
        <v>1087</v>
      </c>
      <c r="N115" s="589">
        <f>ROUND(사회유입인구!J114-사회유입인구!H114,-2)</f>
        <v>1300</v>
      </c>
      <c r="O115" s="349">
        <v>0</v>
      </c>
      <c r="P115" s="589">
        <f t="shared" si="8"/>
        <v>1300</v>
      </c>
      <c r="Q115" s="589">
        <f t="shared" si="9"/>
        <v>1300</v>
      </c>
      <c r="R115" s="589">
        <f t="shared" si="10"/>
        <v>1300</v>
      </c>
      <c r="S115" s="16"/>
    </row>
    <row r="116" spans="1:19" ht="17.100000000000001" customHeight="1">
      <c r="A116" s="292" t="s">
        <v>828</v>
      </c>
      <c r="B116" s="580" t="s">
        <v>1089</v>
      </c>
      <c r="C116" s="360" t="s">
        <v>1087</v>
      </c>
      <c r="D116" s="232" t="s">
        <v>1087</v>
      </c>
      <c r="E116" s="572">
        <v>0</v>
      </c>
      <c r="F116" s="599">
        <f>ROUND((사회유입인구!J115-사회유입인구!H115)*사회유입인구!P$65/100,-2)</f>
        <v>300</v>
      </c>
      <c r="G116" s="599">
        <f t="shared" si="11"/>
        <v>300</v>
      </c>
      <c r="H116" s="599">
        <f t="shared" si="11"/>
        <v>300</v>
      </c>
      <c r="I116" s="603"/>
      <c r="J116" s="369" t="s">
        <v>828</v>
      </c>
      <c r="K116" s="577" t="s">
        <v>1089</v>
      </c>
      <c r="L116" s="360" t="s">
        <v>1087</v>
      </c>
      <c r="M116" s="360" t="s">
        <v>1087</v>
      </c>
      <c r="N116" s="589">
        <f>ROUND(사회유입인구!J115-사회유입인구!H115,-2)</f>
        <v>900</v>
      </c>
      <c r="O116" s="349">
        <v>0</v>
      </c>
      <c r="P116" s="589">
        <f t="shared" si="8"/>
        <v>900</v>
      </c>
      <c r="Q116" s="589">
        <f t="shared" si="9"/>
        <v>900</v>
      </c>
      <c r="R116" s="589">
        <f t="shared" si="10"/>
        <v>900</v>
      </c>
      <c r="S116" s="16"/>
    </row>
    <row r="117" spans="1:19" ht="17.100000000000001" customHeight="1">
      <c r="A117" s="292" t="s">
        <v>830</v>
      </c>
      <c r="B117" s="580" t="s">
        <v>1089</v>
      </c>
      <c r="C117" s="360" t="s">
        <v>48</v>
      </c>
      <c r="D117" s="232" t="s">
        <v>1041</v>
      </c>
      <c r="E117" s="572">
        <v>0</v>
      </c>
      <c r="F117" s="599">
        <f>ROUND((사회유입인구!J116-사회유입인구!H116)*사회유입인구!P$65/100,-2)</f>
        <v>100</v>
      </c>
      <c r="G117" s="599">
        <f t="shared" si="11"/>
        <v>100</v>
      </c>
      <c r="H117" s="599">
        <f t="shared" si="11"/>
        <v>100</v>
      </c>
      <c r="I117" s="603"/>
      <c r="J117" s="369" t="s">
        <v>830</v>
      </c>
      <c r="K117" s="577" t="s">
        <v>1089</v>
      </c>
      <c r="L117" s="360" t="s">
        <v>1041</v>
      </c>
      <c r="M117" s="360" t="s">
        <v>1041</v>
      </c>
      <c r="N117" s="589">
        <f>ROUND(사회유입인구!J116-사회유입인구!H116,-2)</f>
        <v>200</v>
      </c>
      <c r="O117" s="349">
        <v>0</v>
      </c>
      <c r="P117" s="589">
        <f t="shared" si="8"/>
        <v>200</v>
      </c>
      <c r="Q117" s="589">
        <f t="shared" si="9"/>
        <v>200</v>
      </c>
      <c r="R117" s="589">
        <f t="shared" si="10"/>
        <v>200</v>
      </c>
      <c r="S117" s="16"/>
    </row>
    <row r="118" spans="1:19" ht="17.100000000000001" customHeight="1">
      <c r="A118" s="292" t="s">
        <v>832</v>
      </c>
      <c r="B118" s="580" t="s">
        <v>1089</v>
      </c>
      <c r="C118" s="360" t="s">
        <v>1087</v>
      </c>
      <c r="D118" s="232" t="s">
        <v>1087</v>
      </c>
      <c r="E118" s="572">
        <v>0</v>
      </c>
      <c r="F118" s="599">
        <f>ROUND((사회유입인구!J117-사회유입인구!H117)*사회유입인구!P$65/100,-2)</f>
        <v>200</v>
      </c>
      <c r="G118" s="599">
        <f t="shared" si="11"/>
        <v>200</v>
      </c>
      <c r="H118" s="599">
        <f t="shared" si="11"/>
        <v>200</v>
      </c>
      <c r="I118" s="603"/>
      <c r="J118" s="369" t="s">
        <v>832</v>
      </c>
      <c r="K118" s="577" t="s">
        <v>1089</v>
      </c>
      <c r="L118" s="360" t="s">
        <v>1087</v>
      </c>
      <c r="M118" s="360" t="s">
        <v>1087</v>
      </c>
      <c r="N118" s="589">
        <f>ROUND(사회유입인구!J117-사회유입인구!H117,-2)</f>
        <v>500</v>
      </c>
      <c r="O118" s="349">
        <v>0</v>
      </c>
      <c r="P118" s="589">
        <f t="shared" si="8"/>
        <v>500</v>
      </c>
      <c r="Q118" s="589">
        <f t="shared" si="9"/>
        <v>500</v>
      </c>
      <c r="R118" s="589">
        <f t="shared" si="10"/>
        <v>500</v>
      </c>
      <c r="S118" s="16"/>
    </row>
    <row r="119" spans="1:19" ht="17.100000000000001" customHeight="1">
      <c r="A119" s="292" t="s">
        <v>834</v>
      </c>
      <c r="B119" s="580" t="s">
        <v>1089</v>
      </c>
      <c r="C119" s="360" t="s">
        <v>48</v>
      </c>
      <c r="D119" s="232" t="s">
        <v>1041</v>
      </c>
      <c r="E119" s="572">
        <v>0</v>
      </c>
      <c r="F119" s="599">
        <f>ROUND((사회유입인구!J118-사회유입인구!H118)*사회유입인구!P$65/100,-2)</f>
        <v>200</v>
      </c>
      <c r="G119" s="599">
        <f t="shared" si="11"/>
        <v>200</v>
      </c>
      <c r="H119" s="599">
        <f t="shared" si="11"/>
        <v>200</v>
      </c>
      <c r="I119" s="603"/>
      <c r="J119" s="369" t="s">
        <v>834</v>
      </c>
      <c r="K119" s="577" t="s">
        <v>1089</v>
      </c>
      <c r="L119" s="360" t="s">
        <v>1041</v>
      </c>
      <c r="M119" s="360" t="s">
        <v>1041</v>
      </c>
      <c r="N119" s="589">
        <f>ROUND(사회유입인구!J118-사회유입인구!H118,-2)</f>
        <v>800</v>
      </c>
      <c r="O119" s="349">
        <v>0</v>
      </c>
      <c r="P119" s="589">
        <f t="shared" si="8"/>
        <v>800</v>
      </c>
      <c r="Q119" s="589">
        <f t="shared" si="9"/>
        <v>800</v>
      </c>
      <c r="R119" s="589">
        <f t="shared" si="10"/>
        <v>800</v>
      </c>
      <c r="S119" s="16"/>
    </row>
    <row r="120" spans="1:19" ht="17.100000000000001" customHeight="1">
      <c r="A120" s="292" t="s">
        <v>836</v>
      </c>
      <c r="B120" s="580" t="s">
        <v>1089</v>
      </c>
      <c r="C120" s="360" t="s">
        <v>48</v>
      </c>
      <c r="D120" s="232" t="s">
        <v>1041</v>
      </c>
      <c r="E120" s="572">
        <v>0</v>
      </c>
      <c r="F120" s="599">
        <f>ROUND((사회유입인구!J119-사회유입인구!H119)*사회유입인구!P$65/100,-2)</f>
        <v>100</v>
      </c>
      <c r="G120" s="599">
        <f t="shared" si="11"/>
        <v>100</v>
      </c>
      <c r="H120" s="599">
        <f t="shared" si="11"/>
        <v>100</v>
      </c>
      <c r="I120" s="603"/>
      <c r="J120" s="369" t="s">
        <v>836</v>
      </c>
      <c r="K120" s="577" t="s">
        <v>1089</v>
      </c>
      <c r="L120" s="360" t="s">
        <v>1041</v>
      </c>
      <c r="M120" s="360" t="s">
        <v>1041</v>
      </c>
      <c r="N120" s="589">
        <f>ROUND(사회유입인구!J119-사회유입인구!H119,-2)</f>
        <v>400</v>
      </c>
      <c r="O120" s="349">
        <v>0</v>
      </c>
      <c r="P120" s="589">
        <f t="shared" si="8"/>
        <v>400</v>
      </c>
      <c r="Q120" s="589">
        <f t="shared" si="9"/>
        <v>400</v>
      </c>
      <c r="R120" s="589">
        <f t="shared" si="10"/>
        <v>400</v>
      </c>
      <c r="S120" s="16"/>
    </row>
    <row r="121" spans="1:19" ht="17.100000000000001" customHeight="1">
      <c r="A121" s="292" t="s">
        <v>838</v>
      </c>
      <c r="B121" s="580" t="s">
        <v>1089</v>
      </c>
      <c r="C121" s="360" t="s">
        <v>48</v>
      </c>
      <c r="D121" s="232" t="s">
        <v>1041</v>
      </c>
      <c r="E121" s="572">
        <v>0</v>
      </c>
      <c r="F121" s="599">
        <f>ROUND((사회유입인구!J120-사회유입인구!H120)*사회유입인구!P$65/100,-2)</f>
        <v>300</v>
      </c>
      <c r="G121" s="599">
        <f t="shared" si="11"/>
        <v>300</v>
      </c>
      <c r="H121" s="599">
        <f t="shared" si="11"/>
        <v>300</v>
      </c>
      <c r="I121" s="603"/>
      <c r="J121" s="369" t="s">
        <v>838</v>
      </c>
      <c r="K121" s="577" t="s">
        <v>1089</v>
      </c>
      <c r="L121" s="360" t="s">
        <v>1041</v>
      </c>
      <c r="M121" s="360" t="s">
        <v>1041</v>
      </c>
      <c r="N121" s="589">
        <f>ROUND(사회유입인구!J120-사회유입인구!H120,-2)</f>
        <v>1000</v>
      </c>
      <c r="O121" s="349">
        <v>0</v>
      </c>
      <c r="P121" s="589">
        <f t="shared" si="8"/>
        <v>1000</v>
      </c>
      <c r="Q121" s="589">
        <f t="shared" si="9"/>
        <v>1000</v>
      </c>
      <c r="R121" s="589">
        <f t="shared" si="10"/>
        <v>1000</v>
      </c>
      <c r="S121" s="16"/>
    </row>
    <row r="122" spans="1:19" ht="17.100000000000001" customHeight="1">
      <c r="A122" s="292" t="s">
        <v>840</v>
      </c>
      <c r="B122" s="580" t="s">
        <v>1088</v>
      </c>
      <c r="C122" s="360" t="s">
        <v>48</v>
      </c>
      <c r="D122" s="232" t="s">
        <v>1041</v>
      </c>
      <c r="E122" s="572">
        <v>0</v>
      </c>
      <c r="F122" s="599">
        <f>ROUND((사회유입인구!J121-사회유입인구!H121)*사회유입인구!P$65/100,-2)</f>
        <v>0</v>
      </c>
      <c r="G122" s="599">
        <f t="shared" si="11"/>
        <v>0</v>
      </c>
      <c r="H122" s="599">
        <f t="shared" si="11"/>
        <v>0</v>
      </c>
      <c r="I122" s="603"/>
      <c r="J122" s="369" t="s">
        <v>840</v>
      </c>
      <c r="K122" s="577" t="s">
        <v>1088</v>
      </c>
      <c r="L122" s="360" t="s">
        <v>1041</v>
      </c>
      <c r="M122" s="360" t="s">
        <v>1041</v>
      </c>
      <c r="N122" s="589">
        <f>ROUND(사회유입인구!J121-사회유입인구!H121,-2)</f>
        <v>100</v>
      </c>
      <c r="O122" s="349">
        <v>0</v>
      </c>
      <c r="P122" s="589">
        <f t="shared" si="8"/>
        <v>100</v>
      </c>
      <c r="Q122" s="589">
        <f t="shared" si="9"/>
        <v>100</v>
      </c>
      <c r="R122" s="589">
        <f t="shared" si="10"/>
        <v>100</v>
      </c>
      <c r="S122" s="16"/>
    </row>
    <row r="123" spans="1:19" ht="17.100000000000001" customHeight="1">
      <c r="A123" s="292" t="s">
        <v>843</v>
      </c>
      <c r="B123" s="580" t="s">
        <v>1088</v>
      </c>
      <c r="C123" s="360" t="s">
        <v>48</v>
      </c>
      <c r="D123" s="232" t="s">
        <v>1041</v>
      </c>
      <c r="E123" s="572">
        <v>0</v>
      </c>
      <c r="F123" s="599">
        <f>ROUND((사회유입인구!J122-사회유입인구!H122)*사회유입인구!P$65/100,-2)</f>
        <v>100</v>
      </c>
      <c r="G123" s="599">
        <f t="shared" si="11"/>
        <v>100</v>
      </c>
      <c r="H123" s="599">
        <f t="shared" si="11"/>
        <v>100</v>
      </c>
      <c r="I123" s="603"/>
      <c r="J123" s="369" t="s">
        <v>843</v>
      </c>
      <c r="K123" s="577" t="s">
        <v>1088</v>
      </c>
      <c r="L123" s="360" t="s">
        <v>1041</v>
      </c>
      <c r="M123" s="360" t="s">
        <v>1041</v>
      </c>
      <c r="N123" s="589">
        <f>ROUND(사회유입인구!J122-사회유입인구!H122,-2)</f>
        <v>400</v>
      </c>
      <c r="O123" s="349">
        <v>0</v>
      </c>
      <c r="P123" s="589">
        <f t="shared" si="8"/>
        <v>400</v>
      </c>
      <c r="Q123" s="589">
        <f t="shared" si="9"/>
        <v>400</v>
      </c>
      <c r="R123" s="589">
        <f t="shared" si="10"/>
        <v>400</v>
      </c>
      <c r="S123" s="16"/>
    </row>
    <row r="124" spans="1:19" ht="17.100000000000001" customHeight="1">
      <c r="A124" s="292" t="s">
        <v>845</v>
      </c>
      <c r="B124" s="580" t="s">
        <v>1083</v>
      </c>
      <c r="C124" s="360" t="s">
        <v>48</v>
      </c>
      <c r="D124" s="232" t="s">
        <v>1041</v>
      </c>
      <c r="E124" s="572">
        <v>0</v>
      </c>
      <c r="F124" s="599">
        <f>ROUND((사회유입인구!J123-사회유입인구!H123)*사회유입인구!P$65/100,-2)</f>
        <v>300</v>
      </c>
      <c r="G124" s="599">
        <f t="shared" si="11"/>
        <v>300</v>
      </c>
      <c r="H124" s="599">
        <f t="shared" si="11"/>
        <v>300</v>
      </c>
      <c r="I124" s="603"/>
      <c r="J124" s="369" t="s">
        <v>845</v>
      </c>
      <c r="K124" s="577" t="s">
        <v>1083</v>
      </c>
      <c r="L124" s="360" t="s">
        <v>1041</v>
      </c>
      <c r="M124" s="360" t="s">
        <v>1041</v>
      </c>
      <c r="N124" s="589">
        <f>ROUND(사회유입인구!J123-사회유입인구!H123,-2)</f>
        <v>1100</v>
      </c>
      <c r="O124" s="349">
        <v>0</v>
      </c>
      <c r="P124" s="589">
        <f t="shared" si="8"/>
        <v>1100</v>
      </c>
      <c r="Q124" s="589">
        <f t="shared" si="9"/>
        <v>1100</v>
      </c>
      <c r="R124" s="589">
        <f t="shared" si="10"/>
        <v>1100</v>
      </c>
      <c r="S124" s="16"/>
    </row>
    <row r="125" spans="1:19" ht="17.100000000000001" customHeight="1">
      <c r="A125" s="292" t="s">
        <v>847</v>
      </c>
      <c r="B125" s="580" t="s">
        <v>1083</v>
      </c>
      <c r="C125" s="360" t="s">
        <v>48</v>
      </c>
      <c r="D125" s="232" t="s">
        <v>1041</v>
      </c>
      <c r="E125" s="572">
        <v>0</v>
      </c>
      <c r="F125" s="599">
        <f>ROUND((사회유입인구!J124-사회유입인구!H124)*사회유입인구!P$65/100,-2)</f>
        <v>200</v>
      </c>
      <c r="G125" s="599">
        <f t="shared" si="11"/>
        <v>200</v>
      </c>
      <c r="H125" s="599">
        <f t="shared" si="11"/>
        <v>200</v>
      </c>
      <c r="I125" s="603"/>
      <c r="J125" s="369" t="s">
        <v>847</v>
      </c>
      <c r="K125" s="577" t="s">
        <v>1083</v>
      </c>
      <c r="L125" s="360" t="s">
        <v>1041</v>
      </c>
      <c r="M125" s="360" t="s">
        <v>1041</v>
      </c>
      <c r="N125" s="589">
        <f>ROUND(사회유입인구!J124-사회유입인구!H124,-2)</f>
        <v>500</v>
      </c>
      <c r="O125" s="349">
        <v>0</v>
      </c>
      <c r="P125" s="589">
        <f t="shared" si="8"/>
        <v>500</v>
      </c>
      <c r="Q125" s="589">
        <f t="shared" si="9"/>
        <v>500</v>
      </c>
      <c r="R125" s="589">
        <f t="shared" si="10"/>
        <v>500</v>
      </c>
      <c r="S125" s="16"/>
    </row>
    <row r="126" spans="1:19" ht="17.100000000000001" customHeight="1">
      <c r="A126" s="292" t="s">
        <v>849</v>
      </c>
      <c r="B126" s="580" t="s">
        <v>1083</v>
      </c>
      <c r="C126" s="360" t="s">
        <v>48</v>
      </c>
      <c r="D126" s="232" t="s">
        <v>1041</v>
      </c>
      <c r="E126" s="572">
        <v>0</v>
      </c>
      <c r="F126" s="599">
        <f>ROUND((사회유입인구!J125-사회유입인구!H125)*사회유입인구!P$65/100,-2)</f>
        <v>300</v>
      </c>
      <c r="G126" s="599">
        <f t="shared" si="11"/>
        <v>300</v>
      </c>
      <c r="H126" s="599">
        <f t="shared" si="11"/>
        <v>300</v>
      </c>
      <c r="I126" s="603"/>
      <c r="J126" s="369" t="s">
        <v>849</v>
      </c>
      <c r="K126" s="577" t="s">
        <v>1083</v>
      </c>
      <c r="L126" s="360" t="s">
        <v>1041</v>
      </c>
      <c r="M126" s="360" t="s">
        <v>1041</v>
      </c>
      <c r="N126" s="589">
        <f>ROUND(사회유입인구!J125-사회유입인구!H125,-2)</f>
        <v>1000</v>
      </c>
      <c r="O126" s="349">
        <v>0</v>
      </c>
      <c r="P126" s="589">
        <f t="shared" si="8"/>
        <v>1000</v>
      </c>
      <c r="Q126" s="589">
        <f t="shared" si="9"/>
        <v>1000</v>
      </c>
      <c r="R126" s="589">
        <f t="shared" si="10"/>
        <v>1000</v>
      </c>
      <c r="S126" s="16"/>
    </row>
    <row r="127" spans="1:19" ht="17.100000000000001" customHeight="1">
      <c r="A127" s="292" t="s">
        <v>851</v>
      </c>
      <c r="B127" s="580" t="s">
        <v>1090</v>
      </c>
      <c r="C127" s="360" t="s">
        <v>510</v>
      </c>
      <c r="D127" s="232" t="s">
        <v>1091</v>
      </c>
      <c r="E127" s="572">
        <v>0</v>
      </c>
      <c r="F127" s="599">
        <f>ROUND((사회유입인구!J126-사회유입인구!H126)*사회유입인구!P$65/100,-2)</f>
        <v>100</v>
      </c>
      <c r="G127" s="599">
        <f t="shared" si="11"/>
        <v>100</v>
      </c>
      <c r="H127" s="599">
        <f t="shared" si="11"/>
        <v>100</v>
      </c>
      <c r="I127" s="603"/>
      <c r="J127" s="369" t="s">
        <v>851</v>
      </c>
      <c r="K127" s="577" t="s">
        <v>1090</v>
      </c>
      <c r="L127" s="360" t="s">
        <v>1091</v>
      </c>
      <c r="M127" s="360" t="s">
        <v>1091</v>
      </c>
      <c r="N127" s="589">
        <f>ROUND(사회유입인구!J126-사회유입인구!H126,-2)</f>
        <v>200</v>
      </c>
      <c r="O127" s="349">
        <v>0</v>
      </c>
      <c r="P127" s="589">
        <f t="shared" si="8"/>
        <v>200</v>
      </c>
      <c r="Q127" s="589">
        <f t="shared" si="9"/>
        <v>200</v>
      </c>
      <c r="R127" s="589">
        <f t="shared" si="10"/>
        <v>200</v>
      </c>
      <c r="S127" s="16"/>
    </row>
    <row r="128" spans="1:19" ht="17.100000000000001" customHeight="1">
      <c r="A128" s="292" t="s">
        <v>853</v>
      </c>
      <c r="B128" s="580" t="s">
        <v>1062</v>
      </c>
      <c r="C128" s="360" t="s">
        <v>48</v>
      </c>
      <c r="D128" s="232" t="s">
        <v>1041</v>
      </c>
      <c r="E128" s="572">
        <v>0</v>
      </c>
      <c r="F128" s="599">
        <f>ROUND((사회유입인구!J127-사회유입인구!H127)*사회유입인구!P$65/100,-2)</f>
        <v>100</v>
      </c>
      <c r="G128" s="599">
        <f t="shared" si="11"/>
        <v>100</v>
      </c>
      <c r="H128" s="599">
        <f t="shared" si="11"/>
        <v>100</v>
      </c>
      <c r="I128" s="603"/>
      <c r="J128" s="369" t="s">
        <v>853</v>
      </c>
      <c r="K128" s="577" t="s">
        <v>1062</v>
      </c>
      <c r="L128" s="360" t="s">
        <v>1041</v>
      </c>
      <c r="M128" s="360" t="s">
        <v>1041</v>
      </c>
      <c r="N128" s="589">
        <f>ROUND(사회유입인구!J127-사회유입인구!H127,-2)</f>
        <v>400</v>
      </c>
      <c r="O128" s="349">
        <v>0</v>
      </c>
      <c r="P128" s="589">
        <f t="shared" si="8"/>
        <v>400</v>
      </c>
      <c r="Q128" s="589">
        <f t="shared" si="9"/>
        <v>400</v>
      </c>
      <c r="R128" s="589">
        <f t="shared" si="10"/>
        <v>400</v>
      </c>
      <c r="S128" s="16"/>
    </row>
    <row r="129" spans="1:19" ht="17.100000000000001" customHeight="1">
      <c r="A129" s="292" t="s">
        <v>856</v>
      </c>
      <c r="B129" s="580" t="s">
        <v>1083</v>
      </c>
      <c r="C129" s="360" t="s">
        <v>48</v>
      </c>
      <c r="D129" s="232" t="s">
        <v>1041</v>
      </c>
      <c r="E129" s="572">
        <v>0</v>
      </c>
      <c r="F129" s="599">
        <f>ROUND((사회유입인구!J128-사회유입인구!H128)*사회유입인구!P$65/100,-2)</f>
        <v>300</v>
      </c>
      <c r="G129" s="599">
        <f t="shared" si="11"/>
        <v>300</v>
      </c>
      <c r="H129" s="599">
        <f t="shared" si="11"/>
        <v>300</v>
      </c>
      <c r="I129" s="603"/>
      <c r="J129" s="369" t="s">
        <v>856</v>
      </c>
      <c r="K129" s="577" t="s">
        <v>1083</v>
      </c>
      <c r="L129" s="360" t="s">
        <v>1041</v>
      </c>
      <c r="M129" s="360" t="s">
        <v>1041</v>
      </c>
      <c r="N129" s="589">
        <f>ROUND(사회유입인구!J128-사회유입인구!H128,-2)</f>
        <v>1100</v>
      </c>
      <c r="O129" s="349">
        <v>0</v>
      </c>
      <c r="P129" s="589">
        <f t="shared" si="8"/>
        <v>1100</v>
      </c>
      <c r="Q129" s="589">
        <f t="shared" si="9"/>
        <v>1100</v>
      </c>
      <c r="R129" s="589">
        <f t="shared" si="10"/>
        <v>1100</v>
      </c>
      <c r="S129" s="16"/>
    </row>
    <row r="130" spans="1:19" ht="17.100000000000001" customHeight="1">
      <c r="A130" s="292" t="s">
        <v>858</v>
      </c>
      <c r="B130" s="580" t="s">
        <v>1061</v>
      </c>
      <c r="C130" s="577" t="s">
        <v>59</v>
      </c>
      <c r="D130" s="232" t="s">
        <v>1085</v>
      </c>
      <c r="E130" s="572">
        <v>0</v>
      </c>
      <c r="F130" s="599">
        <f>ROUND((사회유입인구!J129-사회유입인구!H129)*사회유입인구!P$65/100,-2)</f>
        <v>100</v>
      </c>
      <c r="G130" s="599">
        <f t="shared" si="11"/>
        <v>100</v>
      </c>
      <c r="H130" s="599">
        <f t="shared" si="11"/>
        <v>100</v>
      </c>
      <c r="I130" s="603"/>
      <c r="J130" s="369" t="s">
        <v>858</v>
      </c>
      <c r="K130" s="577" t="s">
        <v>1061</v>
      </c>
      <c r="L130" s="568" t="s">
        <v>1206</v>
      </c>
      <c r="M130" s="360" t="s">
        <v>1085</v>
      </c>
      <c r="N130" s="589">
        <f>ROUND(사회유입인구!J129-사회유입인구!H129,-2)</f>
        <v>200</v>
      </c>
      <c r="O130" s="349">
        <v>0</v>
      </c>
      <c r="P130" s="589">
        <f t="shared" si="8"/>
        <v>200</v>
      </c>
      <c r="Q130" s="589">
        <f t="shared" si="9"/>
        <v>200</v>
      </c>
      <c r="R130" s="589">
        <f t="shared" si="10"/>
        <v>200</v>
      </c>
      <c r="S130" s="16"/>
    </row>
    <row r="131" spans="1:19" ht="17.100000000000001" customHeight="1">
      <c r="A131" s="307" t="s">
        <v>860</v>
      </c>
      <c r="B131" s="594" t="s">
        <v>1088</v>
      </c>
      <c r="C131" s="328" t="s">
        <v>1087</v>
      </c>
      <c r="D131" s="323" t="s">
        <v>1087</v>
      </c>
      <c r="E131" s="572">
        <v>0</v>
      </c>
      <c r="F131" s="599">
        <f>ROUND((사회유입인구!J130-사회유입인구!H130)*사회유입인구!P$65/100,-2)</f>
        <v>100</v>
      </c>
      <c r="G131" s="599">
        <f t="shared" si="11"/>
        <v>100</v>
      </c>
      <c r="H131" s="599">
        <f t="shared" si="11"/>
        <v>100</v>
      </c>
      <c r="I131" s="376"/>
      <c r="J131" s="377" t="s">
        <v>860</v>
      </c>
      <c r="K131" s="328" t="s">
        <v>1088</v>
      </c>
      <c r="L131" s="328" t="s">
        <v>1087</v>
      </c>
      <c r="M131" s="378" t="s">
        <v>1087</v>
      </c>
      <c r="N131" s="589">
        <f>ROUND(사회유입인구!J130-사회유입인구!H130,-2)</f>
        <v>300</v>
      </c>
      <c r="O131" s="349">
        <v>0</v>
      </c>
      <c r="P131" s="589">
        <f t="shared" si="8"/>
        <v>300</v>
      </c>
      <c r="Q131" s="589">
        <f t="shared" si="9"/>
        <v>300</v>
      </c>
      <c r="R131" s="589">
        <f t="shared" si="10"/>
        <v>300</v>
      </c>
      <c r="S131" s="379"/>
    </row>
    <row r="132" spans="1:19" ht="17.100000000000001" customHeight="1">
      <c r="A132" s="227" t="s">
        <v>1092</v>
      </c>
      <c r="B132" s="380"/>
      <c r="C132" s="381"/>
      <c r="D132" s="315" t="s">
        <v>863</v>
      </c>
      <c r="E132" s="240">
        <f>SUM(E50:E89,E92:E131)</f>
        <v>0</v>
      </c>
      <c r="F132" s="240">
        <f>SUM(F50:F89,F92:F131)</f>
        <v>14200</v>
      </c>
      <c r="G132" s="240">
        <f>SUM(G50:G89,G92:G131)</f>
        <v>14200</v>
      </c>
      <c r="H132" s="240">
        <f>SUM(H50:H89,H92:H131)</f>
        <v>14200</v>
      </c>
      <c r="I132" s="633"/>
      <c r="J132" s="620" t="s">
        <v>1092</v>
      </c>
      <c r="K132" s="381"/>
      <c r="L132" s="381"/>
      <c r="M132" s="382" t="s">
        <v>863</v>
      </c>
      <c r="N132" s="352">
        <f>SUM(N50:N89,N92:N131)</f>
        <v>47100</v>
      </c>
      <c r="O132" s="352">
        <f>SUM(O50:O89,O92:O131)</f>
        <v>0</v>
      </c>
      <c r="P132" s="352">
        <f>SUM(P50:P89,P92:P131)</f>
        <v>47100</v>
      </c>
      <c r="Q132" s="352">
        <f>SUM(Q50:Q89,Q92:Q131)</f>
        <v>47100</v>
      </c>
      <c r="R132" s="352">
        <f>SUM(R50:R89,R92:R131)</f>
        <v>47100</v>
      </c>
      <c r="S132" s="634"/>
    </row>
    <row r="133" spans="1:19" ht="21" customHeight="1">
      <c r="A133" s="604" t="s">
        <v>1093</v>
      </c>
      <c r="J133" s="604" t="s">
        <v>1093</v>
      </c>
    </row>
    <row r="134" spans="1:19" ht="21" customHeight="1">
      <c r="A134" s="792" t="s">
        <v>1094</v>
      </c>
      <c r="B134" s="939" t="s">
        <v>1076</v>
      </c>
      <c r="C134" s="945" t="s">
        <v>1030</v>
      </c>
      <c r="D134" s="939" t="s">
        <v>1077</v>
      </c>
      <c r="E134" s="272" t="s">
        <v>771</v>
      </c>
      <c r="F134" s="605"/>
      <c r="G134" s="605"/>
      <c r="H134" s="606"/>
      <c r="I134" s="798" t="s">
        <v>772</v>
      </c>
      <c r="J134" s="943" t="s">
        <v>1094</v>
      </c>
      <c r="K134" s="945" t="s">
        <v>1076</v>
      </c>
      <c r="L134" s="945" t="s">
        <v>1078</v>
      </c>
      <c r="M134" s="945" t="s">
        <v>1077</v>
      </c>
      <c r="N134" s="945" t="s">
        <v>1095</v>
      </c>
      <c r="O134" s="607" t="s">
        <v>1080</v>
      </c>
      <c r="P134" s="608"/>
      <c r="Q134" s="608"/>
      <c r="R134" s="609"/>
      <c r="S134" s="949" t="s">
        <v>772</v>
      </c>
    </row>
    <row r="135" spans="1:19" ht="21" customHeight="1">
      <c r="A135" s="794"/>
      <c r="B135" s="940"/>
      <c r="C135" s="946"/>
      <c r="D135" s="940"/>
      <c r="E135" s="581" t="s">
        <v>776</v>
      </c>
      <c r="F135" s="581" t="s">
        <v>777</v>
      </c>
      <c r="G135" s="581" t="s">
        <v>778</v>
      </c>
      <c r="H135" s="581" t="s">
        <v>779</v>
      </c>
      <c r="I135" s="799"/>
      <c r="J135" s="944"/>
      <c r="K135" s="946"/>
      <c r="L135" s="946"/>
      <c r="M135" s="946"/>
      <c r="N135" s="946"/>
      <c r="O135" s="584" t="s">
        <v>776</v>
      </c>
      <c r="P135" s="584" t="s">
        <v>777</v>
      </c>
      <c r="Q135" s="584" t="s">
        <v>778</v>
      </c>
      <c r="R135" s="584" t="s">
        <v>779</v>
      </c>
      <c r="S135" s="950"/>
    </row>
    <row r="136" spans="1:19" ht="21" customHeight="1">
      <c r="A136" s="316" t="s">
        <v>873</v>
      </c>
      <c r="B136" s="601" t="s">
        <v>1083</v>
      </c>
      <c r="C136" s="384" t="s">
        <v>59</v>
      </c>
      <c r="D136" s="601" t="s">
        <v>1084</v>
      </c>
      <c r="E136" s="576">
        <f>ROUND(사회유입인구!I136*사회유입인구!P$66/100,-2)</f>
        <v>500</v>
      </c>
      <c r="F136" s="576">
        <f t="shared" ref="F136:H165" si="12">E136</f>
        <v>500</v>
      </c>
      <c r="G136" s="576">
        <f t="shared" si="12"/>
        <v>500</v>
      </c>
      <c r="H136" s="576">
        <f t="shared" si="12"/>
        <v>500</v>
      </c>
      <c r="I136" s="318"/>
      <c r="J136" s="383" t="s">
        <v>873</v>
      </c>
      <c r="K136" s="384" t="s">
        <v>1083</v>
      </c>
      <c r="L136" s="384" t="s">
        <v>1084</v>
      </c>
      <c r="M136" s="384" t="s">
        <v>1084</v>
      </c>
      <c r="N136" s="349">
        <f>사회유입인구!I136</f>
        <v>779</v>
      </c>
      <c r="O136" s="385">
        <f>ROUND($N136*인구배분!U$6,-2)</f>
        <v>800</v>
      </c>
      <c r="P136" s="385">
        <f>ROUND($N136*인구배분!V$6,-2)</f>
        <v>800</v>
      </c>
      <c r="Q136" s="385">
        <f>ROUND($N136*인구배분!W$6,-2)</f>
        <v>800</v>
      </c>
      <c r="R136" s="385">
        <f>ROUND($N136*인구배분!X$6,-2)</f>
        <v>800</v>
      </c>
      <c r="S136" s="318"/>
    </row>
    <row r="137" spans="1:19" ht="21" customHeight="1">
      <c r="A137" s="316" t="s">
        <v>877</v>
      </c>
      <c r="B137" s="601" t="s">
        <v>1096</v>
      </c>
      <c r="C137" s="384" t="s">
        <v>1097</v>
      </c>
      <c r="D137" s="601" t="s">
        <v>1097</v>
      </c>
      <c r="E137" s="576">
        <f>ROUND(사회유입인구!I137*사회유입인구!P$66/100,-2)</f>
        <v>2100</v>
      </c>
      <c r="F137" s="576">
        <f t="shared" si="12"/>
        <v>2100</v>
      </c>
      <c r="G137" s="576">
        <f t="shared" si="12"/>
        <v>2100</v>
      </c>
      <c r="H137" s="576">
        <f t="shared" si="12"/>
        <v>2100</v>
      </c>
      <c r="I137" s="235"/>
      <c r="J137" s="383" t="s">
        <v>877</v>
      </c>
      <c r="K137" s="384" t="s">
        <v>1096</v>
      </c>
      <c r="L137" s="384" t="s">
        <v>1097</v>
      </c>
      <c r="M137" s="384" t="s">
        <v>1097</v>
      </c>
      <c r="N137" s="349">
        <f>사회유입인구!I137</f>
        <v>3559</v>
      </c>
      <c r="O137" s="385">
        <f>ROUND($N137*인구배분!U$6,-2)</f>
        <v>3600</v>
      </c>
      <c r="P137" s="385">
        <f>ROUND($N137*인구배분!V$6,-2)</f>
        <v>3600</v>
      </c>
      <c r="Q137" s="385">
        <f>ROUND($N137*인구배분!W$6,-2)</f>
        <v>3600</v>
      </c>
      <c r="R137" s="385">
        <f>ROUND($N137*인구배분!X$6,-2)</f>
        <v>3600</v>
      </c>
      <c r="S137" s="235"/>
    </row>
    <row r="138" spans="1:19" ht="21" customHeight="1">
      <c r="A138" s="316" t="s">
        <v>880</v>
      </c>
      <c r="B138" s="601" t="s">
        <v>1098</v>
      </c>
      <c r="C138" s="384" t="s">
        <v>1087</v>
      </c>
      <c r="D138" s="601" t="s">
        <v>1087</v>
      </c>
      <c r="E138" s="576">
        <f>ROUND(사회유입인구!I138*사회유입인구!P$66/100,-2)</f>
        <v>1500</v>
      </c>
      <c r="F138" s="576">
        <f t="shared" si="12"/>
        <v>1500</v>
      </c>
      <c r="G138" s="576">
        <f t="shared" si="12"/>
        <v>1500</v>
      </c>
      <c r="H138" s="576">
        <f t="shared" si="12"/>
        <v>1500</v>
      </c>
      <c r="I138" s="235"/>
      <c r="J138" s="383" t="s">
        <v>880</v>
      </c>
      <c r="K138" s="384" t="s">
        <v>1098</v>
      </c>
      <c r="L138" s="384" t="s">
        <v>1087</v>
      </c>
      <c r="M138" s="384" t="s">
        <v>1087</v>
      </c>
      <c r="N138" s="349">
        <f>사회유입인구!I138</f>
        <v>2468</v>
      </c>
      <c r="O138" s="385">
        <f>ROUND($N138*인구배분!U$6,-2)</f>
        <v>2500</v>
      </c>
      <c r="P138" s="385">
        <f>ROUND($N138*인구배분!V$6,-2)</f>
        <v>2500</v>
      </c>
      <c r="Q138" s="385">
        <f>ROUND($N138*인구배분!W$6,-2)</f>
        <v>2500</v>
      </c>
      <c r="R138" s="385">
        <f>ROUND($N138*인구배분!X$6,-2)</f>
        <v>2500</v>
      </c>
      <c r="S138" s="235"/>
    </row>
    <row r="139" spans="1:19" ht="21" customHeight="1">
      <c r="A139" s="316" t="s">
        <v>888</v>
      </c>
      <c r="B139" s="601" t="s">
        <v>1083</v>
      </c>
      <c r="C139" s="384" t="s">
        <v>59</v>
      </c>
      <c r="D139" s="601" t="s">
        <v>1084</v>
      </c>
      <c r="E139" s="576">
        <f>ROUND(사회유입인구!I141*사회유입인구!P$66/100,-2)</f>
        <v>1800</v>
      </c>
      <c r="F139" s="576">
        <f t="shared" si="12"/>
        <v>1800</v>
      </c>
      <c r="G139" s="576">
        <f t="shared" si="12"/>
        <v>1800</v>
      </c>
      <c r="H139" s="576">
        <f t="shared" si="12"/>
        <v>1800</v>
      </c>
      <c r="I139" s="235"/>
      <c r="J139" s="383" t="s">
        <v>888</v>
      </c>
      <c r="K139" s="384" t="s">
        <v>1083</v>
      </c>
      <c r="L139" s="384" t="s">
        <v>1084</v>
      </c>
      <c r="M139" s="384" t="s">
        <v>1084</v>
      </c>
      <c r="N139" s="349">
        <f>사회유입인구!I141</f>
        <v>3070</v>
      </c>
      <c r="O139" s="385">
        <f>ROUND($N139*인구배분!U$6,-2)</f>
        <v>3100</v>
      </c>
      <c r="P139" s="385">
        <f>ROUND($N139*인구배분!V$6,-2)</f>
        <v>3100</v>
      </c>
      <c r="Q139" s="385">
        <f>ROUND($N139*인구배분!W$6,-2)</f>
        <v>3100</v>
      </c>
      <c r="R139" s="385">
        <f>ROUND($N139*인구배분!X$6,-2)</f>
        <v>3100</v>
      </c>
      <c r="S139" s="235"/>
    </row>
    <row r="140" spans="1:19" ht="21" customHeight="1">
      <c r="A140" s="957" t="s">
        <v>894</v>
      </c>
      <c r="B140" s="601" t="s">
        <v>1099</v>
      </c>
      <c r="C140" s="384" t="s">
        <v>59</v>
      </c>
      <c r="D140" s="601" t="s">
        <v>1084</v>
      </c>
      <c r="E140" s="576">
        <f>ROUND(사회유입인구!I143*사회유입인구!P$66/100*I140,-2)</f>
        <v>200</v>
      </c>
      <c r="F140" s="576">
        <f t="shared" si="12"/>
        <v>200</v>
      </c>
      <c r="G140" s="576">
        <f t="shared" si="12"/>
        <v>200</v>
      </c>
      <c r="H140" s="576">
        <f t="shared" si="12"/>
        <v>200</v>
      </c>
      <c r="I140" s="622">
        <v>0.6</v>
      </c>
      <c r="J140" s="954" t="s">
        <v>894</v>
      </c>
      <c r="K140" s="384" t="s">
        <v>1099</v>
      </c>
      <c r="L140" s="384" t="s">
        <v>1084</v>
      </c>
      <c r="M140" s="384" t="s">
        <v>1084</v>
      </c>
      <c r="N140" s="951">
        <f>사회유입인구!I143</f>
        <v>628</v>
      </c>
      <c r="O140" s="385">
        <f>ROUND($N140*인구배분!U$6*$S140,-2)</f>
        <v>400</v>
      </c>
      <c r="P140" s="385">
        <f>ROUND($N140*인구배분!V$6*$S140,-2)</f>
        <v>400</v>
      </c>
      <c r="Q140" s="385">
        <f>ROUND($N140*인구배분!W$6*$S140,-2)</f>
        <v>400</v>
      </c>
      <c r="R140" s="385">
        <f>ROUND($N140*인구배분!X$6*$S140,-2)</f>
        <v>400</v>
      </c>
      <c r="S140" s="622">
        <v>0.6</v>
      </c>
    </row>
    <row r="141" spans="1:19" ht="21" customHeight="1">
      <c r="A141" s="791"/>
      <c r="B141" s="601" t="s">
        <v>1083</v>
      </c>
      <c r="C141" s="384" t="s">
        <v>59</v>
      </c>
      <c r="D141" s="601" t="s">
        <v>1084</v>
      </c>
      <c r="E141" s="576">
        <f>ROUND(사회유입인구!I143*사회유입인구!P$66/100*I141,-2)</f>
        <v>200</v>
      </c>
      <c r="F141" s="576">
        <f t="shared" si="12"/>
        <v>200</v>
      </c>
      <c r="G141" s="576">
        <f t="shared" si="12"/>
        <v>200</v>
      </c>
      <c r="H141" s="576">
        <f t="shared" si="12"/>
        <v>200</v>
      </c>
      <c r="I141" s="622">
        <v>0.4</v>
      </c>
      <c r="J141" s="955"/>
      <c r="K141" s="384" t="s">
        <v>1083</v>
      </c>
      <c r="L141" s="384" t="s">
        <v>1084</v>
      </c>
      <c r="M141" s="384" t="s">
        <v>1084</v>
      </c>
      <c r="N141" s="952"/>
      <c r="O141" s="385">
        <f>ROUND($N140*인구배분!U$6*$S141,-2)</f>
        <v>300</v>
      </c>
      <c r="P141" s="385">
        <f>ROUND($N140*인구배분!V$6*$S141,-2)</f>
        <v>300</v>
      </c>
      <c r="Q141" s="385">
        <f>ROUND($N140*인구배분!W$6*$S141,-2)</f>
        <v>300</v>
      </c>
      <c r="R141" s="385">
        <f>ROUND($N140*인구배분!X$6*$S141,-2)</f>
        <v>300</v>
      </c>
      <c r="S141" s="622">
        <v>0.4</v>
      </c>
    </row>
    <row r="142" spans="1:19" ht="21" customHeight="1">
      <c r="A142" s="316" t="s">
        <v>897</v>
      </c>
      <c r="B142" s="601" t="s">
        <v>1090</v>
      </c>
      <c r="C142" s="384" t="s">
        <v>510</v>
      </c>
      <c r="D142" s="601" t="s">
        <v>1091</v>
      </c>
      <c r="E142" s="576">
        <f>ROUND(사회유입인구!I144*사회유입인구!P$66/100,-2)</f>
        <v>100</v>
      </c>
      <c r="F142" s="576">
        <f t="shared" si="12"/>
        <v>100</v>
      </c>
      <c r="G142" s="576">
        <f t="shared" si="12"/>
        <v>100</v>
      </c>
      <c r="H142" s="576">
        <f t="shared" si="12"/>
        <v>100</v>
      </c>
      <c r="I142" s="235"/>
      <c r="J142" s="383" t="s">
        <v>897</v>
      </c>
      <c r="K142" s="384" t="s">
        <v>1090</v>
      </c>
      <c r="L142" s="384" t="s">
        <v>1091</v>
      </c>
      <c r="M142" s="384" t="s">
        <v>1091</v>
      </c>
      <c r="N142" s="349">
        <f>사회유입인구!I144</f>
        <v>116</v>
      </c>
      <c r="O142" s="385">
        <f>ROUND($N142*인구배분!U$6,-2)</f>
        <v>100</v>
      </c>
      <c r="P142" s="385">
        <f>ROUND($N142*인구배분!V$6,-2)</f>
        <v>100</v>
      </c>
      <c r="Q142" s="385">
        <f>ROUND($N142*인구배분!W$6,-2)</f>
        <v>100</v>
      </c>
      <c r="R142" s="385">
        <f>ROUND($N142*인구배분!X$6,-2)</f>
        <v>100</v>
      </c>
      <c r="S142" s="235"/>
    </row>
    <row r="143" spans="1:19" ht="21" customHeight="1">
      <c r="A143" s="316" t="s">
        <v>900</v>
      </c>
      <c r="B143" s="601" t="s">
        <v>1090</v>
      </c>
      <c r="C143" s="384" t="s">
        <v>510</v>
      </c>
      <c r="D143" s="601" t="s">
        <v>1091</v>
      </c>
      <c r="E143" s="576">
        <f>ROUND(사회유입인구!I145*사회유입인구!P$66/100,-2)</f>
        <v>900</v>
      </c>
      <c r="F143" s="576">
        <f t="shared" si="12"/>
        <v>900</v>
      </c>
      <c r="G143" s="576">
        <f t="shared" si="12"/>
        <v>900</v>
      </c>
      <c r="H143" s="576">
        <f t="shared" si="12"/>
        <v>900</v>
      </c>
      <c r="I143" s="235"/>
      <c r="J143" s="383" t="s">
        <v>900</v>
      </c>
      <c r="K143" s="384" t="s">
        <v>1090</v>
      </c>
      <c r="L143" s="384" t="s">
        <v>1091</v>
      </c>
      <c r="M143" s="384" t="s">
        <v>1091</v>
      </c>
      <c r="N143" s="349">
        <f>사회유입인구!I145</f>
        <v>1507</v>
      </c>
      <c r="O143" s="385">
        <f>ROUND($N143*인구배분!U$6,-2)</f>
        <v>1500</v>
      </c>
      <c r="P143" s="385">
        <f>ROUND($N143*인구배분!V$6,-2)</f>
        <v>1500</v>
      </c>
      <c r="Q143" s="385">
        <f>ROUND($N143*인구배분!W$6,-2)</f>
        <v>1500</v>
      </c>
      <c r="R143" s="385">
        <f>ROUND($N143*인구배분!X$6,-2)</f>
        <v>1500</v>
      </c>
      <c r="S143" s="235"/>
    </row>
    <row r="144" spans="1:19" ht="21" customHeight="1">
      <c r="A144" s="316" t="s">
        <v>904</v>
      </c>
      <c r="B144" s="601" t="s">
        <v>1098</v>
      </c>
      <c r="C144" s="384" t="s">
        <v>1087</v>
      </c>
      <c r="D144" s="601" t="s">
        <v>1087</v>
      </c>
      <c r="E144" s="576">
        <f>ROUND(사회유입인구!I147*사회유입인구!P$66/100,-2)</f>
        <v>1500</v>
      </c>
      <c r="F144" s="576">
        <f t="shared" si="12"/>
        <v>1500</v>
      </c>
      <c r="G144" s="576">
        <f t="shared" si="12"/>
        <v>1500</v>
      </c>
      <c r="H144" s="576">
        <f t="shared" si="12"/>
        <v>1500</v>
      </c>
      <c r="I144" s="235"/>
      <c r="J144" s="383" t="s">
        <v>904</v>
      </c>
      <c r="K144" s="384" t="s">
        <v>1098</v>
      </c>
      <c r="L144" s="384" t="s">
        <v>1087</v>
      </c>
      <c r="M144" s="384" t="s">
        <v>1087</v>
      </c>
      <c r="N144" s="349">
        <f>사회유입인구!I147</f>
        <v>2474</v>
      </c>
      <c r="O144" s="385">
        <f>ROUND($N144*인구배분!U$6,-2)</f>
        <v>2500</v>
      </c>
      <c r="P144" s="385">
        <f>ROUND($N144*인구배분!V$6,-2)</f>
        <v>2500</v>
      </c>
      <c r="Q144" s="385">
        <f>ROUND($N144*인구배분!W$6,-2)</f>
        <v>2500</v>
      </c>
      <c r="R144" s="385">
        <f>ROUND($N144*인구배분!X$6,-2)</f>
        <v>2500</v>
      </c>
      <c r="S144" s="235"/>
    </row>
    <row r="145" spans="1:19" ht="21" customHeight="1">
      <c r="A145" s="316" t="s">
        <v>909</v>
      </c>
      <c r="B145" s="601" t="s">
        <v>1043</v>
      </c>
      <c r="C145" s="384" t="s">
        <v>48</v>
      </c>
      <c r="D145" s="601" t="s">
        <v>1041</v>
      </c>
      <c r="E145" s="576">
        <f>ROUND(사회유입인구!I149*사회유입인구!P$66/100,-2)</f>
        <v>800</v>
      </c>
      <c r="F145" s="576">
        <f t="shared" si="12"/>
        <v>800</v>
      </c>
      <c r="G145" s="576">
        <f t="shared" si="12"/>
        <v>800</v>
      </c>
      <c r="H145" s="576">
        <f t="shared" si="12"/>
        <v>800</v>
      </c>
      <c r="I145" s="235"/>
      <c r="J145" s="383" t="s">
        <v>909</v>
      </c>
      <c r="K145" s="384" t="s">
        <v>1043</v>
      </c>
      <c r="L145" s="384" t="s">
        <v>1041</v>
      </c>
      <c r="M145" s="384" t="s">
        <v>1041</v>
      </c>
      <c r="N145" s="349">
        <f>사회유입인구!I149</f>
        <v>1315</v>
      </c>
      <c r="O145" s="385">
        <f>ROUND($N145*인구배분!U$6,-2)</f>
        <v>1300</v>
      </c>
      <c r="P145" s="385">
        <f>ROUND($N145*인구배분!V$6,-2)</f>
        <v>1300</v>
      </c>
      <c r="Q145" s="385">
        <f>ROUND($N145*인구배분!W$6,-2)</f>
        <v>1300</v>
      </c>
      <c r="R145" s="385">
        <f>ROUND($N145*인구배분!X$6,-2)</f>
        <v>1300</v>
      </c>
      <c r="S145" s="235"/>
    </row>
    <row r="146" spans="1:19" ht="21" customHeight="1">
      <c r="A146" s="316" t="s">
        <v>912</v>
      </c>
      <c r="B146" s="601" t="s">
        <v>1083</v>
      </c>
      <c r="C146" s="384" t="s">
        <v>59</v>
      </c>
      <c r="D146" s="601" t="s">
        <v>1084</v>
      </c>
      <c r="E146" s="576">
        <f>ROUND(사회유입인구!I150*사회유입인구!P$66/100,-2)</f>
        <v>800</v>
      </c>
      <c r="F146" s="576">
        <f t="shared" si="12"/>
        <v>800</v>
      </c>
      <c r="G146" s="576">
        <f t="shared" si="12"/>
        <v>800</v>
      </c>
      <c r="H146" s="576">
        <f t="shared" si="12"/>
        <v>800</v>
      </c>
      <c r="I146" s="235"/>
      <c r="J146" s="383" t="s">
        <v>912</v>
      </c>
      <c r="K146" s="384" t="s">
        <v>1083</v>
      </c>
      <c r="L146" s="384" t="s">
        <v>1084</v>
      </c>
      <c r="M146" s="384" t="s">
        <v>1084</v>
      </c>
      <c r="N146" s="349">
        <f>사회유입인구!I150</f>
        <v>1317</v>
      </c>
      <c r="O146" s="385">
        <f>ROUND($N146*인구배분!U$6,-2)</f>
        <v>1300</v>
      </c>
      <c r="P146" s="385">
        <f>ROUND($N146*인구배분!V$6,-2)</f>
        <v>1300</v>
      </c>
      <c r="Q146" s="385">
        <f>ROUND($N146*인구배분!W$6,-2)</f>
        <v>1300</v>
      </c>
      <c r="R146" s="385">
        <f>ROUND($N146*인구배분!X$6,-2)</f>
        <v>1300</v>
      </c>
      <c r="S146" s="235"/>
    </row>
    <row r="147" spans="1:19" ht="21" customHeight="1">
      <c r="A147" s="316" t="s">
        <v>920</v>
      </c>
      <c r="B147" s="601" t="s">
        <v>1100</v>
      </c>
      <c r="C147" s="384" t="s">
        <v>59</v>
      </c>
      <c r="D147" s="601" t="s">
        <v>1084</v>
      </c>
      <c r="E147" s="576">
        <f>ROUND(사회유입인구!I153*사회유입인구!P$66/100,-2)</f>
        <v>500</v>
      </c>
      <c r="F147" s="576">
        <f t="shared" si="12"/>
        <v>500</v>
      </c>
      <c r="G147" s="576">
        <f t="shared" si="12"/>
        <v>500</v>
      </c>
      <c r="H147" s="576">
        <f t="shared" si="12"/>
        <v>500</v>
      </c>
      <c r="I147" s="235"/>
      <c r="J147" s="383" t="s">
        <v>920</v>
      </c>
      <c r="K147" s="384" t="s">
        <v>1100</v>
      </c>
      <c r="L147" s="384" t="s">
        <v>1084</v>
      </c>
      <c r="M147" s="384" t="s">
        <v>1084</v>
      </c>
      <c r="N147" s="349">
        <f>사회유입인구!I153</f>
        <v>784</v>
      </c>
      <c r="O147" s="385">
        <f>ROUND($N147*인구배분!U$6,-2)</f>
        <v>800</v>
      </c>
      <c r="P147" s="385">
        <f>ROUND($N147*인구배분!V$6,-2)</f>
        <v>800</v>
      </c>
      <c r="Q147" s="385">
        <f>ROUND($N147*인구배분!W$6,-2)</f>
        <v>800</v>
      </c>
      <c r="R147" s="385">
        <f>ROUND($N147*인구배분!X$6,-2)</f>
        <v>800</v>
      </c>
      <c r="S147" s="235"/>
    </row>
    <row r="148" spans="1:19" ht="21" customHeight="1">
      <c r="A148" s="383" t="s">
        <v>923</v>
      </c>
      <c r="B148" s="601" t="s">
        <v>1090</v>
      </c>
      <c r="C148" s="384" t="s">
        <v>510</v>
      </c>
      <c r="D148" s="601" t="s">
        <v>1091</v>
      </c>
      <c r="E148" s="576">
        <f>ROUND(사회유입인구!I154*사회유입인구!P$66/100,-2)</f>
        <v>200</v>
      </c>
      <c r="F148" s="576">
        <f t="shared" si="12"/>
        <v>200</v>
      </c>
      <c r="G148" s="576">
        <f t="shared" si="12"/>
        <v>200</v>
      </c>
      <c r="H148" s="576">
        <f t="shared" si="12"/>
        <v>200</v>
      </c>
      <c r="I148" s="235"/>
      <c r="J148" s="386" t="s">
        <v>923</v>
      </c>
      <c r="K148" s="384" t="s">
        <v>1090</v>
      </c>
      <c r="L148" s="384" t="s">
        <v>1091</v>
      </c>
      <c r="M148" s="384" t="s">
        <v>1091</v>
      </c>
      <c r="N148" s="349">
        <f>사회유입인구!I154</f>
        <v>399</v>
      </c>
      <c r="O148" s="385">
        <f>ROUND($N148*인구배분!U$6,-2)</f>
        <v>400</v>
      </c>
      <c r="P148" s="385">
        <f>ROUND($N148*인구배분!V$6,-2)</f>
        <v>400</v>
      </c>
      <c r="Q148" s="385">
        <f>ROUND($N148*인구배분!W$6,-2)</f>
        <v>400</v>
      </c>
      <c r="R148" s="385">
        <f>ROUND($N148*인구배분!X$6,-2)</f>
        <v>400</v>
      </c>
      <c r="S148" s="235"/>
    </row>
    <row r="149" spans="1:19" ht="21" customHeight="1">
      <c r="A149" s="316" t="s">
        <v>925</v>
      </c>
      <c r="B149" s="601" t="s">
        <v>1061</v>
      </c>
      <c r="C149" s="384" t="s">
        <v>59</v>
      </c>
      <c r="D149" s="601" t="s">
        <v>1085</v>
      </c>
      <c r="E149" s="576">
        <f>ROUND(사회유입인구!I155*사회유입인구!P$66/100,-2)</f>
        <v>400</v>
      </c>
      <c r="F149" s="576">
        <f t="shared" si="12"/>
        <v>400</v>
      </c>
      <c r="G149" s="576">
        <f t="shared" si="12"/>
        <v>400</v>
      </c>
      <c r="H149" s="576">
        <f t="shared" si="12"/>
        <v>400</v>
      </c>
      <c r="I149" s="235"/>
      <c r="J149" s="383" t="s">
        <v>925</v>
      </c>
      <c r="K149" s="384" t="s">
        <v>1061</v>
      </c>
      <c r="L149" s="568" t="s">
        <v>1206</v>
      </c>
      <c r="M149" s="384" t="s">
        <v>1085</v>
      </c>
      <c r="N149" s="349">
        <f>사회유입인구!I155</f>
        <v>631</v>
      </c>
      <c r="O149" s="385">
        <f>ROUND($N149*인구배분!U$6,-2)</f>
        <v>600</v>
      </c>
      <c r="P149" s="385">
        <f>ROUND($N149*인구배분!V$6,-2)</f>
        <v>600</v>
      </c>
      <c r="Q149" s="385">
        <f>ROUND($N149*인구배분!W$6,-2)</f>
        <v>600</v>
      </c>
      <c r="R149" s="385">
        <f>ROUND($N149*인구배분!X$6,-2)</f>
        <v>600</v>
      </c>
      <c r="S149" s="235"/>
    </row>
    <row r="150" spans="1:19" ht="21" customHeight="1">
      <c r="A150" s="320" t="s">
        <v>927</v>
      </c>
      <c r="B150" s="582" t="s">
        <v>1083</v>
      </c>
      <c r="C150" s="350" t="s">
        <v>48</v>
      </c>
      <c r="D150" s="582" t="s">
        <v>1041</v>
      </c>
      <c r="E150" s="576">
        <f>ROUND(사회유입인구!I156*사회유입인구!P$66/100,-2)</f>
        <v>500</v>
      </c>
      <c r="F150" s="576">
        <f t="shared" si="12"/>
        <v>500</v>
      </c>
      <c r="G150" s="576">
        <f t="shared" si="12"/>
        <v>500</v>
      </c>
      <c r="H150" s="576">
        <f t="shared" si="12"/>
        <v>500</v>
      </c>
      <c r="I150" s="235"/>
      <c r="J150" s="387" t="s">
        <v>927</v>
      </c>
      <c r="K150" s="350" t="s">
        <v>1083</v>
      </c>
      <c r="L150" s="350" t="s">
        <v>1041</v>
      </c>
      <c r="M150" s="350" t="s">
        <v>1041</v>
      </c>
      <c r="N150" s="349">
        <f>사회유입인구!I156</f>
        <v>755</v>
      </c>
      <c r="O150" s="385">
        <f>ROUND($N150*인구배분!U$6,-2)</f>
        <v>800</v>
      </c>
      <c r="P150" s="385">
        <f>ROUND($N150*인구배분!V$6,-2)</f>
        <v>800</v>
      </c>
      <c r="Q150" s="385">
        <f>ROUND($N150*인구배분!W$6,-2)</f>
        <v>800</v>
      </c>
      <c r="R150" s="385">
        <f>ROUND($N150*인구배분!X$6,-2)</f>
        <v>800</v>
      </c>
      <c r="S150" s="235"/>
    </row>
    <row r="151" spans="1:19" ht="21" customHeight="1">
      <c r="A151" s="320" t="s">
        <v>932</v>
      </c>
      <c r="B151" s="582" t="s">
        <v>1101</v>
      </c>
      <c r="C151" s="350" t="s">
        <v>59</v>
      </c>
      <c r="D151" s="582" t="s">
        <v>1084</v>
      </c>
      <c r="E151" s="576">
        <f>ROUND(사회유입인구!I158*사회유입인구!P$66/100,-2)</f>
        <v>100</v>
      </c>
      <c r="F151" s="576">
        <f t="shared" si="12"/>
        <v>100</v>
      </c>
      <c r="G151" s="576">
        <f t="shared" si="12"/>
        <v>100</v>
      </c>
      <c r="H151" s="576">
        <f t="shared" si="12"/>
        <v>100</v>
      </c>
      <c r="I151" s="235"/>
      <c r="J151" s="387" t="s">
        <v>932</v>
      </c>
      <c r="K151" s="350" t="s">
        <v>1101</v>
      </c>
      <c r="L151" s="350" t="s">
        <v>1084</v>
      </c>
      <c r="M151" s="350" t="s">
        <v>1084</v>
      </c>
      <c r="N151" s="349">
        <f>사회유입인구!I158</f>
        <v>127</v>
      </c>
      <c r="O151" s="385">
        <f>ROUND($N151*인구배분!U$6,-2)</f>
        <v>100</v>
      </c>
      <c r="P151" s="385">
        <f>ROUND($N151*인구배분!V$6,-2)</f>
        <v>100</v>
      </c>
      <c r="Q151" s="385">
        <f>ROUND($N151*인구배분!W$6,-2)</f>
        <v>100</v>
      </c>
      <c r="R151" s="385">
        <f>ROUND($N151*인구배분!X$6,-2)</f>
        <v>100</v>
      </c>
      <c r="S151" s="235"/>
    </row>
    <row r="152" spans="1:19" ht="21" customHeight="1">
      <c r="A152" s="320" t="s">
        <v>934</v>
      </c>
      <c r="B152" s="582" t="s">
        <v>1102</v>
      </c>
      <c r="C152" s="350" t="s">
        <v>512</v>
      </c>
      <c r="D152" s="582" t="s">
        <v>1103</v>
      </c>
      <c r="E152" s="576">
        <f>ROUND(사회유입인구!I159*사회유입인구!P$66/100,-2)</f>
        <v>200</v>
      </c>
      <c r="F152" s="576">
        <f t="shared" si="12"/>
        <v>200</v>
      </c>
      <c r="G152" s="576">
        <f t="shared" si="12"/>
        <v>200</v>
      </c>
      <c r="H152" s="576">
        <f t="shared" si="12"/>
        <v>200</v>
      </c>
      <c r="I152" s="235"/>
      <c r="J152" s="387" t="s">
        <v>934</v>
      </c>
      <c r="K152" s="350" t="s">
        <v>1102</v>
      </c>
      <c r="L152" s="350" t="s">
        <v>1103</v>
      </c>
      <c r="M152" s="350" t="s">
        <v>1103</v>
      </c>
      <c r="N152" s="349">
        <f>사회유입인구!I159</f>
        <v>391</v>
      </c>
      <c r="O152" s="385">
        <f>ROUND($N152*인구배분!U$6,-2)</f>
        <v>400</v>
      </c>
      <c r="P152" s="385">
        <f>ROUND($N152*인구배분!V$6,-2)</f>
        <v>400</v>
      </c>
      <c r="Q152" s="385">
        <f>ROUND($N152*인구배분!W$6,-2)</f>
        <v>400</v>
      </c>
      <c r="R152" s="385">
        <f>ROUND($N152*인구배분!X$6,-2)</f>
        <v>400</v>
      </c>
      <c r="S152" s="235"/>
    </row>
    <row r="153" spans="1:19" ht="21" customHeight="1">
      <c r="A153" s="320" t="s">
        <v>936</v>
      </c>
      <c r="B153" s="582" t="s">
        <v>1083</v>
      </c>
      <c r="C153" s="350" t="s">
        <v>48</v>
      </c>
      <c r="D153" s="582" t="s">
        <v>1041</v>
      </c>
      <c r="E153" s="576">
        <f>ROUND(사회유입인구!I160*사회유입인구!P$66/100,-2)</f>
        <v>300</v>
      </c>
      <c r="F153" s="576">
        <f t="shared" si="12"/>
        <v>300</v>
      </c>
      <c r="G153" s="576">
        <f t="shared" si="12"/>
        <v>300</v>
      </c>
      <c r="H153" s="576">
        <f t="shared" si="12"/>
        <v>300</v>
      </c>
      <c r="I153" s="235"/>
      <c r="J153" s="387" t="s">
        <v>936</v>
      </c>
      <c r="K153" s="350" t="s">
        <v>1083</v>
      </c>
      <c r="L153" s="350" t="s">
        <v>1041</v>
      </c>
      <c r="M153" s="350" t="s">
        <v>1041</v>
      </c>
      <c r="N153" s="349">
        <f>사회유입인구!I160</f>
        <v>583</v>
      </c>
      <c r="O153" s="385">
        <f>ROUND($N153*인구배분!U$6,-2)</f>
        <v>600</v>
      </c>
      <c r="P153" s="385">
        <f>ROUND($N153*인구배분!V$6,-2)</f>
        <v>600</v>
      </c>
      <c r="Q153" s="385">
        <f>ROUND($N153*인구배분!W$6,-2)</f>
        <v>600</v>
      </c>
      <c r="R153" s="385">
        <f>ROUND($N153*인구배분!X$6,-2)</f>
        <v>600</v>
      </c>
      <c r="S153" s="235"/>
    </row>
    <row r="154" spans="1:19" ht="21" customHeight="1">
      <c r="A154" s="320" t="s">
        <v>938</v>
      </c>
      <c r="B154" s="582" t="s">
        <v>1098</v>
      </c>
      <c r="C154" s="350" t="s">
        <v>510</v>
      </c>
      <c r="D154" s="582" t="s">
        <v>1104</v>
      </c>
      <c r="E154" s="576">
        <f>ROUND(사회유입인구!I161*사회유입인구!P$66/100,-2)</f>
        <v>200</v>
      </c>
      <c r="F154" s="576">
        <f t="shared" si="12"/>
        <v>200</v>
      </c>
      <c r="G154" s="576">
        <f t="shared" si="12"/>
        <v>200</v>
      </c>
      <c r="H154" s="576">
        <f t="shared" si="12"/>
        <v>200</v>
      </c>
      <c r="I154" s="235"/>
      <c r="J154" s="387" t="s">
        <v>938</v>
      </c>
      <c r="K154" s="350" t="s">
        <v>1098</v>
      </c>
      <c r="L154" s="350" t="s">
        <v>1207</v>
      </c>
      <c r="M154" s="350" t="s">
        <v>1104</v>
      </c>
      <c r="N154" s="349">
        <f>사회유입인구!I161</f>
        <v>385</v>
      </c>
      <c r="O154" s="385">
        <f>ROUND($N154*인구배분!U$6,-2)</f>
        <v>400</v>
      </c>
      <c r="P154" s="385">
        <f>ROUND($N154*인구배분!V$6,-2)</f>
        <v>400</v>
      </c>
      <c r="Q154" s="385">
        <f>ROUND($N154*인구배분!W$6,-2)</f>
        <v>400</v>
      </c>
      <c r="R154" s="385">
        <f>ROUND($N154*인구배분!X$6,-2)</f>
        <v>400</v>
      </c>
      <c r="S154" s="235"/>
    </row>
    <row r="155" spans="1:19" ht="21" customHeight="1">
      <c r="A155" s="320" t="s">
        <v>940</v>
      </c>
      <c r="B155" s="582" t="s">
        <v>1043</v>
      </c>
      <c r="C155" s="350" t="s">
        <v>48</v>
      </c>
      <c r="D155" s="582" t="s">
        <v>1041</v>
      </c>
      <c r="E155" s="576">
        <f>ROUND(사회유입인구!I162*사회유입인구!P$66/100,-2)</f>
        <v>400</v>
      </c>
      <c r="F155" s="576">
        <f t="shared" si="12"/>
        <v>400</v>
      </c>
      <c r="G155" s="576">
        <f t="shared" si="12"/>
        <v>400</v>
      </c>
      <c r="H155" s="576">
        <f t="shared" si="12"/>
        <v>400</v>
      </c>
      <c r="I155" s="235"/>
      <c r="J155" s="387" t="s">
        <v>940</v>
      </c>
      <c r="K155" s="350" t="s">
        <v>1043</v>
      </c>
      <c r="L155" s="350" t="s">
        <v>1041</v>
      </c>
      <c r="M155" s="350" t="s">
        <v>1041</v>
      </c>
      <c r="N155" s="349">
        <f>사회유입인구!I162</f>
        <v>607</v>
      </c>
      <c r="O155" s="385">
        <f>ROUND($N155*인구배분!U$6,-2)</f>
        <v>600</v>
      </c>
      <c r="P155" s="385">
        <f>ROUND($N155*인구배분!V$6,-2)</f>
        <v>600</v>
      </c>
      <c r="Q155" s="385">
        <f>ROUND($N155*인구배분!W$6,-2)</f>
        <v>600</v>
      </c>
      <c r="R155" s="385">
        <f>ROUND($N155*인구배분!X$6,-2)</f>
        <v>600</v>
      </c>
      <c r="S155" s="235"/>
    </row>
    <row r="156" spans="1:19" ht="21" customHeight="1">
      <c r="A156" s="320" t="s">
        <v>942</v>
      </c>
      <c r="B156" s="582" t="s">
        <v>1061</v>
      </c>
      <c r="C156" s="384" t="s">
        <v>59</v>
      </c>
      <c r="D156" s="582" t="s">
        <v>1085</v>
      </c>
      <c r="E156" s="576">
        <f>ROUND(사회유입인구!I163*사회유입인구!P$66/100,-2)</f>
        <v>1400</v>
      </c>
      <c r="F156" s="576">
        <f t="shared" si="12"/>
        <v>1400</v>
      </c>
      <c r="G156" s="576">
        <f t="shared" si="12"/>
        <v>1400</v>
      </c>
      <c r="H156" s="576">
        <f t="shared" si="12"/>
        <v>1400</v>
      </c>
      <c r="I156" s="235"/>
      <c r="J156" s="387" t="s">
        <v>942</v>
      </c>
      <c r="K156" s="350" t="s">
        <v>1061</v>
      </c>
      <c r="L156" s="568" t="s">
        <v>1206</v>
      </c>
      <c r="M156" s="350" t="s">
        <v>1085</v>
      </c>
      <c r="N156" s="349">
        <f>사회유입인구!I163</f>
        <v>2416</v>
      </c>
      <c r="O156" s="385">
        <f>ROUND($N156*인구배분!U$6,-2)</f>
        <v>2400</v>
      </c>
      <c r="P156" s="385">
        <f>ROUND($N156*인구배분!V$6,-2)</f>
        <v>2400</v>
      </c>
      <c r="Q156" s="385">
        <f>ROUND($N156*인구배분!W$6,-2)</f>
        <v>2400</v>
      </c>
      <c r="R156" s="385">
        <f>ROUND($N156*인구배분!X$6,-2)</f>
        <v>2400</v>
      </c>
      <c r="S156" s="235"/>
    </row>
    <row r="157" spans="1:19" ht="21" customHeight="1">
      <c r="A157" s="320" t="s">
        <v>944</v>
      </c>
      <c r="B157" s="582" t="s">
        <v>1105</v>
      </c>
      <c r="C157" s="350" t="s">
        <v>510</v>
      </c>
      <c r="D157" s="582" t="s">
        <v>1091</v>
      </c>
      <c r="E157" s="576">
        <f>ROUND(사회유입인구!I164*사회유입인구!P$66/100,-2)</f>
        <v>500</v>
      </c>
      <c r="F157" s="576">
        <f t="shared" si="12"/>
        <v>500</v>
      </c>
      <c r="G157" s="576">
        <f t="shared" si="12"/>
        <v>500</v>
      </c>
      <c r="H157" s="576">
        <f t="shared" si="12"/>
        <v>500</v>
      </c>
      <c r="I157" s="235"/>
      <c r="J157" s="387" t="s">
        <v>944</v>
      </c>
      <c r="K157" s="350" t="s">
        <v>1105</v>
      </c>
      <c r="L157" s="350" t="s">
        <v>1091</v>
      </c>
      <c r="M157" s="350" t="s">
        <v>1091</v>
      </c>
      <c r="N157" s="349">
        <f>사회유입인구!I164</f>
        <v>752</v>
      </c>
      <c r="O157" s="385">
        <f>ROUND($N157*인구배분!U$6,-2)</f>
        <v>800</v>
      </c>
      <c r="P157" s="385">
        <f>ROUND($N157*인구배분!V$6,-2)</f>
        <v>800</v>
      </c>
      <c r="Q157" s="385">
        <f>ROUND($N157*인구배분!W$6,-2)</f>
        <v>800</v>
      </c>
      <c r="R157" s="385">
        <f>ROUND($N157*인구배분!X$6,-2)</f>
        <v>800</v>
      </c>
      <c r="S157" s="235"/>
    </row>
    <row r="158" spans="1:19" ht="21" customHeight="1">
      <c r="A158" s="320" t="s">
        <v>946</v>
      </c>
      <c r="B158" s="582" t="s">
        <v>1096</v>
      </c>
      <c r="C158" s="350" t="s">
        <v>510</v>
      </c>
      <c r="D158" s="582" t="s">
        <v>1091</v>
      </c>
      <c r="E158" s="576">
        <f>ROUND(사회유입인구!I165*사회유입인구!P$66/100,-2)</f>
        <v>1400</v>
      </c>
      <c r="F158" s="576">
        <f t="shared" si="12"/>
        <v>1400</v>
      </c>
      <c r="G158" s="576">
        <f t="shared" si="12"/>
        <v>1400</v>
      </c>
      <c r="H158" s="576">
        <f t="shared" si="12"/>
        <v>1400</v>
      </c>
      <c r="I158" s="235"/>
      <c r="J158" s="387" t="s">
        <v>946</v>
      </c>
      <c r="K158" s="350" t="s">
        <v>1096</v>
      </c>
      <c r="L158" s="350" t="s">
        <v>1091</v>
      </c>
      <c r="M158" s="350" t="s">
        <v>1091</v>
      </c>
      <c r="N158" s="349">
        <f>사회유입인구!I165</f>
        <v>2402</v>
      </c>
      <c r="O158" s="385">
        <f>ROUND($N158*인구배분!U$6,-2)</f>
        <v>2400</v>
      </c>
      <c r="P158" s="385">
        <f>ROUND($N158*인구배분!V$6,-2)</f>
        <v>2400</v>
      </c>
      <c r="Q158" s="385">
        <f>ROUND($N158*인구배분!W$6,-2)</f>
        <v>2400</v>
      </c>
      <c r="R158" s="385">
        <f>ROUND($N158*인구배분!X$6,-2)</f>
        <v>2400</v>
      </c>
      <c r="S158" s="235"/>
    </row>
    <row r="159" spans="1:19" ht="21" customHeight="1">
      <c r="A159" s="320" t="s">
        <v>948</v>
      </c>
      <c r="B159" s="582" t="s">
        <v>1043</v>
      </c>
      <c r="C159" s="350" t="s">
        <v>48</v>
      </c>
      <c r="D159" s="582" t="s">
        <v>1041</v>
      </c>
      <c r="E159" s="576">
        <f>ROUND(사회유입인구!I166*사회유입인구!P$66/100,-2)</f>
        <v>500</v>
      </c>
      <c r="F159" s="576">
        <f t="shared" si="12"/>
        <v>500</v>
      </c>
      <c r="G159" s="576">
        <f t="shared" si="12"/>
        <v>500</v>
      </c>
      <c r="H159" s="576">
        <f t="shared" si="12"/>
        <v>500</v>
      </c>
      <c r="I159" s="235"/>
      <c r="J159" s="387" t="s">
        <v>948</v>
      </c>
      <c r="K159" s="350" t="s">
        <v>1043</v>
      </c>
      <c r="L159" s="350" t="s">
        <v>1041</v>
      </c>
      <c r="M159" s="350" t="s">
        <v>1041</v>
      </c>
      <c r="N159" s="349">
        <f>사회유입인구!I166</f>
        <v>784</v>
      </c>
      <c r="O159" s="385">
        <f>ROUND($N159*인구배분!U$6,-2)</f>
        <v>800</v>
      </c>
      <c r="P159" s="385">
        <f>ROUND($N159*인구배분!V$6,-2)</f>
        <v>800</v>
      </c>
      <c r="Q159" s="385">
        <f>ROUND($N159*인구배분!W$6,-2)</f>
        <v>800</v>
      </c>
      <c r="R159" s="385">
        <f>ROUND($N159*인구배분!X$6,-2)</f>
        <v>800</v>
      </c>
      <c r="S159" s="235"/>
    </row>
    <row r="160" spans="1:19" ht="21" customHeight="1">
      <c r="A160" s="320" t="s">
        <v>950</v>
      </c>
      <c r="B160" s="582" t="s">
        <v>1106</v>
      </c>
      <c r="C160" s="350" t="s">
        <v>1097</v>
      </c>
      <c r="D160" s="582" t="s">
        <v>1097</v>
      </c>
      <c r="E160" s="576">
        <f>ROUND(사회유입인구!I167*사회유입인구!P$66/100,-2)</f>
        <v>300</v>
      </c>
      <c r="F160" s="576">
        <f t="shared" si="12"/>
        <v>300</v>
      </c>
      <c r="G160" s="576">
        <f t="shared" si="12"/>
        <v>300</v>
      </c>
      <c r="H160" s="576">
        <f t="shared" si="12"/>
        <v>300</v>
      </c>
      <c r="I160" s="235"/>
      <c r="J160" s="387" t="s">
        <v>950</v>
      </c>
      <c r="K160" s="350" t="s">
        <v>1106</v>
      </c>
      <c r="L160" s="350" t="s">
        <v>1097</v>
      </c>
      <c r="M160" s="350" t="s">
        <v>1097</v>
      </c>
      <c r="N160" s="349">
        <f>사회유입인구!I167</f>
        <v>449</v>
      </c>
      <c r="O160" s="385">
        <f>ROUND($N160*인구배분!U$6,-2)</f>
        <v>400</v>
      </c>
      <c r="P160" s="385">
        <f>ROUND($N160*인구배분!V$6,-2)</f>
        <v>400</v>
      </c>
      <c r="Q160" s="385">
        <f>ROUND($N160*인구배분!W$6,-2)</f>
        <v>400</v>
      </c>
      <c r="R160" s="385">
        <f>ROUND($N160*인구배분!X$6,-2)</f>
        <v>400</v>
      </c>
      <c r="S160" s="235"/>
    </row>
    <row r="161" spans="1:19" ht="21" customHeight="1">
      <c r="A161" s="49" t="s">
        <v>959</v>
      </c>
      <c r="B161" s="582" t="s">
        <v>1083</v>
      </c>
      <c r="C161" s="350" t="s">
        <v>48</v>
      </c>
      <c r="D161" s="582" t="s">
        <v>1041</v>
      </c>
      <c r="E161" s="576">
        <f>ROUND(사회유입인구!I171*사회유입인구!P$66/100,-2)</f>
        <v>700</v>
      </c>
      <c r="F161" s="576">
        <f t="shared" si="12"/>
        <v>700</v>
      </c>
      <c r="G161" s="576">
        <f t="shared" si="12"/>
        <v>700</v>
      </c>
      <c r="H161" s="576">
        <f t="shared" si="12"/>
        <v>700</v>
      </c>
      <c r="I161" s="235"/>
      <c r="J161" s="388" t="s">
        <v>959</v>
      </c>
      <c r="K161" s="350" t="s">
        <v>1083</v>
      </c>
      <c r="L161" s="350" t="s">
        <v>1041</v>
      </c>
      <c r="M161" s="350" t="s">
        <v>1041</v>
      </c>
      <c r="N161" s="349">
        <f>사회유입인구!I171</f>
        <v>1156</v>
      </c>
      <c r="O161" s="385">
        <f>ROUND($N161*인구배분!U$6,-2)</f>
        <v>1200</v>
      </c>
      <c r="P161" s="385">
        <f>ROUND($N161*인구배분!V$6,-2)</f>
        <v>1200</v>
      </c>
      <c r="Q161" s="385">
        <f>ROUND($N161*인구배분!W$6,-2)</f>
        <v>1200</v>
      </c>
      <c r="R161" s="385">
        <f>ROUND($N161*인구배분!X$6,-2)</f>
        <v>1200</v>
      </c>
      <c r="S161" s="235"/>
    </row>
    <row r="162" spans="1:19" ht="21" customHeight="1">
      <c r="A162" s="322" t="s">
        <v>962</v>
      </c>
      <c r="B162" s="600" t="s">
        <v>1106</v>
      </c>
      <c r="C162" s="358" t="s">
        <v>1097</v>
      </c>
      <c r="D162" s="600" t="s">
        <v>1097</v>
      </c>
      <c r="E162" s="576">
        <f>ROUND(사회유입인구!I172*사회유입인구!P$66/100,-2)</f>
        <v>400</v>
      </c>
      <c r="F162" s="576">
        <f t="shared" si="12"/>
        <v>400</v>
      </c>
      <c r="G162" s="576">
        <f t="shared" si="12"/>
        <v>400</v>
      </c>
      <c r="H162" s="576">
        <f t="shared" si="12"/>
        <v>400</v>
      </c>
      <c r="I162" s="235"/>
      <c r="J162" s="389" t="s">
        <v>962</v>
      </c>
      <c r="K162" s="358" t="s">
        <v>1106</v>
      </c>
      <c r="L162" s="358" t="s">
        <v>1097</v>
      </c>
      <c r="M162" s="358" t="s">
        <v>1097</v>
      </c>
      <c r="N162" s="349">
        <f>사회유입인구!I172</f>
        <v>700</v>
      </c>
      <c r="O162" s="385">
        <f>ROUND($N162*인구배분!U$6,-2)</f>
        <v>700</v>
      </c>
      <c r="P162" s="385">
        <f>ROUND($N162*인구배분!V$6,-2)</f>
        <v>700</v>
      </c>
      <c r="Q162" s="385">
        <f>ROUND($N162*인구배분!W$6,-2)</f>
        <v>700</v>
      </c>
      <c r="R162" s="385">
        <f>ROUND($N162*인구배분!X$6,-2)</f>
        <v>700</v>
      </c>
      <c r="S162" s="235"/>
    </row>
    <row r="163" spans="1:19" ht="21" customHeight="1">
      <c r="A163" s="322" t="s">
        <v>965</v>
      </c>
      <c r="B163" s="600" t="s">
        <v>1083</v>
      </c>
      <c r="C163" s="358" t="s">
        <v>59</v>
      </c>
      <c r="D163" s="600" t="s">
        <v>1084</v>
      </c>
      <c r="E163" s="576">
        <f>ROUND(사회유입인구!I173*사회유입인구!P$66/100,-2)</f>
        <v>700</v>
      </c>
      <c r="F163" s="576">
        <f t="shared" si="12"/>
        <v>700</v>
      </c>
      <c r="G163" s="576">
        <f t="shared" si="12"/>
        <v>700</v>
      </c>
      <c r="H163" s="576">
        <f t="shared" si="12"/>
        <v>700</v>
      </c>
      <c r="I163" s="235"/>
      <c r="J163" s="389" t="s">
        <v>965</v>
      </c>
      <c r="K163" s="358" t="s">
        <v>1083</v>
      </c>
      <c r="L163" s="358" t="s">
        <v>1084</v>
      </c>
      <c r="M163" s="358" t="s">
        <v>1084</v>
      </c>
      <c r="N163" s="349">
        <f>사회유입인구!I173</f>
        <v>1122</v>
      </c>
      <c r="O163" s="385">
        <f>ROUND($N163*인구배분!U$6,-2)</f>
        <v>1100</v>
      </c>
      <c r="P163" s="385">
        <f>ROUND($N163*인구배분!V$6,-2)</f>
        <v>1100</v>
      </c>
      <c r="Q163" s="385">
        <f>ROUND($N163*인구배분!W$6,-2)</f>
        <v>1100</v>
      </c>
      <c r="R163" s="385">
        <f>ROUND($N163*인구배분!X$6,-2)</f>
        <v>1100</v>
      </c>
      <c r="S163" s="235"/>
    </row>
    <row r="164" spans="1:19" ht="21" customHeight="1">
      <c r="A164" s="322" t="s">
        <v>968</v>
      </c>
      <c r="B164" s="600" t="s">
        <v>1083</v>
      </c>
      <c r="C164" s="358" t="s">
        <v>59</v>
      </c>
      <c r="D164" s="600" t="s">
        <v>1084</v>
      </c>
      <c r="E164" s="576">
        <f>ROUND(사회유입인구!I174*사회유입인구!P$66/100,-2)</f>
        <v>400</v>
      </c>
      <c r="F164" s="576">
        <f t="shared" si="12"/>
        <v>400</v>
      </c>
      <c r="G164" s="576">
        <f t="shared" si="12"/>
        <v>400</v>
      </c>
      <c r="H164" s="576">
        <f t="shared" si="12"/>
        <v>400</v>
      </c>
      <c r="I164" s="235"/>
      <c r="J164" s="389" t="s">
        <v>968</v>
      </c>
      <c r="K164" s="358" t="s">
        <v>1083</v>
      </c>
      <c r="L164" s="358" t="s">
        <v>1084</v>
      </c>
      <c r="M164" s="358" t="s">
        <v>1084</v>
      </c>
      <c r="N164" s="349">
        <f>사회유입인구!I174</f>
        <v>715</v>
      </c>
      <c r="O164" s="385">
        <f>ROUND($N164*인구배분!U$6,-2)</f>
        <v>700</v>
      </c>
      <c r="P164" s="385">
        <f>ROUND($N164*인구배분!V$6,-2)</f>
        <v>700</v>
      </c>
      <c r="Q164" s="385">
        <f>ROUND($N164*인구배분!W$6,-2)</f>
        <v>700</v>
      </c>
      <c r="R164" s="385">
        <f>ROUND($N164*인구배분!X$6,-2)</f>
        <v>700</v>
      </c>
      <c r="S164" s="235"/>
    </row>
    <row r="165" spans="1:19" ht="21" customHeight="1">
      <c r="A165" s="322" t="s">
        <v>970</v>
      </c>
      <c r="B165" s="600" t="s">
        <v>1083</v>
      </c>
      <c r="C165" s="358" t="s">
        <v>59</v>
      </c>
      <c r="D165" s="600" t="s">
        <v>1084</v>
      </c>
      <c r="E165" s="576">
        <f>ROUND(사회유입인구!I175*사회유입인구!P$66/100,-2)</f>
        <v>200</v>
      </c>
      <c r="F165" s="576">
        <f t="shared" si="12"/>
        <v>200</v>
      </c>
      <c r="G165" s="576">
        <f t="shared" si="12"/>
        <v>200</v>
      </c>
      <c r="H165" s="576">
        <f t="shared" si="12"/>
        <v>200</v>
      </c>
      <c r="I165" s="235"/>
      <c r="J165" s="389" t="s">
        <v>970</v>
      </c>
      <c r="K165" s="358" t="s">
        <v>1083</v>
      </c>
      <c r="L165" s="358" t="s">
        <v>1084</v>
      </c>
      <c r="M165" s="358" t="s">
        <v>1084</v>
      </c>
      <c r="N165" s="349">
        <f>사회유입인구!I175</f>
        <v>359</v>
      </c>
      <c r="O165" s="385">
        <f>ROUND($N165*인구배분!U$6,-2)</f>
        <v>400</v>
      </c>
      <c r="P165" s="385">
        <f>ROUND($N165*인구배분!V$6,-2)</f>
        <v>400</v>
      </c>
      <c r="Q165" s="385">
        <f>ROUND($N165*인구배분!W$6,-2)</f>
        <v>400</v>
      </c>
      <c r="R165" s="385">
        <f>ROUND($N165*인구배분!X$6,-2)</f>
        <v>400</v>
      </c>
      <c r="S165" s="235"/>
    </row>
    <row r="166" spans="1:19" ht="21" customHeight="1">
      <c r="A166" s="227" t="s">
        <v>1092</v>
      </c>
      <c r="B166" s="240"/>
      <c r="C166" s="352"/>
      <c r="D166" s="240"/>
      <c r="E166" s="240">
        <f>SUM(E136:E165)</f>
        <v>19700</v>
      </c>
      <c r="F166" s="240">
        <f>SUM(F136:F165)</f>
        <v>19700</v>
      </c>
      <c r="G166" s="240">
        <f>SUM(G136:G165)</f>
        <v>19700</v>
      </c>
      <c r="H166" s="240">
        <f>SUM(H136:H165)</f>
        <v>19700</v>
      </c>
      <c r="I166" s="635"/>
      <c r="J166" s="620" t="s">
        <v>1092</v>
      </c>
      <c r="K166" s="352"/>
      <c r="L166" s="352"/>
      <c r="M166" s="352"/>
      <c r="N166" s="352">
        <f>SUM(N136:N165)</f>
        <v>32750</v>
      </c>
      <c r="O166" s="352">
        <f>SUM(O136:O165)</f>
        <v>33000</v>
      </c>
      <c r="P166" s="352">
        <f>SUM(P136:P165)</f>
        <v>33000</v>
      </c>
      <c r="Q166" s="352">
        <f>SUM(Q136:Q165)</f>
        <v>33000</v>
      </c>
      <c r="R166" s="352">
        <f>SUM(R136:R165)</f>
        <v>33000</v>
      </c>
      <c r="S166" s="636"/>
    </row>
    <row r="167" spans="1:19" ht="15.95" customHeight="1">
      <c r="A167" s="256"/>
      <c r="B167" s="91"/>
      <c r="C167" s="91"/>
      <c r="D167" s="91"/>
      <c r="E167" s="91"/>
      <c r="F167" s="91"/>
      <c r="G167" s="91"/>
      <c r="H167" s="637"/>
      <c r="I167" s="256"/>
      <c r="J167" s="91"/>
      <c r="K167" s="91"/>
      <c r="L167" s="91"/>
      <c r="M167" s="91"/>
      <c r="N167" s="91"/>
      <c r="O167" s="91"/>
      <c r="P167" s="91"/>
      <c r="Q167" s="91"/>
      <c r="R167" s="637"/>
    </row>
    <row r="168" spans="1:19" ht="20.100000000000001" customHeight="1">
      <c r="A168" s="604" t="s">
        <v>1107</v>
      </c>
      <c r="J168" s="604" t="s">
        <v>1108</v>
      </c>
      <c r="R168" s="638"/>
    </row>
    <row r="169" spans="1:19" ht="20.100000000000001" customHeight="1">
      <c r="A169" s="781" t="s">
        <v>985</v>
      </c>
      <c r="B169" s="783"/>
      <c r="C169" s="782" t="s">
        <v>1332</v>
      </c>
      <c r="D169" s="783"/>
      <c r="E169" s="774" t="s">
        <v>1109</v>
      </c>
      <c r="F169" s="775"/>
      <c r="G169" s="775"/>
      <c r="H169" s="788"/>
      <c r="I169" s="937" t="s">
        <v>121</v>
      </c>
      <c r="J169" s="792" t="s">
        <v>985</v>
      </c>
      <c r="K169" s="793"/>
      <c r="L169" s="793" t="s">
        <v>1076</v>
      </c>
      <c r="M169" s="793"/>
      <c r="N169" s="793"/>
      <c r="O169" s="639" t="s">
        <v>1080</v>
      </c>
      <c r="P169" s="639"/>
      <c r="Q169" s="639"/>
      <c r="R169" s="639"/>
      <c r="S169" s="798" t="s">
        <v>772</v>
      </c>
    </row>
    <row r="170" spans="1:19" ht="20.100000000000001" customHeight="1">
      <c r="A170" s="784"/>
      <c r="B170" s="786"/>
      <c r="C170" s="785"/>
      <c r="D170" s="786"/>
      <c r="E170" s="676" t="s">
        <v>776</v>
      </c>
      <c r="F170" s="676" t="s">
        <v>777</v>
      </c>
      <c r="G170" s="676" t="s">
        <v>778</v>
      </c>
      <c r="H170" s="676" t="s">
        <v>779</v>
      </c>
      <c r="I170" s="938"/>
      <c r="J170" s="794"/>
      <c r="K170" s="795"/>
      <c r="L170" s="795"/>
      <c r="M170" s="795"/>
      <c r="N170" s="795"/>
      <c r="O170" s="581" t="s">
        <v>776</v>
      </c>
      <c r="P170" s="581" t="s">
        <v>777</v>
      </c>
      <c r="Q170" s="581" t="s">
        <v>778</v>
      </c>
      <c r="R170" s="581" t="s">
        <v>779</v>
      </c>
      <c r="S170" s="799"/>
    </row>
    <row r="171" spans="1:19" ht="20.100000000000001" customHeight="1">
      <c r="A171" s="787" t="s">
        <v>1110</v>
      </c>
      <c r="B171" s="775"/>
      <c r="C171" s="775"/>
      <c r="D171" s="788"/>
      <c r="E171" s="691">
        <f>SUM(E172,E189,E194,E201)</f>
        <v>52100</v>
      </c>
      <c r="F171" s="691">
        <f>SUM(F172,F189,F194,F201)</f>
        <v>116600</v>
      </c>
      <c r="G171" s="691">
        <f>SUM(G172,G189,G194,G201)</f>
        <v>194300</v>
      </c>
      <c r="H171" s="691">
        <f>SUM(H172,H189,H194,H201)</f>
        <v>194300</v>
      </c>
      <c r="I171" s="692"/>
      <c r="J171" s="792" t="s">
        <v>1110</v>
      </c>
      <c r="K171" s="793"/>
      <c r="L171" s="793"/>
      <c r="M171" s="793"/>
      <c r="N171" s="793"/>
      <c r="O171" s="691">
        <f>SUM(O172,O189,O194,O201)</f>
        <v>86900</v>
      </c>
      <c r="P171" s="691">
        <f>SUM(P172,P189,P194,P201)</f>
        <v>215700</v>
      </c>
      <c r="Q171" s="691">
        <f>SUM(Q172,Q189,Q194,Q201)</f>
        <v>335800</v>
      </c>
      <c r="R171" s="691">
        <f>SUM(R172,R189,R194,R201)</f>
        <v>335800</v>
      </c>
      <c r="S171" s="408"/>
    </row>
    <row r="172" spans="1:19" ht="20.100000000000001" customHeight="1">
      <c r="A172" s="828" t="s">
        <v>1111</v>
      </c>
      <c r="B172" s="941" t="s">
        <v>615</v>
      </c>
      <c r="C172" s="962" t="s">
        <v>1330</v>
      </c>
      <c r="D172" s="772"/>
      <c r="E172" s="84">
        <f>SUM(E173:E188)</f>
        <v>46000</v>
      </c>
      <c r="F172" s="84">
        <f>SUM(F173:F188)</f>
        <v>87000</v>
      </c>
      <c r="G172" s="84">
        <f>SUM(G173:G188)</f>
        <v>120700</v>
      </c>
      <c r="H172" s="84">
        <f>SUM(H173:H188)</f>
        <v>120700</v>
      </c>
      <c r="I172" s="653"/>
      <c r="J172" s="796" t="s">
        <v>1111</v>
      </c>
      <c r="K172" s="941" t="s">
        <v>615</v>
      </c>
      <c r="L172" s="920" t="s">
        <v>1112</v>
      </c>
      <c r="M172" s="920"/>
      <c r="N172" s="920"/>
      <c r="O172" s="84">
        <f>SUM(O173:O188)</f>
        <v>76600</v>
      </c>
      <c r="P172" s="84">
        <f>SUM(P173:P188)</f>
        <v>168500</v>
      </c>
      <c r="Q172" s="84">
        <f>SUM(Q173:Q188)</f>
        <v>224600</v>
      </c>
      <c r="R172" s="84">
        <f>SUM(R173:R188)</f>
        <v>224600</v>
      </c>
      <c r="S172" s="409"/>
    </row>
    <row r="173" spans="1:19" ht="20.100000000000001" customHeight="1">
      <c r="A173" s="828"/>
      <c r="B173" s="941"/>
      <c r="C173" s="962" t="s">
        <v>1088</v>
      </c>
      <c r="D173" s="772"/>
      <c r="E173" s="84">
        <f t="shared" ref="E173:H188" si="13">SUMIF($B$1:$B$166,$C173,E$1:E$166)</f>
        <v>0</v>
      </c>
      <c r="F173" s="84">
        <f t="shared" si="13"/>
        <v>1500</v>
      </c>
      <c r="G173" s="84">
        <f t="shared" si="13"/>
        <v>1500</v>
      </c>
      <c r="H173" s="84">
        <f t="shared" si="13"/>
        <v>1500</v>
      </c>
      <c r="I173" s="653"/>
      <c r="J173" s="789"/>
      <c r="K173" s="941"/>
      <c r="L173" s="920" t="s">
        <v>1088</v>
      </c>
      <c r="M173" s="920"/>
      <c r="N173" s="920"/>
      <c r="O173" s="642">
        <f t="shared" ref="O173:R188" si="14">SUMIF($K$1:$K$166,$L173,O$1:O$166)</f>
        <v>0</v>
      </c>
      <c r="P173" s="642">
        <f t="shared" si="14"/>
        <v>5300</v>
      </c>
      <c r="Q173" s="642">
        <f t="shared" si="14"/>
        <v>5300</v>
      </c>
      <c r="R173" s="642">
        <f t="shared" si="14"/>
        <v>5300</v>
      </c>
      <c r="S173" s="409"/>
    </row>
    <row r="174" spans="1:19" ht="20.100000000000001" customHeight="1">
      <c r="A174" s="828"/>
      <c r="B174" s="941"/>
      <c r="C174" s="962" t="s">
        <v>1086</v>
      </c>
      <c r="D174" s="772"/>
      <c r="E174" s="84">
        <f t="shared" si="13"/>
        <v>0</v>
      </c>
      <c r="F174" s="84">
        <f t="shared" si="13"/>
        <v>200</v>
      </c>
      <c r="G174" s="84">
        <f t="shared" si="13"/>
        <v>200</v>
      </c>
      <c r="H174" s="84">
        <f t="shared" si="13"/>
        <v>200</v>
      </c>
      <c r="I174" s="653"/>
      <c r="J174" s="789"/>
      <c r="K174" s="941"/>
      <c r="L174" s="920" t="s">
        <v>1086</v>
      </c>
      <c r="M174" s="920"/>
      <c r="N174" s="920"/>
      <c r="O174" s="642">
        <f t="shared" si="14"/>
        <v>0</v>
      </c>
      <c r="P174" s="642">
        <f t="shared" si="14"/>
        <v>600</v>
      </c>
      <c r="Q174" s="642">
        <f t="shared" si="14"/>
        <v>600</v>
      </c>
      <c r="R174" s="642">
        <f t="shared" si="14"/>
        <v>600</v>
      </c>
      <c r="S174" s="409"/>
    </row>
    <row r="175" spans="1:19" ht="20.100000000000001" customHeight="1">
      <c r="A175" s="828"/>
      <c r="B175" s="941"/>
      <c r="C175" s="961" t="s">
        <v>1113</v>
      </c>
      <c r="D175" s="771"/>
      <c r="E175" s="84">
        <f t="shared" si="13"/>
        <v>0</v>
      </c>
      <c r="F175" s="84">
        <f t="shared" si="13"/>
        <v>0</v>
      </c>
      <c r="G175" s="84">
        <f t="shared" si="13"/>
        <v>0</v>
      </c>
      <c r="H175" s="84">
        <f t="shared" si="13"/>
        <v>0</v>
      </c>
      <c r="I175" s="653"/>
      <c r="J175" s="789"/>
      <c r="K175" s="941"/>
      <c r="L175" s="941" t="s">
        <v>1113</v>
      </c>
      <c r="M175" s="941"/>
      <c r="N175" s="941"/>
      <c r="O175" s="642">
        <f t="shared" si="14"/>
        <v>0</v>
      </c>
      <c r="P175" s="642">
        <f t="shared" si="14"/>
        <v>0</v>
      </c>
      <c r="Q175" s="642">
        <f t="shared" si="14"/>
        <v>0</v>
      </c>
      <c r="R175" s="642">
        <f t="shared" si="14"/>
        <v>0</v>
      </c>
      <c r="S175" s="409"/>
    </row>
    <row r="176" spans="1:19" ht="20.100000000000001" customHeight="1">
      <c r="A176" s="828"/>
      <c r="B176" s="941"/>
      <c r="C176" s="961" t="s">
        <v>1101</v>
      </c>
      <c r="D176" s="771"/>
      <c r="E176" s="84">
        <f t="shared" si="13"/>
        <v>600</v>
      </c>
      <c r="F176" s="84">
        <f t="shared" si="13"/>
        <v>600</v>
      </c>
      <c r="G176" s="84">
        <f t="shared" si="13"/>
        <v>600</v>
      </c>
      <c r="H176" s="84">
        <f t="shared" si="13"/>
        <v>600</v>
      </c>
      <c r="I176" s="653"/>
      <c r="J176" s="789"/>
      <c r="K176" s="941"/>
      <c r="L176" s="941" t="s">
        <v>1101</v>
      </c>
      <c r="M176" s="941"/>
      <c r="N176" s="941"/>
      <c r="O176" s="642">
        <f t="shared" si="14"/>
        <v>900</v>
      </c>
      <c r="P176" s="642">
        <f t="shared" si="14"/>
        <v>900</v>
      </c>
      <c r="Q176" s="642">
        <f t="shared" si="14"/>
        <v>900</v>
      </c>
      <c r="R176" s="642">
        <f t="shared" si="14"/>
        <v>900</v>
      </c>
      <c r="S176" s="409"/>
    </row>
    <row r="177" spans="1:19" ht="20.100000000000001" customHeight="1">
      <c r="A177" s="828"/>
      <c r="B177" s="941"/>
      <c r="C177" s="961" t="s">
        <v>1114</v>
      </c>
      <c r="D177" s="771"/>
      <c r="E177" s="84">
        <f t="shared" si="13"/>
        <v>1500</v>
      </c>
      <c r="F177" s="84">
        <f t="shared" si="13"/>
        <v>1500</v>
      </c>
      <c r="G177" s="84">
        <f t="shared" si="13"/>
        <v>1500</v>
      </c>
      <c r="H177" s="84">
        <f t="shared" si="13"/>
        <v>1500</v>
      </c>
      <c r="I177" s="653"/>
      <c r="J177" s="789"/>
      <c r="K177" s="941"/>
      <c r="L177" s="941" t="s">
        <v>1114</v>
      </c>
      <c r="M177" s="941"/>
      <c r="N177" s="941"/>
      <c r="O177" s="642">
        <f t="shared" si="14"/>
        <v>2500</v>
      </c>
      <c r="P177" s="642">
        <f t="shared" si="14"/>
        <v>2500</v>
      </c>
      <c r="Q177" s="642">
        <f t="shared" si="14"/>
        <v>2500</v>
      </c>
      <c r="R177" s="642">
        <f t="shared" si="14"/>
        <v>2500</v>
      </c>
      <c r="S177" s="409"/>
    </row>
    <row r="178" spans="1:19" ht="20.100000000000001" customHeight="1">
      <c r="A178" s="828"/>
      <c r="B178" s="941"/>
      <c r="C178" s="962" t="s">
        <v>1100</v>
      </c>
      <c r="D178" s="772"/>
      <c r="E178" s="84">
        <f t="shared" si="13"/>
        <v>8700</v>
      </c>
      <c r="F178" s="84">
        <f t="shared" si="13"/>
        <v>26800</v>
      </c>
      <c r="G178" s="84">
        <f t="shared" si="13"/>
        <v>35700</v>
      </c>
      <c r="H178" s="84">
        <f t="shared" si="13"/>
        <v>35700</v>
      </c>
      <c r="I178" s="653"/>
      <c r="J178" s="789"/>
      <c r="K178" s="941"/>
      <c r="L178" s="920" t="s">
        <v>1100</v>
      </c>
      <c r="M178" s="920"/>
      <c r="N178" s="920"/>
      <c r="O178" s="642">
        <f t="shared" si="14"/>
        <v>14500</v>
      </c>
      <c r="P178" s="642">
        <f t="shared" si="14"/>
        <v>44700</v>
      </c>
      <c r="Q178" s="642">
        <f t="shared" si="14"/>
        <v>59500</v>
      </c>
      <c r="R178" s="642">
        <f t="shared" si="14"/>
        <v>59500</v>
      </c>
      <c r="S178" s="409"/>
    </row>
    <row r="179" spans="1:19" ht="20.100000000000001" customHeight="1">
      <c r="A179" s="828"/>
      <c r="B179" s="941"/>
      <c r="C179" s="850" t="s">
        <v>1098</v>
      </c>
      <c r="D179" s="852"/>
      <c r="E179" s="84">
        <f t="shared" si="13"/>
        <v>3200</v>
      </c>
      <c r="F179" s="84">
        <f t="shared" si="13"/>
        <v>10300</v>
      </c>
      <c r="G179" s="84">
        <f t="shared" si="13"/>
        <v>30500</v>
      </c>
      <c r="H179" s="84">
        <f t="shared" si="13"/>
        <v>30500</v>
      </c>
      <c r="I179" s="653"/>
      <c r="J179" s="789"/>
      <c r="K179" s="941"/>
      <c r="L179" s="812" t="s">
        <v>1098</v>
      </c>
      <c r="M179" s="812"/>
      <c r="N179" s="812"/>
      <c r="O179" s="642">
        <f t="shared" si="14"/>
        <v>5400</v>
      </c>
      <c r="P179" s="642">
        <f t="shared" si="14"/>
        <v>17300</v>
      </c>
      <c r="Q179" s="642">
        <f t="shared" si="14"/>
        <v>50900</v>
      </c>
      <c r="R179" s="642">
        <f t="shared" si="14"/>
        <v>50900</v>
      </c>
      <c r="S179" s="409"/>
    </row>
    <row r="180" spans="1:19" ht="20.100000000000001" customHeight="1">
      <c r="A180" s="828"/>
      <c r="B180" s="941"/>
      <c r="C180" s="962" t="s">
        <v>1067</v>
      </c>
      <c r="D180" s="772"/>
      <c r="E180" s="84">
        <f t="shared" si="13"/>
        <v>0</v>
      </c>
      <c r="F180" s="84">
        <f t="shared" si="13"/>
        <v>1400</v>
      </c>
      <c r="G180" s="84">
        <f t="shared" si="13"/>
        <v>1400</v>
      </c>
      <c r="H180" s="84">
        <f t="shared" si="13"/>
        <v>1400</v>
      </c>
      <c r="I180" s="653"/>
      <c r="J180" s="789"/>
      <c r="K180" s="941"/>
      <c r="L180" s="920" t="s">
        <v>1067</v>
      </c>
      <c r="M180" s="920"/>
      <c r="N180" s="920"/>
      <c r="O180" s="642">
        <f t="shared" si="14"/>
        <v>0</v>
      </c>
      <c r="P180" s="642">
        <f t="shared" si="14"/>
        <v>4700</v>
      </c>
      <c r="Q180" s="642">
        <f t="shared" si="14"/>
        <v>4700</v>
      </c>
      <c r="R180" s="642">
        <f t="shared" si="14"/>
        <v>4700</v>
      </c>
      <c r="S180" s="409"/>
    </row>
    <row r="181" spans="1:19" ht="20.100000000000001" customHeight="1">
      <c r="A181" s="828"/>
      <c r="B181" s="941"/>
      <c r="C181" s="962" t="s">
        <v>1062</v>
      </c>
      <c r="D181" s="772"/>
      <c r="E181" s="84">
        <f t="shared" si="13"/>
        <v>0</v>
      </c>
      <c r="F181" s="84">
        <f t="shared" si="13"/>
        <v>1700</v>
      </c>
      <c r="G181" s="84">
        <f t="shared" si="13"/>
        <v>1700</v>
      </c>
      <c r="H181" s="84">
        <f t="shared" si="13"/>
        <v>1700</v>
      </c>
      <c r="I181" s="653"/>
      <c r="J181" s="789"/>
      <c r="K181" s="941"/>
      <c r="L181" s="920" t="s">
        <v>1062</v>
      </c>
      <c r="M181" s="920"/>
      <c r="N181" s="920"/>
      <c r="O181" s="642">
        <f t="shared" si="14"/>
        <v>0</v>
      </c>
      <c r="P181" s="642">
        <f t="shared" si="14"/>
        <v>5800</v>
      </c>
      <c r="Q181" s="642">
        <f t="shared" si="14"/>
        <v>5800</v>
      </c>
      <c r="R181" s="642">
        <f t="shared" si="14"/>
        <v>5800</v>
      </c>
      <c r="S181" s="409"/>
    </row>
    <row r="182" spans="1:19" ht="20.100000000000001" customHeight="1">
      <c r="A182" s="828"/>
      <c r="B182" s="941"/>
      <c r="C182" s="962" t="s">
        <v>1049</v>
      </c>
      <c r="D182" s="772"/>
      <c r="E182" s="84">
        <f t="shared" si="13"/>
        <v>0</v>
      </c>
      <c r="F182" s="84">
        <f t="shared" si="13"/>
        <v>1800</v>
      </c>
      <c r="G182" s="84">
        <f t="shared" si="13"/>
        <v>1800</v>
      </c>
      <c r="H182" s="84">
        <f t="shared" si="13"/>
        <v>1800</v>
      </c>
      <c r="I182" s="653"/>
      <c r="J182" s="789"/>
      <c r="K182" s="941"/>
      <c r="L182" s="920" t="s">
        <v>1049</v>
      </c>
      <c r="M182" s="920"/>
      <c r="N182" s="920"/>
      <c r="O182" s="642">
        <f t="shared" si="14"/>
        <v>0</v>
      </c>
      <c r="P182" s="642">
        <f t="shared" si="14"/>
        <v>5900</v>
      </c>
      <c r="Q182" s="642">
        <f t="shared" si="14"/>
        <v>5900</v>
      </c>
      <c r="R182" s="642">
        <f t="shared" si="14"/>
        <v>5900</v>
      </c>
      <c r="S182" s="409"/>
    </row>
    <row r="183" spans="1:19" ht="20.100000000000001" customHeight="1">
      <c r="A183" s="828"/>
      <c r="B183" s="941"/>
      <c r="C183" s="962" t="s">
        <v>1058</v>
      </c>
      <c r="D183" s="772"/>
      <c r="E183" s="84">
        <f t="shared" si="13"/>
        <v>0</v>
      </c>
      <c r="F183" s="84">
        <f t="shared" si="13"/>
        <v>2800</v>
      </c>
      <c r="G183" s="84">
        <f t="shared" si="13"/>
        <v>2800</v>
      </c>
      <c r="H183" s="84">
        <f t="shared" si="13"/>
        <v>2800</v>
      </c>
      <c r="I183" s="653"/>
      <c r="J183" s="789"/>
      <c r="K183" s="941"/>
      <c r="L183" s="920" t="s">
        <v>1058</v>
      </c>
      <c r="M183" s="920"/>
      <c r="N183" s="920"/>
      <c r="O183" s="642">
        <f t="shared" si="14"/>
        <v>0</v>
      </c>
      <c r="P183" s="642">
        <f t="shared" si="14"/>
        <v>9500</v>
      </c>
      <c r="Q183" s="642">
        <f t="shared" si="14"/>
        <v>9500</v>
      </c>
      <c r="R183" s="642">
        <f t="shared" si="14"/>
        <v>9500</v>
      </c>
      <c r="S183" s="409"/>
    </row>
    <row r="184" spans="1:19" ht="20.100000000000001" customHeight="1">
      <c r="A184" s="828"/>
      <c r="B184" s="941"/>
      <c r="C184" s="962" t="s">
        <v>1089</v>
      </c>
      <c r="D184" s="772"/>
      <c r="E184" s="84">
        <f t="shared" si="13"/>
        <v>0</v>
      </c>
      <c r="F184" s="84">
        <f t="shared" si="13"/>
        <v>1800</v>
      </c>
      <c r="G184" s="84">
        <f t="shared" si="13"/>
        <v>1800</v>
      </c>
      <c r="H184" s="84">
        <f t="shared" si="13"/>
        <v>1800</v>
      </c>
      <c r="I184" s="653"/>
      <c r="J184" s="789"/>
      <c r="K184" s="941"/>
      <c r="L184" s="920" t="s">
        <v>1089</v>
      </c>
      <c r="M184" s="920"/>
      <c r="N184" s="920"/>
      <c r="O184" s="642">
        <f t="shared" si="14"/>
        <v>0</v>
      </c>
      <c r="P184" s="642">
        <f t="shared" si="14"/>
        <v>5600</v>
      </c>
      <c r="Q184" s="642">
        <f t="shared" si="14"/>
        <v>5600</v>
      </c>
      <c r="R184" s="642">
        <f t="shared" si="14"/>
        <v>5600</v>
      </c>
      <c r="S184" s="409"/>
    </row>
    <row r="185" spans="1:19" ht="20.100000000000001" customHeight="1">
      <c r="A185" s="828"/>
      <c r="B185" s="941"/>
      <c r="C185" s="962" t="s">
        <v>1083</v>
      </c>
      <c r="D185" s="772"/>
      <c r="E185" s="84">
        <f t="shared" si="13"/>
        <v>6100</v>
      </c>
      <c r="F185" s="84">
        <f t="shared" si="13"/>
        <v>7300</v>
      </c>
      <c r="G185" s="84">
        <f t="shared" si="13"/>
        <v>7300</v>
      </c>
      <c r="H185" s="84">
        <f t="shared" si="13"/>
        <v>7300</v>
      </c>
      <c r="I185" s="653"/>
      <c r="J185" s="789"/>
      <c r="K185" s="941"/>
      <c r="L185" s="920" t="s">
        <v>1083</v>
      </c>
      <c r="M185" s="920"/>
      <c r="N185" s="920"/>
      <c r="O185" s="642">
        <f t="shared" si="14"/>
        <v>10300</v>
      </c>
      <c r="P185" s="642">
        <f t="shared" si="14"/>
        <v>14400</v>
      </c>
      <c r="Q185" s="642">
        <f t="shared" si="14"/>
        <v>14400</v>
      </c>
      <c r="R185" s="642">
        <f t="shared" si="14"/>
        <v>14400</v>
      </c>
      <c r="S185" s="409"/>
    </row>
    <row r="186" spans="1:19" ht="20.100000000000001" customHeight="1">
      <c r="A186" s="828"/>
      <c r="B186" s="941"/>
      <c r="C186" s="962" t="s">
        <v>1099</v>
      </c>
      <c r="D186" s="772"/>
      <c r="E186" s="84">
        <f t="shared" si="13"/>
        <v>10100</v>
      </c>
      <c r="F186" s="84">
        <f t="shared" si="13"/>
        <v>10100</v>
      </c>
      <c r="G186" s="84">
        <f t="shared" si="13"/>
        <v>10100</v>
      </c>
      <c r="H186" s="84">
        <f t="shared" si="13"/>
        <v>10100</v>
      </c>
      <c r="I186" s="653"/>
      <c r="J186" s="789"/>
      <c r="K186" s="941"/>
      <c r="L186" s="920" t="s">
        <v>1099</v>
      </c>
      <c r="M186" s="920"/>
      <c r="N186" s="920"/>
      <c r="O186" s="642">
        <f t="shared" si="14"/>
        <v>16900</v>
      </c>
      <c r="P186" s="642">
        <f t="shared" si="14"/>
        <v>16900</v>
      </c>
      <c r="Q186" s="642">
        <f t="shared" si="14"/>
        <v>16900</v>
      </c>
      <c r="R186" s="642">
        <f t="shared" si="14"/>
        <v>16900</v>
      </c>
      <c r="S186" s="409"/>
    </row>
    <row r="187" spans="1:19" ht="20.100000000000001" customHeight="1">
      <c r="A187" s="828"/>
      <c r="B187" s="941"/>
      <c r="C187" s="962" t="s">
        <v>1061</v>
      </c>
      <c r="D187" s="772"/>
      <c r="E187" s="84">
        <f t="shared" si="13"/>
        <v>14100</v>
      </c>
      <c r="F187" s="84">
        <f t="shared" si="13"/>
        <v>16600</v>
      </c>
      <c r="G187" s="84">
        <f t="shared" si="13"/>
        <v>21200</v>
      </c>
      <c r="H187" s="84">
        <f t="shared" si="13"/>
        <v>21200</v>
      </c>
      <c r="I187" s="653"/>
      <c r="J187" s="789"/>
      <c r="K187" s="941"/>
      <c r="L187" s="920" t="s">
        <v>1061</v>
      </c>
      <c r="M187" s="920"/>
      <c r="N187" s="920"/>
      <c r="O187" s="642">
        <f t="shared" si="14"/>
        <v>23400</v>
      </c>
      <c r="P187" s="642">
        <f t="shared" si="14"/>
        <v>28900</v>
      </c>
      <c r="Q187" s="642">
        <f t="shared" si="14"/>
        <v>36600</v>
      </c>
      <c r="R187" s="642">
        <f t="shared" si="14"/>
        <v>36600</v>
      </c>
      <c r="S187" s="409"/>
    </row>
    <row r="188" spans="1:19" ht="20.100000000000001" customHeight="1">
      <c r="A188" s="828"/>
      <c r="B188" s="941"/>
      <c r="C188" s="962" t="s">
        <v>1043</v>
      </c>
      <c r="D188" s="772"/>
      <c r="E188" s="84">
        <f t="shared" si="13"/>
        <v>1700</v>
      </c>
      <c r="F188" s="84">
        <f t="shared" si="13"/>
        <v>2600</v>
      </c>
      <c r="G188" s="84">
        <f t="shared" si="13"/>
        <v>2600</v>
      </c>
      <c r="H188" s="84">
        <f t="shared" si="13"/>
        <v>2600</v>
      </c>
      <c r="I188" s="653"/>
      <c r="J188" s="789"/>
      <c r="K188" s="941"/>
      <c r="L188" s="920" t="s">
        <v>1043</v>
      </c>
      <c r="M188" s="920"/>
      <c r="N188" s="920"/>
      <c r="O188" s="642">
        <f t="shared" si="14"/>
        <v>2700</v>
      </c>
      <c r="P188" s="642">
        <f t="shared" si="14"/>
        <v>5500</v>
      </c>
      <c r="Q188" s="642">
        <f t="shared" si="14"/>
        <v>5500</v>
      </c>
      <c r="R188" s="642">
        <f t="shared" si="14"/>
        <v>5500</v>
      </c>
      <c r="S188" s="409"/>
    </row>
    <row r="189" spans="1:19" ht="20.100000000000001" customHeight="1">
      <c r="A189" s="828"/>
      <c r="B189" s="941" t="s">
        <v>1328</v>
      </c>
      <c r="C189" s="962" t="s">
        <v>1330</v>
      </c>
      <c r="D189" s="772"/>
      <c r="E189" s="84">
        <f>SUM(E190:E193)</f>
        <v>5900</v>
      </c>
      <c r="F189" s="84">
        <f>SUM(F190:F193)</f>
        <v>24400</v>
      </c>
      <c r="G189" s="84">
        <f>SUM(G190:G193)</f>
        <v>60600</v>
      </c>
      <c r="H189" s="84">
        <f>SUM(H190:H193)</f>
        <v>60600</v>
      </c>
      <c r="I189" s="653"/>
      <c r="J189" s="789"/>
      <c r="K189" s="941" t="s">
        <v>1328</v>
      </c>
      <c r="L189" s="920" t="s">
        <v>19</v>
      </c>
      <c r="M189" s="920"/>
      <c r="N189" s="920"/>
      <c r="O189" s="84">
        <f>SUM(O190:O193)</f>
        <v>9900</v>
      </c>
      <c r="P189" s="84">
        <f>SUM(P190:P193)</f>
        <v>40600</v>
      </c>
      <c r="Q189" s="84">
        <f>SUM(Q190:Q193)</f>
        <v>96800</v>
      </c>
      <c r="R189" s="84">
        <f>SUM(R190:R193)</f>
        <v>96800</v>
      </c>
      <c r="S189" s="409"/>
    </row>
    <row r="190" spans="1:19" ht="20.100000000000001" customHeight="1">
      <c r="A190" s="828"/>
      <c r="B190" s="941"/>
      <c r="C190" s="850" t="s">
        <v>1090</v>
      </c>
      <c r="D190" s="852"/>
      <c r="E190" s="84">
        <f t="shared" ref="E190:H193" si="15">SUMIF($B$1:$B$166,$C190,E$1:E$166)</f>
        <v>1200</v>
      </c>
      <c r="F190" s="84">
        <f t="shared" si="15"/>
        <v>11100</v>
      </c>
      <c r="G190" s="84">
        <f t="shared" si="15"/>
        <v>11100</v>
      </c>
      <c r="H190" s="84">
        <f t="shared" si="15"/>
        <v>11100</v>
      </c>
      <c r="I190" s="653"/>
      <c r="J190" s="789"/>
      <c r="K190" s="941"/>
      <c r="L190" s="812" t="s">
        <v>1090</v>
      </c>
      <c r="M190" s="812"/>
      <c r="N190" s="812"/>
      <c r="O190" s="642">
        <f t="shared" ref="O190:R193" si="16">SUMIF($K$1:$K$166,$L190,O$1:O$166)</f>
        <v>2000</v>
      </c>
      <c r="P190" s="642">
        <f t="shared" si="16"/>
        <v>18400</v>
      </c>
      <c r="Q190" s="642">
        <f t="shared" si="16"/>
        <v>18400</v>
      </c>
      <c r="R190" s="642">
        <f t="shared" si="16"/>
        <v>18400</v>
      </c>
      <c r="S190" s="409"/>
    </row>
    <row r="191" spans="1:19" ht="20.100000000000001" customHeight="1">
      <c r="A191" s="828"/>
      <c r="B191" s="941"/>
      <c r="C191" s="850" t="s">
        <v>1096</v>
      </c>
      <c r="D191" s="852"/>
      <c r="E191" s="84">
        <f t="shared" si="15"/>
        <v>3500</v>
      </c>
      <c r="F191" s="84">
        <f t="shared" si="15"/>
        <v>12100</v>
      </c>
      <c r="G191" s="84">
        <f t="shared" si="15"/>
        <v>18700</v>
      </c>
      <c r="H191" s="84">
        <f t="shared" si="15"/>
        <v>18700</v>
      </c>
      <c r="I191" s="653"/>
      <c r="J191" s="789"/>
      <c r="K191" s="941"/>
      <c r="L191" s="812" t="s">
        <v>1096</v>
      </c>
      <c r="M191" s="812"/>
      <c r="N191" s="812"/>
      <c r="O191" s="642">
        <f t="shared" si="16"/>
        <v>6000</v>
      </c>
      <c r="P191" s="642">
        <f t="shared" si="16"/>
        <v>20300</v>
      </c>
      <c r="Q191" s="642">
        <f t="shared" si="16"/>
        <v>31300</v>
      </c>
      <c r="R191" s="642">
        <f t="shared" si="16"/>
        <v>31300</v>
      </c>
      <c r="S191" s="409"/>
    </row>
    <row r="192" spans="1:19" ht="20.100000000000001" customHeight="1">
      <c r="A192" s="828"/>
      <c r="B192" s="941"/>
      <c r="C192" s="961" t="s">
        <v>1105</v>
      </c>
      <c r="D192" s="771"/>
      <c r="E192" s="84">
        <f t="shared" si="15"/>
        <v>500</v>
      </c>
      <c r="F192" s="84">
        <f t="shared" si="15"/>
        <v>500</v>
      </c>
      <c r="G192" s="84">
        <f t="shared" si="15"/>
        <v>23900</v>
      </c>
      <c r="H192" s="84">
        <f t="shared" si="15"/>
        <v>23900</v>
      </c>
      <c r="I192" s="653"/>
      <c r="J192" s="789"/>
      <c r="K192" s="941"/>
      <c r="L192" s="941" t="s">
        <v>1105</v>
      </c>
      <c r="M192" s="941"/>
      <c r="N192" s="941"/>
      <c r="O192" s="642">
        <f t="shared" si="16"/>
        <v>800</v>
      </c>
      <c r="P192" s="642">
        <f t="shared" si="16"/>
        <v>800</v>
      </c>
      <c r="Q192" s="642">
        <f t="shared" si="16"/>
        <v>39800</v>
      </c>
      <c r="R192" s="642">
        <f t="shared" si="16"/>
        <v>39800</v>
      </c>
      <c r="S192" s="409"/>
    </row>
    <row r="193" spans="1:19" ht="20.100000000000001" customHeight="1">
      <c r="A193" s="828"/>
      <c r="B193" s="941"/>
      <c r="C193" s="850" t="s">
        <v>1106</v>
      </c>
      <c r="D193" s="852"/>
      <c r="E193" s="84">
        <f t="shared" si="15"/>
        <v>700</v>
      </c>
      <c r="F193" s="84">
        <f t="shared" si="15"/>
        <v>700</v>
      </c>
      <c r="G193" s="84">
        <f t="shared" si="15"/>
        <v>6900</v>
      </c>
      <c r="H193" s="84">
        <f t="shared" si="15"/>
        <v>6900</v>
      </c>
      <c r="I193" s="653"/>
      <c r="J193" s="789"/>
      <c r="K193" s="941"/>
      <c r="L193" s="812" t="s">
        <v>1106</v>
      </c>
      <c r="M193" s="812"/>
      <c r="N193" s="812"/>
      <c r="O193" s="642">
        <f t="shared" si="16"/>
        <v>1100</v>
      </c>
      <c r="P193" s="642">
        <f t="shared" si="16"/>
        <v>1100</v>
      </c>
      <c r="Q193" s="642">
        <f t="shared" si="16"/>
        <v>7300</v>
      </c>
      <c r="R193" s="642">
        <f t="shared" si="16"/>
        <v>7300</v>
      </c>
      <c r="S193" s="409"/>
    </row>
    <row r="194" spans="1:19" ht="20.100000000000001" customHeight="1">
      <c r="A194" s="828"/>
      <c r="B194" s="941" t="s">
        <v>1329</v>
      </c>
      <c r="C194" s="962" t="s">
        <v>1330</v>
      </c>
      <c r="D194" s="772"/>
      <c r="E194" s="84">
        <f>SUM(E195:E200)</f>
        <v>200</v>
      </c>
      <c r="F194" s="84">
        <f>SUM(F195:F200)</f>
        <v>2000</v>
      </c>
      <c r="G194" s="84">
        <f>SUM(G195:G200)</f>
        <v>9800</v>
      </c>
      <c r="H194" s="84">
        <f>SUM(H195:H200)</f>
        <v>9800</v>
      </c>
      <c r="I194" s="653"/>
      <c r="J194" s="789"/>
      <c r="K194" s="941" t="s">
        <v>1329</v>
      </c>
      <c r="L194" s="920" t="s">
        <v>1112</v>
      </c>
      <c r="M194" s="920"/>
      <c r="N194" s="920"/>
      <c r="O194" s="84">
        <f>SUM(O195:O200)</f>
        <v>400</v>
      </c>
      <c r="P194" s="84">
        <f>SUM(P195:P200)</f>
        <v>3400</v>
      </c>
      <c r="Q194" s="84">
        <f>SUM(Q195:Q200)</f>
        <v>11200</v>
      </c>
      <c r="R194" s="84">
        <f>SUM(R195:R200)</f>
        <v>11200</v>
      </c>
      <c r="S194" s="409"/>
    </row>
    <row r="195" spans="1:19" ht="20.100000000000001" customHeight="1">
      <c r="A195" s="828"/>
      <c r="B195" s="941"/>
      <c r="C195" s="962" t="s">
        <v>1115</v>
      </c>
      <c r="D195" s="772"/>
      <c r="E195" s="84">
        <f t="shared" ref="E195:H200" si="17">SUMIF($B$1:$B$166,$C195,E$1:E$166)</f>
        <v>0</v>
      </c>
      <c r="F195" s="84">
        <f t="shared" si="17"/>
        <v>0</v>
      </c>
      <c r="G195" s="84">
        <f t="shared" si="17"/>
        <v>0</v>
      </c>
      <c r="H195" s="84">
        <f t="shared" si="17"/>
        <v>0</v>
      </c>
      <c r="I195" s="653"/>
      <c r="J195" s="789"/>
      <c r="K195" s="941"/>
      <c r="L195" s="920" t="s">
        <v>1115</v>
      </c>
      <c r="M195" s="920"/>
      <c r="N195" s="920"/>
      <c r="O195" s="642">
        <f t="shared" ref="O195:R200" si="18">SUMIF($K$1:$K$166,$L195,O$1:O$166)</f>
        <v>0</v>
      </c>
      <c r="P195" s="642">
        <f t="shared" si="18"/>
        <v>0</v>
      </c>
      <c r="Q195" s="642">
        <f t="shared" si="18"/>
        <v>0</v>
      </c>
      <c r="R195" s="642">
        <f t="shared" si="18"/>
        <v>0</v>
      </c>
      <c r="S195" s="409"/>
    </row>
    <row r="196" spans="1:19" ht="20.100000000000001" customHeight="1">
      <c r="A196" s="828"/>
      <c r="B196" s="941"/>
      <c r="C196" s="962" t="s">
        <v>1118</v>
      </c>
      <c r="D196" s="772"/>
      <c r="E196" s="84">
        <f t="shared" si="17"/>
        <v>0</v>
      </c>
      <c r="F196" s="84">
        <f t="shared" si="17"/>
        <v>0</v>
      </c>
      <c r="G196" s="84">
        <f t="shared" si="17"/>
        <v>0</v>
      </c>
      <c r="H196" s="84">
        <f t="shared" si="17"/>
        <v>0</v>
      </c>
      <c r="I196" s="653"/>
      <c r="J196" s="789"/>
      <c r="K196" s="941"/>
      <c r="L196" s="920" t="s">
        <v>1118</v>
      </c>
      <c r="M196" s="920"/>
      <c r="N196" s="920"/>
      <c r="O196" s="642">
        <f t="shared" si="18"/>
        <v>0</v>
      </c>
      <c r="P196" s="642">
        <f t="shared" si="18"/>
        <v>0</v>
      </c>
      <c r="Q196" s="642">
        <f t="shared" si="18"/>
        <v>0</v>
      </c>
      <c r="R196" s="642">
        <f t="shared" si="18"/>
        <v>0</v>
      </c>
      <c r="S196" s="409"/>
    </row>
    <row r="197" spans="1:19" ht="20.100000000000001" customHeight="1">
      <c r="A197" s="828"/>
      <c r="B197" s="941"/>
      <c r="C197" s="962" t="s">
        <v>1119</v>
      </c>
      <c r="D197" s="772"/>
      <c r="E197" s="84">
        <f t="shared" si="17"/>
        <v>0</v>
      </c>
      <c r="F197" s="84">
        <f t="shared" si="17"/>
        <v>1800</v>
      </c>
      <c r="G197" s="84">
        <f t="shared" si="17"/>
        <v>7900</v>
      </c>
      <c r="H197" s="84">
        <f t="shared" si="17"/>
        <v>7900</v>
      </c>
      <c r="I197" s="653"/>
      <c r="J197" s="789"/>
      <c r="K197" s="941"/>
      <c r="L197" s="920" t="s">
        <v>1119</v>
      </c>
      <c r="M197" s="920"/>
      <c r="N197" s="920"/>
      <c r="O197" s="642">
        <f t="shared" si="18"/>
        <v>0</v>
      </c>
      <c r="P197" s="642">
        <f t="shared" si="18"/>
        <v>3000</v>
      </c>
      <c r="Q197" s="642">
        <f t="shared" si="18"/>
        <v>9100</v>
      </c>
      <c r="R197" s="642">
        <f t="shared" si="18"/>
        <v>9100</v>
      </c>
      <c r="S197" s="409"/>
    </row>
    <row r="198" spans="1:19" ht="20.100000000000001" customHeight="1">
      <c r="A198" s="828"/>
      <c r="B198" s="941"/>
      <c r="C198" s="962" t="s">
        <v>1120</v>
      </c>
      <c r="D198" s="772"/>
      <c r="E198" s="84">
        <f t="shared" si="17"/>
        <v>0</v>
      </c>
      <c r="F198" s="84">
        <f t="shared" si="17"/>
        <v>0</v>
      </c>
      <c r="G198" s="84">
        <f t="shared" si="17"/>
        <v>1500</v>
      </c>
      <c r="H198" s="84">
        <f t="shared" si="17"/>
        <v>1500</v>
      </c>
      <c r="I198" s="653"/>
      <c r="J198" s="789"/>
      <c r="K198" s="941"/>
      <c r="L198" s="920" t="s">
        <v>1120</v>
      </c>
      <c r="M198" s="920"/>
      <c r="N198" s="920"/>
      <c r="O198" s="642">
        <f t="shared" si="18"/>
        <v>0</v>
      </c>
      <c r="P198" s="642">
        <f t="shared" si="18"/>
        <v>0</v>
      </c>
      <c r="Q198" s="642">
        <f t="shared" si="18"/>
        <v>1500</v>
      </c>
      <c r="R198" s="642">
        <f t="shared" si="18"/>
        <v>1500</v>
      </c>
      <c r="S198" s="409"/>
    </row>
    <row r="199" spans="1:19" ht="20.100000000000001" customHeight="1">
      <c r="A199" s="828"/>
      <c r="B199" s="941"/>
      <c r="C199" s="962" t="s">
        <v>1102</v>
      </c>
      <c r="D199" s="772"/>
      <c r="E199" s="84">
        <f t="shared" si="17"/>
        <v>200</v>
      </c>
      <c r="F199" s="84">
        <f t="shared" si="17"/>
        <v>200</v>
      </c>
      <c r="G199" s="84">
        <f t="shared" si="17"/>
        <v>200</v>
      </c>
      <c r="H199" s="84">
        <f t="shared" si="17"/>
        <v>200</v>
      </c>
      <c r="I199" s="653"/>
      <c r="J199" s="789"/>
      <c r="K199" s="941"/>
      <c r="L199" s="920" t="s">
        <v>1102</v>
      </c>
      <c r="M199" s="920"/>
      <c r="N199" s="920"/>
      <c r="O199" s="642">
        <f t="shared" si="18"/>
        <v>400</v>
      </c>
      <c r="P199" s="642">
        <f t="shared" si="18"/>
        <v>400</v>
      </c>
      <c r="Q199" s="642">
        <f t="shared" si="18"/>
        <v>400</v>
      </c>
      <c r="R199" s="642">
        <f t="shared" si="18"/>
        <v>400</v>
      </c>
      <c r="S199" s="409"/>
    </row>
    <row r="200" spans="1:19" ht="20.100000000000001" customHeight="1">
      <c r="A200" s="828"/>
      <c r="B200" s="941"/>
      <c r="C200" s="962" t="s">
        <v>1121</v>
      </c>
      <c r="D200" s="772"/>
      <c r="E200" s="84">
        <f t="shared" si="17"/>
        <v>0</v>
      </c>
      <c r="F200" s="84">
        <f t="shared" si="17"/>
        <v>0</v>
      </c>
      <c r="G200" s="84">
        <f t="shared" si="17"/>
        <v>200</v>
      </c>
      <c r="H200" s="84">
        <f t="shared" si="17"/>
        <v>200</v>
      </c>
      <c r="I200" s="653"/>
      <c r="J200" s="789"/>
      <c r="K200" s="941"/>
      <c r="L200" s="920" t="s">
        <v>1121</v>
      </c>
      <c r="M200" s="920"/>
      <c r="N200" s="920"/>
      <c r="O200" s="642">
        <f t="shared" si="18"/>
        <v>0</v>
      </c>
      <c r="P200" s="642">
        <f t="shared" si="18"/>
        <v>0</v>
      </c>
      <c r="Q200" s="642">
        <f t="shared" si="18"/>
        <v>200</v>
      </c>
      <c r="R200" s="642">
        <f t="shared" si="18"/>
        <v>200</v>
      </c>
      <c r="S200" s="409"/>
    </row>
    <row r="201" spans="1:19" ht="20.100000000000001" customHeight="1">
      <c r="A201" s="828"/>
      <c r="B201" s="941" t="s">
        <v>1331</v>
      </c>
      <c r="C201" s="962" t="s">
        <v>1330</v>
      </c>
      <c r="D201" s="772"/>
      <c r="E201" s="84">
        <f>SUM(E202:E203)</f>
        <v>0</v>
      </c>
      <c r="F201" s="84">
        <f>SUM(F202:F203)</f>
        <v>3200</v>
      </c>
      <c r="G201" s="84">
        <f>SUM(G202:G203)</f>
        <v>3200</v>
      </c>
      <c r="H201" s="84">
        <f>SUM(H202:H203)</f>
        <v>3200</v>
      </c>
      <c r="I201" s="653"/>
      <c r="J201" s="789"/>
      <c r="K201" s="941" t="s">
        <v>1331</v>
      </c>
      <c r="L201" s="920" t="s">
        <v>19</v>
      </c>
      <c r="M201" s="920"/>
      <c r="N201" s="920"/>
      <c r="O201" s="84">
        <f>SUM(O202:O203)</f>
        <v>0</v>
      </c>
      <c r="P201" s="84">
        <f>SUM(P202:P203)</f>
        <v>3200</v>
      </c>
      <c r="Q201" s="84">
        <f>SUM(Q202:Q203)</f>
        <v>3200</v>
      </c>
      <c r="R201" s="84">
        <f>SUM(R202:R203)</f>
        <v>3200</v>
      </c>
      <c r="S201" s="409"/>
    </row>
    <row r="202" spans="1:19" ht="20.100000000000001" customHeight="1">
      <c r="A202" s="828"/>
      <c r="B202" s="941"/>
      <c r="C202" s="962" t="s">
        <v>1116</v>
      </c>
      <c r="D202" s="772"/>
      <c r="E202" s="84">
        <f t="shared" ref="E202:H203" si="19">SUMIF($B$1:$B$166,$C202,E$1:E$166)</f>
        <v>0</v>
      </c>
      <c r="F202" s="84">
        <f t="shared" si="19"/>
        <v>3200</v>
      </c>
      <c r="G202" s="84">
        <f t="shared" si="19"/>
        <v>3200</v>
      </c>
      <c r="H202" s="84">
        <f t="shared" si="19"/>
        <v>3200</v>
      </c>
      <c r="I202" s="653"/>
      <c r="J202" s="789"/>
      <c r="K202" s="941"/>
      <c r="L202" s="920" t="s">
        <v>1116</v>
      </c>
      <c r="M202" s="920"/>
      <c r="N202" s="920"/>
      <c r="O202" s="642">
        <f t="shared" ref="O202:R203" si="20">SUMIF($K$1:$K$166,$L202,O$1:O$166)</f>
        <v>0</v>
      </c>
      <c r="P202" s="642">
        <f t="shared" si="20"/>
        <v>3200</v>
      </c>
      <c r="Q202" s="642">
        <f t="shared" si="20"/>
        <v>3200</v>
      </c>
      <c r="R202" s="642">
        <f t="shared" si="20"/>
        <v>3200</v>
      </c>
      <c r="S202" s="409"/>
    </row>
    <row r="203" spans="1:19" ht="20.100000000000001" customHeight="1">
      <c r="A203" s="829"/>
      <c r="B203" s="940"/>
      <c r="C203" s="963" t="s">
        <v>1117</v>
      </c>
      <c r="D203" s="802"/>
      <c r="E203" s="222">
        <f t="shared" si="19"/>
        <v>0</v>
      </c>
      <c r="F203" s="222">
        <f t="shared" si="19"/>
        <v>0</v>
      </c>
      <c r="G203" s="222">
        <f t="shared" si="19"/>
        <v>0</v>
      </c>
      <c r="H203" s="222">
        <f t="shared" si="19"/>
        <v>0</v>
      </c>
      <c r="I203" s="654"/>
      <c r="J203" s="809"/>
      <c r="K203" s="940"/>
      <c r="L203" s="795" t="s">
        <v>1117</v>
      </c>
      <c r="M203" s="795"/>
      <c r="N203" s="795"/>
      <c r="O203" s="643">
        <f t="shared" si="20"/>
        <v>0</v>
      </c>
      <c r="P203" s="643">
        <f t="shared" si="20"/>
        <v>0</v>
      </c>
      <c r="Q203" s="643">
        <f t="shared" si="20"/>
        <v>0</v>
      </c>
      <c r="R203" s="643">
        <f t="shared" si="20"/>
        <v>0</v>
      </c>
      <c r="S203" s="414"/>
    </row>
    <row r="204" spans="1:19" ht="21" customHeight="1"/>
    <row r="205" spans="1:19" ht="21" customHeight="1">
      <c r="A205" s="604" t="s">
        <v>1122</v>
      </c>
      <c r="J205" s="604" t="s">
        <v>1123</v>
      </c>
    </row>
    <row r="206" spans="1:19" ht="21" customHeight="1">
      <c r="A206" s="792" t="s">
        <v>985</v>
      </c>
      <c r="B206" s="939" t="s">
        <v>1124</v>
      </c>
      <c r="C206" s="964" t="s">
        <v>1333</v>
      </c>
      <c r="D206" s="783"/>
      <c r="E206" s="774" t="s">
        <v>1109</v>
      </c>
      <c r="F206" s="775"/>
      <c r="G206" s="775"/>
      <c r="H206" s="788"/>
      <c r="I206" s="937" t="s">
        <v>1265</v>
      </c>
      <c r="J206" s="792" t="s">
        <v>495</v>
      </c>
      <c r="K206" s="939" t="s">
        <v>1124</v>
      </c>
      <c r="L206" s="793" t="s">
        <v>1028</v>
      </c>
      <c r="M206" s="793"/>
      <c r="N206" s="793"/>
      <c r="O206" s="639" t="s">
        <v>1080</v>
      </c>
      <c r="P206" s="639"/>
      <c r="Q206" s="639"/>
      <c r="R206" s="639"/>
      <c r="S206" s="798" t="s">
        <v>772</v>
      </c>
    </row>
    <row r="207" spans="1:19" ht="21" customHeight="1">
      <c r="A207" s="794"/>
      <c r="B207" s="940"/>
      <c r="C207" s="965"/>
      <c r="D207" s="786"/>
      <c r="E207" s="676" t="s">
        <v>776</v>
      </c>
      <c r="F207" s="676" t="s">
        <v>777</v>
      </c>
      <c r="G207" s="676" t="s">
        <v>778</v>
      </c>
      <c r="H207" s="676" t="s">
        <v>779</v>
      </c>
      <c r="I207" s="938"/>
      <c r="J207" s="794"/>
      <c r="K207" s="940"/>
      <c r="L207" s="795"/>
      <c r="M207" s="795"/>
      <c r="N207" s="795"/>
      <c r="O207" s="581" t="s">
        <v>776</v>
      </c>
      <c r="P207" s="581" t="s">
        <v>777</v>
      </c>
      <c r="Q207" s="581" t="s">
        <v>778</v>
      </c>
      <c r="R207" s="581" t="s">
        <v>779</v>
      </c>
      <c r="S207" s="799"/>
    </row>
    <row r="208" spans="1:19" ht="21" customHeight="1">
      <c r="A208" s="787" t="s">
        <v>1110</v>
      </c>
      <c r="B208" s="775"/>
      <c r="C208" s="775"/>
      <c r="D208" s="788"/>
      <c r="E208" s="84">
        <f>E209+E228</f>
        <v>52100</v>
      </c>
      <c r="F208" s="84">
        <f>F209+F228</f>
        <v>116600</v>
      </c>
      <c r="G208" s="84">
        <f>G209+G228</f>
        <v>194300</v>
      </c>
      <c r="H208" s="84">
        <f>H209+H228</f>
        <v>194300</v>
      </c>
      <c r="I208" s="655"/>
      <c r="J208" s="791" t="s">
        <v>1110</v>
      </c>
      <c r="K208" s="942"/>
      <c r="L208" s="942"/>
      <c r="M208" s="942"/>
      <c r="N208" s="942"/>
      <c r="O208" s="641">
        <f>O209+O228</f>
        <v>86900</v>
      </c>
      <c r="P208" s="641">
        <f>P209+P228</f>
        <v>215700</v>
      </c>
      <c r="Q208" s="641">
        <f>Q209+Q228</f>
        <v>335800</v>
      </c>
      <c r="R208" s="641">
        <f>R209+R228</f>
        <v>335800</v>
      </c>
      <c r="S208" s="644"/>
    </row>
    <row r="209" spans="1:19" ht="21" customHeight="1">
      <c r="A209" s="828" t="s">
        <v>1125</v>
      </c>
      <c r="B209" s="962" t="s">
        <v>1126</v>
      </c>
      <c r="C209" s="966"/>
      <c r="D209" s="772"/>
      <c r="E209" s="84">
        <f>E210+E220+E224</f>
        <v>52100</v>
      </c>
      <c r="F209" s="84">
        <f>F210+F220+F224</f>
        <v>113400</v>
      </c>
      <c r="G209" s="84">
        <f>G210+G220+G224</f>
        <v>177100</v>
      </c>
      <c r="H209" s="84">
        <f>H210+H220+H224</f>
        <v>177100</v>
      </c>
      <c r="I209" s="653"/>
      <c r="J209" s="828" t="s">
        <v>1125</v>
      </c>
      <c r="K209" s="920" t="s">
        <v>1126</v>
      </c>
      <c r="L209" s="920"/>
      <c r="M209" s="920"/>
      <c r="N209" s="920"/>
      <c r="O209" s="642">
        <f>O210+O220+O224</f>
        <v>86900</v>
      </c>
      <c r="P209" s="642">
        <f>P210+P220+P224</f>
        <v>212500</v>
      </c>
      <c r="Q209" s="642">
        <f>Q210+Q220+Q224</f>
        <v>318600</v>
      </c>
      <c r="R209" s="642">
        <f>R210+R220+R224</f>
        <v>318600</v>
      </c>
      <c r="S209" s="645"/>
    </row>
    <row r="210" spans="1:19" ht="21" customHeight="1">
      <c r="A210" s="828"/>
      <c r="B210" s="941" t="s">
        <v>1127</v>
      </c>
      <c r="C210" s="962" t="s">
        <v>1128</v>
      </c>
      <c r="D210" s="772"/>
      <c r="E210" s="84">
        <f>SUM(E211:E219)</f>
        <v>45800</v>
      </c>
      <c r="F210" s="84">
        <f>SUM(F211:F219)</f>
        <v>86800</v>
      </c>
      <c r="G210" s="84">
        <f>SUM(G211:G219)</f>
        <v>100300</v>
      </c>
      <c r="H210" s="84">
        <f>SUM(H211:H219)</f>
        <v>100300</v>
      </c>
      <c r="I210" s="653"/>
      <c r="J210" s="828"/>
      <c r="K210" s="941" t="s">
        <v>1127</v>
      </c>
      <c r="L210" s="920" t="s">
        <v>1128</v>
      </c>
      <c r="M210" s="920"/>
      <c r="N210" s="920"/>
      <c r="O210" s="642">
        <f>SUM(O211:O219)</f>
        <v>76200</v>
      </c>
      <c r="P210" s="642">
        <f>SUM(P211:P219)</f>
        <v>168100</v>
      </c>
      <c r="Q210" s="642">
        <f>SUM(Q211:Q219)</f>
        <v>190600</v>
      </c>
      <c r="R210" s="642">
        <f>SUM(R211:R219)</f>
        <v>190600</v>
      </c>
      <c r="S210" s="645"/>
    </row>
    <row r="211" spans="1:19" ht="21" customHeight="1">
      <c r="A211" s="828"/>
      <c r="B211" s="920"/>
      <c r="C211" s="961" t="s">
        <v>1041</v>
      </c>
      <c r="D211" s="771"/>
      <c r="E211" s="84">
        <f t="shared" ref="E211:H219" si="21">SUMIF($D$1:$D$166,$C211,E$1:E$166)</f>
        <v>3200</v>
      </c>
      <c r="F211" s="84">
        <f t="shared" si="21"/>
        <v>8900</v>
      </c>
      <c r="G211" s="84">
        <f t="shared" si="21"/>
        <v>8900</v>
      </c>
      <c r="H211" s="84">
        <f t="shared" si="21"/>
        <v>8900</v>
      </c>
      <c r="I211" s="653"/>
      <c r="J211" s="828"/>
      <c r="K211" s="920"/>
      <c r="L211" s="941" t="s">
        <v>1041</v>
      </c>
      <c r="M211" s="941"/>
      <c r="N211" s="941"/>
      <c r="O211" s="642">
        <f>SUMIF(인구배분!$M$1:$M$166,인구배분!$L211,인구배분!O$1:O$166)</f>
        <v>5300</v>
      </c>
      <c r="P211" s="642">
        <f>SUMIF(인구배분!$M$1:$M$166,인구배분!$L211,인구배분!P$1:P$166)</f>
        <v>24500</v>
      </c>
      <c r="Q211" s="642">
        <f>SUMIF(인구배분!$M$1:$M$166,인구배분!$L211,인구배분!Q$1:Q$166)</f>
        <v>24500</v>
      </c>
      <c r="R211" s="642">
        <f>SUMIF(인구배분!$M$1:$M$166,인구배분!$L211,인구배분!R$1:R$166)</f>
        <v>24500</v>
      </c>
      <c r="S211" s="645"/>
    </row>
    <row r="212" spans="1:19" ht="21" customHeight="1">
      <c r="A212" s="828"/>
      <c r="B212" s="920"/>
      <c r="C212" s="961" t="s">
        <v>1084</v>
      </c>
      <c r="D212" s="771"/>
      <c r="E212" s="84">
        <f t="shared" si="21"/>
        <v>7700</v>
      </c>
      <c r="F212" s="84">
        <f t="shared" si="21"/>
        <v>7800</v>
      </c>
      <c r="G212" s="84">
        <f t="shared" si="21"/>
        <v>7800</v>
      </c>
      <c r="H212" s="84">
        <f t="shared" si="21"/>
        <v>7800</v>
      </c>
      <c r="I212" s="653"/>
      <c r="J212" s="828"/>
      <c r="K212" s="920"/>
      <c r="L212" s="941" t="s">
        <v>1084</v>
      </c>
      <c r="M212" s="941"/>
      <c r="N212" s="941"/>
      <c r="O212" s="642">
        <f>SUMIF(인구배분!$M$1:$M$166,인구배분!$L212,인구배분!O$1:O$166)</f>
        <v>12900</v>
      </c>
      <c r="P212" s="642">
        <f>SUMIF(인구배분!$M$1:$M$166,인구배분!$L212,인구배분!P$1:P$166)</f>
        <v>13300</v>
      </c>
      <c r="Q212" s="642">
        <f>SUMIF(인구배분!$M$1:$M$166,인구배분!$L212,인구배분!Q$1:Q$166)</f>
        <v>13300</v>
      </c>
      <c r="R212" s="642">
        <f>SUMIF(인구배분!$M$1:$M$166,인구배분!$L212,인구배분!R$1:R$166)</f>
        <v>13300</v>
      </c>
      <c r="S212" s="645"/>
    </row>
    <row r="213" spans="1:19" ht="21" customHeight="1">
      <c r="A213" s="828"/>
      <c r="B213" s="920"/>
      <c r="C213" s="961" t="s">
        <v>1050</v>
      </c>
      <c r="D213" s="771"/>
      <c r="E213" s="84">
        <f t="shared" si="21"/>
        <v>0</v>
      </c>
      <c r="F213" s="84">
        <f t="shared" si="21"/>
        <v>4400</v>
      </c>
      <c r="G213" s="84">
        <f t="shared" si="21"/>
        <v>4400</v>
      </c>
      <c r="H213" s="84">
        <f t="shared" si="21"/>
        <v>4400</v>
      </c>
      <c r="I213" s="653"/>
      <c r="J213" s="828"/>
      <c r="K213" s="920"/>
      <c r="L213" s="941" t="s">
        <v>1050</v>
      </c>
      <c r="M213" s="941"/>
      <c r="N213" s="941"/>
      <c r="O213" s="642">
        <f>SUMIF(인구배분!$M$1:$M$166,인구배분!$L213,인구배분!O$1:O$166)</f>
        <v>0</v>
      </c>
      <c r="P213" s="642">
        <f>SUMIF(인구배분!$M$1:$M$166,인구배분!$L213,인구배분!P$1:P$166)</f>
        <v>14600</v>
      </c>
      <c r="Q213" s="642">
        <f>SUMIF(인구배분!$M$1:$M$166,인구배분!$L213,인구배분!Q$1:Q$166)</f>
        <v>14600</v>
      </c>
      <c r="R213" s="642">
        <f>SUMIF(인구배분!$M$1:$M$166,인구배분!$L213,인구배분!R$1:R$166)</f>
        <v>14600</v>
      </c>
      <c r="S213" s="645"/>
    </row>
    <row r="214" spans="1:19" ht="21" customHeight="1">
      <c r="A214" s="828"/>
      <c r="B214" s="920"/>
      <c r="C214" s="961" t="s">
        <v>1060</v>
      </c>
      <c r="D214" s="771"/>
      <c r="E214" s="84">
        <f t="shared" si="21"/>
        <v>0</v>
      </c>
      <c r="F214" s="84">
        <f t="shared" si="21"/>
        <v>1300</v>
      </c>
      <c r="G214" s="84">
        <f t="shared" si="21"/>
        <v>1300</v>
      </c>
      <c r="H214" s="84">
        <f t="shared" si="21"/>
        <v>1300</v>
      </c>
      <c r="I214" s="653"/>
      <c r="J214" s="828"/>
      <c r="K214" s="920"/>
      <c r="L214" s="941" t="s">
        <v>1060</v>
      </c>
      <c r="M214" s="941"/>
      <c r="N214" s="941"/>
      <c r="O214" s="642">
        <f>SUMIF(인구배분!$M$1:$M$166,인구배분!$L214,인구배분!O$1:O$166)</f>
        <v>0</v>
      </c>
      <c r="P214" s="642">
        <f>SUMIF(인구배분!$M$1:$M$166,인구배분!$L214,인구배분!P$1:P$166)</f>
        <v>4300</v>
      </c>
      <c r="Q214" s="642">
        <f>SUMIF(인구배분!$M$1:$M$166,인구배분!$L214,인구배분!Q$1:Q$166)</f>
        <v>4300</v>
      </c>
      <c r="R214" s="642">
        <f>SUMIF(인구배분!$M$1:$M$166,인구배분!$L214,인구배분!R$1:R$166)</f>
        <v>4300</v>
      </c>
      <c r="S214" s="645"/>
    </row>
    <row r="215" spans="1:19" ht="21" customHeight="1">
      <c r="A215" s="828"/>
      <c r="B215" s="920"/>
      <c r="C215" s="961" t="s">
        <v>1087</v>
      </c>
      <c r="D215" s="771"/>
      <c r="E215" s="84">
        <f t="shared" si="21"/>
        <v>3000</v>
      </c>
      <c r="F215" s="84">
        <f t="shared" si="21"/>
        <v>5500</v>
      </c>
      <c r="G215" s="84">
        <f t="shared" si="21"/>
        <v>5500</v>
      </c>
      <c r="H215" s="84">
        <f t="shared" si="21"/>
        <v>5500</v>
      </c>
      <c r="I215" s="653"/>
      <c r="J215" s="828"/>
      <c r="K215" s="920"/>
      <c r="L215" s="941" t="s">
        <v>1087</v>
      </c>
      <c r="M215" s="941"/>
      <c r="N215" s="941"/>
      <c r="O215" s="642">
        <f>SUMIF(인구배분!$M$1:$M$166,인구배분!$L215,인구배분!O$1:O$166)</f>
        <v>5000</v>
      </c>
      <c r="P215" s="642">
        <f>SUMIF(인구배분!$M$1:$M$166,인구배분!$L215,인구배분!P$1:P$166)</f>
        <v>13100</v>
      </c>
      <c r="Q215" s="642">
        <f>SUMIF(인구배분!$M$1:$M$166,인구배분!$L215,인구배분!Q$1:Q$166)</f>
        <v>13100</v>
      </c>
      <c r="R215" s="642">
        <f>SUMIF(인구배분!$M$1:$M$166,인구배분!$L215,인구배분!R$1:R$166)</f>
        <v>13100</v>
      </c>
      <c r="S215" s="645"/>
    </row>
    <row r="216" spans="1:19" ht="21" customHeight="1">
      <c r="A216" s="828"/>
      <c r="B216" s="920"/>
      <c r="C216" s="961" t="s">
        <v>1129</v>
      </c>
      <c r="D216" s="771"/>
      <c r="E216" s="84">
        <f t="shared" si="21"/>
        <v>8200</v>
      </c>
      <c r="F216" s="84">
        <f t="shared" si="21"/>
        <v>33400</v>
      </c>
      <c r="G216" s="84">
        <f t="shared" si="21"/>
        <v>42300</v>
      </c>
      <c r="H216" s="84">
        <f t="shared" si="21"/>
        <v>42300</v>
      </c>
      <c r="I216" s="653"/>
      <c r="J216" s="828"/>
      <c r="K216" s="920"/>
      <c r="L216" s="941" t="s">
        <v>1129</v>
      </c>
      <c r="M216" s="941"/>
      <c r="N216" s="941"/>
      <c r="O216" s="642">
        <f>SUMIF(인구배분!$M$1:$M$166,인구배분!$L216,인구배분!O$1:O$166)</f>
        <v>13700</v>
      </c>
      <c r="P216" s="642">
        <f>SUMIF(인구배분!$M$1:$M$166,인구배분!$L216,인구배분!P$1:P$166)</f>
        <v>55800</v>
      </c>
      <c r="Q216" s="642">
        <f>SUMIF(인구배분!$M$1:$M$166,인구배분!$L216,인구배분!Q$1:Q$166)</f>
        <v>70600</v>
      </c>
      <c r="R216" s="642">
        <f>SUMIF(인구배분!$M$1:$M$166,인구배분!$L216,인구배분!R$1:R$166)</f>
        <v>70600</v>
      </c>
      <c r="S216" s="645"/>
    </row>
    <row r="217" spans="1:19" ht="21" customHeight="1">
      <c r="A217" s="828"/>
      <c r="B217" s="920"/>
      <c r="C217" s="961" t="s">
        <v>1085</v>
      </c>
      <c r="D217" s="771"/>
      <c r="E217" s="84">
        <f t="shared" si="21"/>
        <v>23700</v>
      </c>
      <c r="F217" s="84">
        <f t="shared" si="21"/>
        <v>25500</v>
      </c>
      <c r="G217" s="84">
        <f t="shared" si="21"/>
        <v>30100</v>
      </c>
      <c r="H217" s="84">
        <f t="shared" si="21"/>
        <v>30100</v>
      </c>
      <c r="I217" s="653"/>
      <c r="J217" s="828"/>
      <c r="K217" s="920"/>
      <c r="L217" s="941" t="s">
        <v>1085</v>
      </c>
      <c r="M217" s="941"/>
      <c r="N217" s="941"/>
      <c r="O217" s="642">
        <f>SUMIF(인구배분!$M$1:$M$166,인구배분!$L217,인구배분!O$1:O$166)</f>
        <v>39300</v>
      </c>
      <c r="P217" s="642">
        <f>SUMIF(인구배분!$M$1:$M$166,인구배분!$L217,인구배분!P$1:P$166)</f>
        <v>42500</v>
      </c>
      <c r="Q217" s="642">
        <f>SUMIF(인구배분!$M$1:$M$166,인구배분!$L217,인구배분!Q$1:Q$166)</f>
        <v>50200</v>
      </c>
      <c r="R217" s="642">
        <f>SUMIF(인구배분!$M$1:$M$166,인구배분!$L217,인구배분!R$1:R$166)</f>
        <v>50200</v>
      </c>
      <c r="S217" s="645"/>
    </row>
    <row r="218" spans="1:19" ht="21" customHeight="1">
      <c r="A218" s="828"/>
      <c r="B218" s="920"/>
      <c r="C218" s="961" t="s">
        <v>1130</v>
      </c>
      <c r="D218" s="771"/>
      <c r="E218" s="84">
        <f t="shared" si="21"/>
        <v>0</v>
      </c>
      <c r="F218" s="84">
        <f t="shared" si="21"/>
        <v>0</v>
      </c>
      <c r="G218" s="84">
        <f t="shared" si="21"/>
        <v>0</v>
      </c>
      <c r="H218" s="84">
        <f t="shared" si="21"/>
        <v>0</v>
      </c>
      <c r="I218" s="653"/>
      <c r="J218" s="828"/>
      <c r="K218" s="920"/>
      <c r="L218" s="941" t="s">
        <v>1130</v>
      </c>
      <c r="M218" s="941"/>
      <c r="N218" s="941"/>
      <c r="O218" s="642">
        <f>SUMIF(인구배분!$M$1:$M$166,인구배분!$L218,인구배분!O$1:O$166)</f>
        <v>0</v>
      </c>
      <c r="P218" s="642">
        <f>SUMIF(인구배분!$M$1:$M$166,인구배분!$L218,인구배분!P$1:P$166)</f>
        <v>0</v>
      </c>
      <c r="Q218" s="642">
        <f>SUMIF(인구배분!$M$1:$M$166,인구배분!$L218,인구배분!Q$1:Q$166)</f>
        <v>0</v>
      </c>
      <c r="R218" s="642">
        <f>SUMIF(인구배분!$M$1:$M$166,인구배분!$L218,인구배분!R$1:R$166)</f>
        <v>0</v>
      </c>
      <c r="S218" s="645"/>
    </row>
    <row r="219" spans="1:19" ht="21" customHeight="1">
      <c r="A219" s="828"/>
      <c r="B219" s="920"/>
      <c r="C219" s="961" t="s">
        <v>1131</v>
      </c>
      <c r="D219" s="771"/>
      <c r="E219" s="84">
        <f t="shared" si="21"/>
        <v>0</v>
      </c>
      <c r="F219" s="84">
        <f t="shared" si="21"/>
        <v>0</v>
      </c>
      <c r="G219" s="84">
        <f t="shared" si="21"/>
        <v>0</v>
      </c>
      <c r="H219" s="84">
        <f t="shared" si="21"/>
        <v>0</v>
      </c>
      <c r="I219" s="653"/>
      <c r="J219" s="828"/>
      <c r="K219" s="920"/>
      <c r="L219" s="941" t="s">
        <v>1131</v>
      </c>
      <c r="M219" s="941"/>
      <c r="N219" s="941"/>
      <c r="O219" s="642">
        <f>SUMIF(인구배분!$M$1:$M$166,인구배분!$L219,인구배분!O$1:O$166)</f>
        <v>0</v>
      </c>
      <c r="P219" s="642">
        <f>SUMIF(인구배분!$M$1:$M$166,인구배분!$L219,인구배분!P$1:P$166)</f>
        <v>0</v>
      </c>
      <c r="Q219" s="642">
        <f>SUMIF(인구배분!$M$1:$M$166,인구배분!$L219,인구배분!Q$1:Q$166)</f>
        <v>0</v>
      </c>
      <c r="R219" s="642">
        <f>SUMIF(인구배분!$M$1:$M$166,인구배분!$L219,인구배분!R$1:R$166)</f>
        <v>0</v>
      </c>
      <c r="S219" s="645"/>
    </row>
    <row r="220" spans="1:19" ht="21" customHeight="1">
      <c r="A220" s="828"/>
      <c r="B220" s="941" t="s">
        <v>1132</v>
      </c>
      <c r="C220" s="962" t="s">
        <v>1128</v>
      </c>
      <c r="D220" s="772"/>
      <c r="E220" s="84">
        <f>SUM(E221:E223)</f>
        <v>6100</v>
      </c>
      <c r="F220" s="84">
        <f>SUM(F221:F223)</f>
        <v>24600</v>
      </c>
      <c r="G220" s="84">
        <f>SUM(G221:G223)</f>
        <v>74800</v>
      </c>
      <c r="H220" s="84">
        <f>SUM(H221:H223)</f>
        <v>74800</v>
      </c>
      <c r="I220" s="653"/>
      <c r="J220" s="828"/>
      <c r="K220" s="941" t="s">
        <v>1132</v>
      </c>
      <c r="L220" s="920" t="s">
        <v>1128</v>
      </c>
      <c r="M220" s="920"/>
      <c r="N220" s="920"/>
      <c r="O220" s="642">
        <f>SUM(O221:O223)</f>
        <v>10300</v>
      </c>
      <c r="P220" s="642">
        <f>SUM(P221:P223)</f>
        <v>41000</v>
      </c>
      <c r="Q220" s="642">
        <f>SUM(Q221:Q223)</f>
        <v>124600</v>
      </c>
      <c r="R220" s="642">
        <f>SUM(R221:R223)</f>
        <v>124600</v>
      </c>
      <c r="S220" s="645"/>
    </row>
    <row r="221" spans="1:19" ht="21" customHeight="1">
      <c r="A221" s="828"/>
      <c r="B221" s="920"/>
      <c r="C221" s="961" t="s">
        <v>1091</v>
      </c>
      <c r="D221" s="771"/>
      <c r="E221" s="84">
        <f t="shared" ref="E221:H223" si="22">SUMIF($D$1:$D$166,$C221,E$1:E$166)</f>
        <v>3100</v>
      </c>
      <c r="F221" s="84">
        <f t="shared" si="22"/>
        <v>21600</v>
      </c>
      <c r="G221" s="84">
        <f t="shared" si="22"/>
        <v>45000</v>
      </c>
      <c r="H221" s="84">
        <f t="shared" si="22"/>
        <v>45000</v>
      </c>
      <c r="I221" s="653"/>
      <c r="J221" s="828"/>
      <c r="K221" s="920"/>
      <c r="L221" s="941" t="s">
        <v>1091</v>
      </c>
      <c r="M221" s="941"/>
      <c r="N221" s="941"/>
      <c r="O221" s="642">
        <f>SUMIF(인구배분!$M$1:$M$166,인구배분!$L221,인구배분!O$1:O$166)</f>
        <v>5200</v>
      </c>
      <c r="P221" s="642">
        <f>SUMIF(인구배분!$M$1:$M$166,인구배분!$L221,인구배분!P$1:P$166)</f>
        <v>35900</v>
      </c>
      <c r="Q221" s="642">
        <f>SUMIF(인구배분!$M$1:$M$166,인구배분!$L221,인구배분!Q$1:Q$166)</f>
        <v>74900</v>
      </c>
      <c r="R221" s="642">
        <f>SUMIF(인구배분!$M$1:$M$166,인구배분!$L221,인구배분!R$1:R$166)</f>
        <v>74900</v>
      </c>
      <c r="S221" s="645"/>
    </row>
    <row r="222" spans="1:19" ht="21" customHeight="1">
      <c r="A222" s="828"/>
      <c r="B222" s="920"/>
      <c r="C222" s="961" t="s">
        <v>1097</v>
      </c>
      <c r="D222" s="771"/>
      <c r="E222" s="84">
        <f t="shared" si="22"/>
        <v>2800</v>
      </c>
      <c r="F222" s="84">
        <f t="shared" si="22"/>
        <v>2800</v>
      </c>
      <c r="G222" s="84">
        <f t="shared" si="22"/>
        <v>9400</v>
      </c>
      <c r="H222" s="84">
        <f t="shared" si="22"/>
        <v>9400</v>
      </c>
      <c r="I222" s="653"/>
      <c r="J222" s="828"/>
      <c r="K222" s="920"/>
      <c r="L222" s="941" t="s">
        <v>1097</v>
      </c>
      <c r="M222" s="941"/>
      <c r="N222" s="941"/>
      <c r="O222" s="642">
        <f>SUMIF(인구배분!$M$1:$M$166,인구배분!$L222,인구배분!O$1:O$166)</f>
        <v>4700</v>
      </c>
      <c r="P222" s="642">
        <f>SUMIF(인구배분!$M$1:$M$166,인구배분!$L222,인구배분!P$1:P$166)</f>
        <v>4700</v>
      </c>
      <c r="Q222" s="642">
        <f>SUMIF(인구배분!$M$1:$M$166,인구배분!$L222,인구배분!Q$1:Q$166)</f>
        <v>15700</v>
      </c>
      <c r="R222" s="642">
        <f>SUMIF(인구배분!$M$1:$M$166,인구배분!$L222,인구배분!R$1:R$166)</f>
        <v>15700</v>
      </c>
      <c r="S222" s="645"/>
    </row>
    <row r="223" spans="1:19" ht="21" customHeight="1">
      <c r="A223" s="828"/>
      <c r="B223" s="920"/>
      <c r="C223" s="961" t="s">
        <v>1104</v>
      </c>
      <c r="D223" s="771"/>
      <c r="E223" s="84">
        <f t="shared" si="22"/>
        <v>200</v>
      </c>
      <c r="F223" s="84">
        <f t="shared" si="22"/>
        <v>200</v>
      </c>
      <c r="G223" s="84">
        <f t="shared" si="22"/>
        <v>20400</v>
      </c>
      <c r="H223" s="84">
        <f t="shared" si="22"/>
        <v>20400</v>
      </c>
      <c r="I223" s="653"/>
      <c r="J223" s="828"/>
      <c r="K223" s="920"/>
      <c r="L223" s="941" t="s">
        <v>1104</v>
      </c>
      <c r="M223" s="941"/>
      <c r="N223" s="941"/>
      <c r="O223" s="642">
        <f>SUMIF(인구배분!$M$1:$M$166,인구배분!$L223,인구배분!O$1:O$166)</f>
        <v>400</v>
      </c>
      <c r="P223" s="642">
        <f>SUMIF(인구배분!$M$1:$M$166,인구배분!$L223,인구배분!P$1:P$166)</f>
        <v>400</v>
      </c>
      <c r="Q223" s="642">
        <f>SUMIF(인구배분!$M$1:$M$166,인구배분!$L223,인구배분!Q$1:Q$166)</f>
        <v>34000</v>
      </c>
      <c r="R223" s="642">
        <f>SUMIF(인구배분!$M$1:$M$166,인구배분!$L223,인구배분!R$1:R$166)</f>
        <v>34000</v>
      </c>
      <c r="S223" s="645"/>
    </row>
    <row r="224" spans="1:19" ht="21" customHeight="1">
      <c r="A224" s="828"/>
      <c r="B224" s="941" t="s">
        <v>1133</v>
      </c>
      <c r="C224" s="962" t="s">
        <v>1128</v>
      </c>
      <c r="D224" s="772"/>
      <c r="E224" s="84">
        <f>SUM(E225:E227)</f>
        <v>200</v>
      </c>
      <c r="F224" s="84">
        <f>SUM(F225:F227)</f>
        <v>2000</v>
      </c>
      <c r="G224" s="84">
        <f>SUM(G225:G227)</f>
        <v>2000</v>
      </c>
      <c r="H224" s="84">
        <f>SUM(H225:H227)</f>
        <v>2000</v>
      </c>
      <c r="I224" s="653"/>
      <c r="J224" s="828"/>
      <c r="K224" s="941" t="s">
        <v>1133</v>
      </c>
      <c r="L224" s="920" t="s">
        <v>1128</v>
      </c>
      <c r="M224" s="920"/>
      <c r="N224" s="920"/>
      <c r="O224" s="642">
        <f>SUM(O225:O227)</f>
        <v>400</v>
      </c>
      <c r="P224" s="642">
        <f>SUM(P225:P227)</f>
        <v>3400</v>
      </c>
      <c r="Q224" s="642">
        <f>SUM(Q225:Q227)</f>
        <v>3400</v>
      </c>
      <c r="R224" s="642">
        <f>SUM(R225:R227)</f>
        <v>3400</v>
      </c>
      <c r="S224" s="645"/>
    </row>
    <row r="225" spans="1:19" ht="21" customHeight="1">
      <c r="A225" s="828"/>
      <c r="B225" s="920"/>
      <c r="C225" s="961" t="s">
        <v>1134</v>
      </c>
      <c r="D225" s="771"/>
      <c r="E225" s="84">
        <f t="shared" ref="E225:H227" si="23">SUMIF($D$1:$D$166,$C225,E$1:E$166)</f>
        <v>0</v>
      </c>
      <c r="F225" s="84">
        <f t="shared" si="23"/>
        <v>0</v>
      </c>
      <c r="G225" s="84">
        <f t="shared" si="23"/>
        <v>0</v>
      </c>
      <c r="H225" s="84">
        <f t="shared" si="23"/>
        <v>0</v>
      </c>
      <c r="I225" s="653"/>
      <c r="J225" s="828"/>
      <c r="K225" s="920"/>
      <c r="L225" s="941" t="s">
        <v>1134</v>
      </c>
      <c r="M225" s="941"/>
      <c r="N225" s="941"/>
      <c r="O225" s="642">
        <f>SUMIF(인구배분!$M$1:$M$166,인구배분!$L225,인구배분!O$1:O$166)</f>
        <v>0</v>
      </c>
      <c r="P225" s="642">
        <f>SUMIF(인구배분!$M$1:$M$166,인구배분!$L225,인구배분!P$1:P$166)</f>
        <v>0</v>
      </c>
      <c r="Q225" s="642">
        <f>SUMIF(인구배분!$M$1:$M$166,인구배분!$L225,인구배분!Q$1:Q$166)</f>
        <v>0</v>
      </c>
      <c r="R225" s="642">
        <f>SUMIF(인구배분!$M$1:$M$166,인구배분!$L225,인구배분!R$1:R$166)</f>
        <v>0</v>
      </c>
      <c r="S225" s="645"/>
    </row>
    <row r="226" spans="1:19" ht="21" customHeight="1">
      <c r="A226" s="828"/>
      <c r="B226" s="920"/>
      <c r="C226" s="961" t="s">
        <v>1135</v>
      </c>
      <c r="D226" s="771"/>
      <c r="E226" s="84">
        <f t="shared" si="23"/>
        <v>0</v>
      </c>
      <c r="F226" s="84">
        <f t="shared" si="23"/>
        <v>1800</v>
      </c>
      <c r="G226" s="84">
        <f t="shared" si="23"/>
        <v>1800</v>
      </c>
      <c r="H226" s="84">
        <f t="shared" si="23"/>
        <v>1800</v>
      </c>
      <c r="I226" s="653"/>
      <c r="J226" s="828"/>
      <c r="K226" s="920"/>
      <c r="L226" s="941" t="s">
        <v>1135</v>
      </c>
      <c r="M226" s="941"/>
      <c r="N226" s="941"/>
      <c r="O226" s="642">
        <f>SUMIF(인구배분!$M$1:$M$166,인구배분!$L226,인구배분!O$1:O$166)</f>
        <v>0</v>
      </c>
      <c r="P226" s="642">
        <f>SUMIF(인구배분!$M$1:$M$166,인구배분!$L226,인구배분!P$1:P$166)</f>
        <v>3000</v>
      </c>
      <c r="Q226" s="642">
        <f>SUMIF(인구배분!$M$1:$M$166,인구배분!$L226,인구배분!Q$1:Q$166)</f>
        <v>3000</v>
      </c>
      <c r="R226" s="642">
        <f>SUMIF(인구배분!$M$1:$M$166,인구배분!$L226,인구배분!R$1:R$166)</f>
        <v>3000</v>
      </c>
      <c r="S226" s="645"/>
    </row>
    <row r="227" spans="1:19" ht="21" customHeight="1">
      <c r="A227" s="828"/>
      <c r="B227" s="920"/>
      <c r="C227" s="961" t="s">
        <v>1103</v>
      </c>
      <c r="D227" s="771"/>
      <c r="E227" s="84">
        <f t="shared" si="23"/>
        <v>200</v>
      </c>
      <c r="F227" s="84">
        <f t="shared" si="23"/>
        <v>200</v>
      </c>
      <c r="G227" s="84">
        <f t="shared" si="23"/>
        <v>200</v>
      </c>
      <c r="H227" s="84">
        <f t="shared" si="23"/>
        <v>200</v>
      </c>
      <c r="I227" s="653"/>
      <c r="J227" s="828"/>
      <c r="K227" s="920"/>
      <c r="L227" s="941" t="s">
        <v>1103</v>
      </c>
      <c r="M227" s="941"/>
      <c r="N227" s="941"/>
      <c r="O227" s="642">
        <f>SUMIF(인구배분!$M$1:$M$166,인구배분!$L227,인구배분!O$1:O$166)</f>
        <v>400</v>
      </c>
      <c r="P227" s="642">
        <f>SUMIF(인구배분!$M$1:$M$166,인구배분!$L227,인구배분!P$1:P$166)</f>
        <v>400</v>
      </c>
      <c r="Q227" s="642">
        <f>SUMIF(인구배분!$M$1:$M$166,인구배분!$L227,인구배분!Q$1:Q$166)</f>
        <v>400</v>
      </c>
      <c r="R227" s="642">
        <f>SUMIF(인구배분!$M$1:$M$166,인구배분!$L227,인구배분!R$1:R$166)</f>
        <v>400</v>
      </c>
      <c r="S227" s="645"/>
    </row>
    <row r="228" spans="1:19" ht="21" customHeight="1">
      <c r="A228" s="915" t="s">
        <v>1136</v>
      </c>
      <c r="B228" s="960"/>
      <c r="C228" s="960"/>
      <c r="D228" s="916"/>
      <c r="E228" s="222">
        <f>SUMIF($D$1:$D$166,$A228,E$1:E$166)</f>
        <v>0</v>
      </c>
      <c r="F228" s="222">
        <f>SUMIF($D$1:$D$166,$A228,F$1:F$166)</f>
        <v>3200</v>
      </c>
      <c r="G228" s="222">
        <f>SUMIF($D$1:$D$166,$A228,G$1:G$166)</f>
        <v>17200</v>
      </c>
      <c r="H228" s="222">
        <f>SUMIF($D$1:$D$166,$A228,H$1:H$166)</f>
        <v>17200</v>
      </c>
      <c r="I228" s="656"/>
      <c r="J228" s="829" t="s">
        <v>1136</v>
      </c>
      <c r="K228" s="940"/>
      <c r="L228" s="940"/>
      <c r="M228" s="940"/>
      <c r="N228" s="940"/>
      <c r="O228" s="643">
        <f>SUMIF(인구배분!$M$1:$M$166,인구배분!$J228,인구배분!O$1:O$166)</f>
        <v>0</v>
      </c>
      <c r="P228" s="643">
        <f>SUMIF(인구배분!$M$1:$M$166,인구배분!$J228,인구배분!P$1:P$166)</f>
        <v>3200</v>
      </c>
      <c r="Q228" s="643">
        <f>SUMIF(인구배분!$M$1:$M$166,인구배분!$J228,인구배분!Q$1:Q$166)</f>
        <v>17200</v>
      </c>
      <c r="R228" s="643">
        <f>SUMIF(인구배분!$M$1:$M$166,인구배분!$J228,인구배분!R$1:R$166)</f>
        <v>17200</v>
      </c>
      <c r="S228" s="646"/>
    </row>
    <row r="230" spans="1:19" ht="15.95" customHeight="1">
      <c r="O230" s="638"/>
      <c r="P230" s="638"/>
      <c r="Q230" s="638"/>
      <c r="R230" s="638"/>
    </row>
    <row r="231" spans="1:19" ht="15.95" customHeight="1">
      <c r="O231" s="647"/>
      <c r="P231" s="647"/>
      <c r="Q231" s="647"/>
      <c r="R231" s="647"/>
    </row>
  </sheetData>
  <mergeCells count="217">
    <mergeCell ref="E206:H206"/>
    <mergeCell ref="C206:D207"/>
    <mergeCell ref="A208:D208"/>
    <mergeCell ref="C219:D219"/>
    <mergeCell ref="C218:D218"/>
    <mergeCell ref="C217:D217"/>
    <mergeCell ref="C216:D216"/>
    <mergeCell ref="C215:D215"/>
    <mergeCell ref="C214:D214"/>
    <mergeCell ref="C213:D213"/>
    <mergeCell ref="C212:D212"/>
    <mergeCell ref="C211:D211"/>
    <mergeCell ref="C210:D210"/>
    <mergeCell ref="B209:D209"/>
    <mergeCell ref="B210:B219"/>
    <mergeCell ref="L189:N189"/>
    <mergeCell ref="L201:N201"/>
    <mergeCell ref="K172:K188"/>
    <mergeCell ref="K189:K193"/>
    <mergeCell ref="K194:K200"/>
    <mergeCell ref="K201:K203"/>
    <mergeCell ref="J172:J203"/>
    <mergeCell ref="C179:D179"/>
    <mergeCell ref="C178:D178"/>
    <mergeCell ref="C177:D177"/>
    <mergeCell ref="C176:D176"/>
    <mergeCell ref="C175:D175"/>
    <mergeCell ref="C174:D174"/>
    <mergeCell ref="C173:D173"/>
    <mergeCell ref="C172:D172"/>
    <mergeCell ref="C188:D188"/>
    <mergeCell ref="C187:D187"/>
    <mergeCell ref="C186:D186"/>
    <mergeCell ref="C185:D185"/>
    <mergeCell ref="C184:D184"/>
    <mergeCell ref="C183:D183"/>
    <mergeCell ref="C182:D182"/>
    <mergeCell ref="C181:D181"/>
    <mergeCell ref="C180:D180"/>
    <mergeCell ref="B172:B188"/>
    <mergeCell ref="B189:B193"/>
    <mergeCell ref="B194:B200"/>
    <mergeCell ref="B201:B203"/>
    <mergeCell ref="A172:A203"/>
    <mergeCell ref="E169:H169"/>
    <mergeCell ref="C169:D170"/>
    <mergeCell ref="A169:B170"/>
    <mergeCell ref="A171:D171"/>
    <mergeCell ref="C193:D193"/>
    <mergeCell ref="C192:D192"/>
    <mergeCell ref="C191:D191"/>
    <mergeCell ref="C190:D190"/>
    <mergeCell ref="C189:D189"/>
    <mergeCell ref="C203:D203"/>
    <mergeCell ref="C202:D202"/>
    <mergeCell ref="C201:D201"/>
    <mergeCell ref="C200:D200"/>
    <mergeCell ref="C199:D199"/>
    <mergeCell ref="C198:D198"/>
    <mergeCell ref="C197:D197"/>
    <mergeCell ref="C196:D196"/>
    <mergeCell ref="C195:D195"/>
    <mergeCell ref="C194:D194"/>
    <mergeCell ref="I19:I20"/>
    <mergeCell ref="A4:A5"/>
    <mergeCell ref="B4:B5"/>
    <mergeCell ref="D4:D5"/>
    <mergeCell ref="A28:A29"/>
    <mergeCell ref="B28:B29"/>
    <mergeCell ref="D28:D29"/>
    <mergeCell ref="I28:I29"/>
    <mergeCell ref="A31:A32"/>
    <mergeCell ref="I4:I5"/>
    <mergeCell ref="A14:A15"/>
    <mergeCell ref="A19:A20"/>
    <mergeCell ref="B19:B20"/>
    <mergeCell ref="D19:D20"/>
    <mergeCell ref="C4:C5"/>
    <mergeCell ref="C19:C20"/>
    <mergeCell ref="C28:C29"/>
    <mergeCell ref="B220:B223"/>
    <mergeCell ref="B224:B227"/>
    <mergeCell ref="A209:A227"/>
    <mergeCell ref="C227:D227"/>
    <mergeCell ref="C226:D226"/>
    <mergeCell ref="C225:D225"/>
    <mergeCell ref="C224:D224"/>
    <mergeCell ref="C223:D223"/>
    <mergeCell ref="C222:D222"/>
    <mergeCell ref="C221:D221"/>
    <mergeCell ref="C220:D220"/>
    <mergeCell ref="A228:D228"/>
    <mergeCell ref="L174:N174"/>
    <mergeCell ref="L173:N173"/>
    <mergeCell ref="L193:N193"/>
    <mergeCell ref="L169:N170"/>
    <mergeCell ref="L172:N172"/>
    <mergeCell ref="L179:N179"/>
    <mergeCell ref="L178:N178"/>
    <mergeCell ref="L177:N177"/>
    <mergeCell ref="L202:N202"/>
    <mergeCell ref="L195:N195"/>
    <mergeCell ref="L194:N194"/>
    <mergeCell ref="J169:K170"/>
    <mergeCell ref="J171:N171"/>
    <mergeCell ref="A206:A207"/>
    <mergeCell ref="B206:B207"/>
    <mergeCell ref="L206:N207"/>
    <mergeCell ref="L181:N181"/>
    <mergeCell ref="L180:N180"/>
    <mergeCell ref="L200:N200"/>
    <mergeCell ref="L199:N199"/>
    <mergeCell ref="I169:I170"/>
    <mergeCell ref="L198:N198"/>
    <mergeCell ref="L197:N197"/>
    <mergeCell ref="I134:I135"/>
    <mergeCell ref="A140:A141"/>
    <mergeCell ref="A134:A135"/>
    <mergeCell ref="B134:B135"/>
    <mergeCell ref="I48:I49"/>
    <mergeCell ref="A90:A91"/>
    <mergeCell ref="B90:B91"/>
    <mergeCell ref="D90:D91"/>
    <mergeCell ref="I90:I91"/>
    <mergeCell ref="A48:A49"/>
    <mergeCell ref="B48:B49"/>
    <mergeCell ref="C48:C49"/>
    <mergeCell ref="C90:C91"/>
    <mergeCell ref="C134:C135"/>
    <mergeCell ref="D134:D135"/>
    <mergeCell ref="D48:D49"/>
    <mergeCell ref="J4:J5"/>
    <mergeCell ref="K4:K5"/>
    <mergeCell ref="N4:N5"/>
    <mergeCell ref="M28:M29"/>
    <mergeCell ref="J140:J141"/>
    <mergeCell ref="N140:N141"/>
    <mergeCell ref="J28:J29"/>
    <mergeCell ref="K48:K49"/>
    <mergeCell ref="J134:J135"/>
    <mergeCell ref="K134:K135"/>
    <mergeCell ref="K28:K29"/>
    <mergeCell ref="J31:J32"/>
    <mergeCell ref="M4:M5"/>
    <mergeCell ref="J19:J20"/>
    <mergeCell ref="K19:K20"/>
    <mergeCell ref="J14:J15"/>
    <mergeCell ref="L28:L29"/>
    <mergeCell ref="M134:M135"/>
    <mergeCell ref="L134:L135"/>
    <mergeCell ref="L48:L49"/>
    <mergeCell ref="N134:N135"/>
    <mergeCell ref="N90:N91"/>
    <mergeCell ref="S90:S91"/>
    <mergeCell ref="S134:S135"/>
    <mergeCell ref="S4:S5"/>
    <mergeCell ref="M48:M49"/>
    <mergeCell ref="N48:N49"/>
    <mergeCell ref="M90:M91"/>
    <mergeCell ref="L90:L91"/>
    <mergeCell ref="N31:N32"/>
    <mergeCell ref="S28:S29"/>
    <mergeCell ref="S48:S49"/>
    <mergeCell ref="L19:L20"/>
    <mergeCell ref="S19:S20"/>
    <mergeCell ref="L4:L5"/>
    <mergeCell ref="N28:N29"/>
    <mergeCell ref="N19:N20"/>
    <mergeCell ref="M19:M20"/>
    <mergeCell ref="N14:N15"/>
    <mergeCell ref="S206:S207"/>
    <mergeCell ref="J209:J227"/>
    <mergeCell ref="K210:K219"/>
    <mergeCell ref="K220:K223"/>
    <mergeCell ref="K224:K227"/>
    <mergeCell ref="L213:N213"/>
    <mergeCell ref="S169:S170"/>
    <mergeCell ref="J48:J49"/>
    <mergeCell ref="J90:J91"/>
    <mergeCell ref="K90:K91"/>
    <mergeCell ref="L176:N176"/>
    <mergeCell ref="L175:N175"/>
    <mergeCell ref="L192:N192"/>
    <mergeCell ref="L191:N191"/>
    <mergeCell ref="L190:N190"/>
    <mergeCell ref="L188:N188"/>
    <mergeCell ref="L187:N187"/>
    <mergeCell ref="L186:N186"/>
    <mergeCell ref="L185:N185"/>
    <mergeCell ref="L184:N184"/>
    <mergeCell ref="L183:N183"/>
    <mergeCell ref="L182:N182"/>
    <mergeCell ref="L196:N196"/>
    <mergeCell ref="L203:N203"/>
    <mergeCell ref="I206:I207"/>
    <mergeCell ref="J206:J207"/>
    <mergeCell ref="K206:K207"/>
    <mergeCell ref="J228:N228"/>
    <mergeCell ref="L214:N214"/>
    <mergeCell ref="L227:N227"/>
    <mergeCell ref="L226:N226"/>
    <mergeCell ref="L225:N225"/>
    <mergeCell ref="L224:N224"/>
    <mergeCell ref="L223:N223"/>
    <mergeCell ref="L222:N222"/>
    <mergeCell ref="L221:N221"/>
    <mergeCell ref="L220:N220"/>
    <mergeCell ref="L212:N212"/>
    <mergeCell ref="L211:N211"/>
    <mergeCell ref="L210:N210"/>
    <mergeCell ref="K209:N209"/>
    <mergeCell ref="J208:N208"/>
    <mergeCell ref="L219:N219"/>
    <mergeCell ref="L218:N218"/>
    <mergeCell ref="L217:N217"/>
    <mergeCell ref="L216:N216"/>
    <mergeCell ref="L215:N215"/>
  </mergeCells>
  <phoneticPr fontId="2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15"/>
  <sheetViews>
    <sheetView showGridLines="0" view="pageBreakPreview" zoomScaleNormal="90" zoomScaleSheetLayoutView="90" workbookViewId="0">
      <selection activeCell="F23" sqref="F23"/>
    </sheetView>
  </sheetViews>
  <sheetFormatPr defaultRowHeight="15.95" customHeight="1"/>
  <cols>
    <col min="1" max="1" width="3.44140625" style="2" customWidth="1"/>
    <col min="2" max="2" width="6.88671875" style="2" bestFit="1" customWidth="1"/>
    <col min="3" max="15" width="9.33203125" style="2" customWidth="1"/>
    <col min="16" max="16" width="5" style="2" customWidth="1"/>
    <col min="17" max="17" width="3.21875" style="2" customWidth="1"/>
    <col min="18" max="18" width="3.44140625" style="2" customWidth="1"/>
    <col min="19" max="19" width="6.88671875" style="2" bestFit="1" customWidth="1"/>
    <col min="20" max="24" width="9.33203125" style="2" customWidth="1"/>
    <col min="25" max="25" width="5" style="2" customWidth="1"/>
    <col min="26" max="16384" width="8.88671875" style="2"/>
  </cols>
  <sheetData>
    <row r="1" spans="1:25" ht="14.45" customHeight="1">
      <c r="A1" s="1" t="s">
        <v>165</v>
      </c>
      <c r="R1" s="1"/>
    </row>
    <row r="2" spans="1:25" ht="14.45" customHeight="1">
      <c r="A2" s="346" t="s">
        <v>191</v>
      </c>
      <c r="P2" s="7" t="s">
        <v>56</v>
      </c>
      <c r="R2" s="346"/>
      <c r="Y2" s="7"/>
    </row>
    <row r="3" spans="1:25" ht="14.45" customHeight="1">
      <c r="A3" s="869" t="s">
        <v>34</v>
      </c>
      <c r="B3" s="865"/>
      <c r="C3" s="865" t="s">
        <v>33</v>
      </c>
      <c r="D3" s="971" t="s">
        <v>32</v>
      </c>
      <c r="E3" s="972"/>
      <c r="F3" s="973"/>
      <c r="G3" s="971" t="s">
        <v>31</v>
      </c>
      <c r="H3" s="972"/>
      <c r="I3" s="973"/>
      <c r="J3" s="971" t="s">
        <v>30</v>
      </c>
      <c r="K3" s="972"/>
      <c r="L3" s="973"/>
      <c r="M3" s="971" t="s">
        <v>29</v>
      </c>
      <c r="N3" s="972"/>
      <c r="O3" s="973"/>
      <c r="P3" s="870" t="s">
        <v>121</v>
      </c>
    </row>
    <row r="4" spans="1:25" ht="14.45" customHeight="1">
      <c r="A4" s="868"/>
      <c r="B4" s="866"/>
      <c r="C4" s="866"/>
      <c r="D4" s="8" t="s">
        <v>53</v>
      </c>
      <c r="E4" s="8" t="s">
        <v>103</v>
      </c>
      <c r="F4" s="390" t="s">
        <v>87</v>
      </c>
      <c r="G4" s="8" t="s">
        <v>53</v>
      </c>
      <c r="H4" s="8" t="s">
        <v>103</v>
      </c>
      <c r="I4" s="390" t="s">
        <v>87</v>
      </c>
      <c r="J4" s="8" t="s">
        <v>53</v>
      </c>
      <c r="K4" s="8" t="s">
        <v>103</v>
      </c>
      <c r="L4" s="390" t="s">
        <v>87</v>
      </c>
      <c r="M4" s="8" t="s">
        <v>53</v>
      </c>
      <c r="N4" s="8" t="s">
        <v>103</v>
      </c>
      <c r="O4" s="390" t="s">
        <v>87</v>
      </c>
      <c r="P4" s="871"/>
    </row>
    <row r="5" spans="1:25" ht="14.45" customHeight="1">
      <c r="A5" s="869" t="s">
        <v>28</v>
      </c>
      <c r="B5" s="865"/>
      <c r="C5" s="391">
        <f>SUM(C6,C23,C28,C35)</f>
        <v>540742</v>
      </c>
      <c r="D5" s="391">
        <f>SUM(E5:F5)</f>
        <v>605000</v>
      </c>
      <c r="E5" s="564">
        <f>SUM(E6,E23,E28,E35)</f>
        <v>552900</v>
      </c>
      <c r="F5" s="564">
        <f>SUM(F6,F23,F28,F35)</f>
        <v>52100</v>
      </c>
      <c r="G5" s="391">
        <f>SUM(H5:I5)</f>
        <v>690000</v>
      </c>
      <c r="H5" s="564">
        <f>SUM(H6,H23,H28,H35)</f>
        <v>573400</v>
      </c>
      <c r="I5" s="564">
        <f>SUM(I6,I23,I28,I35)</f>
        <v>116600</v>
      </c>
      <c r="J5" s="391">
        <f>SUM(K5:L5)</f>
        <v>780000</v>
      </c>
      <c r="K5" s="564">
        <f>SUM(K6,K23,K28,K35)</f>
        <v>585700</v>
      </c>
      <c r="L5" s="564">
        <f>SUM(L6,L23,L28,L35)</f>
        <v>194300</v>
      </c>
      <c r="M5" s="391">
        <f>SUM(N5:O5)</f>
        <v>800000</v>
      </c>
      <c r="N5" s="564">
        <f>SUM(N6,N23,N28,N35)</f>
        <v>605700</v>
      </c>
      <c r="O5" s="564">
        <f>SUM(O6,O23,O28,O35)</f>
        <v>194300</v>
      </c>
      <c r="P5" s="558"/>
    </row>
    <row r="6" spans="1:25" s="555" customFormat="1" ht="14.45" customHeight="1">
      <c r="A6" s="831" t="s">
        <v>1198</v>
      </c>
      <c r="B6" s="554" t="s">
        <v>19</v>
      </c>
      <c r="C6" s="393">
        <f>SUM(C7:C22)</f>
        <v>390465</v>
      </c>
      <c r="D6" s="393">
        <f>SUM(E6:F6)</f>
        <v>446200</v>
      </c>
      <c r="E6" s="13">
        <f>SUM(E7:E22)</f>
        <v>400200</v>
      </c>
      <c r="F6" s="13">
        <f>SUM(F7:F22)</f>
        <v>46000</v>
      </c>
      <c r="G6" s="393">
        <f>SUM(H6:I6)</f>
        <v>504100</v>
      </c>
      <c r="H6" s="13">
        <f>SUM(H7:H22)</f>
        <v>417100</v>
      </c>
      <c r="I6" s="13">
        <f>SUM(I7:I22)</f>
        <v>87000</v>
      </c>
      <c r="J6" s="393">
        <f>SUM(K6:L6)</f>
        <v>548500</v>
      </c>
      <c r="K6" s="13">
        <f>SUM(K7:K22)</f>
        <v>427800</v>
      </c>
      <c r="L6" s="13">
        <f>SUM(L7:L22)</f>
        <v>120700</v>
      </c>
      <c r="M6" s="393">
        <f>SUM(N6:O6)</f>
        <v>565500</v>
      </c>
      <c r="N6" s="13">
        <f>SUM(N7:N22)</f>
        <v>444800</v>
      </c>
      <c r="O6" s="13">
        <f>SUM(O7:O22)</f>
        <v>120700</v>
      </c>
      <c r="P6" s="14"/>
    </row>
    <row r="7" spans="1:25" ht="14.45" customHeight="1">
      <c r="A7" s="867"/>
      <c r="B7" s="556" t="s">
        <v>24</v>
      </c>
      <c r="C7" s="393">
        <v>20033</v>
      </c>
      <c r="D7" s="393">
        <f t="shared" ref="D7:D34" si="0">SUM(E7:F7)</f>
        <v>20500</v>
      </c>
      <c r="E7" s="13">
        <f>ROUND(E$74/'2.2생잔모형'!D$6*'2.2생잔모형'!D12,-2)</f>
        <v>20500</v>
      </c>
      <c r="F7" s="13">
        <f>인구배분!E173</f>
        <v>0</v>
      </c>
      <c r="G7" s="393">
        <f t="shared" ref="G7:G35" si="1">SUM(H7:I7)</f>
        <v>22900</v>
      </c>
      <c r="H7" s="13">
        <f>ROUND(H$74/'2.2생잔모형'!E$6*'2.2생잔모형'!E12,-2)</f>
        <v>21400</v>
      </c>
      <c r="I7" s="13">
        <f>인구배분!F173</f>
        <v>1500</v>
      </c>
      <c r="J7" s="393">
        <f t="shared" ref="J7:J35" si="2">SUM(K7:L7)</f>
        <v>23400</v>
      </c>
      <c r="K7" s="13">
        <f>ROUND(K$74/'2.2생잔모형'!F$6*'2.2생잔모형'!F12,-2)</f>
        <v>21900</v>
      </c>
      <c r="L7" s="13">
        <f>인구배분!G173</f>
        <v>1500</v>
      </c>
      <c r="M7" s="393">
        <f t="shared" ref="M7:M35" si="3">SUM(N7:O7)</f>
        <v>24000</v>
      </c>
      <c r="N7" s="13">
        <f>ROUND(N$74/'2.2생잔모형'!G$6*'2.2생잔모형'!G12,-2)</f>
        <v>22500</v>
      </c>
      <c r="O7" s="13">
        <f>인구배분!H173</f>
        <v>1500</v>
      </c>
      <c r="P7" s="14"/>
    </row>
    <row r="8" spans="1:25" s="11" customFormat="1" ht="14.45" customHeight="1">
      <c r="A8" s="867"/>
      <c r="B8" s="554" t="s">
        <v>23</v>
      </c>
      <c r="C8" s="393">
        <v>21438</v>
      </c>
      <c r="D8" s="393">
        <f t="shared" si="0"/>
        <v>22100</v>
      </c>
      <c r="E8" s="13">
        <f>ROUND(E$74/'2.2생잔모형'!D$6*'2.2생잔모형'!D13,-2)</f>
        <v>22100</v>
      </c>
      <c r="F8" s="13">
        <f>인구배분!E174</f>
        <v>0</v>
      </c>
      <c r="G8" s="393">
        <f t="shared" si="1"/>
        <v>23500</v>
      </c>
      <c r="H8" s="13">
        <f>ROUND(H$74/'2.2생잔모형'!E$6*'2.2생잔모형'!E13,-2)</f>
        <v>23300</v>
      </c>
      <c r="I8" s="13">
        <f>인구배분!F174</f>
        <v>200</v>
      </c>
      <c r="J8" s="393">
        <f t="shared" si="2"/>
        <v>24300</v>
      </c>
      <c r="K8" s="13">
        <f>ROUND(K$74/'2.2생잔모형'!F$6*'2.2생잔모형'!F13,-2)</f>
        <v>24100</v>
      </c>
      <c r="L8" s="13">
        <f>인구배분!G174</f>
        <v>200</v>
      </c>
      <c r="M8" s="393">
        <f t="shared" si="3"/>
        <v>25200</v>
      </c>
      <c r="N8" s="13">
        <f>ROUND(N$74/'2.2생잔모형'!G$6*'2.2생잔모형'!G13,-2)</f>
        <v>25000</v>
      </c>
      <c r="O8" s="13">
        <f>인구배분!H174</f>
        <v>200</v>
      </c>
      <c r="P8" s="16"/>
    </row>
    <row r="9" spans="1:25" s="11" customFormat="1" ht="14.45" customHeight="1">
      <c r="A9" s="867"/>
      <c r="B9" s="554" t="s">
        <v>176</v>
      </c>
      <c r="C9" s="393">
        <v>16213</v>
      </c>
      <c r="D9" s="393">
        <f t="shared" si="0"/>
        <v>16500</v>
      </c>
      <c r="E9" s="13">
        <f>ROUND(E$74/'2.2생잔모형'!D$6*'2.2생잔모형'!D14,-2)</f>
        <v>16500</v>
      </c>
      <c r="F9" s="13">
        <f>인구배분!E175</f>
        <v>0</v>
      </c>
      <c r="G9" s="393">
        <f t="shared" si="1"/>
        <v>17200</v>
      </c>
      <c r="H9" s="13">
        <f>ROUND(H$74/'2.2생잔모형'!E$6*'2.2생잔모형'!E14,-2)</f>
        <v>17200</v>
      </c>
      <c r="I9" s="13">
        <f>인구배분!F175</f>
        <v>0</v>
      </c>
      <c r="J9" s="393">
        <f t="shared" si="2"/>
        <v>17800</v>
      </c>
      <c r="K9" s="13">
        <f>ROUND(K$74/'2.2생잔모형'!F$6*'2.2생잔모형'!F14,-2)</f>
        <v>17800</v>
      </c>
      <c r="L9" s="13">
        <f>인구배분!G175</f>
        <v>0</v>
      </c>
      <c r="M9" s="393">
        <f t="shared" si="3"/>
        <v>18600</v>
      </c>
      <c r="N9" s="13">
        <f>ROUND(N$74/'2.2생잔모형'!G$6*'2.2생잔모형'!G14,-2)</f>
        <v>18600</v>
      </c>
      <c r="O9" s="13">
        <f>인구배분!H175</f>
        <v>0</v>
      </c>
      <c r="P9" s="16"/>
    </row>
    <row r="10" spans="1:25" s="11" customFormat="1" ht="14.45" customHeight="1">
      <c r="A10" s="867"/>
      <c r="B10" s="554" t="s">
        <v>22</v>
      </c>
      <c r="C10" s="393">
        <v>44658</v>
      </c>
      <c r="D10" s="393">
        <f t="shared" si="0"/>
        <v>46600</v>
      </c>
      <c r="E10" s="13">
        <f>ROUND(E$74/'2.2생잔모형'!D$6*'2.2생잔모형'!D15,-2)</f>
        <v>46000</v>
      </c>
      <c r="F10" s="13">
        <f>인구배분!E176</f>
        <v>600</v>
      </c>
      <c r="G10" s="393">
        <f t="shared" si="1"/>
        <v>48700</v>
      </c>
      <c r="H10" s="13">
        <f>ROUND(H$74/'2.2생잔모형'!E$6*'2.2생잔모형'!E15,-2)</f>
        <v>48100</v>
      </c>
      <c r="I10" s="13">
        <f>인구배분!F176</f>
        <v>600</v>
      </c>
      <c r="J10" s="393">
        <f t="shared" si="2"/>
        <v>50100</v>
      </c>
      <c r="K10" s="13">
        <f>ROUND(K$74/'2.2생잔모형'!F$6*'2.2생잔모형'!F15,-2)</f>
        <v>49500</v>
      </c>
      <c r="L10" s="13">
        <f>인구배분!G176</f>
        <v>600</v>
      </c>
      <c r="M10" s="393">
        <f t="shared" si="3"/>
        <v>52500</v>
      </c>
      <c r="N10" s="13">
        <f>ROUND(N$74/'2.2생잔모형'!G$6*'2.2생잔모형'!G15,-2)</f>
        <v>51900</v>
      </c>
      <c r="O10" s="13">
        <f>인구배분!H176</f>
        <v>600</v>
      </c>
      <c r="P10" s="16"/>
    </row>
    <row r="11" spans="1:25" s="11" customFormat="1" ht="14.45" customHeight="1">
      <c r="A11" s="867"/>
      <c r="B11" s="554" t="s">
        <v>177</v>
      </c>
      <c r="C11" s="393">
        <v>20440</v>
      </c>
      <c r="D11" s="393">
        <f t="shared" si="0"/>
        <v>22500</v>
      </c>
      <c r="E11" s="13">
        <f>ROUND(E$74/'2.2생잔모형'!D$6*'2.2생잔모형'!D16,-2)</f>
        <v>21000</v>
      </c>
      <c r="F11" s="13">
        <f>인구배분!E177</f>
        <v>1500</v>
      </c>
      <c r="G11" s="393">
        <f t="shared" si="1"/>
        <v>23200</v>
      </c>
      <c r="H11" s="13">
        <f>ROUND(H$74/'2.2생잔모형'!E$6*'2.2생잔모형'!E16,-2)</f>
        <v>21700</v>
      </c>
      <c r="I11" s="13">
        <f>인구배분!F177</f>
        <v>1500</v>
      </c>
      <c r="J11" s="393">
        <f t="shared" si="2"/>
        <v>23800</v>
      </c>
      <c r="K11" s="13">
        <f>ROUND(K$74/'2.2생잔모형'!F$6*'2.2생잔모형'!F16,-2)</f>
        <v>22300</v>
      </c>
      <c r="L11" s="13">
        <f>인구배분!G177</f>
        <v>1500</v>
      </c>
      <c r="M11" s="393">
        <f t="shared" si="3"/>
        <v>24700</v>
      </c>
      <c r="N11" s="13">
        <f>ROUND(N$74/'2.2생잔모형'!G$6*'2.2생잔모형'!G16,-2)</f>
        <v>23200</v>
      </c>
      <c r="O11" s="13">
        <f>인구배분!H177</f>
        <v>1500</v>
      </c>
      <c r="P11" s="16"/>
    </row>
    <row r="12" spans="1:25" s="11" customFormat="1" ht="14.45" customHeight="1">
      <c r="A12" s="867"/>
      <c r="B12" s="554" t="s">
        <v>21</v>
      </c>
      <c r="C12" s="393">
        <v>41098</v>
      </c>
      <c r="D12" s="393">
        <f t="shared" si="0"/>
        <v>50700</v>
      </c>
      <c r="E12" s="13">
        <f>ROUND(E$74/'2.2생잔모형'!D$6*'2.2생잔모형'!D17,-2)</f>
        <v>42000</v>
      </c>
      <c r="F12" s="13">
        <f>인구배분!E178</f>
        <v>8700</v>
      </c>
      <c r="G12" s="393">
        <f t="shared" si="1"/>
        <v>70200</v>
      </c>
      <c r="H12" s="13">
        <f>ROUND(H$74/'2.2생잔모형'!E$6*'2.2생잔모형'!E17,-2)</f>
        <v>43400</v>
      </c>
      <c r="I12" s="13">
        <f>인구배분!F178</f>
        <v>26800</v>
      </c>
      <c r="J12" s="393">
        <f t="shared" si="2"/>
        <v>80100</v>
      </c>
      <c r="K12" s="13">
        <f>ROUND(K$74/'2.2생잔모형'!F$6*'2.2생잔모형'!F17,-2)</f>
        <v>44400</v>
      </c>
      <c r="L12" s="13">
        <f>인구배분!G178</f>
        <v>35700</v>
      </c>
      <c r="M12" s="393">
        <f t="shared" si="3"/>
        <v>82300</v>
      </c>
      <c r="N12" s="13">
        <f>ROUND(N$74/'2.2생잔모형'!G$6*'2.2생잔모형'!G17,-2)</f>
        <v>46600</v>
      </c>
      <c r="O12" s="13">
        <f>인구배분!H178</f>
        <v>35700</v>
      </c>
      <c r="P12" s="16"/>
    </row>
    <row r="13" spans="1:25" s="11" customFormat="1" ht="14.45" customHeight="1">
      <c r="A13" s="867"/>
      <c r="B13" s="554" t="s">
        <v>20</v>
      </c>
      <c r="C13" s="393">
        <v>50843</v>
      </c>
      <c r="D13" s="393">
        <f t="shared" si="0"/>
        <v>55200</v>
      </c>
      <c r="E13" s="394">
        <f>ROUND(E$74/'2.2생잔모형'!D$6*'2.2생잔모형'!D18,-2)-300</f>
        <v>52000</v>
      </c>
      <c r="F13" s="13">
        <f>인구배분!E179</f>
        <v>3200</v>
      </c>
      <c r="G13" s="393">
        <f t="shared" si="1"/>
        <v>65100</v>
      </c>
      <c r="H13" s="394">
        <f>ROUND(H$74/'2.2생잔모형'!E$6*'2.2생잔모형'!E18,-2)+400</f>
        <v>54800</v>
      </c>
      <c r="I13" s="13">
        <f>인구배분!F179</f>
        <v>10300</v>
      </c>
      <c r="J13" s="393">
        <f t="shared" si="2"/>
        <v>86300</v>
      </c>
      <c r="K13" s="394">
        <f>ROUND(K$74/'2.2생잔모형'!F$6*'2.2생잔모형'!F18,-2)-200</f>
        <v>55800</v>
      </c>
      <c r="L13" s="13">
        <f>인구배분!G179</f>
        <v>30500</v>
      </c>
      <c r="M13" s="393">
        <f t="shared" si="3"/>
        <v>89200</v>
      </c>
      <c r="N13" s="394">
        <f>ROUND(N$74/'2.2생잔모형'!G$6*'2.2생잔모형'!G18,-2)+300</f>
        <v>58700</v>
      </c>
      <c r="O13" s="13">
        <f>인구배분!H179</f>
        <v>30500</v>
      </c>
      <c r="P13" s="16"/>
    </row>
    <row r="14" spans="1:25" s="11" customFormat="1" ht="14.45" customHeight="1">
      <c r="A14" s="867"/>
      <c r="B14" s="554" t="s">
        <v>10</v>
      </c>
      <c r="C14" s="393">
        <v>7103</v>
      </c>
      <c r="D14" s="393">
        <f t="shared" ref="D14:D27" si="4">SUM(E14:F14)</f>
        <v>7200</v>
      </c>
      <c r="E14" s="13">
        <f>ROUND(E$74/'2.2생잔모형'!D$6*'2.2생잔모형'!D28,-2)</f>
        <v>7200</v>
      </c>
      <c r="F14" s="13">
        <f>인구배분!E180</f>
        <v>0</v>
      </c>
      <c r="G14" s="393">
        <f t="shared" ref="G14:G27" si="5">SUM(H14:I14)</f>
        <v>8700</v>
      </c>
      <c r="H14" s="13">
        <f>ROUND(H$74/'2.2생잔모형'!E$6*'2.2생잔모형'!E28,-2)</f>
        <v>7300</v>
      </c>
      <c r="I14" s="13">
        <f>인구배분!F180</f>
        <v>1400</v>
      </c>
      <c r="J14" s="393">
        <f t="shared" ref="J14:J27" si="6">SUM(K14:L14)</f>
        <v>8800</v>
      </c>
      <c r="K14" s="13">
        <f>ROUND(K$74/'2.2생잔모형'!F$6*'2.2생잔모형'!F28,-2)</f>
        <v>7400</v>
      </c>
      <c r="L14" s="13">
        <f>인구배분!G180</f>
        <v>1400</v>
      </c>
      <c r="M14" s="393">
        <f t="shared" ref="M14:M27" si="7">SUM(N14:O14)</f>
        <v>8800</v>
      </c>
      <c r="N14" s="13">
        <f>ROUND(N$74/'2.2생잔모형'!G$6*'2.2생잔모형'!G28,-2)</f>
        <v>7400</v>
      </c>
      <c r="O14" s="13">
        <f>인구배분!H180</f>
        <v>1400</v>
      </c>
      <c r="P14" s="16"/>
    </row>
    <row r="15" spans="1:25" s="11" customFormat="1" ht="14.45" customHeight="1">
      <c r="A15" s="867"/>
      <c r="B15" s="554" t="s">
        <v>118</v>
      </c>
      <c r="C15" s="393">
        <v>6195</v>
      </c>
      <c r="D15" s="393">
        <f t="shared" si="4"/>
        <v>6300</v>
      </c>
      <c r="E15" s="13">
        <f>ROUND(E$74/'2.2생잔모형'!D$6*'2.2생잔모형'!D29,-2)</f>
        <v>6300</v>
      </c>
      <c r="F15" s="13">
        <f>인구배분!E181</f>
        <v>0</v>
      </c>
      <c r="G15" s="393">
        <f t="shared" si="5"/>
        <v>8100</v>
      </c>
      <c r="H15" s="13">
        <f>ROUND(H$74/'2.2생잔모형'!E$6*'2.2생잔모형'!E29,-2)</f>
        <v>6400</v>
      </c>
      <c r="I15" s="13">
        <f>인구배분!F181</f>
        <v>1700</v>
      </c>
      <c r="J15" s="393">
        <f t="shared" si="6"/>
        <v>8200</v>
      </c>
      <c r="K15" s="13">
        <f>ROUND(K$74/'2.2생잔모형'!F$6*'2.2생잔모형'!F29,-2)</f>
        <v>6500</v>
      </c>
      <c r="L15" s="13">
        <f>인구배분!G181</f>
        <v>1700</v>
      </c>
      <c r="M15" s="393">
        <f t="shared" si="7"/>
        <v>8300</v>
      </c>
      <c r="N15" s="13">
        <f>ROUND(N$74/'2.2생잔모형'!G$6*'2.2생잔모형'!G29,-2)</f>
        <v>6600</v>
      </c>
      <c r="O15" s="13">
        <f>인구배분!H181</f>
        <v>1700</v>
      </c>
      <c r="P15" s="16"/>
    </row>
    <row r="16" spans="1:25" s="11" customFormat="1" ht="14.45" customHeight="1">
      <c r="A16" s="867"/>
      <c r="B16" s="554" t="s">
        <v>185</v>
      </c>
      <c r="C16" s="393">
        <v>11408</v>
      </c>
      <c r="D16" s="393">
        <f t="shared" si="4"/>
        <v>11600</v>
      </c>
      <c r="E16" s="13">
        <f>ROUND(E$74/'2.2생잔모형'!D$6*'2.2생잔모형'!D30,-2)</f>
        <v>11600</v>
      </c>
      <c r="F16" s="13">
        <f>인구배분!E182</f>
        <v>0</v>
      </c>
      <c r="G16" s="393">
        <f t="shared" si="5"/>
        <v>13800</v>
      </c>
      <c r="H16" s="13">
        <f>ROUND(H$74/'2.2생잔모형'!E$6*'2.2생잔모형'!E30,-2)</f>
        <v>12000</v>
      </c>
      <c r="I16" s="13">
        <f>인구배분!F182</f>
        <v>1800</v>
      </c>
      <c r="J16" s="393">
        <f t="shared" si="6"/>
        <v>14000</v>
      </c>
      <c r="K16" s="13">
        <f>ROUND(K$74/'2.2생잔모형'!F$6*'2.2생잔모형'!F30,-2)</f>
        <v>12200</v>
      </c>
      <c r="L16" s="13">
        <f>인구배분!G182</f>
        <v>1800</v>
      </c>
      <c r="M16" s="393">
        <f t="shared" si="7"/>
        <v>14300</v>
      </c>
      <c r="N16" s="13">
        <f>ROUND(N$74/'2.2생잔모형'!G$6*'2.2생잔모형'!G30,-2)</f>
        <v>12500</v>
      </c>
      <c r="O16" s="13">
        <f>인구배분!H182</f>
        <v>1800</v>
      </c>
      <c r="P16" s="16"/>
    </row>
    <row r="17" spans="1:16" s="11" customFormat="1" ht="14.45" customHeight="1">
      <c r="A17" s="867"/>
      <c r="B17" s="554" t="s">
        <v>9</v>
      </c>
      <c r="C17" s="393">
        <v>13839</v>
      </c>
      <c r="D17" s="393">
        <f t="shared" si="4"/>
        <v>14000</v>
      </c>
      <c r="E17" s="13">
        <f>ROUND(E$74/'2.2생잔모형'!D$6*'2.2생잔모형'!D31,-2)</f>
        <v>14000</v>
      </c>
      <c r="F17" s="13">
        <f>인구배분!E183</f>
        <v>0</v>
      </c>
      <c r="G17" s="393">
        <f t="shared" si="5"/>
        <v>17300</v>
      </c>
      <c r="H17" s="13">
        <f>ROUND(H$74/'2.2생잔모형'!E$6*'2.2생잔모형'!E31,-2)</f>
        <v>14500</v>
      </c>
      <c r="I17" s="13">
        <f>인구배분!F183</f>
        <v>2800</v>
      </c>
      <c r="J17" s="393">
        <f t="shared" si="6"/>
        <v>17600</v>
      </c>
      <c r="K17" s="13">
        <f>ROUND(K$74/'2.2생잔모형'!F$6*'2.2생잔모형'!F31,-2)</f>
        <v>14800</v>
      </c>
      <c r="L17" s="13">
        <f>인구배분!G183</f>
        <v>2800</v>
      </c>
      <c r="M17" s="393">
        <f t="shared" si="7"/>
        <v>18000</v>
      </c>
      <c r="N17" s="13">
        <f>ROUND(N$74/'2.2생잔모형'!G$6*'2.2생잔모형'!G31,-2)</f>
        <v>15200</v>
      </c>
      <c r="O17" s="13">
        <f>인구배분!H183</f>
        <v>2800</v>
      </c>
      <c r="P17" s="16"/>
    </row>
    <row r="18" spans="1:16" s="11" customFormat="1" ht="14.45" customHeight="1">
      <c r="A18" s="867"/>
      <c r="B18" s="554" t="s">
        <v>195</v>
      </c>
      <c r="C18" s="393">
        <v>22589</v>
      </c>
      <c r="D18" s="393">
        <f t="shared" si="4"/>
        <v>23500</v>
      </c>
      <c r="E18" s="13">
        <f>ROUND(E$74/'2.2생잔모형'!D$6*'2.2생잔모형'!D32,-2)</f>
        <v>23500</v>
      </c>
      <c r="F18" s="13">
        <f>인구배분!E184</f>
        <v>0</v>
      </c>
      <c r="G18" s="393">
        <f t="shared" si="5"/>
        <v>26400</v>
      </c>
      <c r="H18" s="13">
        <f>ROUND(H$74/'2.2생잔모형'!E$6*'2.2생잔모형'!E32,-2)</f>
        <v>24600</v>
      </c>
      <c r="I18" s="13">
        <f>인구배분!F184</f>
        <v>1800</v>
      </c>
      <c r="J18" s="393">
        <f t="shared" si="6"/>
        <v>27200</v>
      </c>
      <c r="K18" s="13">
        <f>ROUND(K$74/'2.2생잔모형'!F$6*'2.2생잔모형'!F32,-2)</f>
        <v>25400</v>
      </c>
      <c r="L18" s="13">
        <f>인구배분!G184</f>
        <v>1800</v>
      </c>
      <c r="M18" s="393">
        <f t="shared" si="7"/>
        <v>28000</v>
      </c>
      <c r="N18" s="13">
        <f>ROUND(N$74/'2.2생잔모형'!G$6*'2.2생잔모형'!G32,-2)</f>
        <v>26200</v>
      </c>
      <c r="O18" s="13">
        <f>인구배분!H184</f>
        <v>1800</v>
      </c>
      <c r="P18" s="16"/>
    </row>
    <row r="19" spans="1:16" s="11" customFormat="1" ht="14.45" customHeight="1">
      <c r="A19" s="867"/>
      <c r="B19" s="554" t="s">
        <v>8</v>
      </c>
      <c r="C19" s="393">
        <v>17710</v>
      </c>
      <c r="D19" s="393">
        <f t="shared" si="4"/>
        <v>24100</v>
      </c>
      <c r="E19" s="13">
        <f>ROUND(E$74/'2.2생잔모형'!D$6*'2.2생잔모형'!D33,-2)</f>
        <v>18000</v>
      </c>
      <c r="F19" s="13">
        <f>인구배분!E185</f>
        <v>6100</v>
      </c>
      <c r="G19" s="393">
        <f t="shared" si="5"/>
        <v>25900</v>
      </c>
      <c r="H19" s="13">
        <f>ROUND(H$74/'2.2생잔모형'!E$6*'2.2생잔모형'!E33,-2)</f>
        <v>18600</v>
      </c>
      <c r="I19" s="13">
        <f>인구배분!F185</f>
        <v>7300</v>
      </c>
      <c r="J19" s="393">
        <f t="shared" si="6"/>
        <v>26300</v>
      </c>
      <c r="K19" s="13">
        <f>ROUND(K$74/'2.2생잔모형'!F$6*'2.2생잔모형'!F33,-2)</f>
        <v>19000</v>
      </c>
      <c r="L19" s="13">
        <f>인구배분!G185</f>
        <v>7300</v>
      </c>
      <c r="M19" s="393">
        <f t="shared" si="7"/>
        <v>26900</v>
      </c>
      <c r="N19" s="13">
        <f>ROUND(N$74/'2.2생잔모형'!G$6*'2.2생잔모형'!G33,-2)</f>
        <v>19600</v>
      </c>
      <c r="O19" s="13">
        <f>인구배분!H185</f>
        <v>7300</v>
      </c>
      <c r="P19" s="16"/>
    </row>
    <row r="20" spans="1:16" s="11" customFormat="1" ht="14.45" customHeight="1">
      <c r="A20" s="867"/>
      <c r="B20" s="554" t="s">
        <v>119</v>
      </c>
      <c r="C20" s="393">
        <v>34819</v>
      </c>
      <c r="D20" s="393">
        <f t="shared" si="4"/>
        <v>46000</v>
      </c>
      <c r="E20" s="13">
        <f>ROUND(E$74/'2.2생잔모형'!D$6*'2.2생잔모형'!D34,-2)</f>
        <v>35900</v>
      </c>
      <c r="F20" s="13">
        <f>인구배분!E186</f>
        <v>10100</v>
      </c>
      <c r="G20" s="393">
        <f t="shared" si="5"/>
        <v>47700</v>
      </c>
      <c r="H20" s="13">
        <f>ROUND(H$74/'2.2생잔모형'!E$6*'2.2생잔모형'!E34,-2)</f>
        <v>37600</v>
      </c>
      <c r="I20" s="13">
        <f>인구배분!F186</f>
        <v>10100</v>
      </c>
      <c r="J20" s="393">
        <f t="shared" si="6"/>
        <v>48600</v>
      </c>
      <c r="K20" s="13">
        <f>ROUND(K$74/'2.2생잔모형'!F$6*'2.2생잔모형'!F34,-2)</f>
        <v>38500</v>
      </c>
      <c r="L20" s="13">
        <f>인구배분!G186</f>
        <v>10100</v>
      </c>
      <c r="M20" s="393">
        <f t="shared" si="7"/>
        <v>50300</v>
      </c>
      <c r="N20" s="13">
        <f>ROUND(N$74/'2.2생잔모형'!G$6*'2.2생잔모형'!G34,-2)</f>
        <v>40200</v>
      </c>
      <c r="O20" s="13">
        <f>인구배분!H186</f>
        <v>10100</v>
      </c>
      <c r="P20" s="16"/>
    </row>
    <row r="21" spans="1:16" s="11" customFormat="1" ht="14.45" customHeight="1">
      <c r="A21" s="867"/>
      <c r="B21" s="554" t="s">
        <v>7</v>
      </c>
      <c r="C21" s="393">
        <v>29660</v>
      </c>
      <c r="D21" s="393">
        <f t="shared" si="4"/>
        <v>44400</v>
      </c>
      <c r="E21" s="13">
        <f>ROUND(E$74/'2.2생잔모형'!D$6*'2.2생잔모형'!D35,-2)</f>
        <v>30300</v>
      </c>
      <c r="F21" s="13">
        <f>인구배분!E187</f>
        <v>14100</v>
      </c>
      <c r="G21" s="393">
        <f t="shared" si="5"/>
        <v>47900</v>
      </c>
      <c r="H21" s="13">
        <f>ROUND(H$74/'2.2생잔모형'!E$6*'2.2생잔모형'!E35,-2)</f>
        <v>31300</v>
      </c>
      <c r="I21" s="13">
        <f>인구배분!F187</f>
        <v>16600</v>
      </c>
      <c r="J21" s="393">
        <f t="shared" si="6"/>
        <v>53300</v>
      </c>
      <c r="K21" s="13">
        <f>ROUND(K$74/'2.2생잔모형'!F$6*'2.2생잔모형'!F35,-2)</f>
        <v>32100</v>
      </c>
      <c r="L21" s="13">
        <f>인구배분!G187</f>
        <v>21200</v>
      </c>
      <c r="M21" s="393">
        <f t="shared" si="7"/>
        <v>54400</v>
      </c>
      <c r="N21" s="13">
        <f>ROUND(N$74/'2.2생잔모형'!G$6*'2.2생잔모형'!G35,-2)</f>
        <v>33200</v>
      </c>
      <c r="O21" s="13">
        <f>인구배분!H187</f>
        <v>21200</v>
      </c>
      <c r="P21" s="16"/>
    </row>
    <row r="22" spans="1:16" s="11" customFormat="1" ht="14.45" customHeight="1">
      <c r="A22" s="867"/>
      <c r="B22" s="554" t="s">
        <v>6</v>
      </c>
      <c r="C22" s="393">
        <v>32419</v>
      </c>
      <c r="D22" s="393">
        <f t="shared" si="4"/>
        <v>35000</v>
      </c>
      <c r="E22" s="13">
        <f>ROUND(E$74/'2.2생잔모형'!D$6*'2.2생잔모형'!D36,-2)</f>
        <v>33300</v>
      </c>
      <c r="F22" s="13">
        <f>인구배분!E188</f>
        <v>1700</v>
      </c>
      <c r="G22" s="393">
        <f t="shared" si="5"/>
        <v>37500</v>
      </c>
      <c r="H22" s="13">
        <f>ROUND(H$74/'2.2생잔모형'!E$6*'2.2생잔모형'!E36,-2)</f>
        <v>34900</v>
      </c>
      <c r="I22" s="13">
        <f>인구배분!F188</f>
        <v>2600</v>
      </c>
      <c r="J22" s="393">
        <f t="shared" si="6"/>
        <v>38700</v>
      </c>
      <c r="K22" s="13">
        <f>ROUND(K$74/'2.2생잔모형'!F$6*'2.2생잔모형'!F36,-2)</f>
        <v>36100</v>
      </c>
      <c r="L22" s="13">
        <f>인구배분!G188</f>
        <v>2600</v>
      </c>
      <c r="M22" s="393">
        <f t="shared" si="7"/>
        <v>40000</v>
      </c>
      <c r="N22" s="13">
        <f>ROUND(N$74/'2.2생잔모형'!G$6*'2.2생잔모형'!G36,-2)</f>
        <v>37400</v>
      </c>
      <c r="O22" s="13">
        <f>인구배분!H188</f>
        <v>2600</v>
      </c>
      <c r="P22" s="16"/>
    </row>
    <row r="23" spans="1:16" ht="14.45" customHeight="1">
      <c r="A23" s="831" t="s">
        <v>1199</v>
      </c>
      <c r="B23" s="556" t="s">
        <v>19</v>
      </c>
      <c r="C23" s="393">
        <f>SUM(C24:C27)</f>
        <v>89817</v>
      </c>
      <c r="D23" s="393">
        <f t="shared" si="4"/>
        <v>97500</v>
      </c>
      <c r="E23" s="13">
        <f>SUM(E24:E27)</f>
        <v>91600</v>
      </c>
      <c r="F23" s="13">
        <f>SUM(F24:F27)</f>
        <v>5900</v>
      </c>
      <c r="G23" s="393">
        <f t="shared" si="5"/>
        <v>118600</v>
      </c>
      <c r="H23" s="13">
        <f>SUM(H24:H27)</f>
        <v>94200</v>
      </c>
      <c r="I23" s="13">
        <f>SUM(I24:I27)</f>
        <v>24400</v>
      </c>
      <c r="J23" s="393">
        <f t="shared" si="6"/>
        <v>156000</v>
      </c>
      <c r="K23" s="13">
        <f>SUM(K24:K27)</f>
        <v>95400</v>
      </c>
      <c r="L23" s="13">
        <f>SUM(L24:L27)</f>
        <v>60600</v>
      </c>
      <c r="M23" s="393">
        <f t="shared" si="7"/>
        <v>158300</v>
      </c>
      <c r="N23" s="13">
        <f>SUM(N24:N27)</f>
        <v>97700</v>
      </c>
      <c r="O23" s="13">
        <f>SUM(O24:O27)</f>
        <v>60600</v>
      </c>
      <c r="P23" s="14"/>
    </row>
    <row r="24" spans="1:16" ht="14.45" customHeight="1">
      <c r="A24" s="831"/>
      <c r="B24" s="556" t="s">
        <v>117</v>
      </c>
      <c r="C24" s="393">
        <v>30579</v>
      </c>
      <c r="D24" s="393">
        <f t="shared" si="4"/>
        <v>32200</v>
      </c>
      <c r="E24" s="13">
        <f>ROUND(E$74/'2.2생잔모형'!D$6*'2.2생잔모형'!D8,-2)</f>
        <v>31000</v>
      </c>
      <c r="F24" s="13">
        <f>인구배분!E190</f>
        <v>1200</v>
      </c>
      <c r="G24" s="393">
        <f t="shared" si="5"/>
        <v>42900</v>
      </c>
      <c r="H24" s="13">
        <f>ROUND(H$74/'2.2생잔모형'!E$6*'2.2생잔모형'!E8,-2)</f>
        <v>31800</v>
      </c>
      <c r="I24" s="13">
        <f>인구배분!F190</f>
        <v>11100</v>
      </c>
      <c r="J24" s="393">
        <f t="shared" si="6"/>
        <v>43300</v>
      </c>
      <c r="K24" s="13">
        <f>ROUND(K$74/'2.2생잔모형'!F$6*'2.2생잔모형'!F8,-2)</f>
        <v>32200</v>
      </c>
      <c r="L24" s="13">
        <f>인구배분!G190</f>
        <v>11100</v>
      </c>
      <c r="M24" s="393">
        <f t="shared" si="7"/>
        <v>44000</v>
      </c>
      <c r="N24" s="13">
        <f>ROUND(N$74/'2.2생잔모형'!G$6*'2.2생잔모형'!G8,-2)</f>
        <v>32900</v>
      </c>
      <c r="O24" s="13">
        <f>인구배분!H190</f>
        <v>11100</v>
      </c>
      <c r="P24" s="14"/>
    </row>
    <row r="25" spans="1:16" ht="14.45" customHeight="1">
      <c r="A25" s="831"/>
      <c r="B25" s="556" t="s">
        <v>27</v>
      </c>
      <c r="C25" s="393">
        <v>22151</v>
      </c>
      <c r="D25" s="393">
        <f t="shared" si="4"/>
        <v>26300</v>
      </c>
      <c r="E25" s="13">
        <f>ROUND(E$74/'2.2생잔모형'!D$6*'2.2생잔모형'!D9,-2)</f>
        <v>22800</v>
      </c>
      <c r="F25" s="13">
        <f>인구배분!E191</f>
        <v>3500</v>
      </c>
      <c r="G25" s="393">
        <f t="shared" si="5"/>
        <v>35700</v>
      </c>
      <c r="H25" s="13">
        <f>ROUND(H$74/'2.2생잔모형'!E$6*'2.2생잔모형'!E9,-2)</f>
        <v>23600</v>
      </c>
      <c r="I25" s="13">
        <f>인구배분!F191</f>
        <v>12100</v>
      </c>
      <c r="J25" s="393">
        <f t="shared" si="6"/>
        <v>42700</v>
      </c>
      <c r="K25" s="13">
        <f>ROUND(K$74/'2.2생잔모형'!F$6*'2.2생잔모형'!F9,-2)</f>
        <v>24000</v>
      </c>
      <c r="L25" s="13">
        <f>인구배분!G191</f>
        <v>18700</v>
      </c>
      <c r="M25" s="393">
        <f t="shared" si="7"/>
        <v>43300</v>
      </c>
      <c r="N25" s="13">
        <f>ROUND(N$74/'2.2생잔모형'!G$6*'2.2생잔모형'!G9,-2)</f>
        <v>24600</v>
      </c>
      <c r="O25" s="13">
        <f>인구배분!H191</f>
        <v>18700</v>
      </c>
      <c r="P25" s="14"/>
    </row>
    <row r="26" spans="1:16" ht="14.45" customHeight="1">
      <c r="A26" s="831"/>
      <c r="B26" s="556" t="s">
        <v>26</v>
      </c>
      <c r="C26" s="393">
        <v>24712</v>
      </c>
      <c r="D26" s="393">
        <f t="shared" si="4"/>
        <v>25800</v>
      </c>
      <c r="E26" s="13">
        <f>ROUND(E$74/'2.2생잔모형'!D$6*'2.2생잔모형'!D10,-2)</f>
        <v>25300</v>
      </c>
      <c r="F26" s="13">
        <f>인구배분!E192</f>
        <v>500</v>
      </c>
      <c r="G26" s="393">
        <f t="shared" si="5"/>
        <v>26600</v>
      </c>
      <c r="H26" s="13">
        <f>ROUND(H$74/'2.2생잔모형'!E$6*'2.2생잔모형'!E10,-2)</f>
        <v>26100</v>
      </c>
      <c r="I26" s="13">
        <f>인구배분!F192</f>
        <v>500</v>
      </c>
      <c r="J26" s="393">
        <f t="shared" si="6"/>
        <v>50400</v>
      </c>
      <c r="K26" s="13">
        <f>ROUND(K$74/'2.2생잔모형'!F$6*'2.2생잔모형'!F10,-2)</f>
        <v>26500</v>
      </c>
      <c r="L26" s="13">
        <f>인구배분!G192</f>
        <v>23900</v>
      </c>
      <c r="M26" s="393">
        <f t="shared" si="7"/>
        <v>51100</v>
      </c>
      <c r="N26" s="13">
        <f>ROUND(N$74/'2.2생잔모형'!G$6*'2.2생잔모형'!G10,-2)</f>
        <v>27200</v>
      </c>
      <c r="O26" s="13">
        <f>인구배분!H192</f>
        <v>23900</v>
      </c>
      <c r="P26" s="14"/>
    </row>
    <row r="27" spans="1:16" ht="14.45" customHeight="1">
      <c r="A27" s="831"/>
      <c r="B27" s="556" t="s">
        <v>25</v>
      </c>
      <c r="C27" s="393">
        <v>12375</v>
      </c>
      <c r="D27" s="393">
        <f t="shared" si="4"/>
        <v>13200</v>
      </c>
      <c r="E27" s="13">
        <f>ROUND(E$74/'2.2생잔모형'!D$6*'2.2생잔모형'!D11,-2)</f>
        <v>12500</v>
      </c>
      <c r="F27" s="13">
        <f>인구배분!E193</f>
        <v>700</v>
      </c>
      <c r="G27" s="393">
        <f t="shared" si="5"/>
        <v>13400</v>
      </c>
      <c r="H27" s="13">
        <f>ROUND(H$74/'2.2생잔모형'!E$6*'2.2생잔모형'!E11,-2)</f>
        <v>12700</v>
      </c>
      <c r="I27" s="13">
        <f>인구배분!F193</f>
        <v>700</v>
      </c>
      <c r="J27" s="393">
        <f t="shared" si="6"/>
        <v>19600</v>
      </c>
      <c r="K27" s="13">
        <f>ROUND(K$74/'2.2생잔모형'!F$6*'2.2생잔모형'!F11,-2)</f>
        <v>12700</v>
      </c>
      <c r="L27" s="13">
        <f>인구배분!G193</f>
        <v>6900</v>
      </c>
      <c r="M27" s="393">
        <f t="shared" si="7"/>
        <v>19900</v>
      </c>
      <c r="N27" s="13">
        <f>ROUND(N$74/'2.2생잔모형'!G$6*'2.2생잔모형'!G11,-2)</f>
        <v>13000</v>
      </c>
      <c r="O27" s="13">
        <f>인구배분!H193</f>
        <v>6900</v>
      </c>
      <c r="P27" s="14"/>
    </row>
    <row r="28" spans="1:16" s="11" customFormat="1" ht="14.45" customHeight="1">
      <c r="A28" s="828" t="s">
        <v>1200</v>
      </c>
      <c r="B28" s="554" t="s">
        <v>19</v>
      </c>
      <c r="C28" s="393">
        <f>SUM(C29:C34)</f>
        <v>50621</v>
      </c>
      <c r="D28" s="393">
        <f t="shared" si="0"/>
        <v>51500</v>
      </c>
      <c r="E28" s="15">
        <f>SUM(E29:E34)</f>
        <v>51300</v>
      </c>
      <c r="F28" s="15">
        <f>SUM(F29:F34)</f>
        <v>200</v>
      </c>
      <c r="G28" s="393">
        <f>SUM(H28:I28)</f>
        <v>54300</v>
      </c>
      <c r="H28" s="15">
        <f>SUM(H29:H34)</f>
        <v>52300</v>
      </c>
      <c r="I28" s="15">
        <f>SUM(I29:I34)</f>
        <v>2000</v>
      </c>
      <c r="J28" s="393">
        <f>SUM(K28:L28)</f>
        <v>62500</v>
      </c>
      <c r="K28" s="15">
        <f>SUM(K29:K34)</f>
        <v>52700</v>
      </c>
      <c r="L28" s="15">
        <f>SUM(L29:L34)</f>
        <v>9800</v>
      </c>
      <c r="M28" s="393">
        <f>SUM(N28:O28)</f>
        <v>63200</v>
      </c>
      <c r="N28" s="15">
        <f>SUM(N29:N34)</f>
        <v>53400</v>
      </c>
      <c r="O28" s="15">
        <f>SUM(O29:O34)</f>
        <v>9800</v>
      </c>
      <c r="P28" s="16"/>
    </row>
    <row r="29" spans="1:16" s="11" customFormat="1" ht="14.45" customHeight="1">
      <c r="A29" s="828"/>
      <c r="B29" s="554" t="s">
        <v>18</v>
      </c>
      <c r="C29" s="393">
        <v>27861</v>
      </c>
      <c r="D29" s="393">
        <f t="shared" si="0"/>
        <v>28600</v>
      </c>
      <c r="E29" s="13">
        <f>ROUND(E$74/'2.2생잔모형'!D$6*'2.2생잔모형'!D20,-2)</f>
        <v>28600</v>
      </c>
      <c r="F29" s="13">
        <f>인구배분!E195</f>
        <v>0</v>
      </c>
      <c r="G29" s="393">
        <f t="shared" si="1"/>
        <v>29400</v>
      </c>
      <c r="H29" s="13">
        <f>ROUND(H$74/'2.2생잔모형'!E$6*'2.2생잔모형'!E20,-2)</f>
        <v>29400</v>
      </c>
      <c r="I29" s="13">
        <f>인구배분!F195</f>
        <v>0</v>
      </c>
      <c r="J29" s="393">
        <f t="shared" si="2"/>
        <v>29900</v>
      </c>
      <c r="K29" s="13">
        <f>ROUND(K$74/'2.2생잔모형'!F$6*'2.2생잔모형'!F20,-2)</f>
        <v>29900</v>
      </c>
      <c r="L29" s="13">
        <f>인구배분!G195</f>
        <v>0</v>
      </c>
      <c r="M29" s="393">
        <f t="shared" si="3"/>
        <v>30700</v>
      </c>
      <c r="N29" s="13">
        <f>ROUND(N$74/'2.2생잔모형'!G$6*'2.2생잔모형'!G20,-2)</f>
        <v>30700</v>
      </c>
      <c r="O29" s="13">
        <f>인구배분!H195</f>
        <v>0</v>
      </c>
      <c r="P29" s="16"/>
    </row>
    <row r="30" spans="1:16" s="11" customFormat="1" ht="14.45" customHeight="1">
      <c r="A30" s="828"/>
      <c r="B30" s="554" t="s">
        <v>238</v>
      </c>
      <c r="C30" s="393">
        <v>5540</v>
      </c>
      <c r="D30" s="393">
        <f t="shared" si="0"/>
        <v>5600</v>
      </c>
      <c r="E30" s="13">
        <f>ROUND(E$74/'2.2생잔모형'!D$6*'2.2생잔모형'!D23,-2)</f>
        <v>5600</v>
      </c>
      <c r="F30" s="13">
        <f>인구배분!E196</f>
        <v>0</v>
      </c>
      <c r="G30" s="393">
        <f t="shared" si="1"/>
        <v>5600</v>
      </c>
      <c r="H30" s="13">
        <f>ROUND(H$74/'2.2생잔모형'!E$6*'2.2생잔모형'!E23,-2)</f>
        <v>5600</v>
      </c>
      <c r="I30" s="13">
        <f>인구배분!F196</f>
        <v>0</v>
      </c>
      <c r="J30" s="393">
        <f t="shared" si="2"/>
        <v>5700</v>
      </c>
      <c r="K30" s="13">
        <f>ROUND(K$74/'2.2생잔모형'!F$6*'2.2생잔모형'!F23,-2)</f>
        <v>5700</v>
      </c>
      <c r="L30" s="13">
        <f>인구배분!G196</f>
        <v>0</v>
      </c>
      <c r="M30" s="393">
        <f t="shared" si="3"/>
        <v>5700</v>
      </c>
      <c r="N30" s="13">
        <f>ROUND(N$74/'2.2생잔모형'!G$6*'2.2생잔모형'!G23,-2)</f>
        <v>5700</v>
      </c>
      <c r="O30" s="13">
        <f>인구배분!H196</f>
        <v>0</v>
      </c>
      <c r="P30" s="16"/>
    </row>
    <row r="31" spans="1:16" s="11" customFormat="1" ht="14.45" customHeight="1">
      <c r="A31" s="828"/>
      <c r="B31" s="554" t="s">
        <v>14</v>
      </c>
      <c r="C31" s="393">
        <v>4480</v>
      </c>
      <c r="D31" s="393">
        <f t="shared" si="0"/>
        <v>4400</v>
      </c>
      <c r="E31" s="13">
        <f>ROUND(E$74/'2.2생잔모형'!D$6*'2.2생잔모형'!D24,-2)</f>
        <v>4400</v>
      </c>
      <c r="F31" s="13">
        <f>인구배분!E197</f>
        <v>0</v>
      </c>
      <c r="G31" s="393">
        <f t="shared" si="1"/>
        <v>6300</v>
      </c>
      <c r="H31" s="13">
        <f>ROUND(H$74/'2.2생잔모형'!E$6*'2.2생잔모형'!E24,-2)</f>
        <v>4500</v>
      </c>
      <c r="I31" s="13">
        <f>인구배분!F197</f>
        <v>1800</v>
      </c>
      <c r="J31" s="393">
        <f t="shared" si="2"/>
        <v>12300</v>
      </c>
      <c r="K31" s="13">
        <f>ROUND(K$74/'2.2생잔모형'!F$6*'2.2생잔모형'!F24,-2)</f>
        <v>4400</v>
      </c>
      <c r="L31" s="13">
        <f>인구배분!G197</f>
        <v>7900</v>
      </c>
      <c r="M31" s="393">
        <f t="shared" si="3"/>
        <v>12300</v>
      </c>
      <c r="N31" s="13">
        <f>ROUND(N$74/'2.2생잔모형'!G$6*'2.2생잔모형'!G24,-2)</f>
        <v>4400</v>
      </c>
      <c r="O31" s="13">
        <f>인구배분!H197</f>
        <v>7900</v>
      </c>
      <c r="P31" s="16"/>
    </row>
    <row r="32" spans="1:16" s="11" customFormat="1" ht="14.45" customHeight="1">
      <c r="A32" s="828"/>
      <c r="B32" s="554" t="s">
        <v>13</v>
      </c>
      <c r="C32" s="393">
        <v>3113</v>
      </c>
      <c r="D32" s="393">
        <f t="shared" si="0"/>
        <v>3100</v>
      </c>
      <c r="E32" s="13">
        <f>ROUND(E$74/'2.2생잔모형'!D$6*'2.2생잔모형'!D25,-2)</f>
        <v>3100</v>
      </c>
      <c r="F32" s="13">
        <f>인구배분!E198</f>
        <v>0</v>
      </c>
      <c r="G32" s="393">
        <f t="shared" si="1"/>
        <v>3100</v>
      </c>
      <c r="H32" s="13">
        <f>ROUND(H$74/'2.2생잔모형'!E$6*'2.2생잔모형'!E25,-2)</f>
        <v>3100</v>
      </c>
      <c r="I32" s="13">
        <f>인구배분!F198</f>
        <v>0</v>
      </c>
      <c r="J32" s="393">
        <f t="shared" si="2"/>
        <v>4600</v>
      </c>
      <c r="K32" s="13">
        <f>ROUND(K$74/'2.2생잔모형'!F$6*'2.2생잔모형'!F25,-2)</f>
        <v>3100</v>
      </c>
      <c r="L32" s="13">
        <f>인구배분!G198</f>
        <v>1500</v>
      </c>
      <c r="M32" s="393">
        <f t="shared" si="3"/>
        <v>4600</v>
      </c>
      <c r="N32" s="13">
        <f>ROUND(N$74/'2.2생잔모형'!G$6*'2.2생잔모형'!G25,-2)</f>
        <v>3100</v>
      </c>
      <c r="O32" s="13">
        <f>인구배분!H198</f>
        <v>1500</v>
      </c>
      <c r="P32" s="16"/>
    </row>
    <row r="33" spans="1:24" s="11" customFormat="1" ht="14.45" customHeight="1">
      <c r="A33" s="828"/>
      <c r="B33" s="554" t="s">
        <v>12</v>
      </c>
      <c r="C33" s="393">
        <v>6742</v>
      </c>
      <c r="D33" s="393">
        <f t="shared" si="0"/>
        <v>7000</v>
      </c>
      <c r="E33" s="13">
        <f>ROUND(E$74/'2.2생잔모형'!D$6*'2.2생잔모형'!D26,-2)</f>
        <v>6800</v>
      </c>
      <c r="F33" s="13">
        <f>인구배분!E199</f>
        <v>200</v>
      </c>
      <c r="G33" s="393">
        <f t="shared" si="1"/>
        <v>7100</v>
      </c>
      <c r="H33" s="13">
        <f>ROUND(H$74/'2.2생잔모형'!E$6*'2.2생잔모형'!E26,-2)</f>
        <v>6900</v>
      </c>
      <c r="I33" s="13">
        <f>인구배분!F199</f>
        <v>200</v>
      </c>
      <c r="J33" s="393">
        <f t="shared" si="2"/>
        <v>7100</v>
      </c>
      <c r="K33" s="13">
        <f>ROUND(K$74/'2.2생잔모형'!F$6*'2.2생잔모형'!F26,-2)</f>
        <v>6900</v>
      </c>
      <c r="L33" s="13">
        <f>인구배분!G199</f>
        <v>200</v>
      </c>
      <c r="M33" s="393">
        <f t="shared" si="3"/>
        <v>7100</v>
      </c>
      <c r="N33" s="13">
        <f>ROUND(N$74/'2.2생잔모형'!G$6*'2.2생잔모형'!G26,-2)</f>
        <v>6900</v>
      </c>
      <c r="O33" s="13">
        <f>인구배분!H199</f>
        <v>200</v>
      </c>
      <c r="P33" s="16"/>
    </row>
    <row r="34" spans="1:24" s="11" customFormat="1" ht="14.45" customHeight="1">
      <c r="A34" s="828"/>
      <c r="B34" s="554" t="s">
        <v>621</v>
      </c>
      <c r="C34" s="393">
        <v>2885</v>
      </c>
      <c r="D34" s="393">
        <f t="shared" si="0"/>
        <v>2800</v>
      </c>
      <c r="E34" s="13">
        <f>ROUND(E$74/'2.2생잔모형'!D$6*'2.2생잔모형'!D27,-2)</f>
        <v>2800</v>
      </c>
      <c r="F34" s="13">
        <f>인구배분!E200</f>
        <v>0</v>
      </c>
      <c r="G34" s="393">
        <f t="shared" si="1"/>
        <v>2800</v>
      </c>
      <c r="H34" s="13">
        <f>ROUND(H$74/'2.2생잔모형'!E$6*'2.2생잔모형'!E27,-2)</f>
        <v>2800</v>
      </c>
      <c r="I34" s="13">
        <f>인구배분!F200</f>
        <v>0</v>
      </c>
      <c r="J34" s="393">
        <f t="shared" si="2"/>
        <v>2900</v>
      </c>
      <c r="K34" s="13">
        <f>ROUND(K$74/'2.2생잔모형'!F$6*'2.2생잔모형'!F27,-2)</f>
        <v>2700</v>
      </c>
      <c r="L34" s="13">
        <f>인구배분!G200</f>
        <v>200</v>
      </c>
      <c r="M34" s="393">
        <f t="shared" si="3"/>
        <v>2800</v>
      </c>
      <c r="N34" s="13">
        <f>ROUND(N$74/'2.2생잔모형'!G$6*'2.2생잔모형'!G27,-2)</f>
        <v>2600</v>
      </c>
      <c r="O34" s="13">
        <f>인구배분!H200</f>
        <v>200</v>
      </c>
      <c r="P34" s="16"/>
    </row>
    <row r="35" spans="1:24" s="11" customFormat="1" ht="14.45" customHeight="1">
      <c r="A35" s="828" t="s">
        <v>1201</v>
      </c>
      <c r="B35" s="554" t="s">
        <v>19</v>
      </c>
      <c r="C35" s="393">
        <f>SUM(C36:C37)</f>
        <v>9839</v>
      </c>
      <c r="D35" s="393">
        <f>SUM(E35:F35)</f>
        <v>9800</v>
      </c>
      <c r="E35" s="15">
        <f>SUM(E36:E37)</f>
        <v>9800</v>
      </c>
      <c r="F35" s="15">
        <f>SUM(F36:F37)</f>
        <v>0</v>
      </c>
      <c r="G35" s="393">
        <f t="shared" si="1"/>
        <v>13000</v>
      </c>
      <c r="H35" s="15">
        <f>SUM(H36:H37)</f>
        <v>9800</v>
      </c>
      <c r="I35" s="15">
        <f>SUM(I36:I37)</f>
        <v>3200</v>
      </c>
      <c r="J35" s="393">
        <f t="shared" si="2"/>
        <v>13000</v>
      </c>
      <c r="K35" s="15">
        <f>SUM(K36:K37)</f>
        <v>9800</v>
      </c>
      <c r="L35" s="15">
        <f>SUM(L36:L37)</f>
        <v>3200</v>
      </c>
      <c r="M35" s="393">
        <f t="shared" si="3"/>
        <v>13000</v>
      </c>
      <c r="N35" s="15">
        <f>SUM(N36:N37)</f>
        <v>9800</v>
      </c>
      <c r="O35" s="15">
        <f>SUM(O36:O37)</f>
        <v>3200</v>
      </c>
      <c r="P35" s="16"/>
    </row>
    <row r="36" spans="1:24" s="11" customFormat="1" ht="14.45" customHeight="1">
      <c r="A36" s="974"/>
      <c r="B36" s="554" t="s">
        <v>17</v>
      </c>
      <c r="C36" s="393">
        <v>5181</v>
      </c>
      <c r="D36" s="393">
        <f>SUM(E36:F36)</f>
        <v>5200</v>
      </c>
      <c r="E36" s="13">
        <f>ROUND(E$74/'2.2생잔모형'!D$6*'2.2생잔모형'!D21,-2)</f>
        <v>5200</v>
      </c>
      <c r="F36" s="13">
        <f>인구배분!E202</f>
        <v>0</v>
      </c>
      <c r="G36" s="393">
        <f>SUM(H36:I36)</f>
        <v>8400</v>
      </c>
      <c r="H36" s="13">
        <f>ROUND(H$74/'2.2생잔모형'!E$6*'2.2생잔모형'!E21,-2)</f>
        <v>5200</v>
      </c>
      <c r="I36" s="13">
        <f>인구배분!F202</f>
        <v>3200</v>
      </c>
      <c r="J36" s="393">
        <f>SUM(K36:L36)</f>
        <v>8400</v>
      </c>
      <c r="K36" s="13">
        <f>ROUND(K$74/'2.2생잔모형'!F$6*'2.2생잔모형'!F21,-2)</f>
        <v>5200</v>
      </c>
      <c r="L36" s="13">
        <f>인구배분!G202</f>
        <v>3200</v>
      </c>
      <c r="M36" s="393">
        <f>SUM(N36:O36)</f>
        <v>8400</v>
      </c>
      <c r="N36" s="13">
        <f>ROUND(N$74/'2.2생잔모형'!G$6*'2.2생잔모형'!G21,-2)</f>
        <v>5200</v>
      </c>
      <c r="O36" s="13">
        <f>인구배분!H202</f>
        <v>3200</v>
      </c>
      <c r="P36" s="16"/>
    </row>
    <row r="37" spans="1:24" s="11" customFormat="1" ht="14.45" customHeight="1">
      <c r="A37" s="794"/>
      <c r="B37" s="557" t="s">
        <v>16</v>
      </c>
      <c r="C37" s="395">
        <v>4658</v>
      </c>
      <c r="D37" s="395">
        <f>SUM(E37:F37)</f>
        <v>4600</v>
      </c>
      <c r="E37" s="396">
        <f>ROUND(E$74/'2.2생잔모형'!D$6*'2.2생잔모형'!D22,-2)</f>
        <v>4600</v>
      </c>
      <c r="F37" s="396">
        <f>인구배분!E203</f>
        <v>0</v>
      </c>
      <c r="G37" s="395">
        <f>SUM(H37:I37)</f>
        <v>4600</v>
      </c>
      <c r="H37" s="396">
        <f>ROUND(H$74/'2.2생잔모형'!E$6*'2.2생잔모형'!E22,-2)</f>
        <v>4600</v>
      </c>
      <c r="I37" s="396">
        <f>인구배분!F203</f>
        <v>0</v>
      </c>
      <c r="J37" s="395">
        <f>SUM(K37:L37)</f>
        <v>4600</v>
      </c>
      <c r="K37" s="396">
        <f>ROUND(K$74/'2.2생잔모형'!F$6*'2.2생잔모형'!F22,-2)</f>
        <v>4600</v>
      </c>
      <c r="L37" s="396">
        <f>인구배분!G203</f>
        <v>0</v>
      </c>
      <c r="M37" s="395">
        <f>SUM(N37:O37)</f>
        <v>4600</v>
      </c>
      <c r="N37" s="396">
        <f>ROUND(N$74/'2.2생잔모형'!G$6*'2.2생잔모형'!G22,-2)</f>
        <v>4600</v>
      </c>
      <c r="O37" s="396">
        <f>인구배분!H203</f>
        <v>0</v>
      </c>
      <c r="P37" s="374"/>
    </row>
    <row r="38" spans="1:24" ht="14.45" customHeight="1">
      <c r="A38" s="346" t="s">
        <v>192</v>
      </c>
      <c r="P38" s="7" t="s">
        <v>56</v>
      </c>
    </row>
    <row r="39" spans="1:24" ht="14.45" customHeight="1">
      <c r="A39" s="869" t="s">
        <v>34</v>
      </c>
      <c r="B39" s="865"/>
      <c r="C39" s="865" t="s">
        <v>33</v>
      </c>
      <c r="D39" s="971" t="s">
        <v>32</v>
      </c>
      <c r="E39" s="972"/>
      <c r="F39" s="973"/>
      <c r="G39" s="971" t="s">
        <v>31</v>
      </c>
      <c r="H39" s="972"/>
      <c r="I39" s="973"/>
      <c r="J39" s="971" t="s">
        <v>30</v>
      </c>
      <c r="K39" s="972"/>
      <c r="L39" s="973"/>
      <c r="M39" s="971" t="s">
        <v>29</v>
      </c>
      <c r="N39" s="972"/>
      <c r="O39" s="973"/>
      <c r="P39" s="202" t="s">
        <v>121</v>
      </c>
    </row>
    <row r="40" spans="1:24" ht="14.45" customHeight="1">
      <c r="A40" s="868"/>
      <c r="B40" s="866"/>
      <c r="C40" s="866"/>
      <c r="D40" s="8" t="s">
        <v>53</v>
      </c>
      <c r="E40" s="397" t="s">
        <v>194</v>
      </c>
      <c r="F40" s="398" t="s">
        <v>193</v>
      </c>
      <c r="G40" s="8" t="s">
        <v>53</v>
      </c>
      <c r="H40" s="397" t="s">
        <v>194</v>
      </c>
      <c r="I40" s="398" t="s">
        <v>193</v>
      </c>
      <c r="J40" s="8" t="s">
        <v>53</v>
      </c>
      <c r="K40" s="397" t="s">
        <v>194</v>
      </c>
      <c r="L40" s="398" t="s">
        <v>193</v>
      </c>
      <c r="M40" s="8" t="s">
        <v>53</v>
      </c>
      <c r="N40" s="397" t="s">
        <v>194</v>
      </c>
      <c r="O40" s="398" t="s">
        <v>193</v>
      </c>
      <c r="P40" s="211"/>
      <c r="R40" s="399"/>
    </row>
    <row r="41" spans="1:24" ht="14.45" customHeight="1">
      <c r="A41" s="869" t="s">
        <v>28</v>
      </c>
      <c r="B41" s="865"/>
      <c r="C41" s="391">
        <f>SUM(C42,C59,C64,C71)</f>
        <v>540742</v>
      </c>
      <c r="D41" s="391">
        <f t="shared" ref="D41:D49" si="8">SUM(E41:F41)</f>
        <v>605000</v>
      </c>
      <c r="E41" s="392">
        <f>SUM(E42,E59,E64,E71)</f>
        <v>518100</v>
      </c>
      <c r="F41" s="392">
        <f>SUM(F42,F59,F64,F71)</f>
        <v>86900</v>
      </c>
      <c r="G41" s="391">
        <f>SUM(H41:I41)</f>
        <v>690000</v>
      </c>
      <c r="H41" s="392">
        <f>SUM(H42,H59,H64,H71)</f>
        <v>474300</v>
      </c>
      <c r="I41" s="392">
        <f>SUM(I42,I59,I64,I71)</f>
        <v>215700</v>
      </c>
      <c r="J41" s="391">
        <f>SUM(K41:L41)</f>
        <v>780000</v>
      </c>
      <c r="K41" s="392">
        <f>SUM(K42,K59,K64,K71)</f>
        <v>444200</v>
      </c>
      <c r="L41" s="392">
        <f>SUM(L42,L59,L64,L71)</f>
        <v>335800</v>
      </c>
      <c r="M41" s="391">
        <f>SUM(N41:O41)</f>
        <v>800000</v>
      </c>
      <c r="N41" s="392">
        <f>SUM(N42,N59,N64,N71)</f>
        <v>464200</v>
      </c>
      <c r="O41" s="392">
        <f>SUM(O42,O59,O64,O71)</f>
        <v>335800</v>
      </c>
      <c r="P41" s="558"/>
      <c r="R41" s="399"/>
    </row>
    <row r="42" spans="1:24" ht="14.45" customHeight="1">
      <c r="A42" s="831" t="s">
        <v>1198</v>
      </c>
      <c r="B42" s="556" t="s">
        <v>19</v>
      </c>
      <c r="C42" s="393">
        <f>SUM(C43:C58)</f>
        <v>390465</v>
      </c>
      <c r="D42" s="393">
        <f t="shared" si="8"/>
        <v>446200</v>
      </c>
      <c r="E42" s="13">
        <f>SUM(E43:E58)</f>
        <v>369600</v>
      </c>
      <c r="F42" s="13">
        <f>SUM(F43:F58)</f>
        <v>76600</v>
      </c>
      <c r="G42" s="393">
        <f>SUM(H42:I42)</f>
        <v>504100</v>
      </c>
      <c r="H42" s="13">
        <f>SUM(H43:H58)</f>
        <v>335600</v>
      </c>
      <c r="I42" s="13">
        <f>SUM(I43:I58)</f>
        <v>168500</v>
      </c>
      <c r="J42" s="393">
        <f>SUM(K42:L42)</f>
        <v>548500</v>
      </c>
      <c r="K42" s="13">
        <f>SUM(K43:K58)</f>
        <v>323900</v>
      </c>
      <c r="L42" s="13">
        <f>SUM(L43:L58)</f>
        <v>224600</v>
      </c>
      <c r="M42" s="393">
        <f>SUM(N42:O42)</f>
        <v>565500</v>
      </c>
      <c r="N42" s="13">
        <f>SUM(N43:N58)</f>
        <v>340900</v>
      </c>
      <c r="O42" s="13">
        <f>SUM(O43:O58)</f>
        <v>224600</v>
      </c>
      <c r="P42" s="14"/>
      <c r="R42" s="399"/>
    </row>
    <row r="43" spans="1:24" ht="14.45" customHeight="1">
      <c r="A43" s="867"/>
      <c r="B43" s="556" t="s">
        <v>24</v>
      </c>
      <c r="C43" s="393">
        <v>20033</v>
      </c>
      <c r="D43" s="393">
        <f t="shared" si="8"/>
        <v>18900</v>
      </c>
      <c r="E43" s="13">
        <f t="shared" ref="E43:E48" si="9">ROUND(E$75/SUM(E$7:E$13,E$14:E$22)*E7,-2)</f>
        <v>18900</v>
      </c>
      <c r="F43" s="13">
        <f>인구배분!O173</f>
        <v>0</v>
      </c>
      <c r="G43" s="393">
        <f t="shared" ref="G43:G70" si="10">SUM(H43:I43)</f>
        <v>22500</v>
      </c>
      <c r="H43" s="13">
        <f t="shared" ref="H43:H48" si="11">ROUND(H$75/SUM(H$7:H$13,H$14:H$22)*H7,-2)</f>
        <v>17200</v>
      </c>
      <c r="I43" s="13">
        <f>인구배분!P173</f>
        <v>5300</v>
      </c>
      <c r="J43" s="393">
        <f t="shared" ref="J43:J70" si="12">SUM(K43:L43)</f>
        <v>21900</v>
      </c>
      <c r="K43" s="13">
        <f t="shared" ref="K43:K48" si="13">ROUND(K$75/SUM(K$7:K$13,K$14:K$22)*K7,-2)</f>
        <v>16600</v>
      </c>
      <c r="L43" s="13">
        <f>인구배분!Q173</f>
        <v>5300</v>
      </c>
      <c r="M43" s="393">
        <f t="shared" ref="M43:M70" si="14">SUM(N43:O43)</f>
        <v>22500</v>
      </c>
      <c r="N43" s="13">
        <f t="shared" ref="N43:N48" si="15">ROUND(N$75/SUM(N$7:N$13,N$14:N$22)*N7,-2)</f>
        <v>17200</v>
      </c>
      <c r="O43" s="13">
        <f>인구배분!R173</f>
        <v>5300</v>
      </c>
      <c r="P43" s="14"/>
      <c r="T43" s="4"/>
      <c r="U43" s="4"/>
      <c r="V43" s="4"/>
      <c r="W43" s="4"/>
      <c r="X43" s="4"/>
    </row>
    <row r="44" spans="1:24" ht="14.45" customHeight="1">
      <c r="A44" s="867"/>
      <c r="B44" s="554" t="s">
        <v>23</v>
      </c>
      <c r="C44" s="393">
        <v>21438</v>
      </c>
      <c r="D44" s="393">
        <f t="shared" si="8"/>
        <v>20400</v>
      </c>
      <c r="E44" s="13">
        <f t="shared" si="9"/>
        <v>20400</v>
      </c>
      <c r="F44" s="13">
        <f>인구배분!O174</f>
        <v>0</v>
      </c>
      <c r="G44" s="393">
        <f t="shared" si="10"/>
        <v>19300</v>
      </c>
      <c r="H44" s="13">
        <f t="shared" si="11"/>
        <v>18700</v>
      </c>
      <c r="I44" s="13">
        <f>인구배분!P174</f>
        <v>600</v>
      </c>
      <c r="J44" s="393">
        <f t="shared" si="12"/>
        <v>18800</v>
      </c>
      <c r="K44" s="13">
        <f t="shared" si="13"/>
        <v>18200</v>
      </c>
      <c r="L44" s="13">
        <f>인구배분!Q174</f>
        <v>600</v>
      </c>
      <c r="M44" s="393">
        <f t="shared" si="14"/>
        <v>19800</v>
      </c>
      <c r="N44" s="13">
        <f t="shared" si="15"/>
        <v>19200</v>
      </c>
      <c r="O44" s="13">
        <f>인구배분!R174</f>
        <v>600</v>
      </c>
      <c r="P44" s="16"/>
      <c r="T44" s="4"/>
      <c r="U44" s="4"/>
      <c r="V44" s="4"/>
      <c r="W44" s="4"/>
      <c r="X44" s="4"/>
    </row>
    <row r="45" spans="1:24" ht="14.45" customHeight="1">
      <c r="A45" s="867"/>
      <c r="B45" s="554" t="s">
        <v>176</v>
      </c>
      <c r="C45" s="393">
        <v>16213</v>
      </c>
      <c r="D45" s="393">
        <f t="shared" si="8"/>
        <v>15200</v>
      </c>
      <c r="E45" s="13">
        <f t="shared" si="9"/>
        <v>15200</v>
      </c>
      <c r="F45" s="13">
        <f>인구배분!O175</f>
        <v>0</v>
      </c>
      <c r="G45" s="393">
        <f t="shared" si="10"/>
        <v>13800</v>
      </c>
      <c r="H45" s="13">
        <f t="shared" si="11"/>
        <v>13800</v>
      </c>
      <c r="I45" s="13">
        <f>인구배분!P175</f>
        <v>0</v>
      </c>
      <c r="J45" s="393">
        <f t="shared" si="12"/>
        <v>13500</v>
      </c>
      <c r="K45" s="13">
        <f t="shared" si="13"/>
        <v>13500</v>
      </c>
      <c r="L45" s="13">
        <f>인구배분!Q175</f>
        <v>0</v>
      </c>
      <c r="M45" s="393">
        <f t="shared" si="14"/>
        <v>14300</v>
      </c>
      <c r="N45" s="13">
        <f t="shared" si="15"/>
        <v>14300</v>
      </c>
      <c r="O45" s="13">
        <f>인구배분!R175</f>
        <v>0</v>
      </c>
      <c r="P45" s="16"/>
      <c r="T45" s="4"/>
      <c r="U45" s="4"/>
      <c r="V45" s="4"/>
      <c r="W45" s="4"/>
      <c r="X45" s="4"/>
    </row>
    <row r="46" spans="1:24" ht="14.45" customHeight="1">
      <c r="A46" s="867"/>
      <c r="B46" s="554" t="s">
        <v>22</v>
      </c>
      <c r="C46" s="393">
        <v>44658</v>
      </c>
      <c r="D46" s="393">
        <f t="shared" si="8"/>
        <v>43400</v>
      </c>
      <c r="E46" s="13">
        <f t="shared" si="9"/>
        <v>42500</v>
      </c>
      <c r="F46" s="13">
        <f>인구배분!O176</f>
        <v>900</v>
      </c>
      <c r="G46" s="393">
        <f t="shared" si="10"/>
        <v>39600</v>
      </c>
      <c r="H46" s="13">
        <f t="shared" si="11"/>
        <v>38700</v>
      </c>
      <c r="I46" s="13">
        <f>인구배분!P176</f>
        <v>900</v>
      </c>
      <c r="J46" s="393">
        <f t="shared" si="12"/>
        <v>38400</v>
      </c>
      <c r="K46" s="13">
        <f t="shared" si="13"/>
        <v>37500</v>
      </c>
      <c r="L46" s="13">
        <f>인구배분!Q176</f>
        <v>900</v>
      </c>
      <c r="M46" s="393">
        <f t="shared" si="14"/>
        <v>40700</v>
      </c>
      <c r="N46" s="13">
        <f t="shared" si="15"/>
        <v>39800</v>
      </c>
      <c r="O46" s="13">
        <f>인구배분!R176</f>
        <v>900</v>
      </c>
      <c r="P46" s="16"/>
      <c r="T46" s="4"/>
      <c r="U46" s="4"/>
      <c r="V46" s="4"/>
      <c r="W46" s="4"/>
      <c r="X46" s="4"/>
    </row>
    <row r="47" spans="1:24" ht="14.45" customHeight="1">
      <c r="A47" s="867"/>
      <c r="B47" s="554" t="s">
        <v>177</v>
      </c>
      <c r="C47" s="393">
        <v>20440</v>
      </c>
      <c r="D47" s="393">
        <f t="shared" si="8"/>
        <v>21900</v>
      </c>
      <c r="E47" s="13">
        <f t="shared" si="9"/>
        <v>19400</v>
      </c>
      <c r="F47" s="13">
        <f>인구배분!O177</f>
        <v>2500</v>
      </c>
      <c r="G47" s="393">
        <f t="shared" si="10"/>
        <v>20000</v>
      </c>
      <c r="H47" s="13">
        <f t="shared" si="11"/>
        <v>17500</v>
      </c>
      <c r="I47" s="13">
        <f>인구배분!P177</f>
        <v>2500</v>
      </c>
      <c r="J47" s="393">
        <f t="shared" si="12"/>
        <v>19400</v>
      </c>
      <c r="K47" s="13">
        <f t="shared" si="13"/>
        <v>16900</v>
      </c>
      <c r="L47" s="13">
        <f>인구배분!Q177</f>
        <v>2500</v>
      </c>
      <c r="M47" s="393">
        <f t="shared" si="14"/>
        <v>20300</v>
      </c>
      <c r="N47" s="13">
        <f t="shared" si="15"/>
        <v>17800</v>
      </c>
      <c r="O47" s="13">
        <f>인구배분!R177</f>
        <v>2500</v>
      </c>
      <c r="P47" s="16"/>
      <c r="T47" s="4"/>
      <c r="U47" s="4"/>
      <c r="V47" s="4"/>
      <c r="W47" s="4"/>
      <c r="X47" s="4"/>
    </row>
    <row r="48" spans="1:24" ht="14.45" customHeight="1">
      <c r="A48" s="867"/>
      <c r="B48" s="554" t="s">
        <v>21</v>
      </c>
      <c r="C48" s="393">
        <v>41098</v>
      </c>
      <c r="D48" s="393">
        <f t="shared" si="8"/>
        <v>53300</v>
      </c>
      <c r="E48" s="13">
        <f t="shared" si="9"/>
        <v>38800</v>
      </c>
      <c r="F48" s="13">
        <f>인구배분!O178</f>
        <v>14500</v>
      </c>
      <c r="G48" s="393">
        <f t="shared" si="10"/>
        <v>79600</v>
      </c>
      <c r="H48" s="13">
        <f t="shared" si="11"/>
        <v>34900</v>
      </c>
      <c r="I48" s="13">
        <f>인구배분!P178</f>
        <v>44700</v>
      </c>
      <c r="J48" s="393">
        <f t="shared" si="12"/>
        <v>93100</v>
      </c>
      <c r="K48" s="13">
        <f t="shared" si="13"/>
        <v>33600</v>
      </c>
      <c r="L48" s="13">
        <f>인구배분!Q178</f>
        <v>59500</v>
      </c>
      <c r="M48" s="393">
        <f t="shared" si="14"/>
        <v>95200</v>
      </c>
      <c r="N48" s="13">
        <f t="shared" si="15"/>
        <v>35700</v>
      </c>
      <c r="O48" s="13">
        <f>인구배분!R178</f>
        <v>59500</v>
      </c>
      <c r="P48" s="16"/>
    </row>
    <row r="49" spans="1:25" ht="14.45" customHeight="1">
      <c r="A49" s="867"/>
      <c r="B49" s="554" t="s">
        <v>20</v>
      </c>
      <c r="C49" s="393">
        <v>50843</v>
      </c>
      <c r="D49" s="393">
        <f t="shared" si="8"/>
        <v>53500</v>
      </c>
      <c r="E49" s="394">
        <f>ROUND(E$75/SUM(E$7:E$13,E$14:E$22)*E13,-2)+100</f>
        <v>48100</v>
      </c>
      <c r="F49" s="13">
        <f>인구배분!O179</f>
        <v>5400</v>
      </c>
      <c r="G49" s="393">
        <f t="shared" si="10"/>
        <v>61300</v>
      </c>
      <c r="H49" s="394">
        <f>ROUND(H$75/SUM(H$7:H$13,H$14:H$22)*H13,-2)-100</f>
        <v>44000</v>
      </c>
      <c r="I49" s="13">
        <f>인구배분!P179</f>
        <v>17300</v>
      </c>
      <c r="J49" s="393">
        <f t="shared" si="12"/>
        <v>93300</v>
      </c>
      <c r="K49" s="394">
        <f>ROUND(K$75/SUM(K$7:K$13,K$14:K$22)*K13,-2)+200</f>
        <v>42400</v>
      </c>
      <c r="L49" s="13">
        <f>인구배분!Q179</f>
        <v>50900</v>
      </c>
      <c r="M49" s="393">
        <f t="shared" si="14"/>
        <v>95800</v>
      </c>
      <c r="N49" s="394">
        <f>ROUND(N$75/SUM(N$7:N$13,N$14:N$22)*N13,-2)-100</f>
        <v>44900</v>
      </c>
      <c r="O49" s="13">
        <f>인구배분!R179</f>
        <v>50900</v>
      </c>
      <c r="P49" s="16"/>
    </row>
    <row r="50" spans="1:25" s="11" customFormat="1" ht="14.45" customHeight="1">
      <c r="A50" s="867"/>
      <c r="B50" s="554" t="s">
        <v>10</v>
      </c>
      <c r="C50" s="393">
        <v>7103</v>
      </c>
      <c r="D50" s="393">
        <f t="shared" ref="D50:D63" si="16">SUM(E50:F50)</f>
        <v>6600</v>
      </c>
      <c r="E50" s="13">
        <f t="shared" ref="E50:E58" si="17">ROUND(E$75/SUM(E$7:E$13,E$14:E$22)*E14,-2)</f>
        <v>6600</v>
      </c>
      <c r="F50" s="13">
        <f>인구배분!O180</f>
        <v>0</v>
      </c>
      <c r="G50" s="393">
        <f t="shared" ref="G50:G63" si="18">SUM(H50:I50)</f>
        <v>10600</v>
      </c>
      <c r="H50" s="13">
        <f t="shared" ref="H50:H58" si="19">ROUND(H$75/SUM(H$7:H$13,H$14:H$22)*H14,-2)</f>
        <v>5900</v>
      </c>
      <c r="I50" s="13">
        <f>인구배분!P180</f>
        <v>4700</v>
      </c>
      <c r="J50" s="393">
        <f t="shared" ref="J50:J63" si="20">SUM(K50:L50)</f>
        <v>10300</v>
      </c>
      <c r="K50" s="13">
        <f t="shared" ref="K50:K58" si="21">ROUND(K$75/SUM(K$7:K$13,K$14:K$22)*K14,-2)</f>
        <v>5600</v>
      </c>
      <c r="L50" s="13">
        <f>인구배분!Q180</f>
        <v>4700</v>
      </c>
      <c r="M50" s="393">
        <f t="shared" ref="M50:M63" si="22">SUM(N50:O50)</f>
        <v>10400</v>
      </c>
      <c r="N50" s="13">
        <f t="shared" ref="N50:N58" si="23">ROUND(N$75/SUM(N$7:N$13,N$14:N$22)*N14,-2)</f>
        <v>5700</v>
      </c>
      <c r="O50" s="13">
        <f>인구배분!R180</f>
        <v>4700</v>
      </c>
      <c r="P50" s="16"/>
      <c r="R50" s="2"/>
      <c r="S50" s="2"/>
      <c r="T50" s="2"/>
      <c r="U50" s="2"/>
      <c r="V50" s="2"/>
      <c r="W50" s="2"/>
      <c r="X50" s="2"/>
      <c r="Y50" s="2"/>
    </row>
    <row r="51" spans="1:25" s="11" customFormat="1" ht="14.45" customHeight="1">
      <c r="A51" s="867"/>
      <c r="B51" s="554" t="s">
        <v>118</v>
      </c>
      <c r="C51" s="393">
        <v>6195</v>
      </c>
      <c r="D51" s="393">
        <f t="shared" si="16"/>
        <v>5800</v>
      </c>
      <c r="E51" s="13">
        <f t="shared" si="17"/>
        <v>5800</v>
      </c>
      <c r="F51" s="13">
        <f>인구배분!O181</f>
        <v>0</v>
      </c>
      <c r="G51" s="393">
        <f t="shared" si="18"/>
        <v>10900</v>
      </c>
      <c r="H51" s="13">
        <f t="shared" si="19"/>
        <v>5100</v>
      </c>
      <c r="I51" s="13">
        <f>인구배분!P181</f>
        <v>5800</v>
      </c>
      <c r="J51" s="393">
        <f t="shared" si="20"/>
        <v>10700</v>
      </c>
      <c r="K51" s="13">
        <f t="shared" si="21"/>
        <v>4900</v>
      </c>
      <c r="L51" s="13">
        <f>인구배분!Q181</f>
        <v>5800</v>
      </c>
      <c r="M51" s="393">
        <f t="shared" si="22"/>
        <v>10900</v>
      </c>
      <c r="N51" s="13">
        <f t="shared" si="23"/>
        <v>5100</v>
      </c>
      <c r="O51" s="13">
        <f>인구배분!R181</f>
        <v>5800</v>
      </c>
      <c r="P51" s="16"/>
      <c r="R51" s="2"/>
      <c r="S51" s="2"/>
      <c r="T51" s="2"/>
      <c r="U51" s="2"/>
      <c r="V51" s="2"/>
      <c r="W51" s="2"/>
      <c r="X51" s="2"/>
      <c r="Y51" s="2"/>
    </row>
    <row r="52" spans="1:25" s="11" customFormat="1" ht="14.45" customHeight="1">
      <c r="A52" s="867"/>
      <c r="B52" s="554" t="s">
        <v>185</v>
      </c>
      <c r="C52" s="393">
        <v>11408</v>
      </c>
      <c r="D52" s="393">
        <f t="shared" si="16"/>
        <v>10700</v>
      </c>
      <c r="E52" s="13">
        <f t="shared" si="17"/>
        <v>10700</v>
      </c>
      <c r="F52" s="13">
        <f>인구배분!O182</f>
        <v>0</v>
      </c>
      <c r="G52" s="393">
        <f t="shared" si="18"/>
        <v>15600</v>
      </c>
      <c r="H52" s="13">
        <f t="shared" si="19"/>
        <v>9700</v>
      </c>
      <c r="I52" s="13">
        <f>인구배분!P182</f>
        <v>5900</v>
      </c>
      <c r="J52" s="393">
        <f t="shared" si="20"/>
        <v>15100</v>
      </c>
      <c r="K52" s="13">
        <f t="shared" si="21"/>
        <v>9200</v>
      </c>
      <c r="L52" s="13">
        <f>인구배분!Q182</f>
        <v>5900</v>
      </c>
      <c r="M52" s="393">
        <f t="shared" si="22"/>
        <v>15500</v>
      </c>
      <c r="N52" s="13">
        <f t="shared" si="23"/>
        <v>9600</v>
      </c>
      <c r="O52" s="13">
        <f>인구배분!R182</f>
        <v>5900</v>
      </c>
      <c r="P52" s="16"/>
    </row>
    <row r="53" spans="1:25" s="11" customFormat="1" ht="14.45" customHeight="1">
      <c r="A53" s="867"/>
      <c r="B53" s="554" t="s">
        <v>9</v>
      </c>
      <c r="C53" s="393">
        <v>13839</v>
      </c>
      <c r="D53" s="393">
        <f t="shared" si="16"/>
        <v>12900</v>
      </c>
      <c r="E53" s="13">
        <f t="shared" si="17"/>
        <v>12900</v>
      </c>
      <c r="F53" s="13">
        <f>인구배분!O183</f>
        <v>0</v>
      </c>
      <c r="G53" s="393">
        <f t="shared" si="18"/>
        <v>21200</v>
      </c>
      <c r="H53" s="13">
        <f t="shared" si="19"/>
        <v>11700</v>
      </c>
      <c r="I53" s="13">
        <f>인구배분!P183</f>
        <v>9500</v>
      </c>
      <c r="J53" s="393">
        <f t="shared" si="20"/>
        <v>20700</v>
      </c>
      <c r="K53" s="13">
        <f t="shared" si="21"/>
        <v>11200</v>
      </c>
      <c r="L53" s="13">
        <f>인구배분!Q183</f>
        <v>9500</v>
      </c>
      <c r="M53" s="393">
        <f t="shared" si="22"/>
        <v>21100</v>
      </c>
      <c r="N53" s="13">
        <f t="shared" si="23"/>
        <v>11600</v>
      </c>
      <c r="O53" s="13">
        <f>인구배분!R183</f>
        <v>9500</v>
      </c>
      <c r="P53" s="16"/>
    </row>
    <row r="54" spans="1:25" s="11" customFormat="1" ht="14.45" customHeight="1">
      <c r="A54" s="867"/>
      <c r="B54" s="554" t="s">
        <v>195</v>
      </c>
      <c r="C54" s="393">
        <v>22589</v>
      </c>
      <c r="D54" s="393">
        <f t="shared" si="16"/>
        <v>21700</v>
      </c>
      <c r="E54" s="13">
        <f t="shared" si="17"/>
        <v>21700</v>
      </c>
      <c r="F54" s="13">
        <f>인구배분!O184</f>
        <v>0</v>
      </c>
      <c r="G54" s="393">
        <f t="shared" si="18"/>
        <v>25400</v>
      </c>
      <c r="H54" s="13">
        <f t="shared" si="19"/>
        <v>19800</v>
      </c>
      <c r="I54" s="13">
        <f>인구배분!P184</f>
        <v>5600</v>
      </c>
      <c r="J54" s="393">
        <f t="shared" si="20"/>
        <v>24800</v>
      </c>
      <c r="K54" s="13">
        <f t="shared" si="21"/>
        <v>19200</v>
      </c>
      <c r="L54" s="13">
        <f>인구배분!Q184</f>
        <v>5600</v>
      </c>
      <c r="M54" s="393">
        <f t="shared" si="22"/>
        <v>25700</v>
      </c>
      <c r="N54" s="13">
        <f t="shared" si="23"/>
        <v>20100</v>
      </c>
      <c r="O54" s="13">
        <f>인구배분!R184</f>
        <v>5600</v>
      </c>
      <c r="P54" s="16"/>
    </row>
    <row r="55" spans="1:25" s="11" customFormat="1" ht="14.45" customHeight="1">
      <c r="A55" s="867"/>
      <c r="B55" s="554" t="s">
        <v>8</v>
      </c>
      <c r="C55" s="393">
        <v>17710</v>
      </c>
      <c r="D55" s="393">
        <f t="shared" si="16"/>
        <v>26900</v>
      </c>
      <c r="E55" s="13">
        <f t="shared" si="17"/>
        <v>16600</v>
      </c>
      <c r="F55" s="13">
        <f>인구배분!O185</f>
        <v>10300</v>
      </c>
      <c r="G55" s="393">
        <f t="shared" si="18"/>
        <v>29400</v>
      </c>
      <c r="H55" s="13">
        <f t="shared" si="19"/>
        <v>15000</v>
      </c>
      <c r="I55" s="13">
        <f>인구배분!P185</f>
        <v>14400</v>
      </c>
      <c r="J55" s="393">
        <f t="shared" si="20"/>
        <v>28800</v>
      </c>
      <c r="K55" s="13">
        <f t="shared" si="21"/>
        <v>14400</v>
      </c>
      <c r="L55" s="13">
        <f>인구배분!Q185</f>
        <v>14400</v>
      </c>
      <c r="M55" s="393">
        <f t="shared" si="22"/>
        <v>29400</v>
      </c>
      <c r="N55" s="13">
        <f t="shared" si="23"/>
        <v>15000</v>
      </c>
      <c r="O55" s="13">
        <f>인구배분!R185</f>
        <v>14400</v>
      </c>
      <c r="P55" s="16"/>
    </row>
    <row r="56" spans="1:25" s="11" customFormat="1" ht="14.45" customHeight="1">
      <c r="A56" s="867"/>
      <c r="B56" s="554" t="s">
        <v>119</v>
      </c>
      <c r="C56" s="393">
        <v>34819</v>
      </c>
      <c r="D56" s="393">
        <f t="shared" si="16"/>
        <v>50100</v>
      </c>
      <c r="E56" s="13">
        <f t="shared" si="17"/>
        <v>33200</v>
      </c>
      <c r="F56" s="13">
        <f>인구배분!O186</f>
        <v>16900</v>
      </c>
      <c r="G56" s="393">
        <f t="shared" si="18"/>
        <v>47200</v>
      </c>
      <c r="H56" s="13">
        <f t="shared" si="19"/>
        <v>30300</v>
      </c>
      <c r="I56" s="13">
        <f>인구배분!P186</f>
        <v>16900</v>
      </c>
      <c r="J56" s="393">
        <f t="shared" si="20"/>
        <v>46000</v>
      </c>
      <c r="K56" s="13">
        <f t="shared" si="21"/>
        <v>29100</v>
      </c>
      <c r="L56" s="13">
        <f>인구배분!Q186</f>
        <v>16900</v>
      </c>
      <c r="M56" s="393">
        <f t="shared" si="22"/>
        <v>47700</v>
      </c>
      <c r="N56" s="13">
        <f t="shared" si="23"/>
        <v>30800</v>
      </c>
      <c r="O56" s="13">
        <f>인구배분!R186</f>
        <v>16900</v>
      </c>
      <c r="P56" s="16"/>
    </row>
    <row r="57" spans="1:25" s="11" customFormat="1" ht="14.45" customHeight="1">
      <c r="A57" s="867"/>
      <c r="B57" s="554" t="s">
        <v>7</v>
      </c>
      <c r="C57" s="393">
        <v>29660</v>
      </c>
      <c r="D57" s="393">
        <f t="shared" si="16"/>
        <v>51400</v>
      </c>
      <c r="E57" s="13">
        <f t="shared" si="17"/>
        <v>28000</v>
      </c>
      <c r="F57" s="13">
        <f>인구배분!O187</f>
        <v>23400</v>
      </c>
      <c r="G57" s="393">
        <f t="shared" si="18"/>
        <v>54100</v>
      </c>
      <c r="H57" s="13">
        <f t="shared" si="19"/>
        <v>25200</v>
      </c>
      <c r="I57" s="13">
        <f>인구배분!P187</f>
        <v>28900</v>
      </c>
      <c r="J57" s="393">
        <f t="shared" si="20"/>
        <v>60900</v>
      </c>
      <c r="K57" s="13">
        <f t="shared" si="21"/>
        <v>24300</v>
      </c>
      <c r="L57" s="13">
        <f>인구배분!Q187</f>
        <v>36600</v>
      </c>
      <c r="M57" s="393">
        <f t="shared" si="22"/>
        <v>62000</v>
      </c>
      <c r="N57" s="13">
        <f t="shared" si="23"/>
        <v>25400</v>
      </c>
      <c r="O57" s="13">
        <f>인구배분!R187</f>
        <v>36600</v>
      </c>
      <c r="P57" s="16"/>
    </row>
    <row r="58" spans="1:25" s="11" customFormat="1" ht="14.45" customHeight="1">
      <c r="A58" s="867"/>
      <c r="B58" s="554" t="s">
        <v>6</v>
      </c>
      <c r="C58" s="393">
        <v>32419</v>
      </c>
      <c r="D58" s="393">
        <f t="shared" si="16"/>
        <v>33500</v>
      </c>
      <c r="E58" s="13">
        <f t="shared" si="17"/>
        <v>30800</v>
      </c>
      <c r="F58" s="13">
        <f>인구배분!O188</f>
        <v>2700</v>
      </c>
      <c r="G58" s="393">
        <f t="shared" si="18"/>
        <v>33600</v>
      </c>
      <c r="H58" s="13">
        <f t="shared" si="19"/>
        <v>28100</v>
      </c>
      <c r="I58" s="13">
        <f>인구배분!P188</f>
        <v>5500</v>
      </c>
      <c r="J58" s="393">
        <f t="shared" si="20"/>
        <v>32800</v>
      </c>
      <c r="K58" s="13">
        <f t="shared" si="21"/>
        <v>27300</v>
      </c>
      <c r="L58" s="13">
        <f>인구배분!Q188</f>
        <v>5500</v>
      </c>
      <c r="M58" s="393">
        <f t="shared" si="22"/>
        <v>34200</v>
      </c>
      <c r="N58" s="13">
        <f t="shared" si="23"/>
        <v>28700</v>
      </c>
      <c r="O58" s="13">
        <f>인구배분!R188</f>
        <v>5500</v>
      </c>
      <c r="P58" s="16"/>
    </row>
    <row r="59" spans="1:25" s="555" customFormat="1" ht="14.45" customHeight="1">
      <c r="A59" s="831" t="s">
        <v>1199</v>
      </c>
      <c r="B59" s="556" t="s">
        <v>19</v>
      </c>
      <c r="C59" s="393">
        <f>SUM(C60:C63)</f>
        <v>89817</v>
      </c>
      <c r="D59" s="393">
        <f t="shared" si="16"/>
        <v>97500</v>
      </c>
      <c r="E59" s="13">
        <f>SUM(E60:E63)</f>
        <v>87600</v>
      </c>
      <c r="F59" s="13">
        <f>SUM(F60:F63)</f>
        <v>9900</v>
      </c>
      <c r="G59" s="393">
        <f t="shared" si="18"/>
        <v>118600</v>
      </c>
      <c r="H59" s="13">
        <f>SUM(H60:H63)</f>
        <v>78000</v>
      </c>
      <c r="I59" s="13">
        <f>SUM(I60:I63)</f>
        <v>40600</v>
      </c>
      <c r="J59" s="393">
        <f t="shared" si="20"/>
        <v>156000</v>
      </c>
      <c r="K59" s="13">
        <f>SUM(K60:K63)</f>
        <v>59200</v>
      </c>
      <c r="L59" s="13">
        <f>SUM(L60:L63)</f>
        <v>96800</v>
      </c>
      <c r="M59" s="393">
        <f t="shared" si="22"/>
        <v>158300</v>
      </c>
      <c r="N59" s="13">
        <f>SUM(N60:N63)</f>
        <v>61500</v>
      </c>
      <c r="O59" s="13">
        <f>SUM(O60:O63)</f>
        <v>96800</v>
      </c>
      <c r="P59" s="16"/>
    </row>
    <row r="60" spans="1:25" ht="14.45" customHeight="1">
      <c r="A60" s="831"/>
      <c r="B60" s="556" t="s">
        <v>117</v>
      </c>
      <c r="C60" s="393">
        <v>30579</v>
      </c>
      <c r="D60" s="393">
        <f t="shared" si="16"/>
        <v>31600</v>
      </c>
      <c r="E60" s="13">
        <f>ROUND(E$76/SUM(E$24:E$27)*E24,-2)</f>
        <v>29600</v>
      </c>
      <c r="F60" s="13">
        <f>인구배분!O190</f>
        <v>2000</v>
      </c>
      <c r="G60" s="393">
        <f t="shared" si="18"/>
        <v>44800</v>
      </c>
      <c r="H60" s="394">
        <f>ROUND(H$76/SUM(H$24:H$27)*H24,-2)+100</f>
        <v>26400</v>
      </c>
      <c r="I60" s="13">
        <f>인구배분!P190</f>
        <v>18400</v>
      </c>
      <c r="J60" s="393">
        <f t="shared" si="20"/>
        <v>38400</v>
      </c>
      <c r="K60" s="13">
        <f>ROUND(K$76/SUM(K$24:K$27)*K24,-2)</f>
        <v>20000</v>
      </c>
      <c r="L60" s="13">
        <f>인구배분!Q190</f>
        <v>18400</v>
      </c>
      <c r="M60" s="393">
        <f t="shared" si="22"/>
        <v>39100</v>
      </c>
      <c r="N60" s="13">
        <f>ROUND(N$76/SUM(N$24:N$27)*N24,-2)</f>
        <v>20700</v>
      </c>
      <c r="O60" s="13">
        <f>인구배분!R190</f>
        <v>18400</v>
      </c>
      <c r="P60" s="14"/>
      <c r="R60" s="399"/>
    </row>
    <row r="61" spans="1:25" ht="14.45" customHeight="1">
      <c r="A61" s="831"/>
      <c r="B61" s="556" t="s">
        <v>27</v>
      </c>
      <c r="C61" s="393">
        <v>22151</v>
      </c>
      <c r="D61" s="393">
        <f t="shared" si="16"/>
        <v>27800</v>
      </c>
      <c r="E61" s="13">
        <f>ROUND(E$76/SUM(E$24:E$27)*E25,-2)</f>
        <v>21800</v>
      </c>
      <c r="F61" s="13">
        <f>인구배분!O191</f>
        <v>6000</v>
      </c>
      <c r="G61" s="393">
        <f t="shared" si="18"/>
        <v>39800</v>
      </c>
      <c r="H61" s="13">
        <f>ROUND(H$76/SUM(H$24:H$27)*H25,-2)</f>
        <v>19500</v>
      </c>
      <c r="I61" s="13">
        <f>인구배분!P191</f>
        <v>20300</v>
      </c>
      <c r="J61" s="393">
        <f t="shared" si="20"/>
        <v>46200</v>
      </c>
      <c r="K61" s="13">
        <f>ROUND(K$76/SUM(K$24:K$27)*K25,-2)</f>
        <v>14900</v>
      </c>
      <c r="L61" s="13">
        <f>인구배분!Q191</f>
        <v>31300</v>
      </c>
      <c r="M61" s="393">
        <f t="shared" si="22"/>
        <v>46800</v>
      </c>
      <c r="N61" s="13">
        <f>ROUND(N$76/SUM(N$24:N$27)*N25,-2)</f>
        <v>15500</v>
      </c>
      <c r="O61" s="13">
        <f>인구배분!R191</f>
        <v>31300</v>
      </c>
      <c r="P61" s="14"/>
      <c r="R61" s="399"/>
    </row>
    <row r="62" spans="1:25" ht="14.45" customHeight="1">
      <c r="A62" s="831"/>
      <c r="B62" s="556" t="s">
        <v>26</v>
      </c>
      <c r="C62" s="393">
        <v>24712</v>
      </c>
      <c r="D62" s="393">
        <f t="shared" si="16"/>
        <v>25000</v>
      </c>
      <c r="E62" s="13">
        <f>ROUND(E$76/SUM(E$24:E$27)*E26,-2)</f>
        <v>24200</v>
      </c>
      <c r="F62" s="13">
        <f>인구배분!O192</f>
        <v>800</v>
      </c>
      <c r="G62" s="393">
        <f t="shared" si="18"/>
        <v>22400</v>
      </c>
      <c r="H62" s="13">
        <f>ROUND(H$76/SUM(H$24:H$27)*H26,-2)</f>
        <v>21600</v>
      </c>
      <c r="I62" s="13">
        <f>인구배분!P192</f>
        <v>800</v>
      </c>
      <c r="J62" s="393">
        <f t="shared" si="20"/>
        <v>56200</v>
      </c>
      <c r="K62" s="13">
        <f>ROUND(K$76/SUM(K$24:K$27)*K26,-2)</f>
        <v>16400</v>
      </c>
      <c r="L62" s="13">
        <f>인구배분!Q192</f>
        <v>39800</v>
      </c>
      <c r="M62" s="393">
        <f t="shared" si="22"/>
        <v>56900</v>
      </c>
      <c r="N62" s="13">
        <f>ROUND(N$76/SUM(N$24:N$27)*N26,-2)</f>
        <v>17100</v>
      </c>
      <c r="O62" s="13">
        <f>인구배분!R192</f>
        <v>39800</v>
      </c>
      <c r="P62" s="14"/>
      <c r="R62" s="399"/>
    </row>
    <row r="63" spans="1:25" ht="14.45" customHeight="1">
      <c r="A63" s="831"/>
      <c r="B63" s="556" t="s">
        <v>25</v>
      </c>
      <c r="C63" s="393">
        <v>12375</v>
      </c>
      <c r="D63" s="393">
        <f t="shared" si="16"/>
        <v>13100</v>
      </c>
      <c r="E63" s="13">
        <f>ROUND(E$76/SUM(E$24:E$27)*E27,-2)</f>
        <v>12000</v>
      </c>
      <c r="F63" s="13">
        <f>인구배분!O193</f>
        <v>1100</v>
      </c>
      <c r="G63" s="393">
        <f t="shared" si="18"/>
        <v>11600</v>
      </c>
      <c r="H63" s="13">
        <f>ROUND(H$76/SUM(H$24:H$27)*H27,-2)</f>
        <v>10500</v>
      </c>
      <c r="I63" s="13">
        <f>인구배분!P193</f>
        <v>1100</v>
      </c>
      <c r="J63" s="393">
        <f t="shared" si="20"/>
        <v>15200</v>
      </c>
      <c r="K63" s="13">
        <f>ROUND(K$76/SUM(K$24:K$27)*K27,-2)</f>
        <v>7900</v>
      </c>
      <c r="L63" s="13">
        <f>인구배분!Q193</f>
        <v>7300</v>
      </c>
      <c r="M63" s="393">
        <f t="shared" si="22"/>
        <v>15500</v>
      </c>
      <c r="N63" s="13">
        <f>ROUND(N$76/SUM(N$24:N$27)*N27,-2)</f>
        <v>8200</v>
      </c>
      <c r="O63" s="13">
        <f>인구배분!R193</f>
        <v>7300</v>
      </c>
      <c r="P63" s="14"/>
      <c r="R63" s="399"/>
    </row>
    <row r="64" spans="1:25" ht="14.45" customHeight="1">
      <c r="A64" s="828" t="s">
        <v>1200</v>
      </c>
      <c r="B64" s="554" t="s">
        <v>19</v>
      </c>
      <c r="C64" s="393">
        <f>SUM(C65:C70)</f>
        <v>50621</v>
      </c>
      <c r="D64" s="393">
        <f>SUM(E64:F64)</f>
        <v>51500</v>
      </c>
      <c r="E64" s="15">
        <f>SUM(E65:E70)</f>
        <v>51100</v>
      </c>
      <c r="F64" s="15">
        <f>SUM(F65:F70)</f>
        <v>400</v>
      </c>
      <c r="G64" s="393">
        <f t="shared" si="10"/>
        <v>54300</v>
      </c>
      <c r="H64" s="15">
        <f>SUM(H65:H70)</f>
        <v>50900</v>
      </c>
      <c r="I64" s="15">
        <f>SUM(I65:I70)</f>
        <v>3400</v>
      </c>
      <c r="J64" s="393">
        <f t="shared" si="12"/>
        <v>62500</v>
      </c>
      <c r="K64" s="15">
        <f>SUM(K65:K70)</f>
        <v>51300</v>
      </c>
      <c r="L64" s="15">
        <f>SUM(L65:L70)</f>
        <v>11200</v>
      </c>
      <c r="M64" s="393">
        <f t="shared" si="14"/>
        <v>63200</v>
      </c>
      <c r="N64" s="15">
        <f>SUM(N65:N70)</f>
        <v>52000</v>
      </c>
      <c r="O64" s="15">
        <f>SUM(O65:O70)</f>
        <v>11200</v>
      </c>
      <c r="P64" s="16"/>
    </row>
    <row r="65" spans="1:25" s="11" customFormat="1" ht="14.45" customHeight="1">
      <c r="A65" s="828"/>
      <c r="B65" s="554" t="s">
        <v>18</v>
      </c>
      <c r="C65" s="393">
        <v>27861</v>
      </c>
      <c r="D65" s="393">
        <f>SUM(E65:F65)</f>
        <v>28400</v>
      </c>
      <c r="E65" s="13">
        <f>ROUND(E$77/SUM(E$29,E$30:E$34)*E29,-2)-100</f>
        <v>28400</v>
      </c>
      <c r="F65" s="13">
        <f>인구배분!O195</f>
        <v>0</v>
      </c>
      <c r="G65" s="393">
        <f t="shared" si="10"/>
        <v>28600</v>
      </c>
      <c r="H65" s="13">
        <f t="shared" ref="H65:H70" si="24">ROUND(H$77/SUM(H$29,H$30:H$34)*H29,-2)</f>
        <v>28600</v>
      </c>
      <c r="I65" s="13">
        <f>인구배분!P195</f>
        <v>0</v>
      </c>
      <c r="J65" s="393">
        <f t="shared" si="12"/>
        <v>29200</v>
      </c>
      <c r="K65" s="394">
        <f>ROUND(K$77/SUM(K$29,K$30:K$34)*K29,-2)+100</f>
        <v>29200</v>
      </c>
      <c r="L65" s="13">
        <f>인구배분!Q195</f>
        <v>0</v>
      </c>
      <c r="M65" s="393">
        <f t="shared" si="14"/>
        <v>29900</v>
      </c>
      <c r="N65" s="13">
        <f t="shared" ref="N65:N70" si="25">ROUND(N$77/SUM(N$29,N$30:N$34)*N29,-2)</f>
        <v>29900</v>
      </c>
      <c r="O65" s="13">
        <f>인구배분!R195</f>
        <v>0</v>
      </c>
      <c r="P65" s="16"/>
      <c r="R65" s="2"/>
      <c r="S65" s="2"/>
      <c r="T65" s="2"/>
      <c r="U65" s="2"/>
      <c r="V65" s="2"/>
      <c r="W65" s="2"/>
      <c r="X65" s="2"/>
      <c r="Y65" s="2"/>
    </row>
    <row r="66" spans="1:25" s="11" customFormat="1" ht="14.45" customHeight="1">
      <c r="A66" s="828"/>
      <c r="B66" s="554" t="s">
        <v>238</v>
      </c>
      <c r="C66" s="393">
        <v>5540</v>
      </c>
      <c r="D66" s="393">
        <f t="shared" ref="D66:D71" si="26">SUM(E66:F66)</f>
        <v>5600</v>
      </c>
      <c r="E66" s="13">
        <f>ROUND(E$77/SUM(E$29,E$30:E$34)*E30,-2)</f>
        <v>5600</v>
      </c>
      <c r="F66" s="13">
        <f>인구배분!O196</f>
        <v>0</v>
      </c>
      <c r="G66" s="393">
        <f t="shared" si="10"/>
        <v>5500</v>
      </c>
      <c r="H66" s="13">
        <f t="shared" si="24"/>
        <v>5500</v>
      </c>
      <c r="I66" s="13">
        <f>인구배분!P196</f>
        <v>0</v>
      </c>
      <c r="J66" s="393">
        <f t="shared" si="12"/>
        <v>5500</v>
      </c>
      <c r="K66" s="13">
        <f>ROUND(K$77/SUM(K$29,K$30:K$34)*K30,-2)</f>
        <v>5500</v>
      </c>
      <c r="L66" s="13">
        <f>인구배분!Q196</f>
        <v>0</v>
      </c>
      <c r="M66" s="393">
        <f t="shared" si="14"/>
        <v>5600</v>
      </c>
      <c r="N66" s="13">
        <f t="shared" si="25"/>
        <v>5600</v>
      </c>
      <c r="O66" s="13">
        <f>인구배분!R196</f>
        <v>0</v>
      </c>
      <c r="P66" s="16"/>
      <c r="R66" s="2"/>
      <c r="S66" s="2"/>
      <c r="T66" s="2"/>
      <c r="U66" s="2"/>
      <c r="V66" s="2"/>
      <c r="W66" s="2"/>
      <c r="X66" s="2"/>
      <c r="Y66" s="2"/>
    </row>
    <row r="67" spans="1:25" s="11" customFormat="1" ht="14.45" customHeight="1">
      <c r="A67" s="828"/>
      <c r="B67" s="554" t="s">
        <v>14</v>
      </c>
      <c r="C67" s="393">
        <v>4480</v>
      </c>
      <c r="D67" s="393">
        <f t="shared" si="26"/>
        <v>4400</v>
      </c>
      <c r="E67" s="13">
        <f>ROUND(E$77/SUM(E$29,E$30:E$34)*E31,-2)</f>
        <v>4400</v>
      </c>
      <c r="F67" s="13">
        <f>인구배분!O197</f>
        <v>0</v>
      </c>
      <c r="G67" s="393">
        <f t="shared" si="10"/>
        <v>7400</v>
      </c>
      <c r="H67" s="13">
        <f t="shared" si="24"/>
        <v>4400</v>
      </c>
      <c r="I67" s="13">
        <f>인구배분!P197</f>
        <v>3000</v>
      </c>
      <c r="J67" s="393">
        <f t="shared" si="12"/>
        <v>13400</v>
      </c>
      <c r="K67" s="13">
        <f>ROUND(K$77/SUM(K$29,K$30:K$34)*K31,-2)</f>
        <v>4300</v>
      </c>
      <c r="L67" s="13">
        <f>인구배분!Q197</f>
        <v>9100</v>
      </c>
      <c r="M67" s="393">
        <f t="shared" si="14"/>
        <v>13400</v>
      </c>
      <c r="N67" s="13">
        <f t="shared" si="25"/>
        <v>4300</v>
      </c>
      <c r="O67" s="13">
        <f>인구배분!R197</f>
        <v>9100</v>
      </c>
      <c r="P67" s="16"/>
      <c r="R67" s="2"/>
      <c r="S67" s="2"/>
      <c r="T67" s="2"/>
      <c r="U67" s="2"/>
      <c r="V67" s="2"/>
      <c r="W67" s="2"/>
      <c r="X67" s="2"/>
      <c r="Y67" s="2"/>
    </row>
    <row r="68" spans="1:25" s="11" customFormat="1" ht="14.45" customHeight="1">
      <c r="A68" s="828"/>
      <c r="B68" s="554" t="s">
        <v>13</v>
      </c>
      <c r="C68" s="393">
        <v>3113</v>
      </c>
      <c r="D68" s="393">
        <f t="shared" si="26"/>
        <v>3100</v>
      </c>
      <c r="E68" s="13">
        <f>ROUND(E$77/SUM(E$29,E$30:E$34)*E32,-2)</f>
        <v>3100</v>
      </c>
      <c r="F68" s="13">
        <f>인구배분!O198</f>
        <v>0</v>
      </c>
      <c r="G68" s="393">
        <f t="shared" si="10"/>
        <v>3000</v>
      </c>
      <c r="H68" s="13">
        <f t="shared" si="24"/>
        <v>3000</v>
      </c>
      <c r="I68" s="13">
        <f>인구배분!P198</f>
        <v>0</v>
      </c>
      <c r="J68" s="393">
        <f t="shared" si="12"/>
        <v>4500</v>
      </c>
      <c r="K68" s="13">
        <f>ROUND(K$77/SUM(K$29,K$30:K$34)*K32,-2)</f>
        <v>3000</v>
      </c>
      <c r="L68" s="13">
        <f>인구배분!Q198</f>
        <v>1500</v>
      </c>
      <c r="M68" s="393">
        <f t="shared" si="14"/>
        <v>4500</v>
      </c>
      <c r="N68" s="13">
        <f t="shared" si="25"/>
        <v>3000</v>
      </c>
      <c r="O68" s="13">
        <f>인구배분!R198</f>
        <v>1500</v>
      </c>
      <c r="P68" s="16"/>
      <c r="R68" s="2"/>
      <c r="S68" s="2"/>
      <c r="T68" s="2"/>
      <c r="U68" s="2"/>
      <c r="V68" s="2"/>
      <c r="W68" s="2"/>
      <c r="X68" s="2"/>
      <c r="Y68" s="2"/>
    </row>
    <row r="69" spans="1:25" s="11" customFormat="1" ht="14.45" customHeight="1">
      <c r="A69" s="828"/>
      <c r="B69" s="554" t="s">
        <v>12</v>
      </c>
      <c r="C69" s="393">
        <v>6742</v>
      </c>
      <c r="D69" s="393">
        <f t="shared" si="26"/>
        <v>7200</v>
      </c>
      <c r="E69" s="13">
        <f>ROUND(E$77/SUM(E$29,E$30:E$34)*E33,-2)</f>
        <v>6800</v>
      </c>
      <c r="F69" s="13">
        <f>인구배분!O199</f>
        <v>400</v>
      </c>
      <c r="G69" s="393">
        <f t="shared" si="10"/>
        <v>7100</v>
      </c>
      <c r="H69" s="13">
        <f t="shared" si="24"/>
        <v>6700</v>
      </c>
      <c r="I69" s="13">
        <f>인구배분!P199</f>
        <v>400</v>
      </c>
      <c r="J69" s="393">
        <f t="shared" si="12"/>
        <v>7100</v>
      </c>
      <c r="K69" s="13">
        <f>ROUND(K$77/SUM(K$29,K$30:K$34)*K33,-2)</f>
        <v>6700</v>
      </c>
      <c r="L69" s="13">
        <f>인구배분!Q199</f>
        <v>400</v>
      </c>
      <c r="M69" s="393">
        <f t="shared" si="14"/>
        <v>7100</v>
      </c>
      <c r="N69" s="13">
        <f t="shared" si="25"/>
        <v>6700</v>
      </c>
      <c r="O69" s="13">
        <f>인구배분!R199</f>
        <v>400</v>
      </c>
      <c r="P69" s="16"/>
      <c r="R69" s="2"/>
      <c r="S69" s="2"/>
      <c r="T69" s="2"/>
      <c r="U69" s="2"/>
      <c r="V69" s="2"/>
      <c r="W69" s="2"/>
      <c r="X69" s="2"/>
      <c r="Y69" s="2"/>
    </row>
    <row r="70" spans="1:25" s="11" customFormat="1" ht="14.45" customHeight="1">
      <c r="A70" s="828"/>
      <c r="B70" s="554" t="s">
        <v>621</v>
      </c>
      <c r="C70" s="393">
        <v>2885</v>
      </c>
      <c r="D70" s="393">
        <f t="shared" si="26"/>
        <v>2800</v>
      </c>
      <c r="E70" s="13">
        <f>ROUND(E$77/SUM(E$29,E$30:E$34)*E34,-2)</f>
        <v>2800</v>
      </c>
      <c r="F70" s="13">
        <f>인구배분!O200</f>
        <v>0</v>
      </c>
      <c r="G70" s="393">
        <f t="shared" si="10"/>
        <v>2700</v>
      </c>
      <c r="H70" s="13">
        <f t="shared" si="24"/>
        <v>2700</v>
      </c>
      <c r="I70" s="13">
        <f>인구배분!P200</f>
        <v>0</v>
      </c>
      <c r="J70" s="393">
        <f t="shared" si="12"/>
        <v>2800</v>
      </c>
      <c r="K70" s="13">
        <f>ROUND(K$77/SUM(K$29,K$30:K$34)*K34,-2)</f>
        <v>2600</v>
      </c>
      <c r="L70" s="13">
        <f>인구배분!Q200</f>
        <v>200</v>
      </c>
      <c r="M70" s="393">
        <f t="shared" si="14"/>
        <v>2700</v>
      </c>
      <c r="N70" s="13">
        <f t="shared" si="25"/>
        <v>2500</v>
      </c>
      <c r="O70" s="13">
        <f>인구배분!R200</f>
        <v>200</v>
      </c>
      <c r="P70" s="16"/>
      <c r="R70" s="2"/>
      <c r="S70" s="2"/>
      <c r="T70" s="2"/>
      <c r="U70" s="2"/>
      <c r="V70" s="2"/>
      <c r="W70" s="2"/>
      <c r="X70" s="2"/>
      <c r="Y70" s="2"/>
    </row>
    <row r="71" spans="1:25" s="11" customFormat="1" ht="14.45" customHeight="1">
      <c r="A71" s="828" t="s">
        <v>1201</v>
      </c>
      <c r="B71" s="554" t="s">
        <v>19</v>
      </c>
      <c r="C71" s="393">
        <f>SUM(C72:C73)</f>
        <v>9839</v>
      </c>
      <c r="D71" s="393">
        <f t="shared" si="26"/>
        <v>9800</v>
      </c>
      <c r="E71" s="13">
        <f>SUM(E72:E73)</f>
        <v>9800</v>
      </c>
      <c r="F71" s="13">
        <f>SUM(F72:F73)</f>
        <v>0</v>
      </c>
      <c r="G71" s="393">
        <f>SUM(H71:I71)</f>
        <v>13000</v>
      </c>
      <c r="H71" s="13">
        <f>SUM(H72:H73)</f>
        <v>9800</v>
      </c>
      <c r="I71" s="13">
        <f>SUM(I72:I73)</f>
        <v>3200</v>
      </c>
      <c r="J71" s="393">
        <f>SUM(K71:L71)</f>
        <v>13000</v>
      </c>
      <c r="K71" s="13">
        <f>SUM(K72:K73)</f>
        <v>9800</v>
      </c>
      <c r="L71" s="13">
        <f>SUM(L72:L73)</f>
        <v>3200</v>
      </c>
      <c r="M71" s="393">
        <f>SUM(N71:O71)</f>
        <v>13000</v>
      </c>
      <c r="N71" s="13">
        <f>SUM(N72:N73)</f>
        <v>9800</v>
      </c>
      <c r="O71" s="13">
        <f>SUM(O72:O73)</f>
        <v>3200</v>
      </c>
      <c r="P71" s="16"/>
      <c r="R71" s="555"/>
      <c r="S71" s="555"/>
      <c r="T71" s="555"/>
      <c r="U71" s="555"/>
      <c r="V71" s="555"/>
      <c r="W71" s="555"/>
      <c r="X71" s="555"/>
      <c r="Y71" s="555"/>
    </row>
    <row r="72" spans="1:25" s="11" customFormat="1" ht="14.45" customHeight="1">
      <c r="A72" s="974"/>
      <c r="B72" s="554" t="s">
        <v>17</v>
      </c>
      <c r="C72" s="393">
        <v>5181</v>
      </c>
      <c r="D72" s="393">
        <f>SUM(E72:F72)</f>
        <v>5200</v>
      </c>
      <c r="E72" s="13">
        <f>ROUND(E$78/SUM(E$36:E$37)*E36,-2)</f>
        <v>5200</v>
      </c>
      <c r="F72" s="13">
        <f>인구배분!O202</f>
        <v>0</v>
      </c>
      <c r="G72" s="393">
        <f>SUM(H72:I72)</f>
        <v>8400</v>
      </c>
      <c r="H72" s="13">
        <f>ROUND(H$78/SUM(H$36:H$37)*H36,-2)</f>
        <v>5200</v>
      </c>
      <c r="I72" s="13">
        <f>인구배분!P202</f>
        <v>3200</v>
      </c>
      <c r="J72" s="393">
        <f>SUM(K72:L72)</f>
        <v>8400</v>
      </c>
      <c r="K72" s="13">
        <f>ROUND(K$78/SUM(K$36:K$37)*K36,-2)</f>
        <v>5200</v>
      </c>
      <c r="L72" s="13">
        <f>인구배분!Q202</f>
        <v>3200</v>
      </c>
      <c r="M72" s="393">
        <f>SUM(N72:O72)</f>
        <v>8400</v>
      </c>
      <c r="N72" s="13">
        <f>ROUND(N$78/SUM(N$36:N$37)*N36,-2)</f>
        <v>5200</v>
      </c>
      <c r="O72" s="13">
        <f>인구배분!R202</f>
        <v>3200</v>
      </c>
      <c r="P72" s="16"/>
      <c r="R72" s="2"/>
      <c r="S72" s="2"/>
      <c r="T72" s="2"/>
      <c r="U72" s="2"/>
      <c r="V72" s="2"/>
      <c r="W72" s="2"/>
      <c r="X72" s="2"/>
      <c r="Y72" s="2"/>
    </row>
    <row r="73" spans="1:25" s="11" customFormat="1" ht="14.45" customHeight="1">
      <c r="A73" s="794"/>
      <c r="B73" s="557" t="s">
        <v>16</v>
      </c>
      <c r="C73" s="395">
        <v>4658</v>
      </c>
      <c r="D73" s="395">
        <f>SUM(E73:F73)</f>
        <v>4600</v>
      </c>
      <c r="E73" s="396">
        <f>ROUND(E$78/SUM(E$36:E$37)*E37,-2)</f>
        <v>4600</v>
      </c>
      <c r="F73" s="396">
        <f>인구배분!O203</f>
        <v>0</v>
      </c>
      <c r="G73" s="395">
        <f>SUM(H73:I73)</f>
        <v>4600</v>
      </c>
      <c r="H73" s="396">
        <f>ROUND(H$78/SUM(H$36:H$37)*H37,-2)</f>
        <v>4600</v>
      </c>
      <c r="I73" s="396">
        <f>인구배분!P203</f>
        <v>0</v>
      </c>
      <c r="J73" s="395">
        <f>SUM(K73:L73)</f>
        <v>4600</v>
      </c>
      <c r="K73" s="396">
        <f>ROUND(K$78/SUM(K$36:K$37)*K37,-2)</f>
        <v>4600</v>
      </c>
      <c r="L73" s="396">
        <f>인구배분!Q203</f>
        <v>0</v>
      </c>
      <c r="M73" s="395">
        <f>SUM(N73:O73)</f>
        <v>4600</v>
      </c>
      <c r="N73" s="396">
        <f>ROUND(N$78/SUM(N$36:N$37)*N37,-2)</f>
        <v>4600</v>
      </c>
      <c r="O73" s="396">
        <f>인구배분!R203</f>
        <v>0</v>
      </c>
      <c r="P73" s="374"/>
      <c r="R73" s="2"/>
      <c r="S73" s="2"/>
      <c r="T73" s="2"/>
      <c r="U73" s="2"/>
      <c r="V73" s="2"/>
      <c r="W73" s="2"/>
      <c r="X73" s="2"/>
      <c r="Y73" s="2"/>
    </row>
    <row r="74" spans="1:25" s="11" customFormat="1" ht="15.95" customHeight="1">
      <c r="A74" s="555"/>
      <c r="B74" s="2" t="s">
        <v>196</v>
      </c>
      <c r="C74" s="2"/>
      <c r="D74" s="2"/>
      <c r="E74" s="4">
        <f>'3.계획인구'!E24-'행정구역별 인구'!F5</f>
        <v>552900</v>
      </c>
      <c r="F74" s="2"/>
      <c r="G74" s="2"/>
      <c r="H74" s="4">
        <f>'3.계획인구'!F24-'행정구역별 인구'!I5</f>
        <v>573400</v>
      </c>
      <c r="I74" s="2"/>
      <c r="J74" s="2"/>
      <c r="K74" s="4">
        <f>'3.계획인구'!G24-'행정구역별 인구'!L5</f>
        <v>585700</v>
      </c>
      <c r="L74" s="2"/>
      <c r="M74" s="2"/>
      <c r="N74" s="4">
        <f>'3.계획인구'!H24-'행정구역별 인구'!O5</f>
        <v>605700</v>
      </c>
      <c r="O74" s="2"/>
    </row>
    <row r="75" spans="1:25" s="11" customFormat="1" ht="15.95" customHeight="1">
      <c r="A75" s="2"/>
      <c r="B75" s="2" t="s">
        <v>150</v>
      </c>
      <c r="C75" s="4">
        <f>SUM(C43:C49,C50:C58)</f>
        <v>390465</v>
      </c>
      <c r="D75" s="2"/>
      <c r="E75" s="4">
        <f>SUM(D7:D22)-SUM(F43:F58)</f>
        <v>369600</v>
      </c>
      <c r="F75" s="570">
        <f>ROUND((E75/C75)^(1/3)-1,5)</f>
        <v>-1.814E-2</v>
      </c>
      <c r="G75" s="2"/>
      <c r="H75" s="4">
        <f>SUM(G7:G22)-SUM(I43:I58)</f>
        <v>335600</v>
      </c>
      <c r="I75" s="570">
        <f>ROUND((H75/E75)^(1/5)-1,5)</f>
        <v>-1.9120000000000002E-2</v>
      </c>
      <c r="J75" s="570">
        <f>ROUND((H75/C75)^(1/8)-1,5)</f>
        <v>-1.8749999999999999E-2</v>
      </c>
      <c r="K75" s="4">
        <f>SUM(J7:J22)-SUM(L43:L58)</f>
        <v>323900</v>
      </c>
      <c r="L75" s="570">
        <f>ROUND((K75/H75)^(1/5)-1,5)</f>
        <v>-7.0699999999999999E-3</v>
      </c>
      <c r="M75" s="570">
        <f>ROUND((K75/C75)^(1/13)-1,5)</f>
        <v>-1.427E-2</v>
      </c>
      <c r="N75" s="4">
        <f>SUM(M7:M22)-SUM(O43:O58)</f>
        <v>340900</v>
      </c>
      <c r="O75" s="570">
        <f>ROUND((N75/K75)^(1/5)-1,5)</f>
        <v>1.0279999999999999E-2</v>
      </c>
      <c r="P75" s="570">
        <f>ROUND((N75/C75)^(1/18)-1,5)</f>
        <v>-7.5100000000000002E-3</v>
      </c>
    </row>
    <row r="76" spans="1:25" s="11" customFormat="1" ht="15.95" customHeight="1">
      <c r="A76" s="2"/>
      <c r="B76" s="2" t="s">
        <v>197</v>
      </c>
      <c r="C76" s="4">
        <f>SUM(C60:C63)</f>
        <v>89817</v>
      </c>
      <c r="D76" s="2"/>
      <c r="E76" s="4">
        <f>SUM(D24:D27)-SUM(F60:F63)</f>
        <v>87600</v>
      </c>
      <c r="F76" s="570">
        <f>ROUND((E76/C76)^(1/3)-1,5)</f>
        <v>-8.3000000000000001E-3</v>
      </c>
      <c r="G76" s="2"/>
      <c r="H76" s="4">
        <f>SUM(G24:G27)-SUM(I60:I63)</f>
        <v>78000</v>
      </c>
      <c r="I76" s="570">
        <f>ROUND((H76/E76)^(1/5)-1,5)</f>
        <v>-2.2950000000000002E-2</v>
      </c>
      <c r="J76" s="570">
        <f>ROUND((H76/C76)^(1/8)-1,5)</f>
        <v>-1.7479999999999999E-2</v>
      </c>
      <c r="K76" s="4">
        <f>SUM(J24:J27)-SUM(L60:L63)</f>
        <v>59200</v>
      </c>
      <c r="L76" s="570">
        <f>ROUND((K76/H76)^(1/5)-1,5)</f>
        <v>-5.3659999999999999E-2</v>
      </c>
      <c r="M76" s="570">
        <f>ROUND((K76/C76)^(1/13)-1,5)</f>
        <v>-3.1559999999999998E-2</v>
      </c>
      <c r="N76" s="4">
        <f>SUM(M24:M27)-SUM(O60:O63)</f>
        <v>61500</v>
      </c>
      <c r="O76" s="570">
        <f>ROUND((N76/K76)^(1/5)-1,5)</f>
        <v>7.6499999999999997E-3</v>
      </c>
      <c r="P76" s="570">
        <f>ROUND((N76/C76)^(1/18)-1,5)</f>
        <v>-2.0820000000000002E-2</v>
      </c>
    </row>
    <row r="77" spans="1:25" s="11" customFormat="1" ht="15.95" customHeight="1">
      <c r="A77" s="2"/>
      <c r="B77" s="2" t="s">
        <v>198</v>
      </c>
      <c r="C77" s="4">
        <f>SUM(C65,C66:C70)</f>
        <v>50621</v>
      </c>
      <c r="D77" s="2"/>
      <c r="E77" s="4">
        <f>SUM(D29:D34)-SUM(F65:F70)</f>
        <v>51100</v>
      </c>
      <c r="F77" s="570">
        <f>ROUND((E77/C77)^(1/3)-1,5)</f>
        <v>3.14E-3</v>
      </c>
      <c r="G77" s="2"/>
      <c r="H77" s="4">
        <f>SUM(G29:G34)-SUM(I65:I70)</f>
        <v>50900</v>
      </c>
      <c r="I77" s="570">
        <f>ROUND((H77/E77)^(1/5)-1,5)</f>
        <v>-7.7999999999999999E-4</v>
      </c>
      <c r="J77" s="570">
        <f>ROUND((H77/C77)^(1/8)-1,5)</f>
        <v>6.8999999999999997E-4</v>
      </c>
      <c r="K77" s="4">
        <f>SUM(J29:J34)-SUM(L65:L70)</f>
        <v>51300</v>
      </c>
      <c r="L77" s="570">
        <f>ROUND((K77/H77)^(1/5)-1,5)</f>
        <v>1.57E-3</v>
      </c>
      <c r="M77" s="570">
        <f>ROUND((K77/C77)^(1/13)-1,5)</f>
        <v>1.0300000000000001E-3</v>
      </c>
      <c r="N77" s="4">
        <f>SUM(M29:M34)-SUM(O65:O70)</f>
        <v>52000</v>
      </c>
      <c r="O77" s="570">
        <f>ROUND((N77/K77)^(1/5)-1,5)</f>
        <v>2.7100000000000002E-3</v>
      </c>
      <c r="P77" s="570">
        <f>ROUND((N77/C77)^(1/18)-1,5)</f>
        <v>1.49E-3</v>
      </c>
    </row>
    <row r="78" spans="1:25" s="11" customFormat="1" ht="15.95" customHeight="1">
      <c r="A78" s="2"/>
      <c r="B78" s="2" t="s">
        <v>199</v>
      </c>
      <c r="C78" s="4">
        <f>SUM(C72:C73)</f>
        <v>9839</v>
      </c>
      <c r="D78" s="2"/>
      <c r="E78" s="4">
        <f>SUM(D36:D37)-SUM(F72:F73)</f>
        <v>9800</v>
      </c>
      <c r="F78" s="570">
        <f>ROUND((E78/C78)^(1/3)-1,5)</f>
        <v>-1.32E-3</v>
      </c>
      <c r="G78" s="2"/>
      <c r="H78" s="4">
        <f>SUM(G36:G37)-SUM(I72:I73)</f>
        <v>9800</v>
      </c>
      <c r="I78" s="570">
        <f>ROUND((H78/E78)^(1/5)-1,5)</f>
        <v>0</v>
      </c>
      <c r="J78" s="570">
        <f>ROUND((H78/C78)^(1/8)-1,5)</f>
        <v>-5.0000000000000001E-4</v>
      </c>
      <c r="K78" s="4">
        <f>SUM(J36:J37)-SUM(L72:L73)</f>
        <v>9800</v>
      </c>
      <c r="L78" s="570">
        <f>ROUND((K78/H78)^(1/5)-1,5)</f>
        <v>0</v>
      </c>
      <c r="M78" s="570">
        <f>ROUND((K78/C78)^(1/13)-1,5)</f>
        <v>-3.1E-4</v>
      </c>
      <c r="N78" s="4">
        <f>SUM(M36:M37)-SUM(O72:O73)</f>
        <v>9800</v>
      </c>
      <c r="O78" s="570">
        <f>ROUND((N78/K78)^(1/5)-1,5)</f>
        <v>0</v>
      </c>
      <c r="P78" s="570">
        <f>ROUND((N78/C78)^(1/18)-1,5)</f>
        <v>-2.2000000000000001E-4</v>
      </c>
    </row>
    <row r="79" spans="1:25" s="11" customFormat="1" ht="15.95" customHeight="1">
      <c r="A79" s="2"/>
      <c r="B79" s="2" t="s">
        <v>53</v>
      </c>
      <c r="C79" s="4">
        <f>SUM(C75:C78)</f>
        <v>540742</v>
      </c>
      <c r="D79" s="2"/>
      <c r="E79" s="4">
        <f>SUM(E75:E78)</f>
        <v>518100</v>
      </c>
      <c r="F79" s="570">
        <f>ROUND((E79/C79)^(1/3)-1,5)</f>
        <v>-1.4160000000000001E-2</v>
      </c>
      <c r="G79" s="2"/>
      <c r="H79" s="4">
        <f>SUM(H75:H78)</f>
        <v>474300</v>
      </c>
      <c r="I79" s="570">
        <f>ROUND((H79/E79)^(1/5)-1,5)</f>
        <v>-1.7510000000000001E-2</v>
      </c>
      <c r="J79" s="570">
        <f>ROUND((H79/C79)^(1/8)-1,5)</f>
        <v>-1.6250000000000001E-2</v>
      </c>
      <c r="K79" s="4">
        <f>SUM(K75:K78)</f>
        <v>444200</v>
      </c>
      <c r="L79" s="570">
        <f>ROUND((K79/H79)^(1/5)-1,5)</f>
        <v>-1.303E-2</v>
      </c>
      <c r="M79" s="570">
        <f>ROUND((K79/C79)^(1/13)-1,5)</f>
        <v>-1.5010000000000001E-2</v>
      </c>
      <c r="N79" s="4">
        <f>SUM(N75:N78)</f>
        <v>464200</v>
      </c>
      <c r="O79" s="570">
        <f>ROUND((N79/K79)^(1/5)-1,5)</f>
        <v>8.8500000000000002E-3</v>
      </c>
      <c r="P79" s="570">
        <f>ROUND((N79/C79)^(1/18)-1,5)</f>
        <v>-8.4399999999999996E-3</v>
      </c>
    </row>
    <row r="80" spans="1:25" s="11" customFormat="1" ht="15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25" s="11" customFormat="1" ht="15.95" customHeight="1">
      <c r="A81" s="2"/>
      <c r="B81" s="869" t="s">
        <v>34</v>
      </c>
      <c r="C81" s="969"/>
      <c r="D81" s="865" t="s">
        <v>33</v>
      </c>
      <c r="E81" s="865" t="s">
        <v>32</v>
      </c>
      <c r="F81" s="865" t="s">
        <v>31</v>
      </c>
      <c r="G81" s="865" t="s">
        <v>30</v>
      </c>
      <c r="H81" s="865" t="s">
        <v>29</v>
      </c>
      <c r="I81" s="870" t="s">
        <v>121</v>
      </c>
      <c r="J81" s="2"/>
      <c r="K81" s="2"/>
      <c r="L81" s="2"/>
      <c r="M81" s="2"/>
      <c r="N81" s="2"/>
      <c r="O81" s="2"/>
    </row>
    <row r="82" spans="1:25" s="11" customFormat="1" ht="15.95" customHeight="1">
      <c r="A82" s="256"/>
      <c r="B82" s="970"/>
      <c r="C82" s="968"/>
      <c r="D82" s="929"/>
      <c r="E82" s="929"/>
      <c r="F82" s="929"/>
      <c r="G82" s="929"/>
      <c r="H82" s="929"/>
      <c r="I82" s="967"/>
      <c r="O82" s="400"/>
      <c r="P82" s="2"/>
    </row>
    <row r="83" spans="1:25" ht="15.95" customHeight="1">
      <c r="A83" s="256"/>
      <c r="B83" s="867" t="s">
        <v>28</v>
      </c>
      <c r="C83" s="968"/>
      <c r="D83" s="393">
        <f>+D84+D89+D106+D113</f>
        <v>540742</v>
      </c>
      <c r="E83" s="393">
        <f>+E84+E89+E106+E113</f>
        <v>605000</v>
      </c>
      <c r="F83" s="393">
        <f>+F84+F89+F106+F113</f>
        <v>690000</v>
      </c>
      <c r="G83" s="393">
        <f>+G84+G89+G106+G113</f>
        <v>780000</v>
      </c>
      <c r="H83" s="393">
        <f>+H84+H89+H106+H113</f>
        <v>800000</v>
      </c>
      <c r="I83" s="14"/>
      <c r="J83" s="11"/>
      <c r="K83" s="401"/>
      <c r="L83" s="11"/>
      <c r="M83" s="11"/>
      <c r="N83" s="401"/>
      <c r="O83" s="11"/>
      <c r="R83" s="11"/>
      <c r="S83" s="11"/>
      <c r="T83" s="11"/>
      <c r="U83" s="11"/>
      <c r="V83" s="11"/>
      <c r="W83" s="11"/>
      <c r="X83" s="11"/>
      <c r="Y83" s="11"/>
    </row>
    <row r="84" spans="1:25" ht="15.95" customHeight="1">
      <c r="A84" s="11"/>
      <c r="B84" s="831" t="s">
        <v>619</v>
      </c>
      <c r="C84" s="9" t="s">
        <v>19</v>
      </c>
      <c r="D84" s="393">
        <f>SUM(D85:D88)</f>
        <v>89817</v>
      </c>
      <c r="E84" s="393">
        <f>SUM(E85:E88)</f>
        <v>97500</v>
      </c>
      <c r="F84" s="393">
        <f>SUM(F85:F88)</f>
        <v>118600</v>
      </c>
      <c r="G84" s="393">
        <f>SUM(G85:G88)</f>
        <v>156000</v>
      </c>
      <c r="H84" s="393">
        <f>SUM(H85:H88)</f>
        <v>158300</v>
      </c>
      <c r="I84" s="14"/>
      <c r="J84" s="11"/>
      <c r="K84" s="69"/>
      <c r="L84" s="11"/>
      <c r="M84" s="11"/>
      <c r="N84" s="69"/>
      <c r="O84" s="11"/>
      <c r="R84" s="11"/>
      <c r="S84" s="11"/>
      <c r="T84" s="11"/>
      <c r="U84" s="11"/>
      <c r="V84" s="11"/>
      <c r="W84" s="11"/>
      <c r="X84" s="11"/>
      <c r="Y84" s="11"/>
    </row>
    <row r="85" spans="1:25" ht="15.95" customHeight="1">
      <c r="A85" s="11"/>
      <c r="B85" s="831"/>
      <c r="C85" s="9" t="s">
        <v>117</v>
      </c>
      <c r="D85" s="393">
        <f t="shared" ref="D85:E88" si="27">C24</f>
        <v>30579</v>
      </c>
      <c r="E85" s="393">
        <f t="shared" si="27"/>
        <v>32200</v>
      </c>
      <c r="F85" s="393">
        <f>G24</f>
        <v>42900</v>
      </c>
      <c r="G85" s="393">
        <f>J24</f>
        <v>43300</v>
      </c>
      <c r="H85" s="393">
        <f>M24</f>
        <v>44000</v>
      </c>
      <c r="I85" s="14"/>
      <c r="J85" s="11"/>
      <c r="K85" s="69"/>
      <c r="L85" s="11"/>
      <c r="M85" s="11"/>
      <c r="N85" s="69"/>
      <c r="O85" s="11"/>
      <c r="R85" s="11"/>
      <c r="S85" s="11"/>
      <c r="T85" s="11"/>
      <c r="U85" s="11"/>
      <c r="V85" s="11"/>
      <c r="W85" s="11"/>
      <c r="X85" s="11"/>
      <c r="Y85" s="11"/>
    </row>
    <row r="86" spans="1:25" ht="15.95" customHeight="1">
      <c r="A86" s="11"/>
      <c r="B86" s="831"/>
      <c r="C86" s="9" t="s">
        <v>27</v>
      </c>
      <c r="D86" s="393">
        <f t="shared" si="27"/>
        <v>22151</v>
      </c>
      <c r="E86" s="393">
        <f t="shared" si="27"/>
        <v>26300</v>
      </c>
      <c r="F86" s="393">
        <f>G25</f>
        <v>35700</v>
      </c>
      <c r="G86" s="393">
        <f>J25</f>
        <v>42700</v>
      </c>
      <c r="H86" s="393">
        <f>M25</f>
        <v>43300</v>
      </c>
      <c r="I86" s="14"/>
      <c r="J86" s="11"/>
      <c r="K86" s="69"/>
      <c r="L86" s="11"/>
      <c r="M86" s="11"/>
      <c r="N86" s="69"/>
      <c r="O86" s="11"/>
      <c r="R86" s="11"/>
      <c r="S86" s="11"/>
      <c r="T86" s="11"/>
      <c r="U86" s="11"/>
      <c r="V86" s="11"/>
      <c r="W86" s="11"/>
      <c r="X86" s="11"/>
      <c r="Y86" s="11"/>
    </row>
    <row r="87" spans="1:25" ht="15.95" customHeight="1">
      <c r="A87" s="11"/>
      <c r="B87" s="831"/>
      <c r="C87" s="9" t="s">
        <v>26</v>
      </c>
      <c r="D87" s="393">
        <f t="shared" si="27"/>
        <v>24712</v>
      </c>
      <c r="E87" s="393">
        <f t="shared" si="27"/>
        <v>25800</v>
      </c>
      <c r="F87" s="393">
        <f>G26</f>
        <v>26600</v>
      </c>
      <c r="G87" s="393">
        <f>J26</f>
        <v>50400</v>
      </c>
      <c r="H87" s="393">
        <f>M26</f>
        <v>51100</v>
      </c>
      <c r="I87" s="14"/>
      <c r="J87" s="11"/>
      <c r="K87" s="11"/>
      <c r="L87" s="11"/>
      <c r="M87" s="11"/>
      <c r="N87" s="11"/>
      <c r="O87" s="11"/>
      <c r="R87" s="11"/>
      <c r="S87" s="11"/>
      <c r="T87" s="11"/>
      <c r="U87" s="11"/>
      <c r="V87" s="11"/>
      <c r="W87" s="11"/>
      <c r="X87" s="11"/>
      <c r="Y87" s="11"/>
    </row>
    <row r="88" spans="1:25" ht="15.95" customHeight="1">
      <c r="A88" s="11"/>
      <c r="B88" s="831"/>
      <c r="C88" s="9" t="s">
        <v>25</v>
      </c>
      <c r="D88" s="393">
        <f t="shared" si="27"/>
        <v>12375</v>
      </c>
      <c r="E88" s="393">
        <f t="shared" si="27"/>
        <v>13200</v>
      </c>
      <c r="F88" s="393">
        <f>G27</f>
        <v>13400</v>
      </c>
      <c r="G88" s="393">
        <f>J27</f>
        <v>19600</v>
      </c>
      <c r="H88" s="393">
        <f>M27</f>
        <v>19900</v>
      </c>
      <c r="I88" s="14"/>
      <c r="J88" s="11"/>
      <c r="K88" s="402"/>
      <c r="L88" s="11"/>
      <c r="N88" s="402"/>
      <c r="O88" s="11"/>
      <c r="P88" s="257"/>
      <c r="R88" s="11"/>
      <c r="S88" s="11"/>
      <c r="T88" s="11"/>
      <c r="U88" s="11"/>
      <c r="V88" s="11"/>
      <c r="W88" s="11"/>
      <c r="X88" s="11"/>
      <c r="Y88" s="11"/>
    </row>
    <row r="89" spans="1:25" s="11" customFormat="1" ht="12.95" customHeight="1">
      <c r="B89" s="831" t="s">
        <v>150</v>
      </c>
      <c r="C89" s="10" t="s">
        <v>19</v>
      </c>
      <c r="D89" s="393">
        <f>SUM(D90:D105)</f>
        <v>390465</v>
      </c>
      <c r="E89" s="393">
        <f>SUM(E90:E105)</f>
        <v>446200</v>
      </c>
      <c r="F89" s="393">
        <f>SUM(F90:F105)</f>
        <v>504100</v>
      </c>
      <c r="G89" s="393">
        <f>SUM(G90:G105)</f>
        <v>548500</v>
      </c>
      <c r="H89" s="393">
        <f>SUM(H90:H105)</f>
        <v>565500</v>
      </c>
      <c r="I89" s="16"/>
      <c r="K89" s="402"/>
      <c r="M89" s="2"/>
      <c r="N89" s="402"/>
    </row>
    <row r="90" spans="1:25" s="11" customFormat="1" ht="12.95" customHeight="1">
      <c r="B90" s="831"/>
      <c r="C90" s="9" t="s">
        <v>24</v>
      </c>
      <c r="D90" s="393">
        <f t="shared" ref="D90:E96" si="28">C7</f>
        <v>20033</v>
      </c>
      <c r="E90" s="393">
        <f t="shared" si="28"/>
        <v>20500</v>
      </c>
      <c r="F90" s="393">
        <f t="shared" ref="F90:F96" si="29">G7</f>
        <v>22900</v>
      </c>
      <c r="G90" s="393">
        <f t="shared" ref="G90:G96" si="30">J7</f>
        <v>23400</v>
      </c>
      <c r="H90" s="393">
        <f t="shared" ref="H90:H96" si="31">M7</f>
        <v>24000</v>
      </c>
      <c r="I90" s="14"/>
      <c r="K90" s="402"/>
      <c r="M90" s="2"/>
      <c r="N90" s="402"/>
    </row>
    <row r="91" spans="1:25" s="11" customFormat="1" ht="12.95" customHeight="1">
      <c r="A91" s="2"/>
      <c r="B91" s="831"/>
      <c r="C91" s="10" t="s">
        <v>23</v>
      </c>
      <c r="D91" s="393">
        <f t="shared" si="28"/>
        <v>21438</v>
      </c>
      <c r="E91" s="393">
        <f t="shared" si="28"/>
        <v>22100</v>
      </c>
      <c r="F91" s="393">
        <f t="shared" si="29"/>
        <v>23500</v>
      </c>
      <c r="G91" s="393">
        <f t="shared" si="30"/>
        <v>24300</v>
      </c>
      <c r="H91" s="393">
        <f t="shared" si="31"/>
        <v>25200</v>
      </c>
      <c r="I91" s="16"/>
      <c r="J91" s="2"/>
      <c r="K91" s="2"/>
      <c r="L91" s="2"/>
      <c r="M91" s="2"/>
      <c r="N91" s="2"/>
      <c r="O91" s="2"/>
    </row>
    <row r="92" spans="1:25" s="11" customFormat="1" ht="12.95" customHeight="1">
      <c r="A92" s="2"/>
      <c r="B92" s="831"/>
      <c r="C92" s="10" t="s">
        <v>176</v>
      </c>
      <c r="D92" s="393">
        <f t="shared" si="28"/>
        <v>16213</v>
      </c>
      <c r="E92" s="393">
        <f t="shared" si="28"/>
        <v>16500</v>
      </c>
      <c r="F92" s="393">
        <f t="shared" si="29"/>
        <v>17200</v>
      </c>
      <c r="G92" s="393">
        <f t="shared" si="30"/>
        <v>17800</v>
      </c>
      <c r="H92" s="393">
        <f t="shared" si="31"/>
        <v>18600</v>
      </c>
      <c r="I92" s="16"/>
      <c r="J92" s="2"/>
      <c r="K92" s="2"/>
      <c r="L92" s="2"/>
      <c r="M92" s="2"/>
      <c r="N92" s="2"/>
      <c r="O92" s="2"/>
    </row>
    <row r="93" spans="1:25" s="11" customFormat="1" ht="12.95" customHeight="1">
      <c r="A93" s="2"/>
      <c r="B93" s="831"/>
      <c r="C93" s="10" t="s">
        <v>22</v>
      </c>
      <c r="D93" s="393">
        <f t="shared" si="28"/>
        <v>44658</v>
      </c>
      <c r="E93" s="393">
        <f t="shared" si="28"/>
        <v>46600</v>
      </c>
      <c r="F93" s="393">
        <f t="shared" si="29"/>
        <v>48700</v>
      </c>
      <c r="G93" s="393">
        <f t="shared" si="30"/>
        <v>50100</v>
      </c>
      <c r="H93" s="393">
        <f t="shared" si="31"/>
        <v>52500</v>
      </c>
      <c r="I93" s="16"/>
      <c r="J93" s="2"/>
      <c r="K93" s="2"/>
      <c r="L93" s="2"/>
      <c r="M93" s="2"/>
      <c r="N93" s="2"/>
      <c r="O93" s="2"/>
      <c r="R93" s="2"/>
      <c r="S93" s="2"/>
      <c r="T93" s="2"/>
      <c r="U93" s="2"/>
      <c r="V93" s="2"/>
      <c r="W93" s="2"/>
      <c r="X93" s="2"/>
      <c r="Y93" s="2"/>
    </row>
    <row r="94" spans="1:25" ht="15.95" customHeight="1">
      <c r="B94" s="831"/>
      <c r="C94" s="10" t="s">
        <v>177</v>
      </c>
      <c r="D94" s="393">
        <f t="shared" si="28"/>
        <v>20440</v>
      </c>
      <c r="E94" s="393">
        <f t="shared" si="28"/>
        <v>22500</v>
      </c>
      <c r="F94" s="393">
        <f t="shared" si="29"/>
        <v>23200</v>
      </c>
      <c r="G94" s="393">
        <f t="shared" si="30"/>
        <v>23800</v>
      </c>
      <c r="H94" s="393">
        <f t="shared" si="31"/>
        <v>24700</v>
      </c>
      <c r="I94" s="16"/>
      <c r="P94" s="11"/>
      <c r="Q94" s="11"/>
    </row>
    <row r="95" spans="1:25" ht="15.95" customHeight="1">
      <c r="B95" s="831"/>
      <c r="C95" s="10" t="s">
        <v>21</v>
      </c>
      <c r="D95" s="393">
        <f t="shared" si="28"/>
        <v>41098</v>
      </c>
      <c r="E95" s="393">
        <f t="shared" si="28"/>
        <v>50700</v>
      </c>
      <c r="F95" s="393">
        <f t="shared" si="29"/>
        <v>70200</v>
      </c>
      <c r="G95" s="393">
        <f t="shared" si="30"/>
        <v>80100</v>
      </c>
      <c r="H95" s="393">
        <f t="shared" si="31"/>
        <v>82300</v>
      </c>
      <c r="I95" s="16"/>
      <c r="P95" s="11"/>
    </row>
    <row r="96" spans="1:25" ht="15.95" customHeight="1">
      <c r="B96" s="831"/>
      <c r="C96" s="10" t="s">
        <v>20</v>
      </c>
      <c r="D96" s="393">
        <f t="shared" si="28"/>
        <v>50843</v>
      </c>
      <c r="E96" s="393">
        <f t="shared" si="28"/>
        <v>55200</v>
      </c>
      <c r="F96" s="393">
        <f t="shared" si="29"/>
        <v>65100</v>
      </c>
      <c r="G96" s="393">
        <f t="shared" si="30"/>
        <v>86300</v>
      </c>
      <c r="H96" s="393">
        <f t="shared" si="31"/>
        <v>89200</v>
      </c>
      <c r="I96" s="16"/>
      <c r="P96" s="11"/>
    </row>
    <row r="97" spans="2:25" ht="15.95" customHeight="1">
      <c r="B97" s="831"/>
      <c r="C97" s="10" t="s">
        <v>10</v>
      </c>
      <c r="D97" s="393">
        <f t="shared" ref="D97:E105" si="32">C14</f>
        <v>7103</v>
      </c>
      <c r="E97" s="393">
        <f t="shared" si="32"/>
        <v>7200</v>
      </c>
      <c r="F97" s="393">
        <f t="shared" ref="F97:F105" si="33">G14</f>
        <v>8700</v>
      </c>
      <c r="G97" s="393">
        <f t="shared" ref="G97:G105" si="34">J14</f>
        <v>8800</v>
      </c>
      <c r="H97" s="393">
        <f t="shared" ref="H97:H105" si="35">M14</f>
        <v>8800</v>
      </c>
      <c r="I97" s="16"/>
    </row>
    <row r="98" spans="2:25" ht="15.95" customHeight="1">
      <c r="B98" s="831"/>
      <c r="C98" s="10" t="s">
        <v>118</v>
      </c>
      <c r="D98" s="393">
        <f t="shared" si="32"/>
        <v>6195</v>
      </c>
      <c r="E98" s="393">
        <f t="shared" si="32"/>
        <v>6300</v>
      </c>
      <c r="F98" s="393">
        <f t="shared" si="33"/>
        <v>8100</v>
      </c>
      <c r="G98" s="393">
        <f t="shared" si="34"/>
        <v>8200</v>
      </c>
      <c r="H98" s="393">
        <f t="shared" si="35"/>
        <v>8300</v>
      </c>
      <c r="I98" s="16"/>
    </row>
    <row r="99" spans="2:25" ht="15.95" customHeight="1">
      <c r="B99" s="831"/>
      <c r="C99" s="10" t="s">
        <v>185</v>
      </c>
      <c r="D99" s="393">
        <f t="shared" si="32"/>
        <v>11408</v>
      </c>
      <c r="E99" s="393">
        <f t="shared" si="32"/>
        <v>11600</v>
      </c>
      <c r="F99" s="393">
        <f t="shared" si="33"/>
        <v>13800</v>
      </c>
      <c r="G99" s="393">
        <f t="shared" si="34"/>
        <v>14000</v>
      </c>
      <c r="H99" s="393">
        <f t="shared" si="35"/>
        <v>14300</v>
      </c>
      <c r="I99" s="16"/>
      <c r="R99" s="257"/>
      <c r="S99" s="11"/>
      <c r="T99" s="11"/>
      <c r="U99" s="11"/>
      <c r="V99" s="11"/>
      <c r="W99" s="11"/>
      <c r="X99" s="11"/>
      <c r="Y99" s="11"/>
    </row>
    <row r="100" spans="2:25" ht="15.95" customHeight="1">
      <c r="B100" s="831"/>
      <c r="C100" s="10" t="s">
        <v>9</v>
      </c>
      <c r="D100" s="393">
        <f t="shared" si="32"/>
        <v>13839</v>
      </c>
      <c r="E100" s="393">
        <f t="shared" si="32"/>
        <v>14000</v>
      </c>
      <c r="F100" s="393">
        <f t="shared" si="33"/>
        <v>17300</v>
      </c>
      <c r="G100" s="393">
        <f t="shared" si="34"/>
        <v>17600</v>
      </c>
      <c r="H100" s="393">
        <f t="shared" si="35"/>
        <v>18000</v>
      </c>
      <c r="I100" s="16"/>
      <c r="R100" s="11"/>
      <c r="S100" s="11"/>
      <c r="T100" s="11"/>
      <c r="U100" s="11"/>
      <c r="V100" s="11"/>
      <c r="W100" s="11"/>
      <c r="X100" s="11"/>
      <c r="Y100" s="11"/>
    </row>
    <row r="101" spans="2:25" ht="15.95" customHeight="1">
      <c r="B101" s="831"/>
      <c r="C101" s="10" t="s">
        <v>195</v>
      </c>
      <c r="D101" s="393">
        <f t="shared" si="32"/>
        <v>22589</v>
      </c>
      <c r="E101" s="393">
        <f t="shared" si="32"/>
        <v>23500</v>
      </c>
      <c r="F101" s="393">
        <f t="shared" si="33"/>
        <v>26400</v>
      </c>
      <c r="G101" s="393">
        <f t="shared" si="34"/>
        <v>27200</v>
      </c>
      <c r="H101" s="393">
        <f t="shared" si="35"/>
        <v>28000</v>
      </c>
      <c r="I101" s="16"/>
      <c r="R101" s="11"/>
      <c r="S101" s="11"/>
      <c r="T101" s="11"/>
      <c r="U101" s="11"/>
      <c r="V101" s="11"/>
      <c r="W101" s="11"/>
      <c r="X101" s="11"/>
      <c r="Y101" s="11"/>
    </row>
    <row r="102" spans="2:25" ht="15.95" customHeight="1">
      <c r="B102" s="831"/>
      <c r="C102" s="10" t="s">
        <v>8</v>
      </c>
      <c r="D102" s="393">
        <f t="shared" si="32"/>
        <v>17710</v>
      </c>
      <c r="E102" s="393">
        <f t="shared" si="32"/>
        <v>24100</v>
      </c>
      <c r="F102" s="393">
        <f t="shared" si="33"/>
        <v>25900</v>
      </c>
      <c r="G102" s="393">
        <f t="shared" si="34"/>
        <v>26300</v>
      </c>
      <c r="H102" s="393">
        <f t="shared" si="35"/>
        <v>26900</v>
      </c>
      <c r="I102" s="16"/>
      <c r="R102" s="11"/>
      <c r="S102" s="11"/>
      <c r="T102" s="11"/>
      <c r="U102" s="11"/>
      <c r="V102" s="11"/>
      <c r="W102" s="11"/>
      <c r="X102" s="11"/>
      <c r="Y102" s="11"/>
    </row>
    <row r="103" spans="2:25" ht="15.95" customHeight="1">
      <c r="B103" s="831"/>
      <c r="C103" s="10" t="s">
        <v>119</v>
      </c>
      <c r="D103" s="393">
        <f t="shared" si="32"/>
        <v>34819</v>
      </c>
      <c r="E103" s="393">
        <f t="shared" si="32"/>
        <v>46000</v>
      </c>
      <c r="F103" s="393">
        <f t="shared" si="33"/>
        <v>47700</v>
      </c>
      <c r="G103" s="393">
        <f t="shared" si="34"/>
        <v>48600</v>
      </c>
      <c r="H103" s="393">
        <f t="shared" si="35"/>
        <v>50300</v>
      </c>
      <c r="I103" s="16"/>
      <c r="R103" s="11"/>
      <c r="S103" s="11"/>
      <c r="T103" s="11"/>
      <c r="U103" s="11"/>
      <c r="V103" s="11"/>
      <c r="W103" s="11"/>
      <c r="X103" s="11"/>
      <c r="Y103" s="11"/>
    </row>
    <row r="104" spans="2:25" ht="15.95" customHeight="1">
      <c r="B104" s="831"/>
      <c r="C104" s="10" t="s">
        <v>7</v>
      </c>
      <c r="D104" s="393">
        <f t="shared" si="32"/>
        <v>29660</v>
      </c>
      <c r="E104" s="393">
        <f t="shared" si="32"/>
        <v>44400</v>
      </c>
      <c r="F104" s="393">
        <f t="shared" si="33"/>
        <v>47900</v>
      </c>
      <c r="G104" s="393">
        <f t="shared" si="34"/>
        <v>53300</v>
      </c>
      <c r="H104" s="393">
        <f t="shared" si="35"/>
        <v>54400</v>
      </c>
      <c r="I104" s="16"/>
      <c r="R104" s="11"/>
    </row>
    <row r="105" spans="2:25" ht="15.95" customHeight="1">
      <c r="B105" s="831"/>
      <c r="C105" s="10" t="s">
        <v>6</v>
      </c>
      <c r="D105" s="393">
        <f t="shared" si="32"/>
        <v>32419</v>
      </c>
      <c r="E105" s="393">
        <f t="shared" si="32"/>
        <v>35000</v>
      </c>
      <c r="F105" s="393">
        <f t="shared" si="33"/>
        <v>37500</v>
      </c>
      <c r="G105" s="393">
        <f t="shared" si="34"/>
        <v>38700</v>
      </c>
      <c r="H105" s="393">
        <f t="shared" si="35"/>
        <v>40000</v>
      </c>
      <c r="I105" s="16"/>
      <c r="R105" s="11"/>
    </row>
    <row r="106" spans="2:25" ht="15.95" customHeight="1">
      <c r="B106" s="828" t="s">
        <v>618</v>
      </c>
      <c r="C106" s="10" t="s">
        <v>19</v>
      </c>
      <c r="D106" s="393">
        <f>SUM(D107:D112)</f>
        <v>50621</v>
      </c>
      <c r="E106" s="393">
        <f>SUM(E107:E112)</f>
        <v>51500</v>
      </c>
      <c r="F106" s="393">
        <f>SUM(F107:F112)</f>
        <v>54300</v>
      </c>
      <c r="G106" s="393">
        <f>SUM(G107:G112)</f>
        <v>62500</v>
      </c>
      <c r="H106" s="393">
        <f>SUM(H107:H112)</f>
        <v>63200</v>
      </c>
      <c r="I106" s="16"/>
      <c r="R106" s="11"/>
    </row>
    <row r="107" spans="2:25" ht="15.95" customHeight="1">
      <c r="B107" s="828"/>
      <c r="C107" s="10" t="s">
        <v>18</v>
      </c>
      <c r="D107" s="393">
        <f>C29</f>
        <v>27861</v>
      </c>
      <c r="E107" s="393">
        <f>D29</f>
        <v>28600</v>
      </c>
      <c r="F107" s="393">
        <f t="shared" ref="F107:F112" si="36">G29</f>
        <v>29400</v>
      </c>
      <c r="G107" s="393">
        <f t="shared" ref="G107:G112" si="37">J29</f>
        <v>29900</v>
      </c>
      <c r="H107" s="393">
        <f t="shared" ref="H107:H112" si="38">M29</f>
        <v>30700</v>
      </c>
      <c r="I107" s="16"/>
      <c r="R107" s="11"/>
    </row>
    <row r="108" spans="2:25" ht="15.95" customHeight="1">
      <c r="B108" s="828"/>
      <c r="C108" s="10" t="s">
        <v>15</v>
      </c>
      <c r="D108" s="393">
        <f t="shared" ref="D108:E112" si="39">C30</f>
        <v>5540</v>
      </c>
      <c r="E108" s="393">
        <f t="shared" si="39"/>
        <v>5600</v>
      </c>
      <c r="F108" s="393">
        <f t="shared" si="36"/>
        <v>5600</v>
      </c>
      <c r="G108" s="393">
        <f t="shared" si="37"/>
        <v>5700</v>
      </c>
      <c r="H108" s="393">
        <f t="shared" si="38"/>
        <v>5700</v>
      </c>
      <c r="I108" s="16"/>
    </row>
    <row r="109" spans="2:25" ht="15.95" customHeight="1">
      <c r="B109" s="828"/>
      <c r="C109" s="10" t="s">
        <v>14</v>
      </c>
      <c r="D109" s="393">
        <f t="shared" si="39"/>
        <v>4480</v>
      </c>
      <c r="E109" s="393">
        <f t="shared" si="39"/>
        <v>4400</v>
      </c>
      <c r="F109" s="393">
        <f t="shared" si="36"/>
        <v>6300</v>
      </c>
      <c r="G109" s="393">
        <f t="shared" si="37"/>
        <v>12300</v>
      </c>
      <c r="H109" s="393">
        <f t="shared" si="38"/>
        <v>12300</v>
      </c>
      <c r="I109" s="16"/>
    </row>
    <row r="110" spans="2:25" ht="15.95" customHeight="1">
      <c r="B110" s="828"/>
      <c r="C110" s="10" t="s">
        <v>13</v>
      </c>
      <c r="D110" s="393">
        <f t="shared" si="39"/>
        <v>3113</v>
      </c>
      <c r="E110" s="393">
        <f t="shared" si="39"/>
        <v>3100</v>
      </c>
      <c r="F110" s="393">
        <f t="shared" si="36"/>
        <v>3100</v>
      </c>
      <c r="G110" s="393">
        <f t="shared" si="37"/>
        <v>4600</v>
      </c>
      <c r="H110" s="393">
        <f t="shared" si="38"/>
        <v>4600</v>
      </c>
      <c r="I110" s="16"/>
    </row>
    <row r="111" spans="2:25" ht="15.95" customHeight="1">
      <c r="B111" s="828"/>
      <c r="C111" s="10" t="s">
        <v>12</v>
      </c>
      <c r="D111" s="393">
        <f t="shared" si="39"/>
        <v>6742</v>
      </c>
      <c r="E111" s="393">
        <f t="shared" si="39"/>
        <v>7000</v>
      </c>
      <c r="F111" s="393">
        <f t="shared" si="36"/>
        <v>7100</v>
      </c>
      <c r="G111" s="393">
        <f t="shared" si="37"/>
        <v>7100</v>
      </c>
      <c r="H111" s="393">
        <f t="shared" si="38"/>
        <v>7100</v>
      </c>
      <c r="I111" s="16"/>
    </row>
    <row r="112" spans="2:25" ht="15.95" customHeight="1">
      <c r="B112" s="828"/>
      <c r="C112" s="10" t="s">
        <v>11</v>
      </c>
      <c r="D112" s="393">
        <f t="shared" si="39"/>
        <v>2885</v>
      </c>
      <c r="E112" s="393">
        <f t="shared" si="39"/>
        <v>2800</v>
      </c>
      <c r="F112" s="393">
        <f t="shared" si="36"/>
        <v>2800</v>
      </c>
      <c r="G112" s="393">
        <f t="shared" si="37"/>
        <v>2900</v>
      </c>
      <c r="H112" s="393">
        <f t="shared" si="38"/>
        <v>2800</v>
      </c>
      <c r="I112" s="16"/>
    </row>
    <row r="113" spans="2:9" ht="15.95" customHeight="1">
      <c r="B113" s="828" t="s">
        <v>620</v>
      </c>
      <c r="C113" s="10" t="s">
        <v>19</v>
      </c>
      <c r="D113" s="393">
        <f>SUM(D114:D115)</f>
        <v>9839</v>
      </c>
      <c r="E113" s="393">
        <f>SUM(E114:E115)</f>
        <v>9800</v>
      </c>
      <c r="F113" s="393">
        <f>SUM(F114:F115)</f>
        <v>13000</v>
      </c>
      <c r="G113" s="393">
        <f>SUM(G114:G115)</f>
        <v>13000</v>
      </c>
      <c r="H113" s="393">
        <f>SUM(H114:H115)</f>
        <v>13000</v>
      </c>
      <c r="I113" s="16"/>
    </row>
    <row r="114" spans="2:9" ht="15.95" customHeight="1">
      <c r="B114" s="828"/>
      <c r="C114" s="10" t="s">
        <v>17</v>
      </c>
      <c r="D114" s="393">
        <f>C36</f>
        <v>5181</v>
      </c>
      <c r="E114" s="393">
        <f>D36</f>
        <v>5200</v>
      </c>
      <c r="F114" s="393">
        <f>G36</f>
        <v>8400</v>
      </c>
      <c r="G114" s="393">
        <f>J36</f>
        <v>8400</v>
      </c>
      <c r="H114" s="393">
        <f>M36</f>
        <v>8400</v>
      </c>
      <c r="I114" s="16"/>
    </row>
    <row r="115" spans="2:9" ht="15.95" customHeight="1">
      <c r="B115" s="829"/>
      <c r="C115" s="12" t="s">
        <v>16</v>
      </c>
      <c r="D115" s="395">
        <f>C37</f>
        <v>4658</v>
      </c>
      <c r="E115" s="395">
        <f>D37</f>
        <v>4600</v>
      </c>
      <c r="F115" s="395">
        <f>G37</f>
        <v>4600</v>
      </c>
      <c r="G115" s="395">
        <f>J37</f>
        <v>4600</v>
      </c>
      <c r="H115" s="395">
        <f>M37</f>
        <v>4600</v>
      </c>
      <c r="I115" s="374"/>
    </row>
  </sheetData>
  <mergeCells count="35">
    <mergeCell ref="A42:A58"/>
    <mergeCell ref="A59:A63"/>
    <mergeCell ref="A64:A70"/>
    <mergeCell ref="A71:A73"/>
    <mergeCell ref="P3:P4"/>
    <mergeCell ref="A5:B5"/>
    <mergeCell ref="A3:B4"/>
    <mergeCell ref="C3:C4"/>
    <mergeCell ref="D3:F3"/>
    <mergeCell ref="G3:I3"/>
    <mergeCell ref="J3:L3"/>
    <mergeCell ref="M3:O3"/>
    <mergeCell ref="A6:A22"/>
    <mergeCell ref="A23:A27"/>
    <mergeCell ref="A28:A34"/>
    <mergeCell ref="A35:A37"/>
    <mergeCell ref="M39:O39"/>
    <mergeCell ref="A41:B41"/>
    <mergeCell ref="A39:B40"/>
    <mergeCell ref="C39:C40"/>
    <mergeCell ref="D39:F39"/>
    <mergeCell ref="G39:I39"/>
    <mergeCell ref="J39:L39"/>
    <mergeCell ref="I81:I82"/>
    <mergeCell ref="B83:C83"/>
    <mergeCell ref="B81:C82"/>
    <mergeCell ref="D81:D82"/>
    <mergeCell ref="B89:B105"/>
    <mergeCell ref="B113:B115"/>
    <mergeCell ref="H81:H82"/>
    <mergeCell ref="G81:G82"/>
    <mergeCell ref="F81:F82"/>
    <mergeCell ref="E81:E82"/>
    <mergeCell ref="B84:B88"/>
    <mergeCell ref="B106:B112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37" max="15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Y37"/>
  <sheetViews>
    <sheetView showGridLines="0" view="pageBreakPreview" zoomScale="90" zoomScaleNormal="90" workbookViewId="0">
      <pane ySplit="4" topLeftCell="A11" activePane="bottomLeft" state="frozen"/>
      <selection pane="bottomLeft" activeCell="E16" sqref="E16"/>
    </sheetView>
  </sheetViews>
  <sheetFormatPr defaultRowHeight="17.45" customHeight="1"/>
  <cols>
    <col min="1" max="1" width="3.77734375" style="11" customWidth="1"/>
    <col min="2" max="2" width="2.6640625" style="11" bestFit="1" customWidth="1"/>
    <col min="3" max="3" width="5.77734375" style="11" customWidth="1"/>
    <col min="4" max="4" width="8.6640625" style="11" bestFit="1" customWidth="1"/>
    <col min="5" max="5" width="7.77734375" style="11" bestFit="1" customWidth="1"/>
    <col min="6" max="7" width="8.6640625" style="11" bestFit="1" customWidth="1"/>
    <col min="8" max="8" width="7.77734375" style="11" bestFit="1" customWidth="1"/>
    <col min="9" max="10" width="8.6640625" style="11" bestFit="1" customWidth="1"/>
    <col min="11" max="11" width="7.77734375" style="11" bestFit="1" customWidth="1"/>
    <col min="12" max="13" width="8.6640625" style="11" bestFit="1" customWidth="1"/>
    <col min="14" max="14" width="7.77734375" style="11" bestFit="1" customWidth="1"/>
    <col min="15" max="16" width="8.6640625" style="11" bestFit="1" customWidth="1"/>
    <col min="17" max="17" width="5.21875" style="11" customWidth="1"/>
    <col min="18" max="18" width="3.21875" style="11" customWidth="1"/>
    <col min="19" max="19" width="8.88671875" style="11"/>
    <col min="20" max="20" width="10" style="11" customWidth="1"/>
    <col min="21" max="21" width="10" style="11" bestFit="1" customWidth="1"/>
    <col min="22" max="24" width="9" style="11" bestFit="1" customWidth="1"/>
    <col min="25" max="16384" width="8.88671875" style="11"/>
  </cols>
  <sheetData>
    <row r="1" spans="1:25" ht="17.45" customHeight="1">
      <c r="A1" s="1" t="s">
        <v>1211</v>
      </c>
      <c r="B1" s="1"/>
      <c r="G1" s="401"/>
      <c r="J1" s="401"/>
      <c r="M1" s="401"/>
      <c r="P1" s="401"/>
      <c r="S1" s="345" t="s">
        <v>1212</v>
      </c>
      <c r="T1" s="345"/>
      <c r="U1" s="345"/>
      <c r="V1" s="345"/>
      <c r="W1" s="345"/>
      <c r="X1" s="345"/>
      <c r="Y1" s="345"/>
    </row>
    <row r="2" spans="1:25" ht="17.45" customHeight="1">
      <c r="A2" s="3"/>
      <c r="B2" s="3"/>
      <c r="D2" s="269"/>
      <c r="E2" s="269"/>
      <c r="F2" s="269"/>
      <c r="H2" s="269"/>
      <c r="I2" s="269"/>
      <c r="K2" s="269"/>
      <c r="L2" s="269"/>
      <c r="N2" s="269"/>
      <c r="O2" s="269"/>
      <c r="Q2" s="313" t="s">
        <v>1213</v>
      </c>
      <c r="S2" s="345"/>
      <c r="T2" s="345"/>
      <c r="U2" s="345"/>
      <c r="V2" s="345"/>
      <c r="W2" s="345"/>
      <c r="X2" s="345"/>
      <c r="Y2" s="313"/>
    </row>
    <row r="3" spans="1:25" ht="17.45" customHeight="1">
      <c r="A3" s="792" t="s">
        <v>1214</v>
      </c>
      <c r="B3" s="788"/>
      <c r="C3" s="793"/>
      <c r="D3" s="793" t="s">
        <v>1215</v>
      </c>
      <c r="E3" s="774" t="s">
        <v>1216</v>
      </c>
      <c r="F3" s="775"/>
      <c r="G3" s="788"/>
      <c r="H3" s="774" t="s">
        <v>1217</v>
      </c>
      <c r="I3" s="775"/>
      <c r="J3" s="788"/>
      <c r="K3" s="774" t="s">
        <v>1218</v>
      </c>
      <c r="L3" s="775"/>
      <c r="M3" s="788"/>
      <c r="N3" s="774" t="s">
        <v>1219</v>
      </c>
      <c r="O3" s="775"/>
      <c r="P3" s="788"/>
      <c r="Q3" s="937" t="s">
        <v>1220</v>
      </c>
      <c r="S3" s="792" t="s">
        <v>1221</v>
      </c>
      <c r="T3" s="793"/>
      <c r="U3" s="939" t="s">
        <v>1222</v>
      </c>
      <c r="V3" s="939"/>
      <c r="W3" s="939"/>
      <c r="X3" s="939"/>
      <c r="Y3" s="798" t="s">
        <v>1220</v>
      </c>
    </row>
    <row r="4" spans="1:25" ht="17.45" customHeight="1">
      <c r="A4" s="794"/>
      <c r="B4" s="802"/>
      <c r="C4" s="795"/>
      <c r="D4" s="795"/>
      <c r="E4" s="406" t="s">
        <v>1223</v>
      </c>
      <c r="F4" s="406" t="s">
        <v>1224</v>
      </c>
      <c r="G4" s="407" t="s">
        <v>1225</v>
      </c>
      <c r="H4" s="406" t="s">
        <v>1223</v>
      </c>
      <c r="I4" s="406" t="s">
        <v>1224</v>
      </c>
      <c r="J4" s="407" t="s">
        <v>1225</v>
      </c>
      <c r="K4" s="406" t="s">
        <v>1223</v>
      </c>
      <c r="L4" s="406" t="s">
        <v>1224</v>
      </c>
      <c r="M4" s="407" t="s">
        <v>1225</v>
      </c>
      <c r="N4" s="406" t="s">
        <v>1223</v>
      </c>
      <c r="O4" s="406" t="s">
        <v>1224</v>
      </c>
      <c r="P4" s="407" t="s">
        <v>1225</v>
      </c>
      <c r="Q4" s="938"/>
      <c r="S4" s="794"/>
      <c r="T4" s="795"/>
      <c r="U4" s="581" t="s">
        <v>1216</v>
      </c>
      <c r="V4" s="581" t="s">
        <v>1217</v>
      </c>
      <c r="W4" s="581" t="s">
        <v>1218</v>
      </c>
      <c r="X4" s="581" t="s">
        <v>1219</v>
      </c>
      <c r="Y4" s="799"/>
    </row>
    <row r="5" spans="1:25" ht="17.45" customHeight="1">
      <c r="A5" s="975" t="s">
        <v>1226</v>
      </c>
      <c r="B5" s="976"/>
      <c r="C5" s="976"/>
      <c r="D5" s="685">
        <f>D6+D28</f>
        <v>540742</v>
      </c>
      <c r="E5" s="685">
        <f>SUM(F5:G5)</f>
        <v>605000</v>
      </c>
      <c r="F5" s="685">
        <f>F6+F28</f>
        <v>518100</v>
      </c>
      <c r="G5" s="685">
        <f>G6+G28</f>
        <v>86900</v>
      </c>
      <c r="H5" s="685">
        <f>SUM(I5:J5)</f>
        <v>690000</v>
      </c>
      <c r="I5" s="685">
        <f>I6+I28</f>
        <v>474300</v>
      </c>
      <c r="J5" s="685">
        <f>J6+J28</f>
        <v>215700</v>
      </c>
      <c r="K5" s="685">
        <f>SUM(L5:M5)</f>
        <v>780000</v>
      </c>
      <c r="L5" s="685">
        <f>L6+L28</f>
        <v>444200</v>
      </c>
      <c r="M5" s="685">
        <f>M6+M28</f>
        <v>335800</v>
      </c>
      <c r="N5" s="685">
        <f>SUM(O5:P5)</f>
        <v>800000</v>
      </c>
      <c r="O5" s="685">
        <f>O6+O28</f>
        <v>464200</v>
      </c>
      <c r="P5" s="685">
        <f>P6+P28</f>
        <v>335800</v>
      </c>
      <c r="Q5" s="686"/>
      <c r="S5" s="629"/>
      <c r="T5" s="595"/>
      <c r="U5" s="602"/>
      <c r="V5" s="602"/>
      <c r="W5" s="602"/>
      <c r="X5" s="602"/>
      <c r="Y5" s="648"/>
    </row>
    <row r="6" spans="1:25" ht="17.45" customHeight="1">
      <c r="A6" s="796" t="s">
        <v>1227</v>
      </c>
      <c r="B6" s="979" t="s">
        <v>1223</v>
      </c>
      <c r="C6" s="979"/>
      <c r="D6" s="680">
        <f>D7+D17+D22</f>
        <v>540742</v>
      </c>
      <c r="E6" s="680">
        <f>SUM(F6:G6)</f>
        <v>605000</v>
      </c>
      <c r="F6" s="680">
        <f>F7+F17+F22</f>
        <v>518100</v>
      </c>
      <c r="G6" s="680">
        <f>G7+G17+G22</f>
        <v>86900</v>
      </c>
      <c r="H6" s="680">
        <f>SUM(I6:J6)</f>
        <v>686800</v>
      </c>
      <c r="I6" s="680">
        <f>I7+I17+I22</f>
        <v>474300</v>
      </c>
      <c r="J6" s="680">
        <f>J7+J17+J22</f>
        <v>212500</v>
      </c>
      <c r="K6" s="680">
        <f>SUM(L6:M6)</f>
        <v>762800</v>
      </c>
      <c r="L6" s="680">
        <f>L7+L17+L22</f>
        <v>444200</v>
      </c>
      <c r="M6" s="680">
        <f>M7+M17+M22</f>
        <v>318600</v>
      </c>
      <c r="N6" s="680">
        <f t="shared" ref="N6:N24" si="0">SUM(O6:P6)</f>
        <v>782800</v>
      </c>
      <c r="O6" s="680">
        <f>O7+O17+O22</f>
        <v>464200</v>
      </c>
      <c r="P6" s="680">
        <f>P7+P17+P22</f>
        <v>318600</v>
      </c>
      <c r="Q6" s="681"/>
      <c r="S6" s="792" t="s">
        <v>1226</v>
      </c>
      <c r="T6" s="793"/>
      <c r="U6" s="30">
        <f>U7+U17+U22</f>
        <v>86900</v>
      </c>
      <c r="V6" s="30">
        <f>V7+V17+V22</f>
        <v>212500</v>
      </c>
      <c r="W6" s="30">
        <f>W7+W17+W22</f>
        <v>318600</v>
      </c>
      <c r="X6" s="30">
        <f>X7+X17+X22</f>
        <v>318600</v>
      </c>
      <c r="Y6" s="408"/>
    </row>
    <row r="7" spans="1:25" ht="17.45" customHeight="1">
      <c r="A7" s="789"/>
      <c r="B7" s="941" t="s">
        <v>1228</v>
      </c>
      <c r="C7" s="677" t="s">
        <v>1259</v>
      </c>
      <c r="D7" s="678">
        <f>SUM(D8:D16)</f>
        <v>405546</v>
      </c>
      <c r="E7" s="678">
        <f t="shared" ref="E7:E24" si="1">SUM(F7:G7)</f>
        <v>461200</v>
      </c>
      <c r="F7" s="678">
        <f>SUM(F8:F16)</f>
        <v>385000</v>
      </c>
      <c r="G7" s="678">
        <f>SUM(G8:G16)</f>
        <v>76200</v>
      </c>
      <c r="H7" s="678">
        <f t="shared" ref="H7:H24" si="2">SUM(I7:J7)</f>
        <v>519600</v>
      </c>
      <c r="I7" s="678">
        <f>SUM(I8:I16)</f>
        <v>351500</v>
      </c>
      <c r="J7" s="678">
        <f>SUM(J8:J16)</f>
        <v>168100</v>
      </c>
      <c r="K7" s="678">
        <f t="shared" ref="K7:K24" si="3">SUM(L7:M7)</f>
        <v>530600</v>
      </c>
      <c r="L7" s="678">
        <f>SUM(L8:L16)</f>
        <v>340000</v>
      </c>
      <c r="M7" s="678">
        <f>SUM(M8:M16)</f>
        <v>190600</v>
      </c>
      <c r="N7" s="678">
        <f t="shared" si="0"/>
        <v>547400</v>
      </c>
      <c r="O7" s="678">
        <f>SUM(O8:O16)</f>
        <v>356800</v>
      </c>
      <c r="P7" s="678">
        <f>SUM(P8:P16)</f>
        <v>190600</v>
      </c>
      <c r="Q7" s="679"/>
      <c r="S7" s="828" t="s">
        <v>1228</v>
      </c>
      <c r="T7" s="580" t="s">
        <v>1229</v>
      </c>
      <c r="U7" s="35">
        <f>SUM(U8:U16)</f>
        <v>76200</v>
      </c>
      <c r="V7" s="35">
        <f>SUM(V8:V16)</f>
        <v>168100</v>
      </c>
      <c r="W7" s="35">
        <f>SUM(W8:W16)</f>
        <v>190600</v>
      </c>
      <c r="X7" s="35">
        <f>SUM(X8:X16)</f>
        <v>190600</v>
      </c>
      <c r="Y7" s="409"/>
    </row>
    <row r="8" spans="1:25" ht="17.45" customHeight="1">
      <c r="A8" s="789"/>
      <c r="B8" s="941"/>
      <c r="C8" s="566" t="s">
        <v>1230</v>
      </c>
      <c r="D8" s="15">
        <v>67789</v>
      </c>
      <c r="E8" s="15">
        <f t="shared" si="1"/>
        <v>69500</v>
      </c>
      <c r="F8" s="15">
        <f t="shared" ref="F8:F15" si="4">ROUND(F$32/D$32*D8,-2)</f>
        <v>64200</v>
      </c>
      <c r="G8" s="15">
        <f t="shared" ref="G8:G13" si="5">U8</f>
        <v>5300</v>
      </c>
      <c r="H8" s="15">
        <f t="shared" si="2"/>
        <v>82800</v>
      </c>
      <c r="I8" s="15">
        <f>ROUND(I$32/F$32*F8,-2)</f>
        <v>58300</v>
      </c>
      <c r="J8" s="15">
        <f t="shared" ref="J8:J13" si="6">V8</f>
        <v>24500</v>
      </c>
      <c r="K8" s="15">
        <f t="shared" si="3"/>
        <v>80800</v>
      </c>
      <c r="L8" s="15">
        <f>ROUND(L$32/I$32*I8,-2)</f>
        <v>56300</v>
      </c>
      <c r="M8" s="15">
        <f>'처리구역별 계획인구'!W8</f>
        <v>24500</v>
      </c>
      <c r="N8" s="15">
        <f t="shared" si="0"/>
        <v>83900</v>
      </c>
      <c r="O8" s="15">
        <f>ROUND(O$32/L$32*L8,-2)+100</f>
        <v>59400</v>
      </c>
      <c r="P8" s="15">
        <f>'처리구역별 계획인구'!X8</f>
        <v>24500</v>
      </c>
      <c r="Q8" s="16"/>
      <c r="S8" s="828"/>
      <c r="T8" s="582" t="s">
        <v>1230</v>
      </c>
      <c r="U8" s="35">
        <f>SUMIF(인구배분!$M$6:$M$165,$T8,인구배분!O$6:O$165)</f>
        <v>5300</v>
      </c>
      <c r="V8" s="35">
        <f>SUMIF(인구배분!$M$6:$M$165,$T8,인구배분!P$6:P$165)</f>
        <v>24500</v>
      </c>
      <c r="W8" s="35">
        <f>SUMIF(인구배분!$M$6:$M$165,$T8,인구배분!Q$6:Q$165)</f>
        <v>24500</v>
      </c>
      <c r="X8" s="35">
        <f>SUMIF(인구배분!$M$6:$M$165,$T8,인구배분!R$6:R$165)</f>
        <v>24500</v>
      </c>
      <c r="Y8" s="409"/>
    </row>
    <row r="9" spans="1:25" ht="17.45" customHeight="1">
      <c r="A9" s="789"/>
      <c r="B9" s="941"/>
      <c r="C9" s="566" t="s">
        <v>1231</v>
      </c>
      <c r="D9" s="15">
        <f>118066</f>
        <v>118066</v>
      </c>
      <c r="E9" s="15">
        <f t="shared" si="1"/>
        <v>124700</v>
      </c>
      <c r="F9" s="15">
        <f t="shared" si="4"/>
        <v>111800</v>
      </c>
      <c r="G9" s="15">
        <f t="shared" si="5"/>
        <v>12900</v>
      </c>
      <c r="H9" s="15">
        <f t="shared" si="2"/>
        <v>114900</v>
      </c>
      <c r="I9" s="15">
        <f>ROUND(I$32/F$32*F9,-2)+100</f>
        <v>101600</v>
      </c>
      <c r="J9" s="15">
        <f t="shared" si="6"/>
        <v>13300</v>
      </c>
      <c r="K9" s="15">
        <f t="shared" si="3"/>
        <v>111300</v>
      </c>
      <c r="L9" s="15">
        <f>ROUND(L$32/I$32*I9,-2)-100</f>
        <v>98000</v>
      </c>
      <c r="M9" s="15">
        <f>'처리구역별 계획인구'!W9</f>
        <v>13300</v>
      </c>
      <c r="N9" s="15">
        <f t="shared" si="0"/>
        <v>116400</v>
      </c>
      <c r="O9" s="15">
        <f t="shared" ref="O9:O15" si="7">ROUND(O$32/L$32*L9,-2)</f>
        <v>103100</v>
      </c>
      <c r="P9" s="15">
        <f>'처리구역별 계획인구'!X9</f>
        <v>13300</v>
      </c>
      <c r="Q9" s="16"/>
      <c r="S9" s="828"/>
      <c r="T9" s="582" t="s">
        <v>1231</v>
      </c>
      <c r="U9" s="35">
        <f>SUMIF(인구배분!$M$6:$M$165,$T9,인구배분!O$6:O$165)</f>
        <v>12900</v>
      </c>
      <c r="V9" s="35">
        <f>SUMIF(인구배분!$M$6:$M$165,$T9,인구배분!P$6:P$165)</f>
        <v>13300</v>
      </c>
      <c r="W9" s="35">
        <f>SUMIF(인구배분!$M$6:$M$165,$T9,인구배분!Q$6:Q$165)</f>
        <v>13300</v>
      </c>
      <c r="X9" s="35">
        <f>SUMIF(인구배분!$M$6:$M$165,$T9,인구배분!R$6:R$165)</f>
        <v>13300</v>
      </c>
      <c r="Y9" s="409"/>
    </row>
    <row r="10" spans="1:25" ht="17.45" customHeight="1">
      <c r="A10" s="789"/>
      <c r="B10" s="941"/>
      <c r="C10" s="566" t="s">
        <v>1232</v>
      </c>
      <c r="D10" s="15">
        <v>24897</v>
      </c>
      <c r="E10" s="15">
        <f t="shared" si="1"/>
        <v>23600</v>
      </c>
      <c r="F10" s="15">
        <f t="shared" si="4"/>
        <v>23600</v>
      </c>
      <c r="G10" s="15">
        <f t="shared" si="5"/>
        <v>0</v>
      </c>
      <c r="H10" s="15">
        <f t="shared" si="2"/>
        <v>36000</v>
      </c>
      <c r="I10" s="15">
        <f t="shared" ref="I10:I15" si="8">ROUND(I$32/F$32*F10,-2)</f>
        <v>21400</v>
      </c>
      <c r="J10" s="15">
        <f t="shared" si="6"/>
        <v>14600</v>
      </c>
      <c r="K10" s="15">
        <f t="shared" si="3"/>
        <v>35300</v>
      </c>
      <c r="L10" s="15">
        <f t="shared" ref="L10:L15" si="9">ROUND(L$32/I$32*I10,-2)</f>
        <v>20700</v>
      </c>
      <c r="M10" s="15">
        <f>'처리구역별 계획인구'!W10</f>
        <v>14600</v>
      </c>
      <c r="N10" s="15">
        <f t="shared" si="0"/>
        <v>36400</v>
      </c>
      <c r="O10" s="15">
        <f t="shared" si="7"/>
        <v>21800</v>
      </c>
      <c r="P10" s="15">
        <f>'처리구역별 계획인구'!X10</f>
        <v>14600</v>
      </c>
      <c r="Q10" s="16"/>
      <c r="S10" s="828"/>
      <c r="T10" s="582" t="s">
        <v>1232</v>
      </c>
      <c r="U10" s="35">
        <f>SUMIF(인구배분!$M$6:$M$165,$T10,인구배분!O$6:O$165)</f>
        <v>0</v>
      </c>
      <c r="V10" s="35">
        <f>SUMIF(인구배분!$M$6:$M$165,$T10,인구배분!P$6:P$165)</f>
        <v>14600</v>
      </c>
      <c r="W10" s="35">
        <f>SUMIF(인구배분!$M$6:$M$165,$T10,인구배분!Q$6:Q$165)</f>
        <v>14600</v>
      </c>
      <c r="X10" s="35">
        <f>SUMIF(인구배분!$M$6:$M$165,$T10,인구배분!R$6:R$165)</f>
        <v>14600</v>
      </c>
      <c r="Y10" s="409"/>
    </row>
    <row r="11" spans="1:25" ht="17.45" customHeight="1">
      <c r="A11" s="789"/>
      <c r="B11" s="941"/>
      <c r="C11" s="566" t="s">
        <v>1233</v>
      </c>
      <c r="D11" s="15">
        <v>16898</v>
      </c>
      <c r="E11" s="15">
        <f t="shared" si="1"/>
        <v>16000</v>
      </c>
      <c r="F11" s="15">
        <f t="shared" si="4"/>
        <v>16000</v>
      </c>
      <c r="G11" s="15">
        <f t="shared" si="5"/>
        <v>0</v>
      </c>
      <c r="H11" s="15">
        <f t="shared" si="2"/>
        <v>18800</v>
      </c>
      <c r="I11" s="15">
        <f t="shared" si="8"/>
        <v>14500</v>
      </c>
      <c r="J11" s="15">
        <f t="shared" si="6"/>
        <v>4300</v>
      </c>
      <c r="K11" s="15">
        <f t="shared" si="3"/>
        <v>18300</v>
      </c>
      <c r="L11" s="15">
        <f t="shared" si="9"/>
        <v>14000</v>
      </c>
      <c r="M11" s="15">
        <f>'처리구역별 계획인구'!W11</f>
        <v>4300</v>
      </c>
      <c r="N11" s="15">
        <f t="shared" si="0"/>
        <v>19000</v>
      </c>
      <c r="O11" s="15">
        <f t="shared" si="7"/>
        <v>14700</v>
      </c>
      <c r="P11" s="15">
        <f>'처리구역별 계획인구'!X11</f>
        <v>4300</v>
      </c>
      <c r="Q11" s="16"/>
      <c r="S11" s="828"/>
      <c r="T11" s="582" t="s">
        <v>1233</v>
      </c>
      <c r="U11" s="35">
        <f>SUMIF(인구배분!$M$6:$M$165,$T11,인구배분!O$6:O$165)</f>
        <v>0</v>
      </c>
      <c r="V11" s="35">
        <f>SUMIF(인구배분!$M$6:$M$165,$T11,인구배분!P$6:P$165)</f>
        <v>4300</v>
      </c>
      <c r="W11" s="35">
        <f>SUMIF(인구배분!$M$6:$M$165,$T11,인구배분!Q$6:Q$165)</f>
        <v>4300</v>
      </c>
      <c r="X11" s="35">
        <f>SUMIF(인구배분!$M$6:$M$165,$T11,인구배분!R$6:R$165)</f>
        <v>4300</v>
      </c>
      <c r="Y11" s="409"/>
    </row>
    <row r="12" spans="1:25" ht="17.45" customHeight="1">
      <c r="A12" s="789"/>
      <c r="B12" s="941"/>
      <c r="C12" s="566" t="s">
        <v>1234</v>
      </c>
      <c r="D12" s="15">
        <v>97255</v>
      </c>
      <c r="E12" s="15">
        <f t="shared" si="1"/>
        <v>97100</v>
      </c>
      <c r="F12" s="15">
        <f t="shared" si="4"/>
        <v>92100</v>
      </c>
      <c r="G12" s="15">
        <f t="shared" si="5"/>
        <v>5000</v>
      </c>
      <c r="H12" s="15">
        <f t="shared" si="2"/>
        <v>96700</v>
      </c>
      <c r="I12" s="15">
        <f t="shared" si="8"/>
        <v>83600</v>
      </c>
      <c r="J12" s="15">
        <f t="shared" si="6"/>
        <v>13100</v>
      </c>
      <c r="K12" s="15">
        <f t="shared" si="3"/>
        <v>93800</v>
      </c>
      <c r="L12" s="15">
        <f t="shared" si="9"/>
        <v>80700</v>
      </c>
      <c r="M12" s="15">
        <f>'처리구역별 계획인구'!W12</f>
        <v>13100</v>
      </c>
      <c r="N12" s="15">
        <f t="shared" si="0"/>
        <v>98000</v>
      </c>
      <c r="O12" s="15">
        <f t="shared" si="7"/>
        <v>84900</v>
      </c>
      <c r="P12" s="15">
        <f>'처리구역별 계획인구'!X12</f>
        <v>13100</v>
      </c>
      <c r="Q12" s="16"/>
      <c r="S12" s="828"/>
      <c r="T12" s="582" t="s">
        <v>1234</v>
      </c>
      <c r="U12" s="35">
        <f>SUMIF(인구배분!$M$6:$M$165,$T12,인구배분!O$6:O$165)</f>
        <v>5000</v>
      </c>
      <c r="V12" s="35">
        <f>SUMIF(인구배분!$M$6:$M$165,$T12,인구배분!P$6:P$165)</f>
        <v>13100</v>
      </c>
      <c r="W12" s="35">
        <f>SUMIF(인구배분!$M$6:$M$165,$T12,인구배분!Q$6:Q$165)</f>
        <v>13100</v>
      </c>
      <c r="X12" s="35">
        <f>SUMIF(인구배분!$M$6:$M$165,$T12,인구배분!R$6:R$165)</f>
        <v>13100</v>
      </c>
      <c r="Y12" s="409"/>
    </row>
    <row r="13" spans="1:25" ht="17.45" customHeight="1">
      <c r="A13" s="789"/>
      <c r="B13" s="941"/>
      <c r="C13" s="566" t="s">
        <v>1235</v>
      </c>
      <c r="D13" s="15">
        <v>36884</v>
      </c>
      <c r="E13" s="15">
        <f t="shared" si="1"/>
        <v>48600</v>
      </c>
      <c r="F13" s="15">
        <f t="shared" si="4"/>
        <v>34900</v>
      </c>
      <c r="G13" s="15">
        <f t="shared" si="5"/>
        <v>13700</v>
      </c>
      <c r="H13" s="15">
        <f t="shared" si="2"/>
        <v>87500</v>
      </c>
      <c r="I13" s="15">
        <f t="shared" si="8"/>
        <v>31700</v>
      </c>
      <c r="J13" s="15">
        <f t="shared" si="6"/>
        <v>55800</v>
      </c>
      <c r="K13" s="15">
        <f t="shared" si="3"/>
        <v>101200</v>
      </c>
      <c r="L13" s="15">
        <f t="shared" si="9"/>
        <v>30600</v>
      </c>
      <c r="M13" s="15">
        <f>'처리구역별 계획인구'!W13</f>
        <v>70600</v>
      </c>
      <c r="N13" s="15">
        <f t="shared" si="0"/>
        <v>102800</v>
      </c>
      <c r="O13" s="15">
        <f t="shared" si="7"/>
        <v>32200</v>
      </c>
      <c r="P13" s="15">
        <f>'처리구역별 계획인구'!X13</f>
        <v>70600</v>
      </c>
      <c r="Q13" s="16"/>
      <c r="S13" s="828"/>
      <c r="T13" s="582" t="s">
        <v>1235</v>
      </c>
      <c r="U13" s="35">
        <f>SUMIF(인구배분!$M$6:$M$165,$T13,인구배분!O$6:O$165)</f>
        <v>13700</v>
      </c>
      <c r="V13" s="35">
        <f>SUMIF(인구배분!$M$6:$M$165,$T13,인구배분!P$6:P$165)</f>
        <v>55800</v>
      </c>
      <c r="W13" s="35">
        <f>SUMIF(인구배분!$M$6:$M$165,$T13,인구배분!Q$6:Q$165)</f>
        <v>70600</v>
      </c>
      <c r="X13" s="35">
        <f>SUMIF(인구배분!$M$6:$M$165,$T13,인구배분!R$6:R$165)</f>
        <v>70600</v>
      </c>
      <c r="Y13" s="409"/>
    </row>
    <row r="14" spans="1:25" ht="17.45" customHeight="1">
      <c r="A14" s="789"/>
      <c r="B14" s="941"/>
      <c r="C14" s="569" t="s">
        <v>1210</v>
      </c>
      <c r="D14" s="15">
        <f>23251</f>
        <v>23251</v>
      </c>
      <c r="E14" s="15">
        <f>SUM(F14:G14)</f>
        <v>61300</v>
      </c>
      <c r="F14" s="15">
        <f t="shared" si="4"/>
        <v>22000</v>
      </c>
      <c r="G14" s="15">
        <f>U14</f>
        <v>39300</v>
      </c>
      <c r="H14" s="15">
        <f>SUM(I14:J14)</f>
        <v>62500</v>
      </c>
      <c r="I14" s="15">
        <f t="shared" si="8"/>
        <v>20000</v>
      </c>
      <c r="J14" s="15">
        <f>V14</f>
        <v>42500</v>
      </c>
      <c r="K14" s="15">
        <f>SUM(L14:M14)</f>
        <v>69500</v>
      </c>
      <c r="L14" s="15">
        <f t="shared" si="9"/>
        <v>19300</v>
      </c>
      <c r="M14" s="15">
        <f>'처리구역별 계획인구'!W14</f>
        <v>50200</v>
      </c>
      <c r="N14" s="15">
        <f>SUM(O14:P14)</f>
        <v>70500</v>
      </c>
      <c r="O14" s="15">
        <f t="shared" si="7"/>
        <v>20300</v>
      </c>
      <c r="P14" s="15">
        <f>'처리구역별 계획인구'!X14</f>
        <v>50200</v>
      </c>
      <c r="Q14" s="16"/>
      <c r="S14" s="828"/>
      <c r="T14" s="582" t="s">
        <v>1210</v>
      </c>
      <c r="U14" s="35">
        <f>SUMIF(인구배분!$M$6:$M$165,$T14,인구배분!O$6:O$165)</f>
        <v>39300</v>
      </c>
      <c r="V14" s="35">
        <f>SUMIF(인구배분!$M$6:$M$165,$T14,인구배분!P$6:P$165)</f>
        <v>42500</v>
      </c>
      <c r="W14" s="35">
        <f>SUMIF(인구배분!$M$6:$M$165,$T14,인구배분!Q$6:Q$165)</f>
        <v>50200</v>
      </c>
      <c r="X14" s="35">
        <f>SUMIF(인구배분!$M$6:$M$165,$T14,인구배분!R$6:R$165)</f>
        <v>50200</v>
      </c>
      <c r="Y14" s="409"/>
    </row>
    <row r="15" spans="1:25" ht="17.45" customHeight="1">
      <c r="A15" s="789"/>
      <c r="B15" s="941"/>
      <c r="C15" s="569" t="s">
        <v>1236</v>
      </c>
      <c r="D15" s="15">
        <f>467</f>
        <v>467</v>
      </c>
      <c r="E15" s="15">
        <f>SUM(F15:G15)</f>
        <v>400</v>
      </c>
      <c r="F15" s="15">
        <f t="shared" si="4"/>
        <v>400</v>
      </c>
      <c r="G15" s="15">
        <f>U15</f>
        <v>0</v>
      </c>
      <c r="H15" s="15">
        <f>SUM(I15:J15)</f>
        <v>400</v>
      </c>
      <c r="I15" s="15">
        <f t="shared" si="8"/>
        <v>400</v>
      </c>
      <c r="J15" s="15">
        <f>V15</f>
        <v>0</v>
      </c>
      <c r="K15" s="15">
        <f>SUM(L15:M15)</f>
        <v>400</v>
      </c>
      <c r="L15" s="15">
        <f t="shared" si="9"/>
        <v>400</v>
      </c>
      <c r="M15" s="15">
        <f>'처리구역별 계획인구'!W15</f>
        <v>0</v>
      </c>
      <c r="N15" s="15">
        <f>SUM(O15:P15)</f>
        <v>400</v>
      </c>
      <c r="O15" s="15">
        <f t="shared" si="7"/>
        <v>400</v>
      </c>
      <c r="P15" s="15">
        <f>'처리구역별 계획인구'!X15</f>
        <v>0</v>
      </c>
      <c r="Q15" s="16"/>
      <c r="S15" s="828"/>
      <c r="T15" s="582" t="s">
        <v>1236</v>
      </c>
      <c r="U15" s="35">
        <f>SUMIF(인구배분!$M$6:$M$165,$T15,인구배분!O$6:O$165)</f>
        <v>0</v>
      </c>
      <c r="V15" s="35">
        <f>SUMIF(인구배분!$M$6:$M$165,$T15,인구배분!P$6:P$165)</f>
        <v>0</v>
      </c>
      <c r="W15" s="35">
        <f>SUMIF(인구배분!$M$6:$M$165,$T15,인구배분!Q$6:Q$165)</f>
        <v>0</v>
      </c>
      <c r="X15" s="35">
        <f>SUMIF(인구배분!$M$6:$M$165,$T15,인구배분!R$6:R$165)</f>
        <v>0</v>
      </c>
      <c r="Y15" s="409"/>
    </row>
    <row r="16" spans="1:25" ht="17.45" customHeight="1">
      <c r="A16" s="789"/>
      <c r="B16" s="941"/>
      <c r="C16" s="566" t="s">
        <v>1237</v>
      </c>
      <c r="D16" s="349">
        <f>9839+10200</f>
        <v>20039</v>
      </c>
      <c r="E16" s="15">
        <f>SUM(F16:G16)</f>
        <v>20000</v>
      </c>
      <c r="F16" s="15">
        <f>ROUND(F$35/D$35*D16,-2)</f>
        <v>20000</v>
      </c>
      <c r="G16" s="15">
        <f>U16</f>
        <v>0</v>
      </c>
      <c r="H16" s="15">
        <f>SUM(I16:J16)</f>
        <v>20000</v>
      </c>
      <c r="I16" s="15">
        <f>ROUND(I$35/F$35*F16,-2)</f>
        <v>20000</v>
      </c>
      <c r="J16" s="15">
        <f>V16</f>
        <v>0</v>
      </c>
      <c r="K16" s="15">
        <f>SUM(L16:M16)</f>
        <v>20000</v>
      </c>
      <c r="L16" s="15">
        <f>ROUND(L$35/I$35*I16,-2)</f>
        <v>20000</v>
      </c>
      <c r="M16" s="15">
        <f>'처리구역별 계획인구'!W16</f>
        <v>0</v>
      </c>
      <c r="N16" s="15">
        <f>SUM(O16:P16)</f>
        <v>20000</v>
      </c>
      <c r="O16" s="15">
        <f>ROUND(O$35/L$35*L16,-2)</f>
        <v>20000</v>
      </c>
      <c r="P16" s="15">
        <f>'처리구역별 계획인구'!X16</f>
        <v>0</v>
      </c>
      <c r="Q16" s="603"/>
      <c r="S16" s="828"/>
      <c r="T16" s="580" t="s">
        <v>1238</v>
      </c>
      <c r="U16" s="35">
        <f>SUMIF(인구배분!$M$6:$M$165,$T16,인구배분!O$6:O$165)</f>
        <v>0</v>
      </c>
      <c r="V16" s="35">
        <f>SUMIF(인구배분!$M$6:$M$165,$T16,인구배분!P$6:P$165)</f>
        <v>0</v>
      </c>
      <c r="W16" s="35">
        <f>SUMIF(인구배분!$M$6:$M$165,$T16,인구배분!Q$6:Q$165)</f>
        <v>0</v>
      </c>
      <c r="X16" s="35">
        <f>SUMIF(인구배분!$M$6:$M$165,$T16,인구배분!R$6:R$165)</f>
        <v>0</v>
      </c>
      <c r="Y16" s="603"/>
    </row>
    <row r="17" spans="1:25" ht="17.45" customHeight="1">
      <c r="A17" s="789"/>
      <c r="B17" s="941" t="s">
        <v>1239</v>
      </c>
      <c r="C17" s="677" t="s">
        <v>1259</v>
      </c>
      <c r="D17" s="678">
        <f>SUM(D18:D21)</f>
        <v>94775</v>
      </c>
      <c r="E17" s="678">
        <f t="shared" si="1"/>
        <v>102500</v>
      </c>
      <c r="F17" s="678">
        <f>SUM(F18:F21)</f>
        <v>92200</v>
      </c>
      <c r="G17" s="678">
        <f>SUM(G18:G21)</f>
        <v>10300</v>
      </c>
      <c r="H17" s="678">
        <f>SUM(I17:J17)</f>
        <v>123100</v>
      </c>
      <c r="I17" s="678">
        <f>SUM(I18:I21)</f>
        <v>82100</v>
      </c>
      <c r="J17" s="678">
        <f>SUM(J18:J21)</f>
        <v>41000</v>
      </c>
      <c r="K17" s="678">
        <f t="shared" si="3"/>
        <v>187700</v>
      </c>
      <c r="L17" s="678">
        <f>SUM(L18:L21)</f>
        <v>63100</v>
      </c>
      <c r="M17" s="678">
        <f>SUM(M18:M21)</f>
        <v>124600</v>
      </c>
      <c r="N17" s="678">
        <f t="shared" si="0"/>
        <v>190200</v>
      </c>
      <c r="O17" s="678">
        <f>SUM(O18:O21)</f>
        <v>65600</v>
      </c>
      <c r="P17" s="678">
        <f>SUM(P18:P21)</f>
        <v>124600</v>
      </c>
      <c r="Q17" s="679"/>
      <c r="S17" s="828" t="s">
        <v>1239</v>
      </c>
      <c r="T17" s="580" t="s">
        <v>1229</v>
      </c>
      <c r="U17" s="35">
        <f>SUM(U18:U21)</f>
        <v>10300</v>
      </c>
      <c r="V17" s="35">
        <f>SUM(V18:V21)</f>
        <v>41000</v>
      </c>
      <c r="W17" s="35">
        <f>SUM(W18:W21)</f>
        <v>124600</v>
      </c>
      <c r="X17" s="35">
        <f>SUM(X18:X21)</f>
        <v>124600</v>
      </c>
      <c r="Y17" s="409"/>
    </row>
    <row r="18" spans="1:25" ht="17.45" customHeight="1">
      <c r="A18" s="789"/>
      <c r="B18" s="941"/>
      <c r="C18" s="566" t="s">
        <v>1240</v>
      </c>
      <c r="D18" s="15">
        <f>54876</f>
        <v>54876</v>
      </c>
      <c r="E18" s="15">
        <f t="shared" si="1"/>
        <v>58700</v>
      </c>
      <c r="F18" s="15">
        <f>ROUND(F$33/D$33*D18,-2)</f>
        <v>53500</v>
      </c>
      <c r="G18" s="15">
        <f>U18</f>
        <v>5200</v>
      </c>
      <c r="H18" s="15">
        <f t="shared" si="2"/>
        <v>83500</v>
      </c>
      <c r="I18" s="15">
        <f>ROUND(I$33/F$33*F18,-2)</f>
        <v>47600</v>
      </c>
      <c r="J18" s="15">
        <f>V18</f>
        <v>35900</v>
      </c>
      <c r="K18" s="15">
        <f t="shared" si="3"/>
        <v>110900</v>
      </c>
      <c r="L18" s="15">
        <f>ROUND(L$33/I$33*I18,-2)-100</f>
        <v>36000</v>
      </c>
      <c r="M18" s="15">
        <f>'처리구역별 계획인구'!W18</f>
        <v>74900</v>
      </c>
      <c r="N18" s="15">
        <f t="shared" si="0"/>
        <v>112300</v>
      </c>
      <c r="O18" s="15">
        <f>ROUND(O$33/L$33*L18,-2)</f>
        <v>37400</v>
      </c>
      <c r="P18" s="15">
        <f>'처리구역별 계획인구'!X18</f>
        <v>74900</v>
      </c>
      <c r="Q18" s="16"/>
      <c r="S18" s="828"/>
      <c r="T18" s="582" t="s">
        <v>1240</v>
      </c>
      <c r="U18" s="35">
        <f>SUMIF(인구배분!$M$6:$M$165,$T18,인구배분!O$6:O$165)</f>
        <v>5200</v>
      </c>
      <c r="V18" s="35">
        <f>SUMIF(인구배분!$M$6:$M$165,$T18,인구배분!P$6:P$165)</f>
        <v>35900</v>
      </c>
      <c r="W18" s="35">
        <f>SUMIF(인구배분!$M$6:$M$165,$T18,인구배분!Q$6:Q$165)</f>
        <v>74900</v>
      </c>
      <c r="X18" s="35">
        <f>SUMIF(인구배분!$M$6:$M$165,$T18,인구배분!R$6:R$165)</f>
        <v>74900</v>
      </c>
      <c r="Y18" s="409"/>
    </row>
    <row r="19" spans="1:25" ht="17.45" customHeight="1">
      <c r="A19" s="789"/>
      <c r="B19" s="941"/>
      <c r="C19" s="566" t="s">
        <v>1241</v>
      </c>
      <c r="D19" s="15">
        <v>33458</v>
      </c>
      <c r="E19" s="15">
        <f t="shared" si="1"/>
        <v>37300</v>
      </c>
      <c r="F19" s="15">
        <f>ROUND(F$33/D$33*D19,-2)</f>
        <v>32600</v>
      </c>
      <c r="G19" s="15">
        <f>U19</f>
        <v>4700</v>
      </c>
      <c r="H19" s="15">
        <f t="shared" si="2"/>
        <v>33700</v>
      </c>
      <c r="I19" s="15">
        <f>ROUND(I$33/F$33*F19,-2)</f>
        <v>29000</v>
      </c>
      <c r="J19" s="15">
        <f>V19</f>
        <v>4700</v>
      </c>
      <c r="K19" s="15">
        <f t="shared" si="3"/>
        <v>37700</v>
      </c>
      <c r="L19" s="15">
        <f>ROUND(L$33/I$33*I19,-2)</f>
        <v>22000</v>
      </c>
      <c r="M19" s="15">
        <f>'처리구역별 계획인구'!W19</f>
        <v>15700</v>
      </c>
      <c r="N19" s="15">
        <f t="shared" si="0"/>
        <v>38600</v>
      </c>
      <c r="O19" s="15">
        <f>ROUND(O$33/L$33*L19,-2)</f>
        <v>22900</v>
      </c>
      <c r="P19" s="15">
        <f>'처리구역별 계획인구'!X19</f>
        <v>15700</v>
      </c>
      <c r="Q19" s="16"/>
      <c r="S19" s="828"/>
      <c r="T19" s="582" t="s">
        <v>1242</v>
      </c>
      <c r="U19" s="35">
        <f>SUMIF(인구배분!$M$6:$M$165,$T19,인구배분!O$6:O$165)</f>
        <v>4700</v>
      </c>
      <c r="V19" s="35">
        <f>SUMIF(인구배분!$M$6:$M$165,$T19,인구배분!P$6:P$165)</f>
        <v>4700</v>
      </c>
      <c r="W19" s="35">
        <f>SUMIF(인구배분!$M$6:$M$165,$T19,인구배분!Q$6:Q$165)</f>
        <v>15700</v>
      </c>
      <c r="X19" s="35">
        <f>SUMIF(인구배분!$M$6:$M$165,$T19,인구배분!R$6:R$165)</f>
        <v>15700</v>
      </c>
      <c r="Y19" s="409"/>
    </row>
    <row r="20" spans="1:25" ht="17.45" customHeight="1">
      <c r="A20" s="789"/>
      <c r="B20" s="941"/>
      <c r="C20" s="569" t="s">
        <v>1243</v>
      </c>
      <c r="D20" s="15">
        <f>5295</f>
        <v>5295</v>
      </c>
      <c r="E20" s="15">
        <f>SUM(F20:G20)</f>
        <v>5400</v>
      </c>
      <c r="F20" s="15">
        <f>ROUND(F$32/D$32*D20,-2)</f>
        <v>5000</v>
      </c>
      <c r="G20" s="15">
        <f>U20</f>
        <v>400</v>
      </c>
      <c r="H20" s="15">
        <f>SUM(I20:J20)</f>
        <v>4900</v>
      </c>
      <c r="I20" s="15">
        <f>ROUND(I$32/F$32*F20,-2)</f>
        <v>4500</v>
      </c>
      <c r="J20" s="15">
        <f>V20</f>
        <v>400</v>
      </c>
      <c r="K20" s="15">
        <f>SUM(L20:M20)</f>
        <v>38300</v>
      </c>
      <c r="L20" s="15">
        <f>ROUND(L$32/I$32*I20,-2)</f>
        <v>4300</v>
      </c>
      <c r="M20" s="15">
        <f>'처리구역별 계획인구'!W20</f>
        <v>34000</v>
      </c>
      <c r="N20" s="15">
        <f>SUM(O20:P20)</f>
        <v>38500</v>
      </c>
      <c r="O20" s="15">
        <f>ROUND(O$32/L$32*L20,-2)</f>
        <v>4500</v>
      </c>
      <c r="P20" s="15">
        <f>'처리구역별 계획인구'!X20</f>
        <v>34000</v>
      </c>
      <c r="Q20" s="16"/>
      <c r="S20" s="828"/>
      <c r="T20" s="582" t="s">
        <v>1243</v>
      </c>
      <c r="U20" s="35">
        <f>SUMIF(인구배분!$M$6:$M$165,$T20,인구배분!O$6:O$165)</f>
        <v>400</v>
      </c>
      <c r="V20" s="35">
        <f>SUMIF(인구배분!$M$6:$M$165,$T20,인구배분!P$6:P$165)</f>
        <v>400</v>
      </c>
      <c r="W20" s="35">
        <f>SUMIF(인구배분!$M$6:$M$165,$T20,인구배분!Q$6:Q$165)</f>
        <v>34000</v>
      </c>
      <c r="X20" s="35">
        <f>SUMIF(인구배분!$M$6:$M$165,$T20,인구배분!R$6:R$165)</f>
        <v>34000</v>
      </c>
      <c r="Y20" s="409"/>
    </row>
    <row r="21" spans="1:25" ht="17.45" customHeight="1">
      <c r="A21" s="789"/>
      <c r="B21" s="941"/>
      <c r="C21" s="566" t="s">
        <v>1244</v>
      </c>
      <c r="D21" s="15">
        <v>1146</v>
      </c>
      <c r="E21" s="15">
        <f t="shared" si="1"/>
        <v>1100</v>
      </c>
      <c r="F21" s="15">
        <f>ROUND(F$33/D$33*D21,-2)</f>
        <v>1100</v>
      </c>
      <c r="G21" s="15">
        <f>U21</f>
        <v>0</v>
      </c>
      <c r="H21" s="15">
        <f t="shared" si="2"/>
        <v>1000</v>
      </c>
      <c r="I21" s="15">
        <f>ROUND(I$33/F$33*F21,-2)</f>
        <v>1000</v>
      </c>
      <c r="J21" s="15">
        <f>V21</f>
        <v>0</v>
      </c>
      <c r="K21" s="15">
        <f t="shared" si="3"/>
        <v>800</v>
      </c>
      <c r="L21" s="15">
        <f>ROUND(L$33/I$33*I21,-2)</f>
        <v>800</v>
      </c>
      <c r="M21" s="15">
        <f>'처리구역별 계획인구'!W21</f>
        <v>0</v>
      </c>
      <c r="N21" s="15">
        <f t="shared" si="0"/>
        <v>800</v>
      </c>
      <c r="O21" s="15">
        <f>ROUND(O$33/L$33*L21,-2)</f>
        <v>800</v>
      </c>
      <c r="P21" s="15">
        <f>'처리구역별 계획인구'!X21</f>
        <v>0</v>
      </c>
      <c r="Q21" s="16"/>
      <c r="S21" s="828"/>
      <c r="T21" s="582" t="s">
        <v>1245</v>
      </c>
      <c r="U21" s="35">
        <f>SUMIF(인구배분!$M$6:$M$165,$T21,인구배분!O$6:O$165)</f>
        <v>0</v>
      </c>
      <c r="V21" s="35">
        <f>SUMIF(인구배분!$M$6:$M$165,$T21,인구배분!P$6:P$165)</f>
        <v>0</v>
      </c>
      <c r="W21" s="35">
        <f>SUMIF(인구배분!$M$6:$M$165,$T21,인구배분!Q$6:Q$165)</f>
        <v>0</v>
      </c>
      <c r="X21" s="35">
        <f>SUMIF(인구배분!$M$6:$M$165,$T21,인구배분!R$6:R$165)</f>
        <v>0</v>
      </c>
      <c r="Y21" s="409"/>
    </row>
    <row r="22" spans="1:25" ht="17.45" customHeight="1">
      <c r="A22" s="789"/>
      <c r="B22" s="941" t="s">
        <v>1246</v>
      </c>
      <c r="C22" s="677" t="s">
        <v>1259</v>
      </c>
      <c r="D22" s="678">
        <f>SUM(D23:D27)</f>
        <v>40421</v>
      </c>
      <c r="E22" s="678">
        <f t="shared" si="1"/>
        <v>41300</v>
      </c>
      <c r="F22" s="678">
        <f>SUM(F23:F27)</f>
        <v>40900</v>
      </c>
      <c r="G22" s="678">
        <f>SUM(G23:G27)</f>
        <v>400</v>
      </c>
      <c r="H22" s="678">
        <f t="shared" si="2"/>
        <v>44100</v>
      </c>
      <c r="I22" s="678">
        <f>SUM(I23:I27)</f>
        <v>40700</v>
      </c>
      <c r="J22" s="678">
        <f>SUM(J23:J27)</f>
        <v>3400</v>
      </c>
      <c r="K22" s="678">
        <f t="shared" si="3"/>
        <v>44500</v>
      </c>
      <c r="L22" s="678">
        <f>SUM(L23:L27)</f>
        <v>41100</v>
      </c>
      <c r="M22" s="678">
        <f>SUM(M23:M27)</f>
        <v>3400</v>
      </c>
      <c r="N22" s="678">
        <f>SUM(O22:P22)</f>
        <v>45200</v>
      </c>
      <c r="O22" s="678">
        <f>SUM(O23:O27)</f>
        <v>41800</v>
      </c>
      <c r="P22" s="678">
        <f>SUM(P23:P27)</f>
        <v>3400</v>
      </c>
      <c r="Q22" s="679"/>
      <c r="S22" s="828" t="s">
        <v>1246</v>
      </c>
      <c r="T22" s="580" t="s">
        <v>1229</v>
      </c>
      <c r="U22" s="35">
        <f>SUM(U23:U27)</f>
        <v>400</v>
      </c>
      <c r="V22" s="35">
        <f>SUM(V23:V27)</f>
        <v>3400</v>
      </c>
      <c r="W22" s="35">
        <f>SUM(W23:W27)</f>
        <v>3400</v>
      </c>
      <c r="X22" s="35">
        <f>SUM(X23:X27)</f>
        <v>3400</v>
      </c>
      <c r="Y22" s="409"/>
    </row>
    <row r="23" spans="1:25" ht="17.45" customHeight="1">
      <c r="A23" s="789"/>
      <c r="B23" s="941"/>
      <c r="C23" s="566" t="s">
        <v>1247</v>
      </c>
      <c r="D23" s="15">
        <v>13286</v>
      </c>
      <c r="E23" s="15">
        <f t="shared" si="1"/>
        <v>13500</v>
      </c>
      <c r="F23" s="15">
        <f>ROUND(F$34/D$34*D23,-2)</f>
        <v>13500</v>
      </c>
      <c r="G23" s="15">
        <f>U23</f>
        <v>0</v>
      </c>
      <c r="H23" s="15">
        <f t="shared" si="2"/>
        <v>13400</v>
      </c>
      <c r="I23" s="15">
        <f>ROUND(I$34/F$34*F23,-2)</f>
        <v>13400</v>
      </c>
      <c r="J23" s="15">
        <f>V23</f>
        <v>0</v>
      </c>
      <c r="K23" s="15">
        <f t="shared" si="3"/>
        <v>13500</v>
      </c>
      <c r="L23" s="15">
        <f>ROUND(L$34/I$34*I23,-2)</f>
        <v>13500</v>
      </c>
      <c r="M23" s="15">
        <f>'처리구역별 계획인구'!W23</f>
        <v>0</v>
      </c>
      <c r="N23" s="15">
        <f t="shared" si="0"/>
        <v>13700</v>
      </c>
      <c r="O23" s="15">
        <f>ROUND(O$34/L$34*L23,-2)</f>
        <v>13700</v>
      </c>
      <c r="P23" s="15">
        <f>'처리구역별 계획인구'!X23</f>
        <v>0</v>
      </c>
      <c r="Q23" s="16"/>
      <c r="S23" s="828"/>
      <c r="T23" s="582" t="s">
        <v>1247</v>
      </c>
      <c r="U23" s="35">
        <f>SUMIF(인구배분!$M$6:$M$165,$T23,인구배분!O$6:O$165)</f>
        <v>0</v>
      </c>
      <c r="V23" s="35">
        <f>SUMIF(인구배분!$M$6:$M$165,$T23,인구배분!P$6:P$165)</f>
        <v>0</v>
      </c>
      <c r="W23" s="35">
        <f>SUMIF(인구배분!$M$6:$M$165,$T23,인구배분!Q$6:Q$165)</f>
        <v>0</v>
      </c>
      <c r="X23" s="35">
        <f>SUMIF(인구배분!$M$6:$M$165,$T23,인구배분!R$6:R$165)</f>
        <v>0</v>
      </c>
      <c r="Y23" s="409"/>
    </row>
    <row r="24" spans="1:25" ht="17.45" customHeight="1">
      <c r="A24" s="789"/>
      <c r="B24" s="941"/>
      <c r="C24" s="566" t="s">
        <v>1248</v>
      </c>
      <c r="D24" s="15">
        <f>29240-10200</f>
        <v>19040</v>
      </c>
      <c r="E24" s="15">
        <f t="shared" si="1"/>
        <v>19200</v>
      </c>
      <c r="F24" s="15">
        <f>ROUND(F$34/D$34*D24,-2)-100</f>
        <v>19200</v>
      </c>
      <c r="G24" s="15">
        <f>U24</f>
        <v>0</v>
      </c>
      <c r="H24" s="15">
        <f t="shared" si="2"/>
        <v>22100</v>
      </c>
      <c r="I24" s="15">
        <f>ROUND(I$34/F$34*F24,-2)</f>
        <v>19100</v>
      </c>
      <c r="J24" s="15">
        <f>V24</f>
        <v>3000</v>
      </c>
      <c r="K24" s="15">
        <f t="shared" si="3"/>
        <v>22400</v>
      </c>
      <c r="L24" s="15">
        <f>ROUND(L$34/I$34*I24,-2)+100</f>
        <v>19400</v>
      </c>
      <c r="M24" s="15">
        <f>'처리구역별 계획인구'!W24</f>
        <v>3000</v>
      </c>
      <c r="N24" s="15">
        <f t="shared" si="0"/>
        <v>22800</v>
      </c>
      <c r="O24" s="15">
        <f>ROUND(O$34/L$34*L24,-2)+100</f>
        <v>19800</v>
      </c>
      <c r="P24" s="15">
        <f>'처리구역별 계획인구'!X24</f>
        <v>3000</v>
      </c>
      <c r="Q24" s="16"/>
      <c r="S24" s="828"/>
      <c r="T24" s="582" t="s">
        <v>1248</v>
      </c>
      <c r="U24" s="35">
        <f>SUMIF(인구배분!$M$6:$M$165,$T24,인구배분!O$6:O$165)</f>
        <v>0</v>
      </c>
      <c r="V24" s="35">
        <f>SUMIF(인구배분!$M$6:$M$165,$T24,인구배분!P$6:P$165)</f>
        <v>3000</v>
      </c>
      <c r="W24" s="35">
        <f>SUMIF(인구배분!$M$6:$M$165,$T24,인구배분!Q$6:Q$165)</f>
        <v>3000</v>
      </c>
      <c r="X24" s="35">
        <f>SUMIF(인구배분!$M$6:$M$165,$T24,인구배분!R$6:R$165)</f>
        <v>3000</v>
      </c>
      <c r="Y24" s="409"/>
    </row>
    <row r="25" spans="1:25" ht="17.45" customHeight="1">
      <c r="A25" s="789"/>
      <c r="B25" s="941"/>
      <c r="C25" s="566" t="s">
        <v>1249</v>
      </c>
      <c r="D25" s="15">
        <v>4749</v>
      </c>
      <c r="E25" s="15">
        <f>SUM(F25:G25)</f>
        <v>5200</v>
      </c>
      <c r="F25" s="15">
        <f>ROUND(F$34/D$34*D25,-2)</f>
        <v>4800</v>
      </c>
      <c r="G25" s="15">
        <f>U25</f>
        <v>400</v>
      </c>
      <c r="H25" s="15">
        <f>SUM(I25:J25)</f>
        <v>5200</v>
      </c>
      <c r="I25" s="15">
        <f>ROUND(I$34/F$34*F25,-2)</f>
        <v>4800</v>
      </c>
      <c r="J25" s="15">
        <f>V25</f>
        <v>400</v>
      </c>
      <c r="K25" s="15">
        <f>SUM(L25:M25)</f>
        <v>5200</v>
      </c>
      <c r="L25" s="15">
        <f>ROUND(L$34/I$34*I25,-2)</f>
        <v>4800</v>
      </c>
      <c r="M25" s="15">
        <f>'처리구역별 계획인구'!W25</f>
        <v>400</v>
      </c>
      <c r="N25" s="15">
        <f>SUM(O25:P25)</f>
        <v>5300</v>
      </c>
      <c r="O25" s="15">
        <f>ROUND(O$34/L$34*L25,-2)</f>
        <v>4900</v>
      </c>
      <c r="P25" s="15">
        <f>'처리구역별 계획인구'!X25</f>
        <v>400</v>
      </c>
      <c r="Q25" s="16"/>
      <c r="S25" s="828"/>
      <c r="T25" s="582" t="s">
        <v>1249</v>
      </c>
      <c r="U25" s="35">
        <f>SUMIF(인구배분!$M$6:$M$165,$T25,인구배분!O$6:O$165)</f>
        <v>400</v>
      </c>
      <c r="V25" s="35">
        <f>SUMIF(인구배분!$M$6:$M$165,$T25,인구배분!P$6:P$165)</f>
        <v>400</v>
      </c>
      <c r="W25" s="35">
        <f>SUMIF(인구배분!$M$6:$M$165,$T25,인구배분!Q$6:Q$165)</f>
        <v>400</v>
      </c>
      <c r="X25" s="35">
        <f>SUMIF(인구배분!$M$6:$M$165,$T25,인구배분!R$6:R$165)</f>
        <v>400</v>
      </c>
      <c r="Y25" s="409"/>
    </row>
    <row r="26" spans="1:25" ht="17.45" customHeight="1">
      <c r="A26" s="789"/>
      <c r="B26" s="941"/>
      <c r="C26" s="566" t="s">
        <v>1250</v>
      </c>
      <c r="D26" s="15">
        <v>2037</v>
      </c>
      <c r="E26" s="15">
        <f>SUM(F26:G26)</f>
        <v>2100</v>
      </c>
      <c r="F26" s="15">
        <f>ROUND(F$34/D$34*D26,-2)</f>
        <v>2100</v>
      </c>
      <c r="G26" s="15">
        <f>U26</f>
        <v>0</v>
      </c>
      <c r="H26" s="15">
        <f>SUM(I26:J26)</f>
        <v>2100</v>
      </c>
      <c r="I26" s="15">
        <f>ROUND(I$34/F$34*F26,-2)</f>
        <v>2100</v>
      </c>
      <c r="J26" s="15">
        <f>V26</f>
        <v>0</v>
      </c>
      <c r="K26" s="15">
        <f>SUM(L26:M26)</f>
        <v>2100</v>
      </c>
      <c r="L26" s="15">
        <f>ROUND(L$34/I$34*I26,-2)</f>
        <v>2100</v>
      </c>
      <c r="M26" s="15">
        <f>'처리구역별 계획인구'!W26</f>
        <v>0</v>
      </c>
      <c r="N26" s="15">
        <f>SUM(O26:P26)</f>
        <v>2100</v>
      </c>
      <c r="O26" s="15">
        <f>ROUND(O$34/L$34*L26,-2)</f>
        <v>2100</v>
      </c>
      <c r="P26" s="15">
        <f>'처리구역별 계획인구'!X26</f>
        <v>0</v>
      </c>
      <c r="Q26" s="16"/>
      <c r="S26" s="828"/>
      <c r="T26" s="582" t="s">
        <v>1251</v>
      </c>
      <c r="U26" s="35">
        <f>SUMIF(인구배분!$M$6:$M$165,$T26,인구배분!O$6:O$165)</f>
        <v>0</v>
      </c>
      <c r="V26" s="35">
        <f>SUMIF(인구배분!$M$6:$M$165,$T26,인구배분!P$6:P$165)</f>
        <v>0</v>
      </c>
      <c r="W26" s="35">
        <f>SUMIF(인구배분!$M$6:$M$165,$T26,인구배분!Q$6:Q$165)</f>
        <v>0</v>
      </c>
      <c r="X26" s="35">
        <f>SUMIF(인구배분!$M$6:$M$165,$T26,인구배분!R$6:R$165)</f>
        <v>0</v>
      </c>
      <c r="Y26" s="409"/>
    </row>
    <row r="27" spans="1:25" ht="17.45" customHeight="1">
      <c r="A27" s="797"/>
      <c r="B27" s="941"/>
      <c r="C27" s="566" t="s">
        <v>1252</v>
      </c>
      <c r="D27" s="15">
        <v>1309</v>
      </c>
      <c r="E27" s="15">
        <f>SUM(F27:G27)</f>
        <v>1300</v>
      </c>
      <c r="F27" s="15">
        <f>ROUND(F$34/D$34*D27,-2)</f>
        <v>1300</v>
      </c>
      <c r="G27" s="15">
        <f>U27</f>
        <v>0</v>
      </c>
      <c r="H27" s="15">
        <f>SUM(I27:J27)</f>
        <v>1300</v>
      </c>
      <c r="I27" s="15">
        <f>ROUND(I$34/F$34*F27,-2)</f>
        <v>1300</v>
      </c>
      <c r="J27" s="15">
        <f>V27</f>
        <v>0</v>
      </c>
      <c r="K27" s="15">
        <f>SUM(L27:M27)</f>
        <v>1300</v>
      </c>
      <c r="L27" s="15">
        <f>ROUND(L$34/I$34*I27,-2)</f>
        <v>1300</v>
      </c>
      <c r="M27" s="15">
        <f>'처리구역별 계획인구'!W27</f>
        <v>0</v>
      </c>
      <c r="N27" s="15">
        <f>SUM(O27:P27)</f>
        <v>1300</v>
      </c>
      <c r="O27" s="15">
        <f>ROUND(O$34/L$34*L27,-2)</f>
        <v>1300</v>
      </c>
      <c r="P27" s="15">
        <f>'처리구역별 계획인구'!X27</f>
        <v>0</v>
      </c>
      <c r="Q27" s="16"/>
      <c r="S27" s="829"/>
      <c r="T27" s="581" t="s">
        <v>1253</v>
      </c>
      <c r="U27" s="53">
        <f>SUMIF(인구배분!$M$6:$M$165,$T27,인구배분!O$6:O$165)</f>
        <v>0</v>
      </c>
      <c r="V27" s="53">
        <f>SUMIF(인구배분!$M$6:$M$165,$T27,인구배분!P$6:P$165)</f>
        <v>0</v>
      </c>
      <c r="W27" s="53">
        <f>SUMIF(인구배분!$M$6:$M$165,$T27,인구배분!Q$6:Q$165)</f>
        <v>0</v>
      </c>
      <c r="X27" s="53">
        <f>SUMIF(인구배분!$M$6:$M$165,$T27,인구배분!R$6:R$165)</f>
        <v>0</v>
      </c>
      <c r="Y27" s="414"/>
    </row>
    <row r="28" spans="1:25" ht="17.45" customHeight="1">
      <c r="A28" s="977" t="s">
        <v>1254</v>
      </c>
      <c r="B28" s="978"/>
      <c r="C28" s="978"/>
      <c r="D28" s="682">
        <v>0</v>
      </c>
      <c r="E28" s="682">
        <f>SUM(F28:G28)</f>
        <v>0</v>
      </c>
      <c r="F28" s="682">
        <v>0</v>
      </c>
      <c r="G28" s="683">
        <f>SUM(인구배분!O8:O11,인구배분!O13:O15)</f>
        <v>0</v>
      </c>
      <c r="H28" s="682">
        <f>SUM(I28:J28)</f>
        <v>3200</v>
      </c>
      <c r="I28" s="682">
        <v>0</v>
      </c>
      <c r="J28" s="683">
        <f>SUM(인구배분!P8:P11,인구배분!P13:P15)</f>
        <v>3200</v>
      </c>
      <c r="K28" s="682">
        <f>SUM(L28:M28)</f>
        <v>17200</v>
      </c>
      <c r="L28" s="682">
        <v>0</v>
      </c>
      <c r="M28" s="683">
        <f>SUM(인구배분!Q8:Q11,인구배분!Q13:Q15)</f>
        <v>17200</v>
      </c>
      <c r="N28" s="682">
        <f>SUM(O28:P28)</f>
        <v>17200</v>
      </c>
      <c r="O28" s="682">
        <v>0</v>
      </c>
      <c r="P28" s="683">
        <f>SUM(인구배분!R8:R11,인구배분!R13:R15)</f>
        <v>17200</v>
      </c>
      <c r="Q28" s="684"/>
      <c r="S28" s="571"/>
      <c r="T28" s="571"/>
      <c r="U28" s="78"/>
      <c r="V28" s="78"/>
      <c r="W28" s="78"/>
      <c r="X28" s="78"/>
      <c r="Y28" s="649"/>
    </row>
    <row r="29" spans="1:25" ht="17.45" customHeight="1">
      <c r="A29" s="571"/>
      <c r="B29" s="571"/>
      <c r="C29" s="650"/>
      <c r="D29" s="400"/>
      <c r="E29" s="400"/>
      <c r="F29" s="405"/>
      <c r="G29" s="400"/>
      <c r="H29" s="400"/>
      <c r="I29" s="405"/>
      <c r="J29" s="400"/>
      <c r="K29" s="400"/>
      <c r="L29" s="405"/>
      <c r="M29" s="400"/>
      <c r="N29" s="400"/>
      <c r="O29" s="405"/>
      <c r="P29" s="400"/>
      <c r="Q29" s="257"/>
      <c r="S29" s="571"/>
      <c r="T29" s="571"/>
      <c r="U29" s="78"/>
      <c r="V29" s="78"/>
      <c r="W29" s="78"/>
      <c r="X29" s="78"/>
      <c r="Y29" s="649"/>
    </row>
    <row r="30" spans="1:25" ht="17.45" customHeight="1">
      <c r="A30" s="256"/>
      <c r="B30" s="256"/>
      <c r="C30" s="256"/>
      <c r="D30" s="404"/>
      <c r="E30" s="404"/>
      <c r="F30" s="405">
        <f>'행정구역별 인구'!E41</f>
        <v>518100</v>
      </c>
      <c r="H30" s="404"/>
      <c r="I30" s="405">
        <f>'행정구역별 인구'!H41</f>
        <v>474300</v>
      </c>
      <c r="K30" s="404"/>
      <c r="L30" s="405">
        <f>'행정구역별 인구'!K41</f>
        <v>444200</v>
      </c>
      <c r="N30" s="404"/>
      <c r="O30" s="405">
        <f>'행정구역별 인구'!N41</f>
        <v>464200</v>
      </c>
      <c r="P30" s="400"/>
      <c r="Q30" s="257"/>
    </row>
    <row r="31" spans="1:25" ht="17.45" customHeight="1">
      <c r="F31" s="401">
        <f>F6-F30</f>
        <v>0</v>
      </c>
      <c r="I31" s="401">
        <f>I6-I30</f>
        <v>0</v>
      </c>
      <c r="L31" s="401">
        <f>L6-L30</f>
        <v>0</v>
      </c>
      <c r="O31" s="401">
        <f>O6-O30</f>
        <v>0</v>
      </c>
    </row>
    <row r="32" spans="1:25" ht="17.45" customHeight="1">
      <c r="C32" s="11" t="s">
        <v>1255</v>
      </c>
      <c r="D32" s="401">
        <f>'행정구역별 인구'!C42</f>
        <v>390465</v>
      </c>
      <c r="F32" s="401">
        <f>'행정구역별 인구'!E42</f>
        <v>369600</v>
      </c>
      <c r="G32" s="401">
        <f>SUM(F8:F15,F20)</f>
        <v>370000</v>
      </c>
      <c r="I32" s="401">
        <f>'행정구역별 인구'!H42</f>
        <v>335600</v>
      </c>
      <c r="J32" s="401">
        <f>SUM(I8:I14,I20)</f>
        <v>335600</v>
      </c>
      <c r="L32" s="401">
        <f>'행정구역별 인구'!K42</f>
        <v>323900</v>
      </c>
      <c r="M32" s="401">
        <f>SUM(L8:L14,L20)</f>
        <v>323900</v>
      </c>
      <c r="O32" s="401">
        <f>'행정구역별 인구'!N42</f>
        <v>340900</v>
      </c>
      <c r="P32" s="401">
        <f>SUM(O8:O14,O20)</f>
        <v>340900</v>
      </c>
    </row>
    <row r="33" spans="3:16" ht="17.45" customHeight="1">
      <c r="C33" s="11" t="s">
        <v>1256</v>
      </c>
      <c r="D33" s="401">
        <f>'행정구역별 인구'!C59</f>
        <v>89817</v>
      </c>
      <c r="F33" s="401">
        <f>'행정구역별 인구'!E59</f>
        <v>87600</v>
      </c>
      <c r="G33" s="401">
        <f>SUM(,F18:F19,F21)</f>
        <v>87200</v>
      </c>
      <c r="I33" s="401">
        <f>'행정구역별 인구'!H59</f>
        <v>78000</v>
      </c>
      <c r="J33" s="401">
        <f>SUM(,I18:I19,I21)</f>
        <v>77600</v>
      </c>
      <c r="L33" s="401">
        <f>'행정구역별 인구'!K59</f>
        <v>59200</v>
      </c>
      <c r="M33" s="401">
        <f>SUM(,L18:L19,L21)</f>
        <v>58800</v>
      </c>
      <c r="O33" s="401">
        <f>'행정구역별 인구'!N59</f>
        <v>61500</v>
      </c>
      <c r="P33" s="401">
        <f>SUM(,O18:O19,O21)</f>
        <v>61100</v>
      </c>
    </row>
    <row r="34" spans="3:16" ht="17.45" customHeight="1">
      <c r="C34" s="11" t="s">
        <v>1257</v>
      </c>
      <c r="D34" s="401">
        <f>'행정구역별 인구'!C64-10254</f>
        <v>40367</v>
      </c>
      <c r="F34" s="401">
        <f>'행정구역별 인구'!E64-10200</f>
        <v>40900</v>
      </c>
      <c r="G34" s="401">
        <f>SUM(F23:F27)</f>
        <v>40900</v>
      </c>
      <c r="I34" s="401">
        <f>'행정구역별 인구'!H64-10200</f>
        <v>40700</v>
      </c>
      <c r="J34" s="401">
        <f>SUM(I23:I27)</f>
        <v>40700</v>
      </c>
      <c r="L34" s="401">
        <f>'행정구역별 인구'!K64-10200</f>
        <v>41100</v>
      </c>
      <c r="M34" s="401">
        <f>SUM(L23:L27)</f>
        <v>41100</v>
      </c>
      <c r="O34" s="401">
        <f>'행정구역별 인구'!N64-10200</f>
        <v>41800</v>
      </c>
      <c r="P34" s="401">
        <f>SUM(O23:O27)</f>
        <v>41800</v>
      </c>
    </row>
    <row r="35" spans="3:16" ht="17.45" customHeight="1">
      <c r="C35" s="11" t="s">
        <v>1258</v>
      </c>
      <c r="D35" s="401">
        <f>+'행정구역별 인구'!C71+10200</f>
        <v>20039</v>
      </c>
      <c r="F35" s="401">
        <f>'행정구역별 인구'!E71+10200</f>
        <v>20000</v>
      </c>
      <c r="G35" s="401">
        <f>SUM(F16)</f>
        <v>20000</v>
      </c>
      <c r="I35" s="401">
        <f>'행정구역별 인구'!H71+10200</f>
        <v>20000</v>
      </c>
      <c r="J35" s="401">
        <f>SUM(I16)</f>
        <v>20000</v>
      </c>
      <c r="L35" s="401">
        <f>'행정구역별 인구'!K71+10200</f>
        <v>20000</v>
      </c>
      <c r="M35" s="401">
        <f>SUM(L16)</f>
        <v>20000</v>
      </c>
      <c r="O35" s="401">
        <f>'행정구역별 인구'!N71+10200</f>
        <v>20000</v>
      </c>
      <c r="P35" s="401">
        <f>SUM(O16)</f>
        <v>20000</v>
      </c>
    </row>
    <row r="36" spans="3:16" ht="17.45" customHeight="1">
      <c r="C36" s="11" t="s">
        <v>1254</v>
      </c>
      <c r="D36" s="401"/>
      <c r="F36" s="401"/>
      <c r="G36" s="401"/>
      <c r="I36" s="401"/>
      <c r="J36" s="401"/>
      <c r="L36" s="401"/>
      <c r="M36" s="401"/>
      <c r="O36" s="401"/>
      <c r="P36" s="401"/>
    </row>
    <row r="37" spans="3:16" ht="17.45" customHeight="1">
      <c r="C37" s="11" t="s">
        <v>1223</v>
      </c>
      <c r="D37" s="401">
        <f>SUM(D32:D35)</f>
        <v>540688</v>
      </c>
      <c r="F37" s="401">
        <f>SUM(F32:F35)</f>
        <v>518100</v>
      </c>
      <c r="G37" s="401">
        <f>SUM(G32:G35)</f>
        <v>518100</v>
      </c>
      <c r="I37" s="401">
        <f>SUM(I32:I35)</f>
        <v>474300</v>
      </c>
      <c r="J37" s="401">
        <f>SUM(J32:J35)</f>
        <v>473900</v>
      </c>
      <c r="L37" s="401">
        <f>SUM(L32:L35)</f>
        <v>444200</v>
      </c>
      <c r="M37" s="401">
        <f>SUM(M32:M35)</f>
        <v>443800</v>
      </c>
      <c r="O37" s="401">
        <f>SUM(O32:O35)</f>
        <v>464200</v>
      </c>
      <c r="P37" s="401">
        <f>SUM(P32:P35)</f>
        <v>463800</v>
      </c>
    </row>
  </sheetData>
  <mergeCells count="21">
    <mergeCell ref="A28:C28"/>
    <mergeCell ref="B6:C6"/>
    <mergeCell ref="A6:A27"/>
    <mergeCell ref="B7:B16"/>
    <mergeCell ref="B17:B21"/>
    <mergeCell ref="B22:B27"/>
    <mergeCell ref="S22:S27"/>
    <mergeCell ref="S17:S21"/>
    <mergeCell ref="S7:S16"/>
    <mergeCell ref="A5:C5"/>
    <mergeCell ref="Y3:Y4"/>
    <mergeCell ref="S3:T4"/>
    <mergeCell ref="S6:T6"/>
    <mergeCell ref="A3:C4"/>
    <mergeCell ref="D3:D4"/>
    <mergeCell ref="Q3:Q4"/>
    <mergeCell ref="N3:P3"/>
    <mergeCell ref="K3:M3"/>
    <mergeCell ref="H3:J3"/>
    <mergeCell ref="E3:G3"/>
    <mergeCell ref="U3:X3"/>
  </mergeCells>
  <phoneticPr fontId="2" type="noConversion"/>
  <printOptions horizontalCentered="1"/>
  <pageMargins left="0.70866141732283472" right="0.59055118110236227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>
    <tabColor rgb="FFFF0000"/>
  </sheetPr>
  <dimension ref="A1:I162"/>
  <sheetViews>
    <sheetView showGridLines="0" view="pageBreakPreview" topLeftCell="A127" zoomScaleSheetLayoutView="100" workbookViewId="0">
      <selection activeCell="F73" sqref="F73"/>
    </sheetView>
  </sheetViews>
  <sheetFormatPr defaultRowHeight="20.100000000000001" customHeight="1"/>
  <cols>
    <col min="1" max="1" width="7.44140625" style="11" bestFit="1" customWidth="1"/>
    <col min="2" max="2" width="10.77734375" style="703" customWidth="1"/>
    <col min="3" max="7" width="9.77734375" style="651" customWidth="1"/>
    <col min="8" max="8" width="8.77734375" style="651" customWidth="1"/>
    <col min="9" max="9" width="9" bestFit="1" customWidth="1"/>
  </cols>
  <sheetData>
    <row r="1" spans="1:9" ht="18" customHeight="1">
      <c r="A1" s="17" t="s">
        <v>1284</v>
      </c>
    </row>
    <row r="2" spans="1:9" ht="18" customHeight="1">
      <c r="A2" s="1" t="s">
        <v>1342</v>
      </c>
      <c r="B2" s="705"/>
      <c r="C2" s="702"/>
      <c r="D2" s="702"/>
      <c r="E2" s="702"/>
      <c r="F2" s="702"/>
      <c r="G2" s="702"/>
      <c r="H2" s="702"/>
    </row>
    <row r="3" spans="1:9" ht="18" customHeight="1">
      <c r="A3" s="3" t="s">
        <v>1343</v>
      </c>
    </row>
    <row r="4" spans="1:9" ht="18" customHeight="1">
      <c r="A4" s="726" t="s">
        <v>1344</v>
      </c>
      <c r="B4" s="705"/>
      <c r="C4" s="91"/>
      <c r="D4" s="91"/>
      <c r="E4" s="91"/>
      <c r="F4" s="91"/>
      <c r="G4" s="91"/>
      <c r="H4" s="91"/>
    </row>
    <row r="5" spans="1:9" ht="18" customHeight="1">
      <c r="A5" s="869" t="s">
        <v>1273</v>
      </c>
      <c r="B5" s="984" t="s">
        <v>1272</v>
      </c>
      <c r="C5" s="939" t="s">
        <v>1270</v>
      </c>
      <c r="D5" s="939" t="s">
        <v>1268</v>
      </c>
      <c r="E5" s="939"/>
      <c r="F5" s="939"/>
      <c r="G5" s="939"/>
      <c r="H5" s="958" t="s">
        <v>1269</v>
      </c>
      <c r="I5" s="905" t="s">
        <v>1271</v>
      </c>
    </row>
    <row r="6" spans="1:9" ht="18" customHeight="1">
      <c r="A6" s="868"/>
      <c r="B6" s="985"/>
      <c r="C6" s="940"/>
      <c r="D6" s="688" t="s">
        <v>32</v>
      </c>
      <c r="E6" s="688" t="s">
        <v>31</v>
      </c>
      <c r="F6" s="688" t="s">
        <v>30</v>
      </c>
      <c r="G6" s="688" t="s">
        <v>29</v>
      </c>
      <c r="H6" s="959"/>
      <c r="I6" s="916"/>
    </row>
    <row r="7" spans="1:9" ht="18" customHeight="1">
      <c r="A7" s="988" t="s">
        <v>1267</v>
      </c>
      <c r="B7" s="989"/>
      <c r="C7" s="693"/>
      <c r="D7" s="694">
        <f>SUM(D8,D11,D16,D18,D20,D23,D32)</f>
        <v>45800</v>
      </c>
      <c r="E7" s="694">
        <f>SUM(E8,E11,E16,E18,E20,E23,E32)</f>
        <v>86800</v>
      </c>
      <c r="F7" s="694">
        <f>SUM(F8,F11,F16,F18,F20,F23,F32)</f>
        <v>100300</v>
      </c>
      <c r="G7" s="694">
        <f>SUM(G8,G11,G16,G18,G20,G23,G32)</f>
        <v>100300</v>
      </c>
      <c r="H7" s="695"/>
      <c r="I7" s="716"/>
    </row>
    <row r="8" spans="1:9" ht="18" customHeight="1">
      <c r="A8" s="867" t="s">
        <v>48</v>
      </c>
      <c r="B8" s="706" t="s">
        <v>1275</v>
      </c>
      <c r="C8" s="696">
        <f>SUM(C9:C10)</f>
        <v>24461</v>
      </c>
      <c r="D8" s="696">
        <f>SUM(D9:D10)</f>
        <v>3200</v>
      </c>
      <c r="E8" s="696">
        <f>SUM(E9:E10)</f>
        <v>8900</v>
      </c>
      <c r="F8" s="696">
        <f>SUM(F9:F10)</f>
        <v>8900</v>
      </c>
      <c r="G8" s="696">
        <f>SUM(G9:G10)</f>
        <v>8900</v>
      </c>
      <c r="H8" s="697"/>
      <c r="I8" s="717"/>
    </row>
    <row r="9" spans="1:9" ht="18" customHeight="1">
      <c r="A9" s="867"/>
      <c r="B9" s="708" t="s">
        <v>1278</v>
      </c>
      <c r="C9" s="687">
        <f>SUMIF([16]도시주거환경정비사업!$B$1:$B$65536,$A8,[16]도시주거환경정비사업!$D$1:$D$65536)</f>
        <v>19261</v>
      </c>
      <c r="D9" s="687">
        <f>SUMIF([16]도시주거환경정비사업!$B$1:$B$65536,$A8,[16]도시주거환경정비사업!$F$1:$F$65536)</f>
        <v>0</v>
      </c>
      <c r="E9" s="687">
        <f>SUMIF([16]도시주거환경정비사업!$B$1:$B$65536,$A8,[16]도시주거환경정비사업!$G$1:$G$65536)</f>
        <v>5700</v>
      </c>
      <c r="F9" s="687">
        <f>SUMIF([16]도시주거환경정비사업!$B$1:$B$65536,$A8,[16]도시주거환경정비사업!$H$1:$H$65536)</f>
        <v>5700</v>
      </c>
      <c r="G9" s="687">
        <f>SUMIF([16]도시주거환경정비사업!$B$1:$B$65536,$A8,[16]도시주거환경정비사업!$I$1:$I$65536)</f>
        <v>5700</v>
      </c>
      <c r="H9" s="721">
        <v>0.3</v>
      </c>
      <c r="I9" s="718">
        <v>2015</v>
      </c>
    </row>
    <row r="10" spans="1:9" ht="18" customHeight="1">
      <c r="A10" s="867"/>
      <c r="B10" s="708" t="s">
        <v>1274</v>
      </c>
      <c r="C10" s="687">
        <f>SUMIF([16]공동주택건설사업!$B$1:$B$65536,$A8,[16]공동주택건설사업!$D$1:$D$65536)</f>
        <v>5200</v>
      </c>
      <c r="D10" s="687">
        <f>SUMIF([16]공동주택건설사업!$B$1:$B$65536,$A8,[16]공동주택건설사업!$F$1:$F$65536)</f>
        <v>3200</v>
      </c>
      <c r="E10" s="687">
        <f>SUMIF([16]공동주택건설사업!$B$1:$B$65536,$A8,[16]공동주택건설사업!$G$1:$G$65536)</f>
        <v>3200</v>
      </c>
      <c r="F10" s="687">
        <f>SUMIF([16]공동주택건설사업!$B$1:$B$65536,$A8,[16]공동주택건설사업!$H$1:$H$65536)</f>
        <v>3200</v>
      </c>
      <c r="G10" s="687">
        <f>SUMIF([16]공동주택건설사업!$B$1:$B$65536,$A8,[16]공동주택건설사업!$I$1:$I$65536)</f>
        <v>3200</v>
      </c>
      <c r="H10" s="721">
        <v>0.6</v>
      </c>
      <c r="I10" s="718">
        <v>2010</v>
      </c>
    </row>
    <row r="11" spans="1:9" ht="18" customHeight="1">
      <c r="A11" s="867" t="s">
        <v>59</v>
      </c>
      <c r="B11" s="706" t="s">
        <v>1275</v>
      </c>
      <c r="C11" s="696">
        <f>SUM(C14:C15)</f>
        <v>9329</v>
      </c>
      <c r="D11" s="696">
        <f>SUM(D12:D15)</f>
        <v>7700</v>
      </c>
      <c r="E11" s="696">
        <f>SUM(E12:E15)</f>
        <v>7800</v>
      </c>
      <c r="F11" s="696">
        <f>SUM(F12:F15)</f>
        <v>7800</v>
      </c>
      <c r="G11" s="696">
        <f>SUM(G12:G15)</f>
        <v>7800</v>
      </c>
      <c r="H11" s="697"/>
      <c r="I11" s="719"/>
    </row>
    <row r="12" spans="1:9" ht="18" customHeight="1">
      <c r="A12" s="867"/>
      <c r="B12" s="708" t="str">
        <f>[16]도시개발사업!A3</f>
        <v>쌍용·신방지구</v>
      </c>
      <c r="C12" s="343">
        <f>[16]도시개발사업!D3</f>
        <v>1381</v>
      </c>
      <c r="D12" s="343">
        <f>[16]도시개발사업!F3</f>
        <v>800</v>
      </c>
      <c r="E12" s="343">
        <f>[16]도시개발사업!G3</f>
        <v>800</v>
      </c>
      <c r="F12" s="343">
        <f>[16]도시개발사업!H3</f>
        <v>800</v>
      </c>
      <c r="G12" s="343">
        <f>[16]도시개발사업!I3</f>
        <v>800</v>
      </c>
      <c r="H12" s="721">
        <v>0.6</v>
      </c>
      <c r="I12" s="718">
        <v>2010</v>
      </c>
    </row>
    <row r="13" spans="1:9" ht="18" customHeight="1">
      <c r="A13" s="867"/>
      <c r="B13" s="708" t="str">
        <f>[16]도시개발사업!A4</f>
        <v>쌍용지구</v>
      </c>
      <c r="C13" s="343">
        <f>[16]도시개발사업!D4</f>
        <v>2545</v>
      </c>
      <c r="D13" s="343">
        <f>[16]도시개발사업!F4</f>
        <v>1500</v>
      </c>
      <c r="E13" s="343">
        <f>[16]도시개발사업!G4</f>
        <v>1500</v>
      </c>
      <c r="F13" s="343">
        <f>[16]도시개발사업!H4</f>
        <v>1500</v>
      </c>
      <c r="G13" s="343">
        <f>[16]도시개발사업!I4</f>
        <v>1500</v>
      </c>
      <c r="H13" s="721">
        <v>0.6</v>
      </c>
      <c r="I13" s="718">
        <v>2010</v>
      </c>
    </row>
    <row r="14" spans="1:9" ht="18" customHeight="1">
      <c r="A14" s="867"/>
      <c r="B14" s="708" t="s">
        <v>1278</v>
      </c>
      <c r="C14" s="687">
        <f>SUMIF([16]도시주거환경정비사업!$B$1:$B$65536,$A11,[16]도시주거환경정비사업!$D$1:$D$65536)</f>
        <v>428</v>
      </c>
      <c r="D14" s="687">
        <f>SUMIF([16]도시주거환경정비사업!$B$1:$B$65536,$A11,[16]도시주거환경정비사업!$F$1:$F$65536)</f>
        <v>0</v>
      </c>
      <c r="E14" s="687">
        <f>SUMIF([16]도시주거환경정비사업!$B$1:$B$65536,$A11,[16]도시주거환경정비사업!$G$1:$G$65536)</f>
        <v>100</v>
      </c>
      <c r="F14" s="687">
        <f>SUMIF([16]도시주거환경정비사업!$B$1:$B$65536,$A11,[16]도시주거환경정비사업!$H$1:$H$65536)</f>
        <v>100</v>
      </c>
      <c r="G14" s="687">
        <f>SUMIF([16]도시주거환경정비사업!$B$1:$B$65536,$A11,[16]도시주거환경정비사업!$I$1:$I$65536)</f>
        <v>100</v>
      </c>
      <c r="H14" s="721">
        <v>0.3</v>
      </c>
      <c r="I14" s="718">
        <v>2015</v>
      </c>
    </row>
    <row r="15" spans="1:9" ht="18" customHeight="1">
      <c r="A15" s="867"/>
      <c r="B15" s="708" t="s">
        <v>1274</v>
      </c>
      <c r="C15" s="687">
        <f>SUMIF([16]공동주택건설사업!$B$1:$B$65536,$A11,[16]공동주택건설사업!$D$1:$D$65536)</f>
        <v>8901</v>
      </c>
      <c r="D15" s="687">
        <f>SUMIF([16]공동주택건설사업!$B$1:$B$65536,$A11,[16]공동주택건설사업!$F$1:$F$65536)</f>
        <v>5400</v>
      </c>
      <c r="E15" s="687">
        <f>SUMIF([16]공동주택건설사업!$B$1:$B$65536,$A11,[16]공동주택건설사업!$G$1:$G$65536)</f>
        <v>5400</v>
      </c>
      <c r="F15" s="687">
        <f>SUMIF([16]공동주택건설사업!$B$1:$B$65536,$A11,[16]공동주택건설사업!$H$1:$H$65536)</f>
        <v>5400</v>
      </c>
      <c r="G15" s="687">
        <f>SUMIF([16]공동주택건설사업!$B$1:$B$65536,$A11,[16]공동주택건설사업!$I$1:$I$65536)</f>
        <v>5400</v>
      </c>
      <c r="H15" s="721">
        <v>0.6</v>
      </c>
      <c r="I15" s="718">
        <v>2010</v>
      </c>
    </row>
    <row r="16" spans="1:9" ht="18" customHeight="1">
      <c r="A16" s="867" t="s">
        <v>1283</v>
      </c>
      <c r="B16" s="706" t="s">
        <v>1275</v>
      </c>
      <c r="C16" s="696">
        <f>SUM(C17:C17)</f>
        <v>14561</v>
      </c>
      <c r="D16" s="696">
        <f>SUM(D17:D17)</f>
        <v>0</v>
      </c>
      <c r="E16" s="696">
        <f>SUM(E17:E17)</f>
        <v>4400</v>
      </c>
      <c r="F16" s="696">
        <f>SUM(F17:F17)</f>
        <v>4400</v>
      </c>
      <c r="G16" s="696">
        <f>SUM(G17:G17)</f>
        <v>4400</v>
      </c>
      <c r="H16" s="697"/>
      <c r="I16" s="719"/>
    </row>
    <row r="17" spans="1:9" ht="18" customHeight="1">
      <c r="A17" s="867"/>
      <c r="B17" s="708" t="s">
        <v>1278</v>
      </c>
      <c r="C17" s="687">
        <f>SUMIF([16]도시주거환경정비사업!$B$1:$B$65536,$A16,[16]도시주거환경정비사업!$D$1:$D$65536)</f>
        <v>14561</v>
      </c>
      <c r="D17" s="687">
        <f>SUMIF([16]도시주거환경정비사업!$B$1:$B$65536,$A16,[16]도시주거환경정비사업!$F$1:$F$65536)</f>
        <v>0</v>
      </c>
      <c r="E17" s="687">
        <f>SUMIF([16]도시주거환경정비사업!$B$1:$B$65536,$A16,[16]도시주거환경정비사업!$G$1:$G$65536)</f>
        <v>4400</v>
      </c>
      <c r="F17" s="687">
        <f>SUMIF([16]도시주거환경정비사업!$B$1:$B$65536,$A16,[16]도시주거환경정비사업!$H$1:$H$65536)</f>
        <v>4400</v>
      </c>
      <c r="G17" s="687">
        <f>SUMIF([16]도시주거환경정비사업!$B$1:$B$65536,$A16,[16]도시주거환경정비사업!$I$1:$I$65536)</f>
        <v>4400</v>
      </c>
      <c r="H17" s="721">
        <v>0.3</v>
      </c>
      <c r="I17" s="718">
        <v>2015</v>
      </c>
    </row>
    <row r="18" spans="1:9" ht="18" customHeight="1">
      <c r="A18" s="867" t="s">
        <v>1282</v>
      </c>
      <c r="B18" s="706" t="s">
        <v>1275</v>
      </c>
      <c r="C18" s="696">
        <f>SUM(C19:C19)</f>
        <v>4292</v>
      </c>
      <c r="D18" s="696">
        <f>SUM(D19:D19)</f>
        <v>0</v>
      </c>
      <c r="E18" s="696">
        <f>SUM(E19:E19)</f>
        <v>1300</v>
      </c>
      <c r="F18" s="696">
        <f>SUM(F19:F19)</f>
        <v>1300</v>
      </c>
      <c r="G18" s="696">
        <f>SUM(G19:G19)</f>
        <v>1300</v>
      </c>
      <c r="H18" s="697"/>
      <c r="I18" s="719"/>
    </row>
    <row r="19" spans="1:9" ht="18" customHeight="1">
      <c r="A19" s="867"/>
      <c r="B19" s="708" t="s">
        <v>1278</v>
      </c>
      <c r="C19" s="687">
        <f>SUMIF([16]도시주거환경정비사업!$B$1:$B$65536,$A18,[16]도시주거환경정비사업!$D$1:$D$65536)</f>
        <v>4292</v>
      </c>
      <c r="D19" s="687">
        <f>SUMIF([16]도시주거환경정비사업!$B$1:$B$65536,$A18,[16]도시주거환경정비사업!$F$1:$F$65536)</f>
        <v>0</v>
      </c>
      <c r="E19" s="687">
        <f>SUMIF([16]도시주거환경정비사업!$B$1:$B$65536,$A18,[16]도시주거환경정비사업!$G$1:$G$65536)</f>
        <v>1300</v>
      </c>
      <c r="F19" s="687">
        <f>SUMIF([16]도시주거환경정비사업!$B$1:$B$65536,$A18,[16]도시주거환경정비사업!$H$1:$H$65536)</f>
        <v>1300</v>
      </c>
      <c r="G19" s="687">
        <f>SUMIF([16]도시주거환경정비사업!$B$1:$B$65536,$A18,[16]도시주거환경정비사업!$I$1:$I$65536)</f>
        <v>1300</v>
      </c>
      <c r="H19" s="721">
        <v>0.3</v>
      </c>
      <c r="I19" s="718">
        <v>2015</v>
      </c>
    </row>
    <row r="20" spans="1:9" ht="18" customHeight="1">
      <c r="A20" s="867" t="s">
        <v>1281</v>
      </c>
      <c r="B20" s="706" t="s">
        <v>1275</v>
      </c>
      <c r="C20" s="696">
        <f>SUM(C21:C22)</f>
        <v>13074</v>
      </c>
      <c r="D20" s="696">
        <f>SUM(D21:D22)</f>
        <v>3000</v>
      </c>
      <c r="E20" s="696">
        <f>SUM(E21:E22)</f>
        <v>5500</v>
      </c>
      <c r="F20" s="696">
        <f>SUM(F21:F22)</f>
        <v>5500</v>
      </c>
      <c r="G20" s="696">
        <f>SUM(G21:G22)</f>
        <v>5500</v>
      </c>
      <c r="H20" s="697"/>
      <c r="I20" s="717"/>
    </row>
    <row r="21" spans="1:9" ht="18" customHeight="1">
      <c r="A21" s="867"/>
      <c r="B21" s="708" t="s">
        <v>1278</v>
      </c>
      <c r="C21" s="687">
        <f>SUMIF([16]도시주거환경정비사업!$B$1:$B$65536,$A20,[16]도시주거환경정비사업!$D$1:$D$65536)</f>
        <v>8132</v>
      </c>
      <c r="D21" s="687">
        <f>SUMIF([16]도시주거환경정비사업!$B$1:$B$65536,$A20,[16]도시주거환경정비사업!$F$1:$F$65536)</f>
        <v>0</v>
      </c>
      <c r="E21" s="687">
        <f>SUMIF([16]도시주거환경정비사업!$B$1:$B$65536,$A20,[16]도시주거환경정비사업!$G$1:$G$65536)</f>
        <v>2500</v>
      </c>
      <c r="F21" s="687">
        <f>SUMIF([16]도시주거환경정비사업!$B$1:$B$65536,$A20,[16]도시주거환경정비사업!$H$1:$H$65536)</f>
        <v>2500</v>
      </c>
      <c r="G21" s="687">
        <f>SUMIF([16]도시주거환경정비사업!$B$1:$B$65536,$A20,[16]도시주거환경정비사업!$I$1:$I$65536)</f>
        <v>2500</v>
      </c>
      <c r="H21" s="721">
        <v>0.3</v>
      </c>
      <c r="I21" s="718">
        <v>2015</v>
      </c>
    </row>
    <row r="22" spans="1:9" ht="18" customHeight="1">
      <c r="A22" s="867"/>
      <c r="B22" s="708" t="s">
        <v>1274</v>
      </c>
      <c r="C22" s="687">
        <f>SUMIF([16]공동주택건설사업!$B$1:$B$65536,$A20,[16]공동주택건설사업!$D$1:$D$65536)</f>
        <v>4942</v>
      </c>
      <c r="D22" s="687">
        <f>SUMIF([16]공동주택건설사업!$B$1:$B$65536,$A20,[16]공동주택건설사업!$F$1:$F$65536)</f>
        <v>3000</v>
      </c>
      <c r="E22" s="687">
        <f>SUMIF([16]공동주택건설사업!$B$1:$B$65536,$A20,[16]공동주택건설사업!$G$1:$G$65536)</f>
        <v>3000</v>
      </c>
      <c r="F22" s="687">
        <f>SUMIF([16]공동주택건설사업!$B$1:$B$65536,$A20,[16]공동주택건설사업!$H$1:$H$65536)</f>
        <v>3000</v>
      </c>
      <c r="G22" s="687">
        <f>SUMIF([16]공동주택건설사업!$B$1:$B$65536,$A20,[16]공동주택건설사업!$I$1:$I$65536)</f>
        <v>3000</v>
      </c>
      <c r="H22" s="721">
        <v>0.6</v>
      </c>
      <c r="I22" s="718">
        <v>2010</v>
      </c>
    </row>
    <row r="23" spans="1:9" ht="18" customHeight="1">
      <c r="A23" s="867" t="s">
        <v>1280</v>
      </c>
      <c r="B23" s="706" t="s">
        <v>1275</v>
      </c>
      <c r="C23" s="696">
        <f>SUM(C26:C31)</f>
        <v>55584</v>
      </c>
      <c r="D23" s="696">
        <f>SUM(D24:D31)</f>
        <v>8200</v>
      </c>
      <c r="E23" s="696">
        <f>SUM(E24:E31)</f>
        <v>33400</v>
      </c>
      <c r="F23" s="696">
        <f>SUM(F24:F31)</f>
        <v>42300</v>
      </c>
      <c r="G23" s="696">
        <f>SUM(G24:G31)</f>
        <v>42300</v>
      </c>
      <c r="H23" s="697"/>
      <c r="I23" s="719"/>
    </row>
    <row r="24" spans="1:9" ht="18" customHeight="1">
      <c r="A24" s="867"/>
      <c r="B24" s="708" t="str">
        <f>[16]산업단지!A3</f>
        <v>제3지방산업단지 확장</v>
      </c>
      <c r="C24" s="343">
        <f>[16]산업단지!D3</f>
        <v>11912</v>
      </c>
      <c r="D24" s="343">
        <f>[16]산업단지!F3</f>
        <v>0</v>
      </c>
      <c r="E24" s="343">
        <f>[16]산업단지!G3</f>
        <v>7100</v>
      </c>
      <c r="F24" s="343">
        <f>[16]산업단지!H3</f>
        <v>7100</v>
      </c>
      <c r="G24" s="343">
        <f>[16]산업단지!I3</f>
        <v>7100</v>
      </c>
      <c r="H24" s="721">
        <v>0.6</v>
      </c>
      <c r="I24" s="718">
        <v>2015</v>
      </c>
    </row>
    <row r="25" spans="1:9" ht="18" customHeight="1">
      <c r="A25" s="867"/>
      <c r="B25" s="708" t="str">
        <f>[16]택지개발사업!A3</f>
        <v>배방지구</v>
      </c>
      <c r="C25" s="343">
        <f>[16]택지개발사업!D3</f>
        <v>3122</v>
      </c>
      <c r="D25" s="343">
        <f>[16]택지개발사업!F3</f>
        <v>1900</v>
      </c>
      <c r="E25" s="343">
        <f>[16]택지개발사업!G3</f>
        <v>1900</v>
      </c>
      <c r="F25" s="343">
        <f>[16]택지개발사업!H3</f>
        <v>1900</v>
      </c>
      <c r="G25" s="343">
        <f>[16]택지개발사업!I3</f>
        <v>1900</v>
      </c>
      <c r="H25" s="721">
        <v>0.6</v>
      </c>
      <c r="I25" s="718">
        <v>2010</v>
      </c>
    </row>
    <row r="26" spans="1:9" ht="18" customHeight="1">
      <c r="A26" s="867"/>
      <c r="B26" s="708" t="str">
        <f>[16]택지개발사업!A4</f>
        <v>탕정지구</v>
      </c>
      <c r="C26" s="343">
        <f>[16]택지개발사업!D4</f>
        <v>30198</v>
      </c>
      <c r="D26" s="343">
        <f>[16]택지개발사업!F4</f>
        <v>0</v>
      </c>
      <c r="E26" s="343">
        <f>[16]택지개발사업!G4</f>
        <v>18100</v>
      </c>
      <c r="F26" s="343">
        <f>[16]택지개발사업!H4</f>
        <v>18100</v>
      </c>
      <c r="G26" s="343">
        <f>[16]택지개발사업!I4</f>
        <v>18100</v>
      </c>
      <c r="H26" s="721">
        <v>0.6</v>
      </c>
      <c r="I26" s="718">
        <v>2015</v>
      </c>
    </row>
    <row r="27" spans="1:9" ht="18" customHeight="1">
      <c r="A27" s="867"/>
      <c r="B27" s="708" t="str">
        <f>[16]도시개발사업!A5</f>
        <v>백석지구</v>
      </c>
      <c r="C27" s="687">
        <f>[16]도시개발사업!D5</f>
        <v>2746</v>
      </c>
      <c r="D27" s="687">
        <f>[16]도시개발사업!F5</f>
        <v>1600</v>
      </c>
      <c r="E27" s="687">
        <f>[16]도시개발사업!G5</f>
        <v>1600</v>
      </c>
      <c r="F27" s="687">
        <f>[16]도시개발사업!H5</f>
        <v>1600</v>
      </c>
      <c r="G27" s="687">
        <f>[16]도시개발사업!I5</f>
        <v>1600</v>
      </c>
      <c r="H27" s="721">
        <v>0.6</v>
      </c>
      <c r="I27" s="718">
        <v>2010</v>
      </c>
    </row>
    <row r="28" spans="1:9" ht="18" customHeight="1">
      <c r="A28" s="867"/>
      <c r="B28" s="708" t="str">
        <f>[16]도시개발사업!A6</f>
        <v>백석2지구</v>
      </c>
      <c r="C28" s="687">
        <f>[16]도시개발사업!D6</f>
        <v>2379</v>
      </c>
      <c r="D28" s="687">
        <f>[16]도시개발사업!F6</f>
        <v>1400</v>
      </c>
      <c r="E28" s="687">
        <f>[16]도시개발사업!G6</f>
        <v>1400</v>
      </c>
      <c r="F28" s="687">
        <f>[16]도시개발사업!H6</f>
        <v>1400</v>
      </c>
      <c r="G28" s="687">
        <f>[16]도시개발사업!I6</f>
        <v>1400</v>
      </c>
      <c r="H28" s="721">
        <v>0.6</v>
      </c>
      <c r="I28" s="718">
        <v>2010</v>
      </c>
    </row>
    <row r="29" spans="1:9" ht="18" customHeight="1">
      <c r="A29" s="867"/>
      <c r="B29" s="708" t="str">
        <f>[16]도시개발사업!A7</f>
        <v>백석3지구</v>
      </c>
      <c r="C29" s="687">
        <f>[16]도시개발사업!D7</f>
        <v>1969</v>
      </c>
      <c r="D29" s="687">
        <f>[16]도시개발사업!F7</f>
        <v>1200</v>
      </c>
      <c r="E29" s="687">
        <f>[16]도시개발사업!G7</f>
        <v>1200</v>
      </c>
      <c r="F29" s="687">
        <f>[16]도시개발사업!H7</f>
        <v>1200</v>
      </c>
      <c r="G29" s="687">
        <f>[16]도시개발사업!I7</f>
        <v>1200</v>
      </c>
      <c r="H29" s="721">
        <v>0.6</v>
      </c>
      <c r="I29" s="718">
        <v>2010</v>
      </c>
    </row>
    <row r="30" spans="1:9" ht="18" customHeight="1">
      <c r="A30" s="867"/>
      <c r="B30" s="708" t="str">
        <f>[16]도시개발사업!A8</f>
        <v>백석4지구</v>
      </c>
      <c r="C30" s="687">
        <f>[16]도시개발사업!D8</f>
        <v>3511</v>
      </c>
      <c r="D30" s="687">
        <f>[16]도시개발사업!F8</f>
        <v>2100</v>
      </c>
      <c r="E30" s="687">
        <f>[16]도시개발사업!G8</f>
        <v>2100</v>
      </c>
      <c r="F30" s="687">
        <f>[16]도시개발사업!H8</f>
        <v>2100</v>
      </c>
      <c r="G30" s="687">
        <f>[16]도시개발사업!I8</f>
        <v>2100</v>
      </c>
      <c r="H30" s="721">
        <v>0.6</v>
      </c>
      <c r="I30" s="718">
        <v>2010</v>
      </c>
    </row>
    <row r="31" spans="1:9" ht="18" customHeight="1">
      <c r="A31" s="867"/>
      <c r="B31" s="708" t="str">
        <f>[16]도시개발사업!A9</f>
        <v>백석 미개발지구</v>
      </c>
      <c r="C31" s="687">
        <f>[16]도시개발사업!D9</f>
        <v>14781</v>
      </c>
      <c r="D31" s="687">
        <f>[16]도시개발사업!F9</f>
        <v>0</v>
      </c>
      <c r="E31" s="687">
        <f>[16]도시개발사업!G9</f>
        <v>0</v>
      </c>
      <c r="F31" s="687">
        <f>[16]도시개발사업!H9</f>
        <v>8900</v>
      </c>
      <c r="G31" s="687">
        <f>[16]도시개발사업!I9</f>
        <v>8900</v>
      </c>
      <c r="H31" s="721">
        <v>0.6</v>
      </c>
      <c r="I31" s="718">
        <v>2020</v>
      </c>
    </row>
    <row r="32" spans="1:9" ht="18" customHeight="1">
      <c r="A32" s="867" t="s">
        <v>1279</v>
      </c>
      <c r="B32" s="706" t="s">
        <v>1275</v>
      </c>
      <c r="C32" s="696">
        <f>SUM(C38:C39)</f>
        <v>3335</v>
      </c>
      <c r="D32" s="696">
        <f>SUM(D33:D39)</f>
        <v>23700</v>
      </c>
      <c r="E32" s="696">
        <f>SUM(E33:E39)</f>
        <v>25500</v>
      </c>
      <c r="F32" s="696">
        <f>SUM(F33:F39)</f>
        <v>30100</v>
      </c>
      <c r="G32" s="696">
        <f>SUM(G33:G39)</f>
        <v>30100</v>
      </c>
      <c r="H32" s="697"/>
      <c r="I32" s="719"/>
    </row>
    <row r="33" spans="1:9" ht="18" customHeight="1">
      <c r="A33" s="867"/>
      <c r="B33" s="708" t="str">
        <f>[16]택지개발사업!A5</f>
        <v>청수지구</v>
      </c>
      <c r="C33" s="343">
        <f>[16]택지개발사업!D5</f>
        <v>20444</v>
      </c>
      <c r="D33" s="343">
        <f>[16]택지개발사업!F5</f>
        <v>12300</v>
      </c>
      <c r="E33" s="343">
        <f>[16]택지개발사업!G5</f>
        <v>12300</v>
      </c>
      <c r="F33" s="343">
        <f>[16]택지개발사업!H5</f>
        <v>12300</v>
      </c>
      <c r="G33" s="343">
        <f>[16]택지개발사업!I5</f>
        <v>12300</v>
      </c>
      <c r="H33" s="721">
        <v>0.6</v>
      </c>
      <c r="I33" s="718">
        <v>2010</v>
      </c>
    </row>
    <row r="34" spans="1:9" ht="18" customHeight="1">
      <c r="A34" s="867"/>
      <c r="B34" s="708" t="str">
        <f>[16]도시개발사업!A10</f>
        <v>신방 통정지구</v>
      </c>
      <c r="C34" s="343">
        <f>[16]도시개발사업!D10</f>
        <v>13142</v>
      </c>
      <c r="D34" s="343">
        <f>[16]도시개발사업!F10</f>
        <v>7900</v>
      </c>
      <c r="E34" s="343">
        <f>[16]도시개발사업!G10</f>
        <v>7900</v>
      </c>
      <c r="F34" s="343">
        <f>[16]도시개발사업!H10</f>
        <v>7900</v>
      </c>
      <c r="G34" s="343">
        <f>[16]도시개발사업!I10</f>
        <v>7900</v>
      </c>
      <c r="H34" s="721">
        <v>0.6</v>
      </c>
      <c r="I34" s="718">
        <v>2010</v>
      </c>
    </row>
    <row r="35" spans="1:9" ht="18" customHeight="1">
      <c r="A35" s="867"/>
      <c r="B35" s="708" t="str">
        <f>[16]도시개발사업!A11</f>
        <v>새텃말지구</v>
      </c>
      <c r="C35" s="343">
        <f>[16]도시개발사업!D11</f>
        <v>2854</v>
      </c>
      <c r="D35" s="343">
        <f>[16]도시개발사업!F11</f>
        <v>0</v>
      </c>
      <c r="E35" s="343">
        <f>[16]도시개발사업!G11</f>
        <v>1700</v>
      </c>
      <c r="F35" s="343">
        <f>[16]도시개발사업!H11</f>
        <v>1700</v>
      </c>
      <c r="G35" s="343">
        <f>[16]도시개발사업!I11</f>
        <v>1700</v>
      </c>
      <c r="H35" s="721">
        <v>0.6</v>
      </c>
      <c r="I35" s="718">
        <v>2015</v>
      </c>
    </row>
    <row r="36" spans="1:9" ht="18" customHeight="1">
      <c r="A36" s="867"/>
      <c r="B36" s="708" t="str">
        <f>[16]도시개발사업!A12</f>
        <v>용곡2지구</v>
      </c>
      <c r="C36" s="343">
        <f>[16]도시개발사업!D12</f>
        <v>2806</v>
      </c>
      <c r="D36" s="343">
        <f>[16]도시개발사업!F12</f>
        <v>1700</v>
      </c>
      <c r="E36" s="343">
        <f>[16]도시개발사업!G12</f>
        <v>1700</v>
      </c>
      <c r="F36" s="343">
        <f>[16]도시개발사업!H12</f>
        <v>1700</v>
      </c>
      <c r="G36" s="343">
        <f>[16]도시개발사업!I12</f>
        <v>1700</v>
      </c>
      <c r="H36" s="721">
        <v>0.6</v>
      </c>
      <c r="I36" s="718">
        <v>2010</v>
      </c>
    </row>
    <row r="37" spans="1:9" ht="18" customHeight="1">
      <c r="A37" s="867"/>
      <c r="B37" s="708" t="str">
        <f>[16]도시개발사업!A13</f>
        <v>청당지구</v>
      </c>
      <c r="C37" s="343">
        <f>[16]도시개발사업!D13</f>
        <v>7700</v>
      </c>
      <c r="D37" s="343">
        <f>[16]도시개발사업!F13</f>
        <v>0</v>
      </c>
      <c r="E37" s="343">
        <f>[16]도시개발사업!G13</f>
        <v>0</v>
      </c>
      <c r="F37" s="343">
        <f>[16]도시개발사업!H13</f>
        <v>4600</v>
      </c>
      <c r="G37" s="343">
        <f>[16]도시개발사업!I13</f>
        <v>4600</v>
      </c>
      <c r="H37" s="721">
        <v>0.6</v>
      </c>
      <c r="I37" s="718">
        <v>2020</v>
      </c>
    </row>
    <row r="38" spans="1:9" ht="18" customHeight="1">
      <c r="A38" s="867"/>
      <c r="B38" s="708" t="s">
        <v>1278</v>
      </c>
      <c r="C38" s="687">
        <f>SUMIF([16]도시주거환경정비사업!$B$1:$B$65536,$A32,[16]도시주거환경정비사업!$D$1:$D$65536)</f>
        <v>288</v>
      </c>
      <c r="D38" s="687">
        <f>SUMIF([16]도시주거환경정비사업!$B$1:$B$65536,$A32,[16]도시주거환경정비사업!$F$1:$F$65536)</f>
        <v>0</v>
      </c>
      <c r="E38" s="687">
        <f>SUMIF([16]도시주거환경정비사업!$B$1:$B$65536,$A32,[16]도시주거환경정비사업!$G$1:$G$65536)</f>
        <v>100</v>
      </c>
      <c r="F38" s="687">
        <f>SUMIF([16]도시주거환경정비사업!$B$1:$B$65536,$A32,[16]도시주거환경정비사업!$H$1:$H$65536)</f>
        <v>100</v>
      </c>
      <c r="G38" s="687">
        <f>SUMIF([16]도시주거환경정비사업!$B$1:$B$65536,$A32,[16]도시주거환경정비사업!$I$1:$I$65536)</f>
        <v>100</v>
      </c>
      <c r="H38" s="721">
        <v>0.3</v>
      </c>
      <c r="I38" s="718">
        <v>2015</v>
      </c>
    </row>
    <row r="39" spans="1:9" ht="18" customHeight="1">
      <c r="A39" s="868"/>
      <c r="B39" s="709" t="s">
        <v>1274</v>
      </c>
      <c r="C39" s="70">
        <f>SUMIF([16]공동주택건설사업!$B$1:$B$65536,$A32,[16]공동주택건설사업!$D$1:$D$65536)</f>
        <v>3047</v>
      </c>
      <c r="D39" s="70">
        <f>SUMIF([16]공동주택건설사업!$B$1:$B$65536,$A32,[16]공동주택건설사업!$F$1:$F$65536)</f>
        <v>1800</v>
      </c>
      <c r="E39" s="70">
        <f>SUMIF([16]공동주택건설사업!$B$1:$B$65536,$A32,[16]공동주택건설사업!$G$1:$G$65536)</f>
        <v>1800</v>
      </c>
      <c r="F39" s="70">
        <f>SUMIF([16]공동주택건설사업!$B$1:$B$65536,$A32,[16]공동주택건설사업!$H$1:$H$65536)</f>
        <v>1800</v>
      </c>
      <c r="G39" s="70">
        <f>SUMIF([16]공동주택건설사업!$B$1:$B$65536,$A32,[16]공동주택건설사업!$I$1:$I$65536)</f>
        <v>1800</v>
      </c>
      <c r="H39" s="722">
        <v>0.6</v>
      </c>
      <c r="I39" s="720">
        <v>2010</v>
      </c>
    </row>
    <row r="40" spans="1:9" ht="18" customHeight="1">
      <c r="A40" s="340"/>
      <c r="B40" s="727"/>
      <c r="C40" s="91"/>
      <c r="D40" s="91"/>
      <c r="E40" s="91"/>
      <c r="F40" s="91"/>
      <c r="G40" s="91"/>
      <c r="H40" s="728"/>
      <c r="I40" s="729"/>
    </row>
    <row r="41" spans="1:9" ht="20.100000000000001" customHeight="1">
      <c r="A41" s="726" t="s">
        <v>1345</v>
      </c>
      <c r="D41" s="652"/>
      <c r="E41" s="652"/>
      <c r="F41" s="652"/>
      <c r="G41" s="652"/>
    </row>
    <row r="42" spans="1:9" ht="20.100000000000001" customHeight="1">
      <c r="A42" s="690" t="s">
        <v>1028</v>
      </c>
      <c r="B42" s="713" t="s">
        <v>1285</v>
      </c>
      <c r="C42" s="714" t="s">
        <v>1286</v>
      </c>
      <c r="D42" s="714" t="s">
        <v>32</v>
      </c>
      <c r="E42" s="714" t="s">
        <v>31</v>
      </c>
      <c r="F42" s="714" t="s">
        <v>1289</v>
      </c>
      <c r="G42" s="714" t="s">
        <v>1290</v>
      </c>
      <c r="H42" s="715" t="s">
        <v>1291</v>
      </c>
    </row>
    <row r="43" spans="1:9" ht="20.100000000000001" customHeight="1">
      <c r="A43" s="988" t="s">
        <v>1295</v>
      </c>
      <c r="B43" s="989"/>
      <c r="C43" s="711">
        <f>SUM(C46,C49,C52,C55,C58,C61,C64,C67,C70)</f>
        <v>377481</v>
      </c>
      <c r="D43" s="711">
        <f>SUM(D46,D49,D52,D55,D58,D61,D64,D67,D70)</f>
        <v>441700</v>
      </c>
      <c r="E43" s="711">
        <f>SUM(E46,E49,E52,E55,E58,E61,E64,E67,E70)</f>
        <v>500900</v>
      </c>
      <c r="F43" s="711">
        <f>SUM(F46,F49,F52,F55,F58,F61,F64,F67,F70)</f>
        <v>511800</v>
      </c>
      <c r="G43" s="711">
        <f>SUM(G46,G49,G52,G55,G58,G61,G64,G67,G70)</f>
        <v>528600</v>
      </c>
      <c r="H43" s="712"/>
      <c r="I43" s="700"/>
    </row>
    <row r="44" spans="1:9" s="701" customFormat="1" ht="20.100000000000001" customHeight="1">
      <c r="A44" s="974" t="s">
        <v>1353</v>
      </c>
      <c r="B44" s="920"/>
      <c r="C44" s="283">
        <f>SUM(C47,C50,C53,C56,C59,C62,C65,C68,C71)</f>
        <v>377481</v>
      </c>
      <c r="D44" s="283">
        <f t="shared" ref="D44:G44" si="0">SUM(D47,D50,D53,D56,D59,D62,D65,D68,D71)</f>
        <v>395900</v>
      </c>
      <c r="E44" s="283">
        <f t="shared" si="0"/>
        <v>414100</v>
      </c>
      <c r="F44" s="283">
        <f t="shared" si="0"/>
        <v>411500</v>
      </c>
      <c r="G44" s="283">
        <f t="shared" si="0"/>
        <v>428300</v>
      </c>
      <c r="H44" s="459"/>
      <c r="I44" s="700"/>
    </row>
    <row r="45" spans="1:9" ht="20.100000000000001" customHeight="1">
      <c r="A45" s="974" t="s">
        <v>1294</v>
      </c>
      <c r="B45" s="920"/>
      <c r="C45" s="283">
        <f>SUM(C48,C51,C54,C57,C60,C63,C66,C69,C72)</f>
        <v>0</v>
      </c>
      <c r="D45" s="283">
        <f t="shared" ref="D45:G45" si="1">SUM(D48,D51,D54,D57,D60,D63,D66,D69,D72)</f>
        <v>45800</v>
      </c>
      <c r="E45" s="283">
        <f t="shared" si="1"/>
        <v>86800</v>
      </c>
      <c r="F45" s="283">
        <f>SUM(F48,F51,F54,F57,F60,F63,F66,F69,F72)</f>
        <v>100300</v>
      </c>
      <c r="G45" s="283">
        <f t="shared" si="1"/>
        <v>100300</v>
      </c>
      <c r="H45" s="459"/>
      <c r="I45" s="700"/>
    </row>
    <row r="46" spans="1:9" ht="20.100000000000001" customHeight="1">
      <c r="A46" s="974" t="s">
        <v>1296</v>
      </c>
      <c r="B46" s="706" t="s">
        <v>1297</v>
      </c>
      <c r="C46" s="541">
        <f>'처리구역별 인구 근거'!D8</f>
        <v>67728</v>
      </c>
      <c r="D46" s="541">
        <f>'처리구역별 인구 근거'!E8</f>
        <v>69300</v>
      </c>
      <c r="E46" s="541">
        <f>'처리구역별 인구 근거'!I8</f>
        <v>82400</v>
      </c>
      <c r="F46" s="541">
        <f>'처리구역별 인구 근거'!M8</f>
        <v>80400</v>
      </c>
      <c r="G46" s="541">
        <f>'처리구역별 인구 근거'!Q8</f>
        <v>83500</v>
      </c>
      <c r="H46" s="546"/>
    </row>
    <row r="47" spans="1:9" ht="20.100000000000001" customHeight="1">
      <c r="A47" s="974"/>
      <c r="B47" s="707" t="s">
        <v>1298</v>
      </c>
      <c r="C47" s="687">
        <f>+C46-C48</f>
        <v>67728</v>
      </c>
      <c r="D47" s="687">
        <f>+D46-D48</f>
        <v>66100</v>
      </c>
      <c r="E47" s="687">
        <f t="shared" ref="E47:G47" si="2">+E46-E48</f>
        <v>73500</v>
      </c>
      <c r="F47" s="687">
        <f>+F46-F48</f>
        <v>71500</v>
      </c>
      <c r="G47" s="687">
        <f t="shared" si="2"/>
        <v>74600</v>
      </c>
      <c r="H47" s="547"/>
      <c r="I47" s="700"/>
    </row>
    <row r="48" spans="1:9" ht="20.100000000000001" customHeight="1">
      <c r="A48" s="974"/>
      <c r="B48" s="707" t="s">
        <v>1299</v>
      </c>
      <c r="C48" s="687">
        <v>0</v>
      </c>
      <c r="D48" s="687">
        <f>'4.하수처리인구'!D8</f>
        <v>3200</v>
      </c>
      <c r="E48" s="687">
        <f>'4.하수처리인구'!E8</f>
        <v>8900</v>
      </c>
      <c r="F48" s="687">
        <f>'4.하수처리인구'!F8</f>
        <v>8900</v>
      </c>
      <c r="G48" s="687">
        <f>'4.하수처리인구'!G8</f>
        <v>8900</v>
      </c>
      <c r="H48" s="547"/>
      <c r="I48" s="700"/>
    </row>
    <row r="49" spans="1:9" ht="20.100000000000001" customHeight="1">
      <c r="A49" s="974" t="s">
        <v>1300</v>
      </c>
      <c r="B49" s="706" t="s">
        <v>1297</v>
      </c>
      <c r="C49" s="541">
        <f>'처리구역별 인구 근거'!D15</f>
        <v>118007</v>
      </c>
      <c r="D49" s="541">
        <f>'처리구역별 인구 근거'!E15</f>
        <v>124500</v>
      </c>
      <c r="E49" s="541">
        <f>'처리구역별 인구 근거'!I15</f>
        <v>114200</v>
      </c>
      <c r="F49" s="541">
        <f>'처리구역별 인구 근거'!M15</f>
        <v>110600</v>
      </c>
      <c r="G49" s="541">
        <f>'처리구역별 인구 근거'!Q15</f>
        <v>115800</v>
      </c>
      <c r="H49" s="546"/>
    </row>
    <row r="50" spans="1:9" ht="20.100000000000001" customHeight="1">
      <c r="A50" s="974"/>
      <c r="B50" s="707" t="s">
        <v>1298</v>
      </c>
      <c r="C50" s="687">
        <f>+C49-C51</f>
        <v>118007</v>
      </c>
      <c r="D50" s="687">
        <f t="shared" ref="D50" si="3">+D49-D51</f>
        <v>116800</v>
      </c>
      <c r="E50" s="687">
        <f t="shared" ref="E50" si="4">+E49-E51</f>
        <v>106400</v>
      </c>
      <c r="F50" s="687">
        <f t="shared" ref="F50" si="5">+F49-F51</f>
        <v>102800</v>
      </c>
      <c r="G50" s="687">
        <f t="shared" ref="G50" si="6">+G49-G51</f>
        <v>108000</v>
      </c>
      <c r="H50" s="547"/>
      <c r="I50" s="700"/>
    </row>
    <row r="51" spans="1:9" ht="20.100000000000001" customHeight="1">
      <c r="A51" s="974"/>
      <c r="B51" s="707" t="s">
        <v>1299</v>
      </c>
      <c r="C51" s="687">
        <v>0</v>
      </c>
      <c r="D51" s="687">
        <f>'4.하수처리인구'!D11</f>
        <v>7700</v>
      </c>
      <c r="E51" s="687">
        <f>'4.하수처리인구'!E11</f>
        <v>7800</v>
      </c>
      <c r="F51" s="687">
        <f>'4.하수처리인구'!F11</f>
        <v>7800</v>
      </c>
      <c r="G51" s="687">
        <f>'4.하수처리인구'!G11</f>
        <v>7800</v>
      </c>
      <c r="H51" s="547"/>
      <c r="I51" s="700"/>
    </row>
    <row r="52" spans="1:9" ht="20.100000000000001" customHeight="1">
      <c r="A52" s="974" t="s">
        <v>1301</v>
      </c>
      <c r="B52" s="706" t="s">
        <v>1297</v>
      </c>
      <c r="C52" s="541">
        <f>'처리구역별 인구 근거'!D23</f>
        <v>24849</v>
      </c>
      <c r="D52" s="541">
        <f>'처리구역별 인구 근거'!E23</f>
        <v>23500</v>
      </c>
      <c r="E52" s="541">
        <f>'처리구역별 인구 근거'!I23</f>
        <v>35800</v>
      </c>
      <c r="F52" s="541">
        <f>'처리구역별 인구 근거'!M23</f>
        <v>35100</v>
      </c>
      <c r="G52" s="541">
        <f>'처리구역별 인구 근거'!Q23</f>
        <v>36100</v>
      </c>
      <c r="H52" s="546"/>
    </row>
    <row r="53" spans="1:9" ht="20.100000000000001" customHeight="1">
      <c r="A53" s="974"/>
      <c r="B53" s="707" t="s">
        <v>1298</v>
      </c>
      <c r="C53" s="687">
        <f>+C52-C54</f>
        <v>24849</v>
      </c>
      <c r="D53" s="687">
        <f t="shared" ref="D53" si="7">+D52-D54</f>
        <v>23500</v>
      </c>
      <c r="E53" s="687">
        <f t="shared" ref="E53" si="8">+E52-E54</f>
        <v>31400</v>
      </c>
      <c r="F53" s="687">
        <f t="shared" ref="F53" si="9">+F52-F54</f>
        <v>30700</v>
      </c>
      <c r="G53" s="687">
        <f t="shared" ref="G53" si="10">+G52-G54</f>
        <v>31700</v>
      </c>
      <c r="H53" s="547"/>
      <c r="I53" s="700"/>
    </row>
    <row r="54" spans="1:9" ht="20.100000000000001" customHeight="1">
      <c r="A54" s="974"/>
      <c r="B54" s="707" t="s">
        <v>1299</v>
      </c>
      <c r="C54" s="687">
        <v>0</v>
      </c>
      <c r="D54" s="687">
        <f>'4.하수처리인구'!D16</f>
        <v>0</v>
      </c>
      <c r="E54" s="687">
        <f>'4.하수처리인구'!E16</f>
        <v>4400</v>
      </c>
      <c r="F54" s="687">
        <f>'4.하수처리인구'!F16</f>
        <v>4400</v>
      </c>
      <c r="G54" s="687">
        <f>'4.하수처리인구'!G16</f>
        <v>4400</v>
      </c>
      <c r="H54" s="547"/>
      <c r="I54" s="700"/>
    </row>
    <row r="55" spans="1:9" ht="20.100000000000001" customHeight="1">
      <c r="A55" s="974" t="s">
        <v>1302</v>
      </c>
      <c r="B55" s="706" t="s">
        <v>1297</v>
      </c>
      <c r="C55" s="541">
        <f>'처리구역별 인구 근거'!D27</f>
        <v>16810</v>
      </c>
      <c r="D55" s="541">
        <f>'처리구역별 인구 근거'!E27</f>
        <v>15900</v>
      </c>
      <c r="E55" s="541">
        <f>'처리구역별 인구 근거'!I27</f>
        <v>18800</v>
      </c>
      <c r="F55" s="541">
        <f>'처리구역별 인구 근거'!M27</f>
        <v>18300</v>
      </c>
      <c r="G55" s="541">
        <f>'처리구역별 인구 근거'!Q27</f>
        <v>19000</v>
      </c>
      <c r="H55" s="546"/>
    </row>
    <row r="56" spans="1:9" ht="20.100000000000001" customHeight="1">
      <c r="A56" s="974"/>
      <c r="B56" s="707" t="s">
        <v>1298</v>
      </c>
      <c r="C56" s="687">
        <f>+C55-C57</f>
        <v>16810</v>
      </c>
      <c r="D56" s="687">
        <f t="shared" ref="D56" si="11">+D55-D57</f>
        <v>15900</v>
      </c>
      <c r="E56" s="687">
        <f t="shared" ref="E56" si="12">+E55-E57</f>
        <v>17500</v>
      </c>
      <c r="F56" s="687">
        <f t="shared" ref="F56" si="13">+F55-F57</f>
        <v>17000</v>
      </c>
      <c r="G56" s="687">
        <f t="shared" ref="G56" si="14">+G55-G57</f>
        <v>17700</v>
      </c>
      <c r="H56" s="547"/>
      <c r="I56" s="700"/>
    </row>
    <row r="57" spans="1:9" ht="20.100000000000001" customHeight="1">
      <c r="A57" s="974"/>
      <c r="B57" s="707" t="s">
        <v>1299</v>
      </c>
      <c r="C57" s="687">
        <v>0</v>
      </c>
      <c r="D57" s="687">
        <f>'4.하수처리인구'!D18</f>
        <v>0</v>
      </c>
      <c r="E57" s="687">
        <f>'4.하수처리인구'!E18</f>
        <v>1300</v>
      </c>
      <c r="F57" s="687">
        <f>'4.하수처리인구'!F18</f>
        <v>1300</v>
      </c>
      <c r="G57" s="687">
        <f>'4.하수처리인구'!G18</f>
        <v>1300</v>
      </c>
      <c r="H57" s="547"/>
      <c r="I57" s="700"/>
    </row>
    <row r="58" spans="1:9" ht="20.100000000000001" customHeight="1">
      <c r="A58" s="974" t="s">
        <v>1303</v>
      </c>
      <c r="B58" s="706" t="s">
        <v>1297</v>
      </c>
      <c r="C58" s="541">
        <f>'처리구역별 인구 근거'!D30</f>
        <v>97246</v>
      </c>
      <c r="D58" s="541">
        <f>'처리구역별 인구 근거'!E30</f>
        <v>96900</v>
      </c>
      <c r="E58" s="541">
        <f>'처리구역별 인구 근거'!I30</f>
        <v>96200</v>
      </c>
      <c r="F58" s="541">
        <f>'처리구역별 인구 근거'!M30</f>
        <v>93200</v>
      </c>
      <c r="G58" s="541">
        <f>'처리구역별 인구 근거'!Q30</f>
        <v>97300</v>
      </c>
      <c r="H58" s="546"/>
    </row>
    <row r="59" spans="1:9" ht="20.100000000000001" customHeight="1">
      <c r="A59" s="974"/>
      <c r="B59" s="707" t="s">
        <v>1298</v>
      </c>
      <c r="C59" s="687">
        <f>+C58-C60</f>
        <v>97246</v>
      </c>
      <c r="D59" s="687">
        <f t="shared" ref="D59" si="15">+D58-D60</f>
        <v>93900</v>
      </c>
      <c r="E59" s="687">
        <f t="shared" ref="E59" si="16">+E58-E60</f>
        <v>90700</v>
      </c>
      <c r="F59" s="687">
        <f t="shared" ref="F59" si="17">+F58-F60</f>
        <v>87700</v>
      </c>
      <c r="G59" s="687">
        <f t="shared" ref="G59" si="18">+G58-G60</f>
        <v>91800</v>
      </c>
      <c r="H59" s="547"/>
      <c r="I59" s="700"/>
    </row>
    <row r="60" spans="1:9" ht="20.100000000000001" customHeight="1">
      <c r="A60" s="974"/>
      <c r="B60" s="707" t="s">
        <v>1299</v>
      </c>
      <c r="C60" s="687">
        <v>0</v>
      </c>
      <c r="D60" s="687">
        <f>'4.하수처리인구'!D20</f>
        <v>3000</v>
      </c>
      <c r="E60" s="687">
        <f>'4.하수처리인구'!E20</f>
        <v>5500</v>
      </c>
      <c r="F60" s="687">
        <f>'4.하수처리인구'!F20</f>
        <v>5500</v>
      </c>
      <c r="G60" s="687">
        <f>'4.하수처리인구'!G20</f>
        <v>5500</v>
      </c>
      <c r="H60" s="547"/>
      <c r="I60" s="700"/>
    </row>
    <row r="61" spans="1:9" ht="20.100000000000001" customHeight="1">
      <c r="A61" s="974" t="s">
        <v>1304</v>
      </c>
      <c r="B61" s="706" t="s">
        <v>1297</v>
      </c>
      <c r="C61" s="541">
        <f>'처리구역별 인구 근거'!D36</f>
        <v>36884</v>
      </c>
      <c r="D61" s="541">
        <f>'처리구역별 인구 근거'!E36</f>
        <v>48600</v>
      </c>
      <c r="E61" s="541">
        <f>'처리구역별 인구 근거'!I36</f>
        <v>87400</v>
      </c>
      <c r="F61" s="541">
        <f>'처리구역별 인구 근거'!M36</f>
        <v>101100</v>
      </c>
      <c r="G61" s="541">
        <f>'처리구역별 인구 근거'!Q36</f>
        <v>102700</v>
      </c>
      <c r="H61" s="546"/>
    </row>
    <row r="62" spans="1:9" ht="20.100000000000001" customHeight="1">
      <c r="A62" s="974"/>
      <c r="B62" s="707" t="s">
        <v>1298</v>
      </c>
      <c r="C62" s="687">
        <f>+C61-C63</f>
        <v>36884</v>
      </c>
      <c r="D62" s="687">
        <f t="shared" ref="D62" si="19">+D61-D63</f>
        <v>40400</v>
      </c>
      <c r="E62" s="687">
        <f t="shared" ref="E62" si="20">+E61-E63</f>
        <v>54000</v>
      </c>
      <c r="F62" s="687">
        <f t="shared" ref="F62" si="21">+F61-F63</f>
        <v>58800</v>
      </c>
      <c r="G62" s="687">
        <f t="shared" ref="G62" si="22">+G61-G63</f>
        <v>60400</v>
      </c>
      <c r="H62" s="547"/>
      <c r="I62" s="700"/>
    </row>
    <row r="63" spans="1:9" ht="20.100000000000001" customHeight="1">
      <c r="A63" s="974"/>
      <c r="B63" s="707" t="s">
        <v>1299</v>
      </c>
      <c r="C63" s="687">
        <v>0</v>
      </c>
      <c r="D63" s="687">
        <f>'4.하수처리인구'!D23</f>
        <v>8200</v>
      </c>
      <c r="E63" s="687">
        <f>'4.하수처리인구'!E23</f>
        <v>33400</v>
      </c>
      <c r="F63" s="687">
        <f>'4.하수처리인구'!F23</f>
        <v>42300</v>
      </c>
      <c r="G63" s="687">
        <f>'4.하수처리인구'!G23</f>
        <v>42300</v>
      </c>
      <c r="H63" s="547"/>
      <c r="I63" s="700"/>
    </row>
    <row r="64" spans="1:9" ht="20.100000000000001" customHeight="1">
      <c r="A64" s="974" t="s">
        <v>1305</v>
      </c>
      <c r="B64" s="706" t="s">
        <v>1297</v>
      </c>
      <c r="C64" s="541">
        <f>'처리구역별 인구 근거'!D39</f>
        <v>12939</v>
      </c>
      <c r="D64" s="541">
        <f>'처리구역별 인구 근거'!E39</f>
        <v>60000</v>
      </c>
      <c r="E64" s="541">
        <f>'처리구역별 인구 근거'!I39</f>
        <v>62100</v>
      </c>
      <c r="F64" s="541">
        <f>'처리구역별 인구 근거'!M39</f>
        <v>69100</v>
      </c>
      <c r="G64" s="541">
        <f>'처리구역별 인구 근거'!Q39</f>
        <v>70200</v>
      </c>
      <c r="H64" s="546"/>
    </row>
    <row r="65" spans="1:9" ht="20.100000000000001" customHeight="1">
      <c r="A65" s="974"/>
      <c r="B65" s="707" t="s">
        <v>1298</v>
      </c>
      <c r="C65" s="687">
        <f>+C64-C66</f>
        <v>12939</v>
      </c>
      <c r="D65" s="687">
        <f t="shared" ref="D65" si="23">+D64-D66</f>
        <v>36300</v>
      </c>
      <c r="E65" s="687">
        <f t="shared" ref="E65" si="24">+E64-E66</f>
        <v>36600</v>
      </c>
      <c r="F65" s="687">
        <f t="shared" ref="F65" si="25">+F64-F66</f>
        <v>39000</v>
      </c>
      <c r="G65" s="687">
        <f t="shared" ref="G65" si="26">+G64-G66</f>
        <v>40100</v>
      </c>
      <c r="H65" s="547"/>
      <c r="I65" s="700"/>
    </row>
    <row r="66" spans="1:9" ht="20.100000000000001" customHeight="1">
      <c r="A66" s="974"/>
      <c r="B66" s="707" t="s">
        <v>1299</v>
      </c>
      <c r="C66" s="687">
        <v>0</v>
      </c>
      <c r="D66" s="687">
        <f>'4.하수처리인구'!D32</f>
        <v>23700</v>
      </c>
      <c r="E66" s="687">
        <f>'4.하수처리인구'!E32</f>
        <v>25500</v>
      </c>
      <c r="F66" s="687">
        <f>'4.하수처리인구'!F32</f>
        <v>30100</v>
      </c>
      <c r="G66" s="687">
        <f>'4.하수처리인구'!G32</f>
        <v>30100</v>
      </c>
      <c r="H66" s="547"/>
      <c r="I66" s="700"/>
    </row>
    <row r="67" spans="1:9" ht="20.100000000000001" customHeight="1">
      <c r="A67" s="957" t="s">
        <v>1306</v>
      </c>
      <c r="B67" s="706" t="s">
        <v>1297</v>
      </c>
      <c r="C67" s="541">
        <f>'처리구역별 인구 근거'!D43</f>
        <v>386</v>
      </c>
      <c r="D67" s="541">
        <f>'처리구역별 인구 근거'!E43</f>
        <v>400</v>
      </c>
      <c r="E67" s="541">
        <f>'처리구역별 인구 근거'!I43</f>
        <v>400</v>
      </c>
      <c r="F67" s="541">
        <f>'처리구역별 인구 근거'!M43</f>
        <v>400</v>
      </c>
      <c r="G67" s="541">
        <f>'처리구역별 인구 근거'!Q43</f>
        <v>400</v>
      </c>
      <c r="H67" s="546"/>
    </row>
    <row r="68" spans="1:9" ht="20.100000000000001" customHeight="1">
      <c r="A68" s="790"/>
      <c r="B68" s="707" t="s">
        <v>1298</v>
      </c>
      <c r="C68" s="687">
        <f>+C67-C69</f>
        <v>386</v>
      </c>
      <c r="D68" s="687">
        <f t="shared" ref="D68" si="27">+D67-D69</f>
        <v>400</v>
      </c>
      <c r="E68" s="687">
        <f t="shared" ref="E68" si="28">+E67-E69</f>
        <v>400</v>
      </c>
      <c r="F68" s="687">
        <f t="shared" ref="F68" si="29">+F67-F69</f>
        <v>400</v>
      </c>
      <c r="G68" s="687">
        <f t="shared" ref="G68" si="30">+G67-G69</f>
        <v>400</v>
      </c>
      <c r="H68" s="547"/>
      <c r="I68" s="700"/>
    </row>
    <row r="69" spans="1:9" ht="20.100000000000001" customHeight="1">
      <c r="A69" s="791"/>
      <c r="B69" s="707" t="s">
        <v>1299</v>
      </c>
      <c r="C69" s="687">
        <v>0</v>
      </c>
      <c r="D69" s="687">
        <v>0</v>
      </c>
      <c r="E69" s="687">
        <v>0</v>
      </c>
      <c r="F69" s="687">
        <v>0</v>
      </c>
      <c r="G69" s="687">
        <v>0</v>
      </c>
      <c r="H69" s="547"/>
    </row>
    <row r="70" spans="1:9" ht="20.100000000000001" customHeight="1">
      <c r="A70" s="957" t="s">
        <v>1307</v>
      </c>
      <c r="B70" s="706" t="s">
        <v>1297</v>
      </c>
      <c r="C70" s="541">
        <f>'처리구역별 인구 근거'!D45</f>
        <v>2632</v>
      </c>
      <c r="D70" s="541">
        <f>'처리구역별 인구 근거'!E45</f>
        <v>2600</v>
      </c>
      <c r="E70" s="541">
        <f>'처리구역별 인구 근거'!I45</f>
        <v>3600</v>
      </c>
      <c r="F70" s="541">
        <f>'처리구역별 인구 근거'!M45</f>
        <v>3600</v>
      </c>
      <c r="G70" s="541">
        <f>'처리구역별 인구 근거'!Q45</f>
        <v>3600</v>
      </c>
      <c r="H70" s="546"/>
    </row>
    <row r="71" spans="1:9" ht="20.100000000000001" customHeight="1">
      <c r="A71" s="790"/>
      <c r="B71" s="707" t="s">
        <v>1298</v>
      </c>
      <c r="C71" s="687">
        <f>+C70-C72</f>
        <v>2632</v>
      </c>
      <c r="D71" s="687">
        <f t="shared" ref="D71" si="31">+D70-D72</f>
        <v>2600</v>
      </c>
      <c r="E71" s="687">
        <f t="shared" ref="E71" si="32">+E70-E72</f>
        <v>3600</v>
      </c>
      <c r="F71" s="687">
        <f t="shared" ref="F71" si="33">+F70-F72</f>
        <v>3600</v>
      </c>
      <c r="G71" s="687">
        <f t="shared" ref="G71" si="34">+G70-G72</f>
        <v>3600</v>
      </c>
      <c r="H71" s="547"/>
      <c r="I71" s="700"/>
    </row>
    <row r="72" spans="1:9" ht="20.100000000000001" customHeight="1">
      <c r="A72" s="894"/>
      <c r="B72" s="710" t="s">
        <v>1299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302"/>
    </row>
    <row r="73" spans="1:9" ht="20.100000000000001" customHeight="1">
      <c r="A73" s="256"/>
      <c r="B73" s="705"/>
      <c r="C73" s="91"/>
      <c r="D73" s="91"/>
      <c r="E73" s="91"/>
      <c r="F73" s="91"/>
      <c r="G73" s="91"/>
      <c r="H73" s="91"/>
    </row>
    <row r="74" spans="1:9" ht="20.100000000000001" customHeight="1">
      <c r="A74" s="256"/>
      <c r="B74" s="705"/>
      <c r="C74" s="91"/>
      <c r="D74" s="91"/>
      <c r="E74" s="91"/>
      <c r="F74" s="91"/>
      <c r="G74" s="91"/>
      <c r="H74" s="91"/>
    </row>
    <row r="75" spans="1:9" ht="20.100000000000001" customHeight="1">
      <c r="A75" s="256"/>
      <c r="B75" s="705"/>
      <c r="C75" s="91"/>
      <c r="D75" s="91"/>
      <c r="E75" s="91"/>
      <c r="F75" s="91"/>
      <c r="G75" s="91"/>
      <c r="H75" s="91"/>
    </row>
    <row r="76" spans="1:9" ht="20.100000000000001" customHeight="1">
      <c r="A76" s="256"/>
      <c r="B76" s="705"/>
      <c r="C76" s="91"/>
      <c r="D76" s="91"/>
      <c r="E76" s="91"/>
      <c r="F76" s="91"/>
      <c r="G76" s="91"/>
      <c r="H76" s="91"/>
    </row>
    <row r="77" spans="1:9" ht="20.100000000000001" customHeight="1">
      <c r="A77" s="3" t="s">
        <v>1346</v>
      </c>
    </row>
    <row r="78" spans="1:9" ht="18" customHeight="1">
      <c r="A78" s="726" t="s">
        <v>1349</v>
      </c>
      <c r="B78" s="705"/>
      <c r="C78" s="91"/>
      <c r="D78" s="91"/>
      <c r="E78" s="91"/>
      <c r="F78" s="91"/>
      <c r="G78" s="91"/>
      <c r="H78" s="91"/>
    </row>
    <row r="79" spans="1:9" ht="20.100000000000001" customHeight="1">
      <c r="A79" s="869" t="s">
        <v>1273</v>
      </c>
      <c r="B79" s="984" t="s">
        <v>1272</v>
      </c>
      <c r="C79" s="939" t="s">
        <v>1270</v>
      </c>
      <c r="D79" s="939" t="s">
        <v>1268</v>
      </c>
      <c r="E79" s="939"/>
      <c r="F79" s="939"/>
      <c r="G79" s="939"/>
      <c r="H79" s="958" t="s">
        <v>1269</v>
      </c>
      <c r="I79" s="905" t="s">
        <v>1271</v>
      </c>
    </row>
    <row r="80" spans="1:9" ht="20.100000000000001" customHeight="1">
      <c r="A80" s="868"/>
      <c r="B80" s="985"/>
      <c r="C80" s="940"/>
      <c r="D80" s="688" t="s">
        <v>32</v>
      </c>
      <c r="E80" s="688" t="s">
        <v>31</v>
      </c>
      <c r="F80" s="688" t="s">
        <v>30</v>
      </c>
      <c r="G80" s="688" t="s">
        <v>29</v>
      </c>
      <c r="H80" s="959"/>
      <c r="I80" s="916"/>
    </row>
    <row r="81" spans="1:9" ht="20.100000000000001" customHeight="1">
      <c r="A81" s="988" t="s">
        <v>1267</v>
      </c>
      <c r="B81" s="989"/>
      <c r="C81" s="694">
        <f>SUM(C82,C89,C92)</f>
        <v>124662</v>
      </c>
      <c r="D81" s="694">
        <f>SUM(D82,D89,D92)</f>
        <v>6100</v>
      </c>
      <c r="E81" s="694">
        <f>SUM(E82,E89,E92)</f>
        <v>24600</v>
      </c>
      <c r="F81" s="694">
        <f>SUM(F82,F89,F92)</f>
        <v>74800</v>
      </c>
      <c r="G81" s="694">
        <f>SUM(G82,G89,G92)</f>
        <v>74800</v>
      </c>
      <c r="H81" s="695"/>
      <c r="I81" s="716"/>
    </row>
    <row r="82" spans="1:9" ht="20.100000000000001" customHeight="1">
      <c r="A82" s="867" t="s">
        <v>62</v>
      </c>
      <c r="B82" s="706" t="s">
        <v>1275</v>
      </c>
      <c r="C82" s="696">
        <f>SUM(C83:C88)</f>
        <v>74969</v>
      </c>
      <c r="D82" s="696">
        <f>SUM(D83:D88)</f>
        <v>3100</v>
      </c>
      <c r="E82" s="696">
        <f>SUM(E83:E88)</f>
        <v>21600</v>
      </c>
      <c r="F82" s="696">
        <f>SUM(F83:F88)</f>
        <v>45000</v>
      </c>
      <c r="G82" s="696">
        <f>SUM(G83:G88)</f>
        <v>45000</v>
      </c>
      <c r="H82" s="697"/>
      <c r="I82" s="719"/>
    </row>
    <row r="83" spans="1:9" ht="20.100000000000001" customHeight="1">
      <c r="A83" s="867"/>
      <c r="B83" s="708" t="str">
        <f>[16]산업단지!A5</f>
        <v>제6지방산업단지</v>
      </c>
      <c r="C83" s="343">
        <f>[16]산업단지!D5</f>
        <v>39000</v>
      </c>
      <c r="D83" s="343">
        <f>[16]산업단지!F5</f>
        <v>0</v>
      </c>
      <c r="E83" s="343">
        <f>[16]산업단지!G5</f>
        <v>0</v>
      </c>
      <c r="F83" s="343">
        <f>[16]산업단지!H5</f>
        <v>23400</v>
      </c>
      <c r="G83" s="343">
        <f>[16]산업단지!I5</f>
        <v>23400</v>
      </c>
      <c r="H83" s="721">
        <v>0.6</v>
      </c>
      <c r="I83" s="718">
        <v>2020</v>
      </c>
    </row>
    <row r="84" spans="1:9" ht="20.100000000000001" customHeight="1">
      <c r="A84" s="867"/>
      <c r="B84" s="708" t="str">
        <f>[16]도시개발사업!A14</f>
        <v>신월 국민임대주택</v>
      </c>
      <c r="C84" s="343">
        <f>[16]도시개발사업!D14</f>
        <v>14314</v>
      </c>
      <c r="D84" s="343">
        <f>[16]도시개발사업!F14</f>
        <v>0</v>
      </c>
      <c r="E84" s="343">
        <f>[16]도시개발사업!G14</f>
        <v>8600</v>
      </c>
      <c r="F84" s="343">
        <f>[16]도시개발사업!H14</f>
        <v>8600</v>
      </c>
      <c r="G84" s="343">
        <f>[16]도시개발사업!I14</f>
        <v>8600</v>
      </c>
      <c r="H84" s="721">
        <v>0.6</v>
      </c>
      <c r="I84" s="718">
        <v>2015</v>
      </c>
    </row>
    <row r="85" spans="1:9" ht="20.100000000000001" customHeight="1">
      <c r="A85" s="867"/>
      <c r="B85" s="708" t="str">
        <f>[16]도시개발사업!A15</f>
        <v>매주 지구</v>
      </c>
      <c r="C85" s="343">
        <f>[16]도시개발사업!D15</f>
        <v>5122</v>
      </c>
      <c r="D85" s="343">
        <f>[16]도시개발사업!F15</f>
        <v>0</v>
      </c>
      <c r="E85" s="343">
        <f>[16]도시개발사업!G15</f>
        <v>3100</v>
      </c>
      <c r="F85" s="343">
        <f>[16]도시개발사업!H15</f>
        <v>3100</v>
      </c>
      <c r="G85" s="343">
        <f>[16]도시개발사업!I15</f>
        <v>3100</v>
      </c>
      <c r="H85" s="721">
        <v>0.6</v>
      </c>
      <c r="I85" s="718">
        <v>2015</v>
      </c>
    </row>
    <row r="86" spans="1:9" ht="20.100000000000001" customHeight="1">
      <c r="A86" s="867"/>
      <c r="B86" s="708" t="str">
        <f>[16]도시개발사업!A16</f>
        <v>성환 국민임대주택</v>
      </c>
      <c r="C86" s="343">
        <f>[16]도시개발사업!D16</f>
        <v>11117</v>
      </c>
      <c r="D86" s="343">
        <f>[16]도시개발사업!F16</f>
        <v>0</v>
      </c>
      <c r="E86" s="343">
        <f>[16]도시개발사업!G16</f>
        <v>6700</v>
      </c>
      <c r="F86" s="343">
        <f>[16]도시개발사업!H16</f>
        <v>6700</v>
      </c>
      <c r="G86" s="343">
        <f>[16]도시개발사업!I16</f>
        <v>6700</v>
      </c>
      <c r="H86" s="721">
        <v>0.6</v>
      </c>
      <c r="I86" s="718">
        <v>2015</v>
      </c>
    </row>
    <row r="87" spans="1:9" ht="20.100000000000001" customHeight="1">
      <c r="A87" s="867"/>
      <c r="B87" s="708" t="s">
        <v>1278</v>
      </c>
      <c r="C87" s="687">
        <f>SUMIF([16]도시주거환경정비사업!$B$1:$B$65536,$A82,[16]도시주거환경정비사업!$D$1:$D$65536)</f>
        <v>240</v>
      </c>
      <c r="D87" s="687">
        <f>SUMIF([16]도시주거환경정비사업!$B$1:$B$65536,$A82,[16]도시주거환경정비사업!$F$1:$F$65536)</f>
        <v>0</v>
      </c>
      <c r="E87" s="687">
        <f>SUMIF([16]도시주거환경정비사업!$B$1:$B$65536,$A82,[16]도시주거환경정비사업!$G$1:$G$65536)</f>
        <v>100</v>
      </c>
      <c r="F87" s="687">
        <f>SUMIF([16]도시주거환경정비사업!$B$1:$B$65536,$A82,[16]도시주거환경정비사업!$H$1:$H$65536)</f>
        <v>100</v>
      </c>
      <c r="G87" s="687">
        <f>SUMIF([16]도시주거환경정비사업!$B$1:$B$65536,$A82,[16]도시주거환경정비사업!$I$1:$I$65536)</f>
        <v>100</v>
      </c>
      <c r="H87" s="721">
        <v>0.3</v>
      </c>
      <c r="I87" s="718">
        <v>2015</v>
      </c>
    </row>
    <row r="88" spans="1:9" ht="20.100000000000001" customHeight="1">
      <c r="A88" s="867"/>
      <c r="B88" s="708" t="s">
        <v>1274</v>
      </c>
      <c r="C88" s="687">
        <f>SUMIF([16]공동주택건설사업!$B$1:$B$65536,$A82,[16]공동주택건설사업!$D$1:$D$65536)</f>
        <v>5176</v>
      </c>
      <c r="D88" s="687">
        <f>SUMIF([16]공동주택건설사업!$B$1:$B$65536,$A82,[16]공동주택건설사업!$F$1:$F$65536)</f>
        <v>3100</v>
      </c>
      <c r="E88" s="687">
        <f>SUMIF([16]공동주택건설사업!$B$1:$B$65536,$A82,[16]공동주택건설사업!$G$1:$G$65536)</f>
        <v>3100</v>
      </c>
      <c r="F88" s="687">
        <f>SUMIF([16]공동주택건설사업!$B$1:$B$65536,$A82,[16]공동주택건설사업!$H$1:$H$65536)</f>
        <v>3100</v>
      </c>
      <c r="G88" s="687">
        <f>SUMIF([16]공동주택건설사업!$B$1:$B$65536,$A82,[16]공동주택건설사업!$I$1:$I$65536)</f>
        <v>3100</v>
      </c>
      <c r="H88" s="721">
        <v>0.6</v>
      </c>
      <c r="I88" s="718">
        <v>2010</v>
      </c>
    </row>
    <row r="89" spans="1:9" ht="20.100000000000001" customHeight="1">
      <c r="A89" s="867" t="s">
        <v>1277</v>
      </c>
      <c r="B89" s="706" t="s">
        <v>1275</v>
      </c>
      <c r="C89" s="696">
        <f>SUM(C90:C91)</f>
        <v>15708</v>
      </c>
      <c r="D89" s="696">
        <f>SUM(D90:D91)</f>
        <v>2800</v>
      </c>
      <c r="E89" s="696">
        <f>SUM(E90:E91)</f>
        <v>2800</v>
      </c>
      <c r="F89" s="696">
        <f>SUM(F90:F91)</f>
        <v>9400</v>
      </c>
      <c r="G89" s="696">
        <f>SUM(G90:G91)</f>
        <v>9400</v>
      </c>
      <c r="H89" s="697"/>
      <c r="I89" s="719"/>
    </row>
    <row r="90" spans="1:9" ht="20.100000000000001" customHeight="1">
      <c r="A90" s="867"/>
      <c r="B90" s="708" t="str">
        <f>[16]택지개발사업!A6</f>
        <v>북부지구</v>
      </c>
      <c r="C90" s="343">
        <f>[16]택지개발사업!D6</f>
        <v>11000</v>
      </c>
      <c r="D90" s="343">
        <f>[16]택지개발사업!F6</f>
        <v>0</v>
      </c>
      <c r="E90" s="343">
        <f>[16]택지개발사업!G6</f>
        <v>0</v>
      </c>
      <c r="F90" s="343">
        <f>[16]택지개발사업!H6</f>
        <v>6600</v>
      </c>
      <c r="G90" s="343">
        <f>[16]택지개발사업!I6</f>
        <v>6600</v>
      </c>
      <c r="H90" s="721">
        <v>0.6</v>
      </c>
      <c r="I90" s="718">
        <v>2020</v>
      </c>
    </row>
    <row r="91" spans="1:9" ht="20.100000000000001" customHeight="1">
      <c r="A91" s="867"/>
      <c r="B91" s="708" t="s">
        <v>1274</v>
      </c>
      <c r="C91" s="687">
        <f>SUMIF([16]공동주택건설사업!$B$1:$B$65536,$A89,[16]공동주택건설사업!$D$1:$D$65536)</f>
        <v>4708</v>
      </c>
      <c r="D91" s="687">
        <f>SUMIF([16]공동주택건설사업!$B$1:$B$65536,$A89,[16]공동주택건설사업!$F$1:$F$65536)</f>
        <v>2800</v>
      </c>
      <c r="E91" s="687">
        <f>SUMIF([16]공동주택건설사업!$B$1:$B$65536,$A89,[16]공동주택건설사업!$G$1:$G$65536)</f>
        <v>2800</v>
      </c>
      <c r="F91" s="687">
        <f>SUMIF([16]공동주택건설사업!$B$1:$B$65536,$A89,[16]공동주택건설사업!$H$1:$H$65536)</f>
        <v>2800</v>
      </c>
      <c r="G91" s="687">
        <f>SUMIF([16]공동주택건설사업!$B$1:$B$65536,$A89,[16]공동주택건설사업!$I$1:$I$65536)</f>
        <v>2800</v>
      </c>
      <c r="H91" s="721">
        <v>0.6</v>
      </c>
      <c r="I91" s="718">
        <v>2010</v>
      </c>
    </row>
    <row r="92" spans="1:9" ht="20.100000000000001" customHeight="1">
      <c r="A92" s="867" t="s">
        <v>42</v>
      </c>
      <c r="B92" s="706" t="s">
        <v>1275</v>
      </c>
      <c r="C92" s="696">
        <f>SUM(C93:C94)</f>
        <v>33985</v>
      </c>
      <c r="D92" s="696">
        <f>SUM(D93:D94)</f>
        <v>200</v>
      </c>
      <c r="E92" s="696">
        <f>SUM(E93:E94)</f>
        <v>200</v>
      </c>
      <c r="F92" s="696">
        <f>SUM(F93:F94)</f>
        <v>20400</v>
      </c>
      <c r="G92" s="696">
        <f>SUM(G93:G94)</f>
        <v>20400</v>
      </c>
      <c r="H92" s="697"/>
      <c r="I92" s="717"/>
    </row>
    <row r="93" spans="1:9" ht="20.100000000000001" customHeight="1">
      <c r="A93" s="867"/>
      <c r="B93" s="708" t="str">
        <f>[16]도시개발사업!A17</f>
        <v>국제비즈니스파크조성사업</v>
      </c>
      <c r="C93" s="687">
        <f>+[16]도시개발사업!D17</f>
        <v>33600</v>
      </c>
      <c r="D93" s="687">
        <f>+[16]도시개발사업!F17</f>
        <v>0</v>
      </c>
      <c r="E93" s="687">
        <f>+[16]도시개발사업!G17</f>
        <v>0</v>
      </c>
      <c r="F93" s="687">
        <f>+[16]도시개발사업!H17</f>
        <v>20200</v>
      </c>
      <c r="G93" s="687">
        <f>+[16]도시개발사업!I17</f>
        <v>20200</v>
      </c>
      <c r="H93" s="721">
        <v>0.6</v>
      </c>
      <c r="I93" s="718">
        <v>2020</v>
      </c>
    </row>
    <row r="94" spans="1:9" ht="20.100000000000001" customHeight="1">
      <c r="A94" s="868"/>
      <c r="B94" s="709" t="s">
        <v>1274</v>
      </c>
      <c r="C94" s="70">
        <f>SUMIF([16]공동주택건설사업!$B$1:$B$65536,$A92,[16]공동주택건설사업!$D$1:$D$65536)</f>
        <v>385</v>
      </c>
      <c r="D94" s="70">
        <f>SUMIF([16]공동주택건설사업!$B$1:$B$65536,$A92,[16]공동주택건설사업!$F$1:$F$65536)</f>
        <v>200</v>
      </c>
      <c r="E94" s="70">
        <f>SUMIF([16]공동주택건설사업!$B$1:$B$65536,$A92,[16]공동주택건설사업!$G$1:$G$65536)</f>
        <v>200</v>
      </c>
      <c r="F94" s="70">
        <f>SUMIF([16]공동주택건설사업!$B$1:$B$65536,$A92,[16]공동주택건설사업!$H$1:$H$65536)</f>
        <v>200</v>
      </c>
      <c r="G94" s="70">
        <f>SUMIF([16]공동주택건설사업!$B$1:$B$65536,$A92,[16]공동주택건설사업!$I$1:$I$65536)</f>
        <v>200</v>
      </c>
      <c r="H94" s="722">
        <v>0.6</v>
      </c>
      <c r="I94" s="720">
        <v>2010</v>
      </c>
    </row>
    <row r="95" spans="1:9" ht="20.100000000000001" customHeight="1">
      <c r="A95" s="3"/>
      <c r="B95" s="705"/>
      <c r="C95" s="91"/>
      <c r="D95" s="91"/>
      <c r="E95" s="91"/>
      <c r="F95" s="91"/>
      <c r="G95" s="91"/>
      <c r="H95" s="91"/>
    </row>
    <row r="96" spans="1:9" ht="20.100000000000001" customHeight="1">
      <c r="A96" s="726" t="s">
        <v>1348</v>
      </c>
      <c r="D96" s="652"/>
      <c r="E96" s="652"/>
      <c r="F96" s="652"/>
      <c r="G96" s="652"/>
    </row>
    <row r="97" spans="1:8" ht="20.100000000000001" customHeight="1">
      <c r="A97" s="690" t="s">
        <v>1028</v>
      </c>
      <c r="B97" s="713" t="s">
        <v>1285</v>
      </c>
      <c r="C97" s="714" t="s">
        <v>1286</v>
      </c>
      <c r="D97" s="714" t="s">
        <v>32</v>
      </c>
      <c r="E97" s="714" t="s">
        <v>31</v>
      </c>
      <c r="F97" s="714" t="s">
        <v>1289</v>
      </c>
      <c r="G97" s="714" t="s">
        <v>1290</v>
      </c>
      <c r="H97" s="715" t="s">
        <v>1291</v>
      </c>
    </row>
    <row r="98" spans="1:8" ht="20.100000000000001" customHeight="1">
      <c r="A98" s="988" t="s">
        <v>1295</v>
      </c>
      <c r="B98" s="989"/>
      <c r="C98" s="711">
        <f>SUM(C101,C104,C107)</f>
        <v>61641</v>
      </c>
      <c r="D98" s="711">
        <f>SUM(D101,D104,D107)</f>
        <v>77200</v>
      </c>
      <c r="E98" s="711">
        <f>SUM(E101,E104,E107)</f>
        <v>110100</v>
      </c>
      <c r="F98" s="711">
        <f>SUM(F101,F104,F107)</f>
        <v>179800</v>
      </c>
      <c r="G98" s="711">
        <f>SUM(G101,G104,G107)</f>
        <v>183300</v>
      </c>
      <c r="H98" s="712"/>
    </row>
    <row r="99" spans="1:8" ht="20.100000000000001" customHeight="1">
      <c r="A99" s="974" t="s">
        <v>1293</v>
      </c>
      <c r="B99" s="920"/>
      <c r="C99" s="283">
        <f t="shared" ref="C99:G99" si="35">SUM(C102,C105,C108)</f>
        <v>61641</v>
      </c>
      <c r="D99" s="283">
        <f t="shared" si="35"/>
        <v>71100</v>
      </c>
      <c r="E99" s="283">
        <f t="shared" si="35"/>
        <v>85500</v>
      </c>
      <c r="F99" s="283">
        <f t="shared" si="35"/>
        <v>105000</v>
      </c>
      <c r="G99" s="283">
        <f t="shared" si="35"/>
        <v>108500</v>
      </c>
      <c r="H99" s="459"/>
    </row>
    <row r="100" spans="1:8" ht="20.100000000000001" customHeight="1">
      <c r="A100" s="974" t="s">
        <v>1294</v>
      </c>
      <c r="B100" s="920"/>
      <c r="C100" s="283">
        <f t="shared" ref="C100:G100" si="36">SUM(C103,C106,C109)</f>
        <v>0</v>
      </c>
      <c r="D100" s="283">
        <f t="shared" si="36"/>
        <v>6100</v>
      </c>
      <c r="E100" s="283">
        <f t="shared" si="36"/>
        <v>24600</v>
      </c>
      <c r="F100" s="283">
        <f t="shared" si="36"/>
        <v>74800</v>
      </c>
      <c r="G100" s="283">
        <f t="shared" si="36"/>
        <v>74800</v>
      </c>
      <c r="H100" s="459"/>
    </row>
    <row r="101" spans="1:8" ht="20.100000000000001" customHeight="1">
      <c r="A101" s="974" t="s">
        <v>1308</v>
      </c>
      <c r="B101" s="706" t="s">
        <v>1297</v>
      </c>
      <c r="C101" s="541">
        <f>'처리구역별 인구 근거'!D48</f>
        <v>40932</v>
      </c>
      <c r="D101" s="541">
        <f>'처리구역별 인구 근거'!E48</f>
        <v>46700</v>
      </c>
      <c r="E101" s="541">
        <f>'처리구역별 인구 근거'!I48</f>
        <v>79000</v>
      </c>
      <c r="F101" s="541">
        <f>'처리구역별 인구 근거'!M48</f>
        <v>107300</v>
      </c>
      <c r="G101" s="541">
        <f>'처리구역별 인구 근거'!Q48</f>
        <v>109500</v>
      </c>
      <c r="H101" s="546"/>
    </row>
    <row r="102" spans="1:8" ht="20.100000000000001" customHeight="1">
      <c r="A102" s="974"/>
      <c r="B102" s="707" t="s">
        <v>1298</v>
      </c>
      <c r="C102" s="687">
        <f>+C101-C103</f>
        <v>40932</v>
      </c>
      <c r="D102" s="687">
        <f t="shared" ref="D102" si="37">+D101-D103</f>
        <v>43600</v>
      </c>
      <c r="E102" s="687">
        <f t="shared" ref="E102" si="38">+E101-E103</f>
        <v>57400</v>
      </c>
      <c r="F102" s="687">
        <f t="shared" ref="F102" si="39">+F101-F103</f>
        <v>62300</v>
      </c>
      <c r="G102" s="687">
        <f t="shared" ref="G102" si="40">+G101-G103</f>
        <v>64500</v>
      </c>
      <c r="H102" s="547"/>
    </row>
    <row r="103" spans="1:8" ht="20.100000000000001" customHeight="1">
      <c r="A103" s="974"/>
      <c r="B103" s="707" t="s">
        <v>1299</v>
      </c>
      <c r="C103" s="687">
        <v>0</v>
      </c>
      <c r="D103" s="687">
        <f>'4.하수처리인구'!D82</f>
        <v>3100</v>
      </c>
      <c r="E103" s="687">
        <f>'4.하수처리인구'!E82</f>
        <v>21600</v>
      </c>
      <c r="F103" s="687">
        <f>'4.하수처리인구'!F82</f>
        <v>45000</v>
      </c>
      <c r="G103" s="687">
        <f>'4.하수처리인구'!G82</f>
        <v>45000</v>
      </c>
      <c r="H103" s="547"/>
    </row>
    <row r="104" spans="1:8" ht="20.100000000000001" customHeight="1">
      <c r="A104" s="974" t="s">
        <v>1309</v>
      </c>
      <c r="B104" s="706" t="s">
        <v>1297</v>
      </c>
      <c r="C104" s="541">
        <f>'처리구역별 인구 근거'!D52</f>
        <v>20709</v>
      </c>
      <c r="D104" s="541">
        <f>'처리구역별 인구 근거'!E52</f>
        <v>26400</v>
      </c>
      <c r="E104" s="541">
        <f>'처리구역별 인구 근거'!I52</f>
        <v>26600</v>
      </c>
      <c r="F104" s="541">
        <f>'처리구역별 인구 근거'!M52</f>
        <v>34700</v>
      </c>
      <c r="G104" s="541">
        <f>'처리구역별 인구 근거'!Q52</f>
        <v>35800</v>
      </c>
      <c r="H104" s="546"/>
    </row>
    <row r="105" spans="1:8" ht="20.100000000000001" customHeight="1">
      <c r="A105" s="974"/>
      <c r="B105" s="707" t="s">
        <v>1298</v>
      </c>
      <c r="C105" s="687">
        <f>+C104-C106</f>
        <v>20709</v>
      </c>
      <c r="D105" s="687">
        <f t="shared" ref="D105" si="41">+D104-D106</f>
        <v>23600</v>
      </c>
      <c r="E105" s="687">
        <f t="shared" ref="E105" si="42">+E104-E106</f>
        <v>23800</v>
      </c>
      <c r="F105" s="687">
        <f t="shared" ref="F105" si="43">+F104-F106</f>
        <v>25300</v>
      </c>
      <c r="G105" s="687">
        <f t="shared" ref="G105" si="44">+G104-G106</f>
        <v>26400</v>
      </c>
      <c r="H105" s="547"/>
    </row>
    <row r="106" spans="1:8" ht="20.100000000000001" customHeight="1">
      <c r="A106" s="974"/>
      <c r="B106" s="707" t="s">
        <v>1299</v>
      </c>
      <c r="C106" s="687">
        <v>0</v>
      </c>
      <c r="D106" s="687">
        <f>'4.하수처리인구'!D89</f>
        <v>2800</v>
      </c>
      <c r="E106" s="687">
        <f>'4.하수처리인구'!E89</f>
        <v>2800</v>
      </c>
      <c r="F106" s="687">
        <f>'4.하수처리인구'!F89</f>
        <v>9400</v>
      </c>
      <c r="G106" s="687">
        <f>'4.하수처리인구'!G89</f>
        <v>9400</v>
      </c>
      <c r="H106" s="547"/>
    </row>
    <row r="107" spans="1:8" ht="20.100000000000001" customHeight="1">
      <c r="A107" s="974" t="s">
        <v>1310</v>
      </c>
      <c r="B107" s="706" t="s">
        <v>1297</v>
      </c>
      <c r="C107" s="541">
        <f>'처리구역별 인구 근거'!D57</f>
        <v>0</v>
      </c>
      <c r="D107" s="541">
        <f>'처리구역별 인구 근거'!E57</f>
        <v>4100</v>
      </c>
      <c r="E107" s="541">
        <f>'처리구역별 인구 근거'!I57</f>
        <v>4500</v>
      </c>
      <c r="F107" s="541">
        <f>'처리구역별 인구 근거'!M57</f>
        <v>37800</v>
      </c>
      <c r="G107" s="541">
        <f>'처리구역별 인구 근거'!Q57</f>
        <v>38000</v>
      </c>
      <c r="H107" s="546"/>
    </row>
    <row r="108" spans="1:8" ht="20.100000000000001" customHeight="1">
      <c r="A108" s="974"/>
      <c r="B108" s="707" t="s">
        <v>1298</v>
      </c>
      <c r="C108" s="687">
        <f>+C107-C109</f>
        <v>0</v>
      </c>
      <c r="D108" s="687">
        <f t="shared" ref="D108" si="45">+D107-D109</f>
        <v>3900</v>
      </c>
      <c r="E108" s="687">
        <f t="shared" ref="E108" si="46">+E107-E109</f>
        <v>4300</v>
      </c>
      <c r="F108" s="687">
        <f t="shared" ref="F108" si="47">+F107-F109</f>
        <v>17400</v>
      </c>
      <c r="G108" s="687">
        <f t="shared" ref="G108" si="48">+G107-G109</f>
        <v>17600</v>
      </c>
      <c r="H108" s="547"/>
    </row>
    <row r="109" spans="1:8" ht="20.100000000000001" customHeight="1">
      <c r="A109" s="794"/>
      <c r="B109" s="710" t="s">
        <v>1299</v>
      </c>
      <c r="C109" s="70">
        <v>0</v>
      </c>
      <c r="D109" s="70">
        <f>'4.하수처리인구'!D92</f>
        <v>200</v>
      </c>
      <c r="E109" s="70">
        <f>'4.하수처리인구'!E92</f>
        <v>200</v>
      </c>
      <c r="F109" s="70">
        <f>'4.하수처리인구'!F92</f>
        <v>20400</v>
      </c>
      <c r="G109" s="70">
        <f>'4.하수처리인구'!G92</f>
        <v>20400</v>
      </c>
      <c r="H109" s="302"/>
    </row>
    <row r="110" spans="1:8" ht="20.100000000000001" customHeight="1">
      <c r="A110" s="3"/>
      <c r="B110" s="705"/>
      <c r="C110" s="91"/>
      <c r="D110" s="91"/>
      <c r="E110" s="91"/>
      <c r="F110" s="91"/>
      <c r="G110" s="91"/>
      <c r="H110" s="91"/>
    </row>
    <row r="111" spans="1:8" ht="20.100000000000001" customHeight="1">
      <c r="A111" s="3"/>
      <c r="B111" s="705"/>
      <c r="C111" s="91"/>
      <c r="D111" s="91"/>
      <c r="E111" s="91"/>
      <c r="F111" s="91"/>
      <c r="G111" s="91"/>
      <c r="H111" s="91"/>
    </row>
    <row r="112" spans="1:8" ht="20.100000000000001" customHeight="1">
      <c r="A112" s="3"/>
      <c r="B112" s="705"/>
      <c r="C112" s="91"/>
      <c r="D112" s="91"/>
      <c r="E112" s="91"/>
      <c r="F112" s="91"/>
      <c r="G112" s="91"/>
      <c r="H112" s="91"/>
    </row>
    <row r="113" spans="1:9" ht="18.600000000000001" customHeight="1">
      <c r="A113" s="3" t="s">
        <v>1347</v>
      </c>
    </row>
    <row r="114" spans="1:9" ht="18.600000000000001" customHeight="1">
      <c r="A114" s="726" t="s">
        <v>1350</v>
      </c>
    </row>
    <row r="115" spans="1:9" ht="18.600000000000001" customHeight="1">
      <c r="A115" s="869" t="s">
        <v>1273</v>
      </c>
      <c r="B115" s="984" t="s">
        <v>1272</v>
      </c>
      <c r="C115" s="939" t="s">
        <v>1270</v>
      </c>
      <c r="D115" s="939" t="s">
        <v>1268</v>
      </c>
      <c r="E115" s="939"/>
      <c r="F115" s="939"/>
      <c r="G115" s="939"/>
      <c r="H115" s="958" t="s">
        <v>1269</v>
      </c>
      <c r="I115" s="905" t="s">
        <v>1271</v>
      </c>
    </row>
    <row r="116" spans="1:9" ht="18.600000000000001" customHeight="1">
      <c r="A116" s="868"/>
      <c r="B116" s="985"/>
      <c r="C116" s="940"/>
      <c r="D116" s="688" t="s">
        <v>32</v>
      </c>
      <c r="E116" s="688" t="s">
        <v>31</v>
      </c>
      <c r="F116" s="688" t="s">
        <v>30</v>
      </c>
      <c r="G116" s="688" t="s">
        <v>29</v>
      </c>
      <c r="H116" s="959"/>
      <c r="I116" s="916"/>
    </row>
    <row r="117" spans="1:9" ht="18.600000000000001" customHeight="1">
      <c r="A117" s="988" t="s">
        <v>1267</v>
      </c>
      <c r="B117" s="989"/>
      <c r="C117" s="694">
        <f>SUM(C118,C120)</f>
        <v>3439</v>
      </c>
      <c r="D117" s="694">
        <f>SUM(D118,D120)</f>
        <v>200</v>
      </c>
      <c r="E117" s="694">
        <f>SUM(E118,E120)</f>
        <v>2000</v>
      </c>
      <c r="F117" s="694">
        <f>SUM(F118,F120)</f>
        <v>2000</v>
      </c>
      <c r="G117" s="694">
        <f>SUM(G118,G120)</f>
        <v>2000</v>
      </c>
      <c r="H117" s="695"/>
      <c r="I117" s="716"/>
    </row>
    <row r="118" spans="1:9" ht="18.600000000000001" customHeight="1">
      <c r="A118" s="867" t="s">
        <v>47</v>
      </c>
      <c r="B118" s="706" t="s">
        <v>1275</v>
      </c>
      <c r="C118" s="696">
        <f>SUM(C119:C119)</f>
        <v>3048</v>
      </c>
      <c r="D118" s="696">
        <f>SUM(D119:D119)</f>
        <v>0</v>
      </c>
      <c r="E118" s="696">
        <f>SUM(E119:E119)</f>
        <v>1800</v>
      </c>
      <c r="F118" s="696">
        <f>SUM(F119:F119)</f>
        <v>1800</v>
      </c>
      <c r="G118" s="696">
        <f>SUM(G119:G119)</f>
        <v>1800</v>
      </c>
      <c r="H118" s="697"/>
      <c r="I118" s="719"/>
    </row>
    <row r="119" spans="1:9" ht="18.600000000000001" customHeight="1">
      <c r="A119" s="867"/>
      <c r="B119" s="708" t="str">
        <f>+[16]산업단지!A4</f>
        <v>제5지방산업단지</v>
      </c>
      <c r="C119" s="343">
        <f>+[16]산업단지!D4</f>
        <v>3048</v>
      </c>
      <c r="D119" s="343">
        <f>+[16]산업단지!F4</f>
        <v>0</v>
      </c>
      <c r="E119" s="343">
        <f>+[16]산업단지!G4</f>
        <v>1800</v>
      </c>
      <c r="F119" s="343">
        <f>+[16]산업단지!H4</f>
        <v>1800</v>
      </c>
      <c r="G119" s="343">
        <f>+[16]산업단지!I4</f>
        <v>1800</v>
      </c>
      <c r="H119" s="721">
        <v>0.6</v>
      </c>
      <c r="I119" s="718">
        <v>2015</v>
      </c>
    </row>
    <row r="120" spans="1:9" ht="18.600000000000001" customHeight="1">
      <c r="A120" s="867" t="s">
        <v>1276</v>
      </c>
      <c r="B120" s="706" t="s">
        <v>1275</v>
      </c>
      <c r="C120" s="696">
        <f>SUM(C121:C121)</f>
        <v>391</v>
      </c>
      <c r="D120" s="696">
        <f>SUM(D121:D121)</f>
        <v>200</v>
      </c>
      <c r="E120" s="696">
        <f>SUM(E121:E121)</f>
        <v>200</v>
      </c>
      <c r="F120" s="696">
        <f>SUM(F121:F121)</f>
        <v>200</v>
      </c>
      <c r="G120" s="696">
        <f>SUM(G121:G121)</f>
        <v>200</v>
      </c>
      <c r="H120" s="697"/>
      <c r="I120" s="717"/>
    </row>
    <row r="121" spans="1:9" ht="18.600000000000001" customHeight="1">
      <c r="A121" s="868"/>
      <c r="B121" s="709" t="s">
        <v>1274</v>
      </c>
      <c r="C121" s="70">
        <f>SUMIF([16]공동주택건설사업!$B$1:$B$65536,$A120,[16]공동주택건설사업!$D$1:$D$65536)</f>
        <v>391</v>
      </c>
      <c r="D121" s="70">
        <f>SUMIF([16]공동주택건설사업!$B$1:$B$65536,$A120,[16]공동주택건설사업!$F$1:$F$65536)</f>
        <v>200</v>
      </c>
      <c r="E121" s="70">
        <f>SUMIF([16]공동주택건설사업!$B$1:$B$65536,$A120,[16]공동주택건설사업!$G$1:$G$65536)</f>
        <v>200</v>
      </c>
      <c r="F121" s="70">
        <f>SUMIF([16]공동주택건설사업!$B$1:$B$65536,$A120,[16]공동주택건설사업!$H$1:$H$65536)</f>
        <v>200</v>
      </c>
      <c r="G121" s="70">
        <f>SUMIF([16]공동주택건설사업!$B$1:$B$65536,$A120,[16]공동주택건설사업!$I$1:$I$65536)</f>
        <v>200</v>
      </c>
      <c r="H121" s="722">
        <v>0.6</v>
      </c>
      <c r="I121" s="720">
        <v>2010</v>
      </c>
    </row>
    <row r="122" spans="1:9" ht="18.600000000000001" customHeight="1">
      <c r="A122" s="340"/>
      <c r="B122" s="727"/>
      <c r="C122" s="91"/>
      <c r="D122" s="91"/>
      <c r="E122" s="91"/>
      <c r="F122" s="91"/>
      <c r="G122" s="91"/>
      <c r="H122" s="728"/>
      <c r="I122" s="729"/>
    </row>
    <row r="123" spans="1:9" ht="18.600000000000001" customHeight="1">
      <c r="A123" s="726" t="s">
        <v>1351</v>
      </c>
      <c r="D123" s="652"/>
      <c r="E123" s="652"/>
      <c r="F123" s="652"/>
      <c r="G123" s="652"/>
    </row>
    <row r="124" spans="1:9" ht="18.600000000000001" customHeight="1">
      <c r="A124" s="690" t="s">
        <v>1028</v>
      </c>
      <c r="B124" s="713" t="s">
        <v>1285</v>
      </c>
      <c r="C124" s="714" t="s">
        <v>1286</v>
      </c>
      <c r="D124" s="714" t="s">
        <v>32</v>
      </c>
      <c r="E124" s="714" t="s">
        <v>31</v>
      </c>
      <c r="F124" s="714" t="s">
        <v>1289</v>
      </c>
      <c r="G124" s="714" t="s">
        <v>1290</v>
      </c>
      <c r="H124" s="715" t="s">
        <v>1291</v>
      </c>
    </row>
    <row r="125" spans="1:9" ht="18.600000000000001" customHeight="1">
      <c r="A125" s="988" t="s">
        <v>1295</v>
      </c>
      <c r="B125" s="989"/>
      <c r="C125" s="711">
        <f>SUM(C128,C131,C134)</f>
        <v>12035</v>
      </c>
      <c r="D125" s="711">
        <f>SUM(D128,D131,D134)</f>
        <v>26900</v>
      </c>
      <c r="E125" s="711">
        <f>SUM(E128,E131,E134)</f>
        <v>32900</v>
      </c>
      <c r="F125" s="711">
        <f>SUM(F128,F131,F134)</f>
        <v>33300</v>
      </c>
      <c r="G125" s="711">
        <f>SUM(G128,G131,G134)</f>
        <v>34000</v>
      </c>
      <c r="H125" s="712"/>
    </row>
    <row r="126" spans="1:9" ht="18.600000000000001" customHeight="1">
      <c r="A126" s="974" t="s">
        <v>1293</v>
      </c>
      <c r="B126" s="920"/>
      <c r="C126" s="283">
        <f t="shared" ref="C126:G126" si="49">SUM(C129,C132,C135)</f>
        <v>12035</v>
      </c>
      <c r="D126" s="283">
        <f t="shared" si="49"/>
        <v>26700</v>
      </c>
      <c r="E126" s="283">
        <f t="shared" si="49"/>
        <v>30900</v>
      </c>
      <c r="F126" s="283">
        <f t="shared" si="49"/>
        <v>31300</v>
      </c>
      <c r="G126" s="283">
        <f t="shared" si="49"/>
        <v>32000</v>
      </c>
      <c r="H126" s="459"/>
    </row>
    <row r="127" spans="1:9" ht="18.600000000000001" customHeight="1">
      <c r="A127" s="974" t="s">
        <v>1294</v>
      </c>
      <c r="B127" s="920"/>
      <c r="C127" s="283">
        <f t="shared" ref="C127:G127" si="50">SUM(C130,C133,C136)</f>
        <v>0</v>
      </c>
      <c r="D127" s="283">
        <f t="shared" si="50"/>
        <v>200</v>
      </c>
      <c r="E127" s="283">
        <f t="shared" si="50"/>
        <v>2000</v>
      </c>
      <c r="F127" s="283">
        <f t="shared" si="50"/>
        <v>2000</v>
      </c>
      <c r="G127" s="283">
        <f t="shared" si="50"/>
        <v>2000</v>
      </c>
      <c r="H127" s="459"/>
    </row>
    <row r="128" spans="1:9" ht="18.600000000000001" customHeight="1">
      <c r="A128" s="974" t="s">
        <v>1311</v>
      </c>
      <c r="B128" s="706" t="s">
        <v>1297</v>
      </c>
      <c r="C128" s="541">
        <f>'처리구역별 인구 근거'!D61</f>
        <v>5412</v>
      </c>
      <c r="D128" s="541">
        <f>'처리구역별 인구 근거'!E61</f>
        <v>8400</v>
      </c>
      <c r="E128" s="541">
        <f>'처리구역별 인구 근거'!I61</f>
        <v>9800</v>
      </c>
      <c r="F128" s="541">
        <f>'처리구역별 인구 근거'!M61</f>
        <v>9900</v>
      </c>
      <c r="G128" s="541">
        <f>'처리구역별 인구 근거'!Q61</f>
        <v>10200</v>
      </c>
      <c r="H128" s="546"/>
    </row>
    <row r="129" spans="1:8" ht="18.600000000000001" customHeight="1">
      <c r="A129" s="974"/>
      <c r="B129" s="707" t="s">
        <v>1298</v>
      </c>
      <c r="C129" s="687">
        <f>+C128-C130</f>
        <v>5412</v>
      </c>
      <c r="D129" s="687">
        <f t="shared" ref="D129" si="51">+D128-D130</f>
        <v>8400</v>
      </c>
      <c r="E129" s="687">
        <f t="shared" ref="E129" si="52">+E128-E130</f>
        <v>9800</v>
      </c>
      <c r="F129" s="687">
        <f t="shared" ref="F129" si="53">+F128-F130</f>
        <v>9900</v>
      </c>
      <c r="G129" s="687">
        <f t="shared" ref="G129" si="54">+G128-G130</f>
        <v>10200</v>
      </c>
      <c r="H129" s="547"/>
    </row>
    <row r="130" spans="1:8" ht="18.600000000000001" customHeight="1">
      <c r="A130" s="974"/>
      <c r="B130" s="707" t="s">
        <v>1299</v>
      </c>
      <c r="C130" s="687">
        <v>0</v>
      </c>
      <c r="D130" s="687">
        <v>0</v>
      </c>
      <c r="E130" s="687">
        <v>0</v>
      </c>
      <c r="F130" s="687">
        <v>0</v>
      </c>
      <c r="G130" s="687">
        <v>0</v>
      </c>
      <c r="H130" s="547"/>
    </row>
    <row r="131" spans="1:8" ht="18.600000000000001" customHeight="1">
      <c r="A131" s="974" t="s">
        <v>1312</v>
      </c>
      <c r="B131" s="706" t="s">
        <v>1297</v>
      </c>
      <c r="C131" s="541">
        <f>'처리구역별 인구 근거'!D66</f>
        <v>4001</v>
      </c>
      <c r="D131" s="541">
        <f>'처리구역별 인구 근거'!E66</f>
        <v>15000</v>
      </c>
      <c r="E131" s="541">
        <f>'처리구역별 인구 근거'!I66</f>
        <v>19600</v>
      </c>
      <c r="F131" s="541">
        <f>'처리구역별 인구 근거'!M66</f>
        <v>19900</v>
      </c>
      <c r="G131" s="541">
        <f>'처리구역별 인구 근거'!Q66</f>
        <v>20200</v>
      </c>
      <c r="H131" s="546"/>
    </row>
    <row r="132" spans="1:8" ht="18.600000000000001" customHeight="1">
      <c r="A132" s="974"/>
      <c r="B132" s="707" t="s">
        <v>1298</v>
      </c>
      <c r="C132" s="687">
        <f>+C131-C133</f>
        <v>4001</v>
      </c>
      <c r="D132" s="687">
        <f t="shared" ref="D132" si="55">+D131-D133</f>
        <v>15000</v>
      </c>
      <c r="E132" s="687">
        <f t="shared" ref="E132" si="56">+E131-E133</f>
        <v>17800</v>
      </c>
      <c r="F132" s="687">
        <f t="shared" ref="F132" si="57">+F131-F133</f>
        <v>18100</v>
      </c>
      <c r="G132" s="687">
        <f t="shared" ref="G132" si="58">+G131-G133</f>
        <v>18400</v>
      </c>
      <c r="H132" s="547"/>
    </row>
    <row r="133" spans="1:8" ht="18.600000000000001" customHeight="1">
      <c r="A133" s="974"/>
      <c r="B133" s="707" t="s">
        <v>1299</v>
      </c>
      <c r="C133" s="687">
        <v>0</v>
      </c>
      <c r="D133" s="687">
        <f>'4.하수처리인구'!D118</f>
        <v>0</v>
      </c>
      <c r="E133" s="687">
        <f>'4.하수처리인구'!E118</f>
        <v>1800</v>
      </c>
      <c r="F133" s="687">
        <f>'4.하수처리인구'!F118</f>
        <v>1800</v>
      </c>
      <c r="G133" s="687">
        <f>'4.하수처리인구'!G118</f>
        <v>1800</v>
      </c>
      <c r="H133" s="547"/>
    </row>
    <row r="134" spans="1:8" ht="18.600000000000001" customHeight="1">
      <c r="A134" s="957" t="s">
        <v>1313</v>
      </c>
      <c r="B134" s="706" t="s">
        <v>1297</v>
      </c>
      <c r="C134" s="541">
        <f>'처리구역별 인구 근거'!D70</f>
        <v>2622</v>
      </c>
      <c r="D134" s="541">
        <f>'처리구역별 인구 근거'!E70</f>
        <v>3500</v>
      </c>
      <c r="E134" s="541">
        <f>'처리구역별 인구 근거'!I70</f>
        <v>3500</v>
      </c>
      <c r="F134" s="541">
        <f>'처리구역별 인구 근거'!M70</f>
        <v>3500</v>
      </c>
      <c r="G134" s="541">
        <f>'처리구역별 인구 근거'!Q70</f>
        <v>3600</v>
      </c>
      <c r="H134" s="546"/>
    </row>
    <row r="135" spans="1:8" ht="18.600000000000001" customHeight="1">
      <c r="A135" s="790"/>
      <c r="B135" s="707" t="s">
        <v>1298</v>
      </c>
      <c r="C135" s="687">
        <f>+C134-C136</f>
        <v>2622</v>
      </c>
      <c r="D135" s="687">
        <f t="shared" ref="D135" si="59">+D134-D136</f>
        <v>3300</v>
      </c>
      <c r="E135" s="687">
        <f t="shared" ref="E135" si="60">+E134-E136</f>
        <v>3300</v>
      </c>
      <c r="F135" s="687">
        <f t="shared" ref="F135" si="61">+F134-F136</f>
        <v>3300</v>
      </c>
      <c r="G135" s="687">
        <f t="shared" ref="G135" si="62">+G134-G136</f>
        <v>3400</v>
      </c>
      <c r="H135" s="547"/>
    </row>
    <row r="136" spans="1:8" ht="18.600000000000001" customHeight="1">
      <c r="A136" s="894"/>
      <c r="B136" s="710" t="s">
        <v>1299</v>
      </c>
      <c r="C136" s="70">
        <v>0</v>
      </c>
      <c r="D136" s="70">
        <f>'4.하수처리인구'!D120</f>
        <v>200</v>
      </c>
      <c r="E136" s="70">
        <f>'4.하수처리인구'!E120</f>
        <v>200</v>
      </c>
      <c r="F136" s="70">
        <f>'4.하수처리인구'!F120</f>
        <v>200</v>
      </c>
      <c r="G136" s="70">
        <f>'4.하수처리인구'!G120</f>
        <v>200</v>
      </c>
      <c r="H136" s="302"/>
    </row>
    <row r="137" spans="1:8" ht="18.600000000000001" customHeight="1">
      <c r="A137" s="256"/>
      <c r="B137" s="705"/>
      <c r="C137" s="91"/>
      <c r="D137" s="91"/>
      <c r="E137" s="91"/>
      <c r="F137" s="91"/>
      <c r="G137" s="91"/>
      <c r="H137" s="91"/>
    </row>
    <row r="138" spans="1:8" ht="18.600000000000001" customHeight="1">
      <c r="A138" s="3" t="s">
        <v>1352</v>
      </c>
    </row>
    <row r="139" spans="1:8" ht="18.600000000000001" customHeight="1">
      <c r="A139" s="690" t="s">
        <v>1214</v>
      </c>
      <c r="B139" s="704" t="s">
        <v>1285</v>
      </c>
      <c r="C139" s="689" t="s">
        <v>1286</v>
      </c>
      <c r="D139" s="550" t="s">
        <v>1287</v>
      </c>
      <c r="E139" s="550" t="s">
        <v>1288</v>
      </c>
      <c r="F139" s="689" t="s">
        <v>1289</v>
      </c>
      <c r="G139" s="689" t="s">
        <v>1290</v>
      </c>
      <c r="H139" s="551" t="s">
        <v>1291</v>
      </c>
    </row>
    <row r="140" spans="1:8" ht="18.600000000000001" customHeight="1">
      <c r="A140" s="986" t="s">
        <v>1292</v>
      </c>
      <c r="B140" s="987"/>
      <c r="C140" s="543">
        <f>SUM(C141:C142)</f>
        <v>451157</v>
      </c>
      <c r="D140" s="543">
        <f>SUM(D141:D142)</f>
        <v>545800</v>
      </c>
      <c r="E140" s="543">
        <f>SUM(E141:E142)</f>
        <v>643900</v>
      </c>
      <c r="F140" s="543">
        <f>SUM(F141:F142)</f>
        <v>724900</v>
      </c>
      <c r="G140" s="543">
        <f>SUM(G141:G142)</f>
        <v>745900</v>
      </c>
      <c r="H140" s="549"/>
    </row>
    <row r="141" spans="1:8" ht="18.600000000000001" customHeight="1">
      <c r="A141" s="974" t="s">
        <v>1293</v>
      </c>
      <c r="B141" s="920"/>
      <c r="C141" s="283">
        <f t="shared" ref="C141:G142" si="63">SUM(C144,C147,C150)</f>
        <v>451157</v>
      </c>
      <c r="D141" s="283">
        <f t="shared" si="63"/>
        <v>493700</v>
      </c>
      <c r="E141" s="283">
        <f t="shared" si="63"/>
        <v>530500</v>
      </c>
      <c r="F141" s="283">
        <f t="shared" si="63"/>
        <v>547800</v>
      </c>
      <c r="G141" s="283">
        <f t="shared" si="63"/>
        <v>568800</v>
      </c>
      <c r="H141" s="459"/>
    </row>
    <row r="142" spans="1:8" ht="18.600000000000001" customHeight="1">
      <c r="A142" s="974" t="s">
        <v>1294</v>
      </c>
      <c r="B142" s="920"/>
      <c r="C142" s="283">
        <f t="shared" si="63"/>
        <v>0</v>
      </c>
      <c r="D142" s="283">
        <f t="shared" si="63"/>
        <v>52100</v>
      </c>
      <c r="E142" s="283">
        <f t="shared" si="63"/>
        <v>113400</v>
      </c>
      <c r="F142" s="283">
        <f t="shared" si="63"/>
        <v>177100</v>
      </c>
      <c r="G142" s="283">
        <f t="shared" si="63"/>
        <v>177100</v>
      </c>
      <c r="H142" s="459"/>
    </row>
    <row r="143" spans="1:8" ht="18.600000000000001" customHeight="1">
      <c r="A143" s="957" t="s">
        <v>1335</v>
      </c>
      <c r="B143" s="707" t="s">
        <v>1338</v>
      </c>
      <c r="C143" s="283">
        <f>SUM(C144:C145)</f>
        <v>377481</v>
      </c>
      <c r="D143" s="283">
        <f t="shared" ref="D143:G143" si="64">SUM(D144:D145)</f>
        <v>441700</v>
      </c>
      <c r="E143" s="283">
        <f t="shared" si="64"/>
        <v>500900</v>
      </c>
      <c r="F143" s="283">
        <f t="shared" si="64"/>
        <v>511800</v>
      </c>
      <c r="G143" s="283">
        <f t="shared" si="64"/>
        <v>528600</v>
      </c>
      <c r="H143" s="459"/>
    </row>
    <row r="144" spans="1:8" ht="18.600000000000001" customHeight="1">
      <c r="A144" s="790"/>
      <c r="B144" s="707" t="s">
        <v>1339</v>
      </c>
      <c r="C144" s="283">
        <f t="shared" ref="C144:G145" si="65">C44</f>
        <v>377481</v>
      </c>
      <c r="D144" s="283">
        <f t="shared" si="65"/>
        <v>395900</v>
      </c>
      <c r="E144" s="283">
        <f t="shared" si="65"/>
        <v>414100</v>
      </c>
      <c r="F144" s="283">
        <f t="shared" si="65"/>
        <v>411500</v>
      </c>
      <c r="G144" s="283">
        <f t="shared" si="65"/>
        <v>428300</v>
      </c>
      <c r="H144" s="459"/>
    </row>
    <row r="145" spans="1:9" ht="18.600000000000001" customHeight="1">
      <c r="A145" s="791"/>
      <c r="B145" s="707" t="s">
        <v>1340</v>
      </c>
      <c r="C145" s="283">
        <f t="shared" si="65"/>
        <v>0</v>
      </c>
      <c r="D145" s="283">
        <f t="shared" si="65"/>
        <v>45800</v>
      </c>
      <c r="E145" s="283">
        <f t="shared" si="65"/>
        <v>86800</v>
      </c>
      <c r="F145" s="283">
        <f t="shared" si="65"/>
        <v>100300</v>
      </c>
      <c r="G145" s="283">
        <f t="shared" si="65"/>
        <v>100300</v>
      </c>
      <c r="H145" s="459"/>
    </row>
    <row r="146" spans="1:9" ht="18.600000000000001" customHeight="1">
      <c r="A146" s="957" t="s">
        <v>1336</v>
      </c>
      <c r="B146" s="707" t="s">
        <v>1338</v>
      </c>
      <c r="C146" s="283">
        <f>SUM(C147:C148)</f>
        <v>61641</v>
      </c>
      <c r="D146" s="283">
        <f t="shared" ref="D146:G146" si="66">SUM(D147:D148)</f>
        <v>77200</v>
      </c>
      <c r="E146" s="283">
        <f t="shared" si="66"/>
        <v>110100</v>
      </c>
      <c r="F146" s="283">
        <f t="shared" si="66"/>
        <v>179800</v>
      </c>
      <c r="G146" s="283">
        <f t="shared" si="66"/>
        <v>183300</v>
      </c>
      <c r="H146" s="459"/>
    </row>
    <row r="147" spans="1:9" ht="18.600000000000001" customHeight="1">
      <c r="A147" s="790"/>
      <c r="B147" s="707" t="s">
        <v>1339</v>
      </c>
      <c r="C147" s="283">
        <f t="shared" ref="C147:G148" si="67">C99</f>
        <v>61641</v>
      </c>
      <c r="D147" s="283">
        <f t="shared" si="67"/>
        <v>71100</v>
      </c>
      <c r="E147" s="283">
        <f t="shared" si="67"/>
        <v>85500</v>
      </c>
      <c r="F147" s="283">
        <f t="shared" si="67"/>
        <v>105000</v>
      </c>
      <c r="G147" s="283">
        <f t="shared" si="67"/>
        <v>108500</v>
      </c>
      <c r="H147" s="459"/>
    </row>
    <row r="148" spans="1:9" ht="18.600000000000001" customHeight="1">
      <c r="A148" s="791"/>
      <c r="B148" s="707" t="s">
        <v>1340</v>
      </c>
      <c r="C148" s="283">
        <f t="shared" si="67"/>
        <v>0</v>
      </c>
      <c r="D148" s="283">
        <f t="shared" si="67"/>
        <v>6100</v>
      </c>
      <c r="E148" s="283">
        <f t="shared" si="67"/>
        <v>24600</v>
      </c>
      <c r="F148" s="283">
        <f t="shared" si="67"/>
        <v>74800</v>
      </c>
      <c r="G148" s="283">
        <f t="shared" si="67"/>
        <v>74800</v>
      </c>
      <c r="H148" s="459"/>
    </row>
    <row r="149" spans="1:9" ht="18.600000000000001" customHeight="1">
      <c r="A149" s="957" t="s">
        <v>1337</v>
      </c>
      <c r="B149" s="707" t="s">
        <v>1338</v>
      </c>
      <c r="C149" s="283">
        <f>SUM(C150:C151)</f>
        <v>12035</v>
      </c>
      <c r="D149" s="283">
        <f t="shared" ref="D149:G149" si="68">SUM(D150:D151)</f>
        <v>26900</v>
      </c>
      <c r="E149" s="283">
        <f t="shared" si="68"/>
        <v>32900</v>
      </c>
      <c r="F149" s="283">
        <f t="shared" si="68"/>
        <v>33300</v>
      </c>
      <c r="G149" s="283">
        <f t="shared" si="68"/>
        <v>34000</v>
      </c>
      <c r="H149" s="459"/>
    </row>
    <row r="150" spans="1:9" ht="18.600000000000001" customHeight="1">
      <c r="A150" s="790"/>
      <c r="B150" s="707" t="s">
        <v>1339</v>
      </c>
      <c r="C150" s="283">
        <f t="shared" ref="C150:G151" si="69">C126</f>
        <v>12035</v>
      </c>
      <c r="D150" s="283">
        <f t="shared" si="69"/>
        <v>26700</v>
      </c>
      <c r="E150" s="283">
        <f t="shared" si="69"/>
        <v>30900</v>
      </c>
      <c r="F150" s="283">
        <f t="shared" si="69"/>
        <v>31300</v>
      </c>
      <c r="G150" s="283">
        <f t="shared" si="69"/>
        <v>32000</v>
      </c>
      <c r="H150" s="459"/>
    </row>
    <row r="151" spans="1:9" ht="18.600000000000001" customHeight="1">
      <c r="A151" s="894"/>
      <c r="B151" s="710" t="s">
        <v>1340</v>
      </c>
      <c r="C151" s="463">
        <f t="shared" si="69"/>
        <v>0</v>
      </c>
      <c r="D151" s="463">
        <f t="shared" si="69"/>
        <v>200</v>
      </c>
      <c r="E151" s="463">
        <f t="shared" si="69"/>
        <v>2000</v>
      </c>
      <c r="F151" s="463">
        <f t="shared" si="69"/>
        <v>2000</v>
      </c>
      <c r="G151" s="463">
        <f t="shared" si="69"/>
        <v>2000</v>
      </c>
      <c r="H151" s="464"/>
    </row>
    <row r="153" spans="1:9" ht="20.100000000000001" customHeight="1">
      <c r="A153" s="3" t="s">
        <v>1341</v>
      </c>
    </row>
    <row r="154" spans="1:9" ht="20.100000000000001" customHeight="1">
      <c r="A154" s="869" t="s">
        <v>1273</v>
      </c>
      <c r="B154" s="984" t="s">
        <v>1272</v>
      </c>
      <c r="C154" s="939" t="s">
        <v>1270</v>
      </c>
      <c r="D154" s="939" t="s">
        <v>1268</v>
      </c>
      <c r="E154" s="939"/>
      <c r="F154" s="939"/>
      <c r="G154" s="939"/>
      <c r="H154" s="958" t="s">
        <v>1269</v>
      </c>
      <c r="I154" s="905" t="s">
        <v>1271</v>
      </c>
    </row>
    <row r="155" spans="1:9" ht="20.100000000000001" customHeight="1">
      <c r="A155" s="868"/>
      <c r="B155" s="985"/>
      <c r="C155" s="940"/>
      <c r="D155" s="688" t="s">
        <v>32</v>
      </c>
      <c r="E155" s="688" t="s">
        <v>31</v>
      </c>
      <c r="F155" s="688" t="s">
        <v>30</v>
      </c>
      <c r="G155" s="688" t="s">
        <v>29</v>
      </c>
      <c r="H155" s="959"/>
      <c r="I155" s="916"/>
    </row>
    <row r="156" spans="1:9" ht="20.100000000000001" customHeight="1">
      <c r="A156" s="980" t="s">
        <v>1267</v>
      </c>
      <c r="B156" s="981"/>
      <c r="C156" s="698">
        <f>SUM(C157:C162)</f>
        <v>28584</v>
      </c>
      <c r="D156" s="698">
        <f>SUM(D157:D162)</f>
        <v>0</v>
      </c>
      <c r="E156" s="698">
        <f>SUM(E157:E162)</f>
        <v>3200</v>
      </c>
      <c r="F156" s="698">
        <f>SUM(F157:F162)</f>
        <v>17200</v>
      </c>
      <c r="G156" s="698">
        <f>SUM(G157:G162)</f>
        <v>17200</v>
      </c>
      <c r="H156" s="699"/>
      <c r="I156" s="723"/>
    </row>
    <row r="157" spans="1:9" ht="20.100000000000001" customHeight="1">
      <c r="A157" s="927" t="s">
        <v>1334</v>
      </c>
      <c r="B157" s="708" t="str">
        <f>[16]산업단지!A6</f>
        <v>풍세 일반산업단지</v>
      </c>
      <c r="C157" s="343">
        <f>[16]산업단지!D6</f>
        <v>5400</v>
      </c>
      <c r="D157" s="343">
        <f>[16]산업단지!F6</f>
        <v>0</v>
      </c>
      <c r="E157" s="343">
        <f>[16]산업단지!G6</f>
        <v>3200</v>
      </c>
      <c r="F157" s="343">
        <f>[16]산업단지!H6</f>
        <v>3200</v>
      </c>
      <c r="G157" s="343">
        <f>[16]산업단지!I6</f>
        <v>3200</v>
      </c>
      <c r="H157" s="721">
        <v>0.6</v>
      </c>
      <c r="I157" s="718">
        <v>2015</v>
      </c>
    </row>
    <row r="158" spans="1:9" ht="20.100000000000001" customHeight="1">
      <c r="A158" s="982"/>
      <c r="B158" s="708" t="str">
        <f>[16]산업단지!A7</f>
        <v>동부바이오 산업단지</v>
      </c>
      <c r="C158" s="343">
        <f>[16]산업단지!D7</f>
        <v>272</v>
      </c>
      <c r="D158" s="343">
        <f>[16]산업단지!F7</f>
        <v>0</v>
      </c>
      <c r="E158" s="343">
        <f>[16]산업단지!G7</f>
        <v>0</v>
      </c>
      <c r="F158" s="343">
        <f>[16]산업단지!H7</f>
        <v>200</v>
      </c>
      <c r="G158" s="343">
        <f>[16]산업단지!I7</f>
        <v>200</v>
      </c>
      <c r="H158" s="721">
        <v>0.6</v>
      </c>
      <c r="I158" s="718">
        <v>2015</v>
      </c>
    </row>
    <row r="159" spans="1:9" ht="20.100000000000001" customHeight="1">
      <c r="A159" s="982"/>
      <c r="B159" s="708" t="str">
        <f>[16]산업단지!A8</f>
        <v>입장밸리 산업단지</v>
      </c>
      <c r="C159" s="343">
        <f>[16]산업단지!D8</f>
        <v>322</v>
      </c>
      <c r="D159" s="343">
        <f>[16]산업단지!F8</f>
        <v>0</v>
      </c>
      <c r="E159" s="343">
        <f>[16]산업단지!G8</f>
        <v>0</v>
      </c>
      <c r="F159" s="343">
        <f>[16]산업단지!H8</f>
        <v>200</v>
      </c>
      <c r="G159" s="343">
        <f>[16]산업단지!I8</f>
        <v>200</v>
      </c>
      <c r="H159" s="725">
        <v>0.6</v>
      </c>
      <c r="I159" s="724">
        <v>2020</v>
      </c>
    </row>
    <row r="160" spans="1:9" ht="20.100000000000001" customHeight="1">
      <c r="A160" s="982"/>
      <c r="B160" s="708" t="str">
        <f>[16]산업단지!A9</f>
        <v>북부BIT 산업단지</v>
      </c>
      <c r="C160" s="343">
        <f>[16]산업단지!D9</f>
        <v>0</v>
      </c>
      <c r="D160" s="343">
        <f>[16]산업단지!F9</f>
        <v>0</v>
      </c>
      <c r="E160" s="343">
        <f>[16]산업단지!G9</f>
        <v>0</v>
      </c>
      <c r="F160" s="343">
        <f>[16]산업단지!H9</f>
        <v>0</v>
      </c>
      <c r="G160" s="343">
        <f>[16]산업단지!I9</f>
        <v>0</v>
      </c>
      <c r="H160" s="725">
        <v>0.6</v>
      </c>
      <c r="I160" s="724">
        <v>2020</v>
      </c>
    </row>
    <row r="161" spans="1:9" ht="20.100000000000001" customHeight="1">
      <c r="A161" s="982"/>
      <c r="B161" s="708" t="str">
        <f>[16]산업단지!A10</f>
        <v>북부광역 클러스터</v>
      </c>
      <c r="C161" s="343">
        <f>[16]산업단지!D10</f>
        <v>10000</v>
      </c>
      <c r="D161" s="343">
        <f>[16]산업단지!F10</f>
        <v>0</v>
      </c>
      <c r="E161" s="343">
        <f>[16]산업단지!G10</f>
        <v>0</v>
      </c>
      <c r="F161" s="343">
        <f>[16]산업단지!H10</f>
        <v>6000</v>
      </c>
      <c r="G161" s="343">
        <f>[16]산업단지!I10</f>
        <v>6000</v>
      </c>
      <c r="H161" s="725">
        <v>0.6</v>
      </c>
      <c r="I161" s="724">
        <v>2020</v>
      </c>
    </row>
    <row r="162" spans="1:9" ht="20.100000000000001" customHeight="1">
      <c r="A162" s="983"/>
      <c r="B162" s="709" t="str">
        <f>[16]산업단지!A11</f>
        <v>수신일반산업단지</v>
      </c>
      <c r="C162" s="657">
        <f>[16]산업단지!D11</f>
        <v>12590</v>
      </c>
      <c r="D162" s="657">
        <f>[16]산업단지!F11</f>
        <v>0</v>
      </c>
      <c r="E162" s="657">
        <f>[16]산업단지!G11</f>
        <v>0</v>
      </c>
      <c r="F162" s="657">
        <f>[16]산업단지!H11</f>
        <v>7600</v>
      </c>
      <c r="G162" s="657">
        <f>[16]산업단지!I11</f>
        <v>7600</v>
      </c>
      <c r="H162" s="722">
        <v>0.6</v>
      </c>
      <c r="I162" s="720">
        <v>2020</v>
      </c>
    </row>
  </sheetData>
  <mergeCells count="71">
    <mergeCell ref="A18:A19"/>
    <mergeCell ref="B5:B6"/>
    <mergeCell ref="A7:B7"/>
    <mergeCell ref="A8:A10"/>
    <mergeCell ref="A11:A15"/>
    <mergeCell ref="A16:A17"/>
    <mergeCell ref="A98:B98"/>
    <mergeCell ref="A101:A103"/>
    <mergeCell ref="A104:A106"/>
    <mergeCell ref="A107:A109"/>
    <mergeCell ref="A134:A136"/>
    <mergeCell ref="A125:B125"/>
    <mergeCell ref="A128:A130"/>
    <mergeCell ref="A131:A133"/>
    <mergeCell ref="A99:B99"/>
    <mergeCell ref="A100:B100"/>
    <mergeCell ref="A126:B126"/>
    <mergeCell ref="A127:B127"/>
    <mergeCell ref="A92:A94"/>
    <mergeCell ref="A89:A91"/>
    <mergeCell ref="I5:I6"/>
    <mergeCell ref="C5:C6"/>
    <mergeCell ref="H5:H6"/>
    <mergeCell ref="D5:G5"/>
    <mergeCell ref="A43:B43"/>
    <mergeCell ref="A46:A48"/>
    <mergeCell ref="A49:A51"/>
    <mergeCell ref="A52:A54"/>
    <mergeCell ref="A55:A57"/>
    <mergeCell ref="A58:A60"/>
    <mergeCell ref="A61:A63"/>
    <mergeCell ref="A44:B44"/>
    <mergeCell ref="A45:B45"/>
    <mergeCell ref="A5:A6"/>
    <mergeCell ref="I79:I80"/>
    <mergeCell ref="C79:C80"/>
    <mergeCell ref="A20:A22"/>
    <mergeCell ref="A23:A31"/>
    <mergeCell ref="A32:A39"/>
    <mergeCell ref="H79:H80"/>
    <mergeCell ref="D79:G79"/>
    <mergeCell ref="A64:A66"/>
    <mergeCell ref="A67:A69"/>
    <mergeCell ref="A70:A72"/>
    <mergeCell ref="A81:B81"/>
    <mergeCell ref="A82:A88"/>
    <mergeCell ref="A79:A80"/>
    <mergeCell ref="B79:B80"/>
    <mergeCell ref="I154:I155"/>
    <mergeCell ref="C154:C155"/>
    <mergeCell ref="A115:A116"/>
    <mergeCell ref="A117:B117"/>
    <mergeCell ref="A118:A119"/>
    <mergeCell ref="B115:B116"/>
    <mergeCell ref="A120:A121"/>
    <mergeCell ref="I115:I116"/>
    <mergeCell ref="C115:C116"/>
    <mergeCell ref="H115:H116"/>
    <mergeCell ref="D115:G115"/>
    <mergeCell ref="A142:B142"/>
    <mergeCell ref="A140:B140"/>
    <mergeCell ref="A149:A151"/>
    <mergeCell ref="A146:A148"/>
    <mergeCell ref="H154:H155"/>
    <mergeCell ref="D154:G154"/>
    <mergeCell ref="A143:A145"/>
    <mergeCell ref="A156:B156"/>
    <mergeCell ref="A157:A162"/>
    <mergeCell ref="A154:A155"/>
    <mergeCell ref="B154:B155"/>
    <mergeCell ref="A141:B14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AD75"/>
  <sheetViews>
    <sheetView showGridLines="0" view="pageBreakPreview" zoomScale="85" zoomScaleSheetLayoutView="85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M22" sqref="M22"/>
    </sheetView>
  </sheetViews>
  <sheetFormatPr defaultRowHeight="17.45" customHeight="1"/>
  <cols>
    <col min="1" max="1" width="4.77734375" style="11" customWidth="1"/>
    <col min="2" max="2" width="7.44140625" style="11" bestFit="1" customWidth="1"/>
    <col min="3" max="3" width="8.5546875" style="11" customWidth="1"/>
    <col min="4" max="6" width="8.6640625" style="11" customWidth="1"/>
    <col min="7" max="7" width="8.5546875" style="11" customWidth="1"/>
    <col min="8" max="8" width="7.77734375" style="11" customWidth="1"/>
    <col min="9" max="10" width="8.6640625" style="11" customWidth="1"/>
    <col min="11" max="11" width="8.5546875" style="11" customWidth="1"/>
    <col min="12" max="14" width="8.6640625" style="11" customWidth="1"/>
    <col min="15" max="15" width="8.5546875" style="11" customWidth="1"/>
    <col min="16" max="18" width="8.6640625" style="11" customWidth="1"/>
    <col min="19" max="19" width="8.5546875" style="11" customWidth="1"/>
    <col min="20" max="20" width="8.6640625" style="11" customWidth="1"/>
    <col min="21" max="21" width="5" style="11" customWidth="1"/>
    <col min="22" max="22" width="3.21875" style="11" customWidth="1"/>
    <col min="23" max="25" width="9" style="11" customWidth="1"/>
    <col min="26" max="26" width="10.109375" style="11" customWidth="1"/>
    <col min="27" max="27" width="9.33203125" style="11" customWidth="1"/>
    <col min="28" max="29" width="9.109375" style="11" customWidth="1"/>
    <col min="30" max="30" width="8.88671875" style="11" customWidth="1"/>
    <col min="31" max="31" width="5.109375" style="11" customWidth="1"/>
    <col min="32" max="16384" width="8.88671875" style="11"/>
  </cols>
  <sheetData>
    <row r="1" spans="1:30" ht="17.45" customHeight="1">
      <c r="A1" s="521" t="s">
        <v>1137</v>
      </c>
      <c r="W1" s="345" t="s">
        <v>203</v>
      </c>
      <c r="X1" s="345"/>
      <c r="Y1" s="345"/>
      <c r="Z1" s="345"/>
      <c r="AA1" s="345"/>
      <c r="AB1" s="345"/>
      <c r="AC1" s="345"/>
      <c r="AD1" s="345"/>
    </row>
    <row r="2" spans="1:30" ht="17.45" customHeight="1">
      <c r="A2" s="522" t="s">
        <v>1138</v>
      </c>
      <c r="F2" s="401"/>
      <c r="G2" s="401"/>
      <c r="J2" s="401"/>
      <c r="K2" s="401"/>
      <c r="N2" s="401"/>
      <c r="O2" s="401"/>
      <c r="R2" s="401"/>
      <c r="S2" s="401"/>
      <c r="W2" s="345"/>
      <c r="X2" s="345"/>
      <c r="Y2" s="345"/>
      <c r="Z2" s="345"/>
      <c r="AA2" s="345"/>
      <c r="AB2" s="345"/>
      <c r="AC2" s="345"/>
      <c r="AD2" s="313" t="s">
        <v>56</v>
      </c>
    </row>
    <row r="3" spans="1:30" ht="17.45" customHeight="1">
      <c r="A3" s="3"/>
      <c r="D3" s="404"/>
      <c r="E3" s="404"/>
      <c r="F3" s="405"/>
      <c r="G3" s="401"/>
      <c r="I3" s="404"/>
      <c r="J3" s="405"/>
      <c r="K3" s="401"/>
      <c r="M3" s="404"/>
      <c r="N3" s="405"/>
      <c r="O3" s="401"/>
      <c r="Q3" s="404"/>
      <c r="R3" s="405"/>
      <c r="S3" s="401"/>
      <c r="U3" s="313" t="s">
        <v>56</v>
      </c>
      <c r="W3" s="345"/>
      <c r="X3" s="345"/>
      <c r="Y3" s="345"/>
      <c r="Z3" s="345"/>
      <c r="AA3" s="345"/>
      <c r="AB3" s="345"/>
      <c r="AC3" s="345"/>
      <c r="AD3" s="313"/>
    </row>
    <row r="4" spans="1:30" ht="17.45" customHeight="1">
      <c r="A4" s="792" t="s">
        <v>36</v>
      </c>
      <c r="B4" s="793"/>
      <c r="C4" s="909" t="s">
        <v>153</v>
      </c>
      <c r="D4" s="793" t="s">
        <v>33</v>
      </c>
      <c r="E4" s="774" t="s">
        <v>32</v>
      </c>
      <c r="F4" s="775"/>
      <c r="G4" s="775"/>
      <c r="H4" s="788"/>
      <c r="I4" s="774" t="s">
        <v>31</v>
      </c>
      <c r="J4" s="775"/>
      <c r="K4" s="775"/>
      <c r="L4" s="788"/>
      <c r="M4" s="774" t="s">
        <v>30</v>
      </c>
      <c r="N4" s="775"/>
      <c r="O4" s="775"/>
      <c r="P4" s="788"/>
      <c r="Q4" s="774" t="s">
        <v>29</v>
      </c>
      <c r="R4" s="775"/>
      <c r="S4" s="775"/>
      <c r="T4" s="788"/>
      <c r="U4" s="798" t="s">
        <v>121</v>
      </c>
      <c r="W4" s="792" t="s">
        <v>36</v>
      </c>
      <c r="X4" s="793"/>
      <c r="Y4" s="909" t="s">
        <v>153</v>
      </c>
      <c r="Z4" s="939" t="s">
        <v>57</v>
      </c>
      <c r="AA4" s="939"/>
      <c r="AB4" s="939"/>
      <c r="AC4" s="939"/>
      <c r="AD4" s="798" t="s">
        <v>121</v>
      </c>
    </row>
    <row r="5" spans="1:30" ht="17.45" customHeight="1">
      <c r="A5" s="794"/>
      <c r="B5" s="795"/>
      <c r="C5" s="910"/>
      <c r="D5" s="795"/>
      <c r="E5" s="406" t="s">
        <v>53</v>
      </c>
      <c r="F5" s="406" t="s">
        <v>204</v>
      </c>
      <c r="G5" s="406" t="s">
        <v>205</v>
      </c>
      <c r="H5" s="407" t="s">
        <v>58</v>
      </c>
      <c r="I5" s="406" t="s">
        <v>53</v>
      </c>
      <c r="J5" s="406" t="s">
        <v>204</v>
      </c>
      <c r="K5" s="406" t="s">
        <v>205</v>
      </c>
      <c r="L5" s="407" t="s">
        <v>58</v>
      </c>
      <c r="M5" s="406" t="s">
        <v>53</v>
      </c>
      <c r="N5" s="406" t="s">
        <v>204</v>
      </c>
      <c r="O5" s="406" t="s">
        <v>205</v>
      </c>
      <c r="P5" s="407" t="s">
        <v>58</v>
      </c>
      <c r="Q5" s="406" t="s">
        <v>53</v>
      </c>
      <c r="R5" s="406" t="s">
        <v>204</v>
      </c>
      <c r="S5" s="406" t="s">
        <v>205</v>
      </c>
      <c r="T5" s="407" t="s">
        <v>58</v>
      </c>
      <c r="U5" s="799"/>
      <c r="W5" s="794"/>
      <c r="X5" s="795"/>
      <c r="Y5" s="910"/>
      <c r="Z5" s="581" t="s">
        <v>32</v>
      </c>
      <c r="AA5" s="581" t="s">
        <v>31</v>
      </c>
      <c r="AB5" s="581" t="s">
        <v>30</v>
      </c>
      <c r="AC5" s="581" t="s">
        <v>29</v>
      </c>
      <c r="AD5" s="799"/>
    </row>
    <row r="6" spans="1:30" ht="14.45" customHeight="1">
      <c r="A6" s="986" t="s">
        <v>28</v>
      </c>
      <c r="B6" s="987"/>
      <c r="C6" s="987"/>
      <c r="D6" s="475">
        <f>D7+D47+D60</f>
        <v>451157</v>
      </c>
      <c r="E6" s="475">
        <f>SUM(F6:H6)</f>
        <v>545800</v>
      </c>
      <c r="F6" s="475">
        <f>F7+F47+F60</f>
        <v>429300</v>
      </c>
      <c r="G6" s="475">
        <f>G7+G47+G60</f>
        <v>29600</v>
      </c>
      <c r="H6" s="475">
        <f>H7+H47+H60</f>
        <v>86900</v>
      </c>
      <c r="I6" s="475">
        <f>SUM(J6:L6)</f>
        <v>643900</v>
      </c>
      <c r="J6" s="475">
        <f>J7+J47+J60</f>
        <v>388700</v>
      </c>
      <c r="K6" s="475">
        <f>K7+K47+K60</f>
        <v>42700</v>
      </c>
      <c r="L6" s="475">
        <f>L7+L47+L60</f>
        <v>212500</v>
      </c>
      <c r="M6" s="475">
        <f>SUM(N6:P6)</f>
        <v>724900</v>
      </c>
      <c r="N6" s="475">
        <f>N7+N47+N60</f>
        <v>363100</v>
      </c>
      <c r="O6" s="475">
        <f>O7+O47+O60</f>
        <v>43200</v>
      </c>
      <c r="P6" s="475">
        <f>P7+P47+P60</f>
        <v>318600</v>
      </c>
      <c r="Q6" s="475">
        <f>SUM(R6:T6)</f>
        <v>745900</v>
      </c>
      <c r="R6" s="475">
        <f>R7+R47+R60</f>
        <v>382600</v>
      </c>
      <c r="S6" s="475">
        <f>S7+S47+S60</f>
        <v>44700</v>
      </c>
      <c r="T6" s="475">
        <f>T7+T47+T60</f>
        <v>318600</v>
      </c>
      <c r="U6" s="476"/>
      <c r="W6" s="792" t="s">
        <v>28</v>
      </c>
      <c r="X6" s="793"/>
      <c r="Y6" s="793"/>
      <c r="Z6" s="30">
        <f>SUM(Z7,Z47,Z60)</f>
        <v>30287</v>
      </c>
      <c r="AA6" s="30">
        <f>SUM(AA7,AA47,AA60)</f>
        <v>17295</v>
      </c>
      <c r="AB6" s="30">
        <f>SUM(AB7,AB47,AB60)</f>
        <v>6473</v>
      </c>
      <c r="AC6" s="30">
        <f>SUM(AC7,AC47,AC60)</f>
        <v>0</v>
      </c>
      <c r="AD6" s="408"/>
    </row>
    <row r="7" spans="1:30" ht="14.45" customHeight="1">
      <c r="A7" s="796" t="s">
        <v>504</v>
      </c>
      <c r="B7" s="993" t="s">
        <v>53</v>
      </c>
      <c r="C7" s="993"/>
      <c r="D7" s="478">
        <f>SUM(D8,D15,D23,D27,D30,D36,D39,D45,D43)</f>
        <v>377481</v>
      </c>
      <c r="E7" s="478">
        <f>SUM(F7:H7)</f>
        <v>441700</v>
      </c>
      <c r="F7" s="478">
        <f>SUM(F8,F15,F23,F27,F30,F36,F39,F45,F43)</f>
        <v>357100</v>
      </c>
      <c r="G7" s="478">
        <f>SUM(G8,G15,G23,G27,G30,G36,G39,G45,G43)</f>
        <v>8400</v>
      </c>
      <c r="H7" s="478">
        <f>SUM(H8,H15,H23,H27,H30,H36,H39,H45,H43)</f>
        <v>76200</v>
      </c>
      <c r="I7" s="478">
        <f>SUM(J7:L7)</f>
        <v>500900</v>
      </c>
      <c r="J7" s="478">
        <f>SUM(J8,J15,J23,J27,J30,J36,J39,J45,J43)</f>
        <v>323200</v>
      </c>
      <c r="K7" s="478">
        <f>SUM(K8,K15,K23,K27,K30,K36,K39,K45,K43)</f>
        <v>9600</v>
      </c>
      <c r="L7" s="478">
        <f>SUM(L8,L15,L23,L27,L30,L36,L39,L45,L43)</f>
        <v>168100</v>
      </c>
      <c r="M7" s="478">
        <f>SUM(N7:P7)</f>
        <v>511800</v>
      </c>
      <c r="N7" s="478">
        <f>SUM(N8,N15,N23,N27,N30,N36,N39,N45,N43)</f>
        <v>311900</v>
      </c>
      <c r="O7" s="478">
        <f>SUM(O8,O15,O23,O27,O30,O36,O39,O45,O43)</f>
        <v>9300</v>
      </c>
      <c r="P7" s="478">
        <f>SUM(P8,P15,P23,P27,P30,P36,P39,P45,P43)</f>
        <v>190600</v>
      </c>
      <c r="Q7" s="478">
        <f>SUM(R7:T7)</f>
        <v>528600</v>
      </c>
      <c r="R7" s="478">
        <f>SUM(R8,R15,R23,R27,R30,R36,R39,R45,R43)</f>
        <v>328200</v>
      </c>
      <c r="S7" s="478">
        <f>SUM(S8,S15,S23,S27,S30,S36,S39,S45,S43)</f>
        <v>9800</v>
      </c>
      <c r="T7" s="478">
        <f>SUM(T8,T15,T23,T27,T30,T36,T39,T45,T43)</f>
        <v>190600</v>
      </c>
      <c r="U7" s="479"/>
      <c r="W7" s="828" t="s">
        <v>504</v>
      </c>
      <c r="X7" s="920" t="s">
        <v>53</v>
      </c>
      <c r="Y7" s="920"/>
      <c r="Z7" s="35">
        <f>SUM(Z8,Z15,Z23,Z27,Z30,Z36,Z39,Z45,Z43)</f>
        <v>8932</v>
      </c>
      <c r="AA7" s="35">
        <f>SUM(AA8,AA15,AA23,AA27,AA30,AA36,AA39,AA45,AA43)</f>
        <v>2273</v>
      </c>
      <c r="AB7" s="35">
        <f>SUM(AB8,AB15,AB23,AB27,AB30,AB36,AB39,AB45,AB43)</f>
        <v>0</v>
      </c>
      <c r="AC7" s="35">
        <f>SUM(AC8,AC15,AC23,AC27,AC30,AC36,AC39,AC45,AC43)</f>
        <v>0</v>
      </c>
      <c r="AD7" s="409"/>
    </row>
    <row r="8" spans="1:30" ht="14.45" customHeight="1">
      <c r="A8" s="789"/>
      <c r="B8" s="920" t="s">
        <v>48</v>
      </c>
      <c r="C8" s="480" t="s">
        <v>154</v>
      </c>
      <c r="D8" s="481">
        <f t="shared" ref="D8:S8" si="0">SUM(D9:D14)</f>
        <v>67728</v>
      </c>
      <c r="E8" s="481">
        <f t="shared" si="0"/>
        <v>69300</v>
      </c>
      <c r="F8" s="481">
        <f t="shared" si="0"/>
        <v>64000</v>
      </c>
      <c r="G8" s="481">
        <f t="shared" si="0"/>
        <v>0</v>
      </c>
      <c r="H8" s="481">
        <f t="shared" si="0"/>
        <v>5300</v>
      </c>
      <c r="I8" s="481">
        <f t="shared" si="0"/>
        <v>82400</v>
      </c>
      <c r="J8" s="481">
        <f t="shared" si="0"/>
        <v>57900</v>
      </c>
      <c r="K8" s="481">
        <f t="shared" si="0"/>
        <v>0</v>
      </c>
      <c r="L8" s="481">
        <f t="shared" si="0"/>
        <v>24500</v>
      </c>
      <c r="M8" s="481">
        <f t="shared" si="0"/>
        <v>80400</v>
      </c>
      <c r="N8" s="481">
        <f t="shared" si="0"/>
        <v>55900</v>
      </c>
      <c r="O8" s="481">
        <f t="shared" si="0"/>
        <v>0</v>
      </c>
      <c r="P8" s="481">
        <f t="shared" si="0"/>
        <v>24500</v>
      </c>
      <c r="Q8" s="481">
        <f t="shared" si="0"/>
        <v>83500</v>
      </c>
      <c r="R8" s="481">
        <f>SUM(R9:R14)</f>
        <v>59000</v>
      </c>
      <c r="S8" s="481">
        <f t="shared" si="0"/>
        <v>0</v>
      </c>
      <c r="T8" s="481">
        <f>SUM(T9:T14)</f>
        <v>24500</v>
      </c>
      <c r="U8" s="477"/>
      <c r="W8" s="828"/>
      <c r="X8" s="920" t="s">
        <v>48</v>
      </c>
      <c r="Y8" s="580" t="s">
        <v>154</v>
      </c>
      <c r="Z8" s="35">
        <f>SUM(Z9:Z14)</f>
        <v>0</v>
      </c>
      <c r="AA8" s="35">
        <f>SUM(AA9:AA14)</f>
        <v>0</v>
      </c>
      <c r="AB8" s="35">
        <f>SUM(AB9:AB14)</f>
        <v>0</v>
      </c>
      <c r="AC8" s="35">
        <f>SUM(AC9:AC14)</f>
        <v>0</v>
      </c>
      <c r="AD8" s="409"/>
    </row>
    <row r="9" spans="1:30" ht="14.45" customHeight="1">
      <c r="A9" s="789"/>
      <c r="B9" s="920"/>
      <c r="C9" s="580" t="s">
        <v>1067</v>
      </c>
      <c r="D9" s="15">
        <f>+[17]처리구역별처리인구!$L$3+[17]처리구역별처리인구!$L$4+[17]처리구역별처리인구!$L$5</f>
        <v>4153</v>
      </c>
      <c r="E9" s="15">
        <f t="shared" ref="E9:E71" si="1">SUM(F9:H9)</f>
        <v>3900</v>
      </c>
      <c r="F9" s="15">
        <f>ROUND(D9+(D9*'행정구역별 인구'!F$75)*3,-2)</f>
        <v>3900</v>
      </c>
      <c r="G9" s="15">
        <f>ROUND(Z9+(Z9*'행정구역별 인구'!F$75)*3,-2)</f>
        <v>0</v>
      </c>
      <c r="H9" s="15">
        <f>+인구배분!O82+인구배분!O83+인구배분!O84+인구배분!O85+인구배분!O93+인구배분!O94+인구배분!O95+인구배분!O96+인구배분!O97+인구배분!O102+인구배분!O103</f>
        <v>0</v>
      </c>
      <c r="I9" s="15">
        <f t="shared" ref="I9:I71" si="2">SUM(J9:L9)</f>
        <v>7000</v>
      </c>
      <c r="J9" s="15">
        <f>ROUND(F9+(F9*'행정구역별 인구'!I$75)*5,-2)</f>
        <v>3500</v>
      </c>
      <c r="K9" s="15">
        <f>ROUND(SUM(Z9:AA9)+(SUM(Z9:AA9)*'행정구역별 인구'!I$75)*8,-2)</f>
        <v>0</v>
      </c>
      <c r="L9" s="15">
        <f>+인구배분!P82+인구배분!P83+인구배분!P84+인구배분!P85+인구배분!P93+인구배분!P94+인구배분!P95+인구배분!P96+인구배분!P97+인구배분!P102+인구배분!P103</f>
        <v>3500</v>
      </c>
      <c r="M9" s="15">
        <f t="shared" ref="M9:M71" si="3">SUM(N9:P9)</f>
        <v>6900</v>
      </c>
      <c r="N9" s="15">
        <f>ROUND(J9+(J9*'행정구역별 인구'!L$75)*5,-2)</f>
        <v>3400</v>
      </c>
      <c r="O9" s="15">
        <f>ROUND(SUM(Z9:AB9)+(SUM(Z9:AB9)*'행정구역별 인구'!M$75)*13,-2)</f>
        <v>0</v>
      </c>
      <c r="P9" s="15">
        <f>+인구배분!Q82+인구배분!Q83+인구배분!Q84+인구배분!Q85+인구배분!Q93+인구배분!Q94+인구배분!Q95+인구배분!Q96+인구배분!Q97+인구배분!Q102+인구배분!Q103</f>
        <v>3500</v>
      </c>
      <c r="Q9" s="15">
        <f t="shared" ref="Q9:Q71" si="4">SUM(R9:T9)</f>
        <v>7100</v>
      </c>
      <c r="R9" s="15">
        <f>ROUND(N9+(N9*'행정구역별 인구'!O$75)*5,-2)</f>
        <v>3600</v>
      </c>
      <c r="S9" s="15">
        <f>ROUND(SUM(Z9:AC9)+(SUM(Z9:AC9)*'행정구역별 인구'!P$75)*18,-2)</f>
        <v>0</v>
      </c>
      <c r="T9" s="15">
        <f>+인구배분!R82+인구배분!R83+인구배분!R84+인구배분!R85+인구배분!R93+인구배분!R94+인구배분!R95+인구배분!R96+인구배분!R97+인구배분!R102+인구배분!R103</f>
        <v>3500</v>
      </c>
      <c r="U9" s="16"/>
      <c r="W9" s="828"/>
      <c r="X9" s="920"/>
      <c r="Y9" s="580" t="s">
        <v>1067</v>
      </c>
      <c r="Z9" s="35"/>
      <c r="AA9" s="35"/>
      <c r="AB9" s="35"/>
      <c r="AC9" s="35"/>
      <c r="AD9" s="409"/>
    </row>
    <row r="10" spans="1:30" ht="14.45" customHeight="1">
      <c r="A10" s="789"/>
      <c r="B10" s="920"/>
      <c r="C10" s="580" t="s">
        <v>1062</v>
      </c>
      <c r="D10" s="15">
        <f>+[17]처리구역별처리인구!$L$6+[17]처리구역별처리인구!$L$7</f>
        <v>6195</v>
      </c>
      <c r="E10" s="15">
        <f t="shared" si="1"/>
        <v>5900</v>
      </c>
      <c r="F10" s="15">
        <f>ROUND(D10+(D10*'행정구역별 인구'!F$75)*3,-2)</f>
        <v>5900</v>
      </c>
      <c r="G10" s="15">
        <f>ROUND(Z10+(Z10*'행정구역별 인구'!F$75)*3,-2)</f>
        <v>0</v>
      </c>
      <c r="H10" s="15">
        <f>+인구배분!O78+인구배분!O79+인구배분!O80+인구배분!O81+인구배분!O86+인구배분!O87+인구배분!O88+인구배분!O128</f>
        <v>0</v>
      </c>
      <c r="I10" s="15">
        <f t="shared" si="2"/>
        <v>11100</v>
      </c>
      <c r="J10" s="15">
        <f>ROUND(F10+(F10*'행정구역별 인구'!I$75)*5,-2)</f>
        <v>5300</v>
      </c>
      <c r="K10" s="15">
        <f>ROUND(SUM(Z10:AA10)+(SUM(Z10:AA10)*'행정구역별 인구'!I$75)*8,-2)</f>
        <v>0</v>
      </c>
      <c r="L10" s="15">
        <f>+인구배분!P78+인구배분!P79+인구배분!P80+인구배분!P81+인구배분!P86+인구배분!P87+인구배분!P88+인구배분!P128</f>
        <v>5800</v>
      </c>
      <c r="M10" s="15">
        <f t="shared" si="3"/>
        <v>10900</v>
      </c>
      <c r="N10" s="15">
        <f>ROUND(J10+(J10*'행정구역별 인구'!L$75)*5,-2)</f>
        <v>5100</v>
      </c>
      <c r="O10" s="15">
        <f>ROUND(SUM(Z10:AB10)+(SUM(Z10:AB10)*'행정구역별 인구'!M$75)*13,-2)</f>
        <v>0</v>
      </c>
      <c r="P10" s="15">
        <f>+인구배분!Q78+인구배분!Q79+인구배분!Q80+인구배분!Q81+인구배분!Q86+인구배분!Q87+인구배분!Q88+인구배분!Q128</f>
        <v>5800</v>
      </c>
      <c r="Q10" s="15">
        <f t="shared" si="4"/>
        <v>11200</v>
      </c>
      <c r="R10" s="15">
        <f>ROUND(N10+(N10*'행정구역별 인구'!O$75)*5,-2)</f>
        <v>5400</v>
      </c>
      <c r="S10" s="15">
        <f>ROUND(SUM(Z10:AC10)+(SUM(Z10:AC10)*'행정구역별 인구'!P$75)*18,-2)</f>
        <v>0</v>
      </c>
      <c r="T10" s="15">
        <f>+인구배분!R78+인구배분!R79+인구배분!R80+인구배분!R81+인구배분!R86+인구배분!R87+인구배분!R88+인구배분!R128</f>
        <v>5800</v>
      </c>
      <c r="U10" s="16"/>
      <c r="W10" s="828"/>
      <c r="X10" s="920"/>
      <c r="Y10" s="580" t="s">
        <v>1062</v>
      </c>
      <c r="Z10" s="35"/>
      <c r="AA10" s="35"/>
      <c r="AB10" s="35"/>
      <c r="AC10" s="35"/>
      <c r="AD10" s="409"/>
    </row>
    <row r="11" spans="1:30" ht="14.45" customHeight="1">
      <c r="A11" s="789"/>
      <c r="B11" s="920"/>
      <c r="C11" s="580" t="s">
        <v>24</v>
      </c>
      <c r="D11" s="15">
        <f>+[17]처리구역별처리인구!$L$8</f>
        <v>2766</v>
      </c>
      <c r="E11" s="15">
        <f t="shared" si="1"/>
        <v>2600</v>
      </c>
      <c r="F11" s="15">
        <f>ROUND(D11+(D11*'행정구역별 인구'!F$75)*3,-2)</f>
        <v>2600</v>
      </c>
      <c r="G11" s="15">
        <f>ROUND(Z11+(Z11*'행정구역별 인구'!F$75)*3,-2)</f>
        <v>0</v>
      </c>
      <c r="H11" s="15">
        <f>+인구배분!O122+인구배분!O123</f>
        <v>0</v>
      </c>
      <c r="I11" s="15">
        <f t="shared" si="2"/>
        <v>2900</v>
      </c>
      <c r="J11" s="15">
        <f>ROUND(F11+(F11*'행정구역별 인구'!I$75)*5,-2)</f>
        <v>2400</v>
      </c>
      <c r="K11" s="15">
        <f>ROUND(SUM(Z11:AA11)+(SUM(Z11:AA11)*'행정구역별 인구'!I$75)*8,-2)</f>
        <v>0</v>
      </c>
      <c r="L11" s="15">
        <f>+인구배분!P122+인구배분!P123</f>
        <v>500</v>
      </c>
      <c r="M11" s="15">
        <f t="shared" si="3"/>
        <v>2800</v>
      </c>
      <c r="N11" s="15">
        <f>ROUND(J11+(J11*'행정구역별 인구'!L$75)*5,-2)</f>
        <v>2300</v>
      </c>
      <c r="O11" s="15">
        <f>ROUND(SUM(Z11:AB11)+(SUM(Z11:AB11)*'행정구역별 인구'!M$75)*13,-2)</f>
        <v>0</v>
      </c>
      <c r="P11" s="15">
        <f>+인구배분!Q122+인구배분!Q123</f>
        <v>500</v>
      </c>
      <c r="Q11" s="15">
        <f t="shared" si="4"/>
        <v>2900</v>
      </c>
      <c r="R11" s="15">
        <f>ROUND(N11+(N11*'행정구역별 인구'!O$75)*5,-2)</f>
        <v>2400</v>
      </c>
      <c r="S11" s="15">
        <f>ROUND(SUM(Z11:AC11)+(SUM(Z11:AC11)*'행정구역별 인구'!P$75)*18,-2)</f>
        <v>0</v>
      </c>
      <c r="T11" s="15">
        <f>+인구배분!R122+인구배분!R123</f>
        <v>500</v>
      </c>
      <c r="U11" s="16"/>
      <c r="W11" s="828"/>
      <c r="X11" s="920"/>
      <c r="Y11" s="580" t="s">
        <v>24</v>
      </c>
      <c r="Z11" s="35"/>
      <c r="AA11" s="35"/>
      <c r="AB11" s="35"/>
      <c r="AC11" s="35"/>
      <c r="AD11" s="409"/>
    </row>
    <row r="12" spans="1:30" ht="14.45" customHeight="1">
      <c r="A12" s="789"/>
      <c r="B12" s="920"/>
      <c r="C12" s="580" t="s">
        <v>206</v>
      </c>
      <c r="D12" s="15">
        <f>+[17]처리구역별처리인구!$L$9</f>
        <v>11350</v>
      </c>
      <c r="E12" s="15">
        <f t="shared" si="1"/>
        <v>10700</v>
      </c>
      <c r="F12" s="15">
        <f>ROUND(D12+(D12*'행정구역별 인구'!F$75)*3,-2)</f>
        <v>10700</v>
      </c>
      <c r="G12" s="15">
        <f>ROUND(Z12+(Z12*'행정구역별 인구'!F$75)*3,-2)</f>
        <v>0</v>
      </c>
      <c r="H12" s="15">
        <f>+인구배분!O114+인구배분!O117+인구배분!O119+인구배분!O120+인구배분!O121</f>
        <v>0</v>
      </c>
      <c r="I12" s="15">
        <f t="shared" si="2"/>
        <v>12600</v>
      </c>
      <c r="J12" s="15">
        <f>ROUND(F12+(F12*'행정구역별 인구'!I$75)*5,-2)</f>
        <v>9700</v>
      </c>
      <c r="K12" s="15">
        <f>ROUND(SUM(Z12:AA12)+(SUM(Z12:AA12)*'행정구역별 인구'!I$75)*8,-2)</f>
        <v>0</v>
      </c>
      <c r="L12" s="15">
        <f>+인구배분!P114+인구배분!P117+인구배분!P119+인구배분!P120+인구배분!P121</f>
        <v>2900</v>
      </c>
      <c r="M12" s="15">
        <f t="shared" si="3"/>
        <v>12300</v>
      </c>
      <c r="N12" s="15">
        <f>ROUND(J12+(J12*'행정구역별 인구'!L$75)*5,-2)</f>
        <v>9400</v>
      </c>
      <c r="O12" s="15">
        <f>ROUND(SUM(Z12:AB12)+(SUM(Z12:AB12)*'행정구역별 인구'!M$75)*13,-2)</f>
        <v>0</v>
      </c>
      <c r="P12" s="15">
        <f>+인구배분!Q114+인구배분!Q117+인구배분!Q119+인구배분!Q120+인구배분!Q121</f>
        <v>2900</v>
      </c>
      <c r="Q12" s="15">
        <f t="shared" si="4"/>
        <v>12800</v>
      </c>
      <c r="R12" s="15">
        <f>ROUND(N12+(N12*'행정구역별 인구'!O$75)*5,-2)</f>
        <v>9900</v>
      </c>
      <c r="S12" s="15">
        <f>ROUND(SUM(Z12:AC12)+(SUM(Z12:AC12)*'행정구역별 인구'!P$75)*18,-2)</f>
        <v>0</v>
      </c>
      <c r="T12" s="15">
        <f>+인구배분!R114+인구배분!R117+인구배분!R119+인구배분!R120+인구배분!R121</f>
        <v>2900</v>
      </c>
      <c r="U12" s="16"/>
      <c r="W12" s="828"/>
      <c r="X12" s="920"/>
      <c r="Y12" s="580" t="s">
        <v>206</v>
      </c>
      <c r="Z12" s="35"/>
      <c r="AA12" s="35"/>
      <c r="AB12" s="35"/>
      <c r="AC12" s="35"/>
      <c r="AD12" s="409"/>
    </row>
    <row r="13" spans="1:30" ht="14.45" customHeight="1">
      <c r="A13" s="789"/>
      <c r="B13" s="920"/>
      <c r="C13" s="580" t="s">
        <v>1040</v>
      </c>
      <c r="D13" s="15">
        <f>+[17]처리구역별처리인구!$L$10+[17]처리구역별처리인구!$L$11</f>
        <v>32358</v>
      </c>
      <c r="E13" s="15">
        <f t="shared" si="1"/>
        <v>33300</v>
      </c>
      <c r="F13" s="15">
        <f>ROUND(D13+(D13*'행정구역별 인구'!F$75)*3,-2)</f>
        <v>30600</v>
      </c>
      <c r="G13" s="15">
        <f>ROUND(Z13+(Z13*'행정구역별 인구'!F$75)*3,-2)</f>
        <v>0</v>
      </c>
      <c r="H13" s="15">
        <f>+인구배분!O50+인구배분!O51+인구배분!O52+인구배분!O53+인구배분!O54+인구배분!O145+인구배분!O155+인구배분!O159</f>
        <v>2700</v>
      </c>
      <c r="I13" s="15">
        <f t="shared" si="2"/>
        <v>33200</v>
      </c>
      <c r="J13" s="15">
        <f>ROUND(F13+(F13*'행정구역별 인구'!I$75)*5,-2)</f>
        <v>27700</v>
      </c>
      <c r="K13" s="15">
        <f>ROUND(SUM(Z13:AA13)+(SUM(Z13:AA13)*'행정구역별 인구'!I$75)*8,-2)</f>
        <v>0</v>
      </c>
      <c r="L13" s="15">
        <f>+인구배분!P50+인구배분!P51+인구배분!P52+인구배분!P53+인구배분!P54+인구배분!P145+인구배분!P155+인구배분!P159</f>
        <v>5500</v>
      </c>
      <c r="M13" s="15">
        <f t="shared" si="3"/>
        <v>32200</v>
      </c>
      <c r="N13" s="15">
        <f>ROUND(J13+(J13*'행정구역별 인구'!L$75)*5,-2)</f>
        <v>26700</v>
      </c>
      <c r="O13" s="15">
        <f>ROUND(SUM(Z13:AB13)+(SUM(Z13:AB13)*'행정구역별 인구'!M$75)*13,-2)</f>
        <v>0</v>
      </c>
      <c r="P13" s="15">
        <f>+인구배분!Q50+인구배분!Q51+인구배분!Q52+인구배분!Q53+인구배분!Q54+인구배분!Q145+인구배분!Q155+인구배분!Q159</f>
        <v>5500</v>
      </c>
      <c r="Q13" s="15">
        <f t="shared" si="4"/>
        <v>33700</v>
      </c>
      <c r="R13" s="15">
        <f>ROUND(N13+(N13*'행정구역별 인구'!O$75)*5,-2)+100</f>
        <v>28200</v>
      </c>
      <c r="S13" s="15">
        <f>ROUND(SUM(Z13:AC13)+(SUM(Z13:AC13)*'행정구역별 인구'!P$75)*18,-2)</f>
        <v>0</v>
      </c>
      <c r="T13" s="15">
        <f>+인구배분!R50+인구배분!R51+인구배분!R52+인구배분!R53+인구배분!R54+인구배분!R145+인구배분!R155+인구배분!R159</f>
        <v>5500</v>
      </c>
      <c r="U13" s="16"/>
      <c r="W13" s="828"/>
      <c r="X13" s="920"/>
      <c r="Y13" s="580" t="s">
        <v>1040</v>
      </c>
      <c r="Z13" s="35"/>
      <c r="AA13" s="35"/>
      <c r="AB13" s="35"/>
      <c r="AC13" s="35"/>
      <c r="AD13" s="409"/>
    </row>
    <row r="14" spans="1:30" ht="14.45" customHeight="1">
      <c r="A14" s="789"/>
      <c r="B14" s="920"/>
      <c r="C14" s="580" t="s">
        <v>183</v>
      </c>
      <c r="D14" s="15">
        <f>+[17]처리구역별처리인구!$L$12</f>
        <v>10906</v>
      </c>
      <c r="E14" s="15">
        <f t="shared" si="1"/>
        <v>12900</v>
      </c>
      <c r="F14" s="15">
        <f>ROUND(D14+(D14*'행정구역별 인구'!F$75)*3,-2)</f>
        <v>10300</v>
      </c>
      <c r="G14" s="15">
        <f>ROUND(Z14+(Z14*'행정구역별 인구'!F$75)*3,-2)</f>
        <v>0</v>
      </c>
      <c r="H14" s="15">
        <f>+인구배분!O124+인구배분!O125+인구배분!O126+인구배분!O129+인구배분!O150+인구배분!O153+인구배분!O161</f>
        <v>2600</v>
      </c>
      <c r="I14" s="15">
        <f t="shared" si="2"/>
        <v>15600</v>
      </c>
      <c r="J14" s="15">
        <f>ROUND(F14+(F14*'행정구역별 인구'!I$75)*5,-2)</f>
        <v>9300</v>
      </c>
      <c r="K14" s="15">
        <f>ROUND(SUM(Z14:AA14)+(SUM(Z14:AA14)*'행정구역별 인구'!I$75)*8,-2)</f>
        <v>0</v>
      </c>
      <c r="L14" s="15">
        <f>+인구배분!P124+인구배분!P125+인구배분!P126+인구배분!P129+인구배분!P150+인구배분!P153+인구배분!P161</f>
        <v>6300</v>
      </c>
      <c r="M14" s="15">
        <f t="shared" si="3"/>
        <v>15300</v>
      </c>
      <c r="N14" s="15">
        <f>ROUND(J14+(J14*'행정구역별 인구'!L$75)*5,-2)</f>
        <v>9000</v>
      </c>
      <c r="O14" s="15">
        <f>ROUND(SUM(Z14:AB14)+(SUM(Z14:AB14)*'행정구역별 인구'!M$75)*13,-2)</f>
        <v>0</v>
      </c>
      <c r="P14" s="15">
        <f>+인구배분!Q124+인구배분!Q125+인구배분!Q126+인구배분!Q129+인구배분!Q150+인구배분!Q153+인구배분!Q161</f>
        <v>6300</v>
      </c>
      <c r="Q14" s="15">
        <f t="shared" si="4"/>
        <v>15800</v>
      </c>
      <c r="R14" s="15">
        <f>ROUND(N14+(N14*'행정구역별 인구'!O$75)*5,-2)</f>
        <v>9500</v>
      </c>
      <c r="S14" s="15">
        <f>ROUND(SUM(Z14:AC14)+(SUM(Z14:AC14)*'행정구역별 인구'!P$75)*18,-2)</f>
        <v>0</v>
      </c>
      <c r="T14" s="15">
        <f>+인구배분!R124+인구배분!R125+인구배분!R126+인구배분!R129+인구배분!R150+인구배분!R153+인구배분!R161</f>
        <v>6300</v>
      </c>
      <c r="U14" s="16"/>
      <c r="W14" s="828"/>
      <c r="X14" s="920"/>
      <c r="Y14" s="580" t="s">
        <v>183</v>
      </c>
      <c r="Z14" s="35"/>
      <c r="AA14" s="35"/>
      <c r="AB14" s="35"/>
      <c r="AC14" s="35"/>
      <c r="AD14" s="409"/>
    </row>
    <row r="15" spans="1:30" ht="14.45" customHeight="1">
      <c r="A15" s="789"/>
      <c r="B15" s="990" t="s">
        <v>59</v>
      </c>
      <c r="C15" s="480" t="s">
        <v>154</v>
      </c>
      <c r="D15" s="481">
        <f t="shared" ref="D15:S15" si="5">SUM(D16:D22)</f>
        <v>118007</v>
      </c>
      <c r="E15" s="481">
        <f t="shared" si="5"/>
        <v>124500</v>
      </c>
      <c r="F15" s="481">
        <f t="shared" si="5"/>
        <v>111600</v>
      </c>
      <c r="G15" s="481">
        <f t="shared" si="5"/>
        <v>0</v>
      </c>
      <c r="H15" s="481">
        <f t="shared" si="5"/>
        <v>12900</v>
      </c>
      <c r="I15" s="481">
        <f t="shared" si="5"/>
        <v>114200</v>
      </c>
      <c r="J15" s="481">
        <f t="shared" si="5"/>
        <v>100900</v>
      </c>
      <c r="K15" s="481">
        <f t="shared" si="5"/>
        <v>0</v>
      </c>
      <c r="L15" s="481">
        <f t="shared" si="5"/>
        <v>13300</v>
      </c>
      <c r="M15" s="481">
        <f t="shared" si="5"/>
        <v>110600</v>
      </c>
      <c r="N15" s="481">
        <f t="shared" si="5"/>
        <v>97300</v>
      </c>
      <c r="O15" s="481">
        <f t="shared" si="5"/>
        <v>0</v>
      </c>
      <c r="P15" s="481">
        <f t="shared" si="5"/>
        <v>13300</v>
      </c>
      <c r="Q15" s="481">
        <f t="shared" si="5"/>
        <v>115800</v>
      </c>
      <c r="R15" s="481">
        <f t="shared" si="5"/>
        <v>102500</v>
      </c>
      <c r="S15" s="481">
        <f t="shared" si="5"/>
        <v>0</v>
      </c>
      <c r="T15" s="481">
        <f>SUM(T16:T22)</f>
        <v>13300</v>
      </c>
      <c r="U15" s="477"/>
      <c r="W15" s="828"/>
      <c r="X15" s="990" t="s">
        <v>59</v>
      </c>
      <c r="Y15" s="580" t="s">
        <v>154</v>
      </c>
      <c r="Z15" s="35">
        <f>SUM(Z16:Z22)</f>
        <v>0</v>
      </c>
      <c r="AA15" s="35">
        <f>SUM(AA16:AA22)</f>
        <v>0</v>
      </c>
      <c r="AB15" s="35">
        <f>SUM(AB16:AB22)</f>
        <v>0</v>
      </c>
      <c r="AC15" s="35">
        <f>SUM(AC16:AC22)</f>
        <v>0</v>
      </c>
      <c r="AD15" s="409"/>
    </row>
    <row r="16" spans="1:30" ht="14.45" customHeight="1">
      <c r="A16" s="789"/>
      <c r="B16" s="991"/>
      <c r="C16" s="580" t="s">
        <v>176</v>
      </c>
      <c r="D16" s="15">
        <f>[17]처리구역별처리인구!$L$14</f>
        <v>16213</v>
      </c>
      <c r="E16" s="15">
        <f t="shared" si="1"/>
        <v>15300</v>
      </c>
      <c r="F16" s="15">
        <f>ROUND(D16+(D16*'행정구역별 인구'!F$75)*3,-2)</f>
        <v>15300</v>
      </c>
      <c r="G16" s="15">
        <f>ROUND(Z16+(Z16*'행정구역별 인구'!F$75)*3,-2)</f>
        <v>0</v>
      </c>
      <c r="H16" s="15">
        <v>0</v>
      </c>
      <c r="I16" s="15">
        <f t="shared" si="2"/>
        <v>13800</v>
      </c>
      <c r="J16" s="15">
        <f>ROUND(F16+(F16*'행정구역별 인구'!I$75)*5,-2)</f>
        <v>13800</v>
      </c>
      <c r="K16" s="15">
        <f>ROUND(SUM(Z16:AA16)+(SUM(Z16:AA16)*'행정구역별 인구'!I$75)*8,-2)</f>
        <v>0</v>
      </c>
      <c r="L16" s="15">
        <v>0</v>
      </c>
      <c r="M16" s="15">
        <f t="shared" si="3"/>
        <v>13300</v>
      </c>
      <c r="N16" s="15">
        <f>ROUND(J16+(J16*'행정구역별 인구'!L$75)*5,-2)</f>
        <v>13300</v>
      </c>
      <c r="O16" s="15">
        <f>ROUND(SUM(Z16:AB16)+(SUM(Z16:AB16)*'행정구역별 인구'!M$75)*13,-2)</f>
        <v>0</v>
      </c>
      <c r="P16" s="15">
        <v>0</v>
      </c>
      <c r="Q16" s="15">
        <f t="shared" si="4"/>
        <v>14000</v>
      </c>
      <c r="R16" s="15">
        <f>ROUND(N16+(N16*'행정구역별 인구'!O$75)*5,-2)</f>
        <v>14000</v>
      </c>
      <c r="S16" s="15">
        <f>ROUND(SUM(Z16:AC16)+(SUM(Z16:AC16)*'행정구역별 인구'!P$75)*18,-2)</f>
        <v>0</v>
      </c>
      <c r="T16" s="15">
        <v>0</v>
      </c>
      <c r="U16" s="16"/>
      <c r="W16" s="828"/>
      <c r="X16" s="991"/>
      <c r="Y16" s="580" t="s">
        <v>176</v>
      </c>
      <c r="Z16" s="35"/>
      <c r="AA16" s="35"/>
      <c r="AB16" s="35"/>
      <c r="AC16" s="35"/>
      <c r="AD16" s="409"/>
    </row>
    <row r="17" spans="1:30" ht="14.45" customHeight="1">
      <c r="A17" s="789"/>
      <c r="B17" s="991"/>
      <c r="C17" s="580" t="s">
        <v>22</v>
      </c>
      <c r="D17" s="15">
        <f>[17]처리구역별처리인구!$L$15</f>
        <v>44646</v>
      </c>
      <c r="E17" s="15">
        <f t="shared" si="1"/>
        <v>43100</v>
      </c>
      <c r="F17" s="15">
        <f>ROUND(D17+(D17*'행정구역별 인구'!F$75)*3,-2)</f>
        <v>42200</v>
      </c>
      <c r="G17" s="15">
        <f>ROUND(Z17+(Z17*'행정구역별 인구'!F$75)*3,-2)</f>
        <v>0</v>
      </c>
      <c r="H17" s="15">
        <f>+인구배분!O31+인구배분!O151</f>
        <v>900</v>
      </c>
      <c r="I17" s="15">
        <f t="shared" si="2"/>
        <v>39100</v>
      </c>
      <c r="J17" s="15">
        <f>ROUND(F17+(F17*'행정구역별 인구'!I$75)*5,-2)</f>
        <v>38200</v>
      </c>
      <c r="K17" s="15">
        <f>ROUND(SUM(Z17:AA17)+(SUM(Z17:AA17)*'행정구역별 인구'!I$75)*8,-2)</f>
        <v>0</v>
      </c>
      <c r="L17" s="15">
        <f>+인구배분!P31+인구배분!P151</f>
        <v>900</v>
      </c>
      <c r="M17" s="15">
        <f t="shared" si="3"/>
        <v>37700</v>
      </c>
      <c r="N17" s="15">
        <f>ROUND(J17+(J17*'행정구역별 인구'!L$75)*5,-2)</f>
        <v>36800</v>
      </c>
      <c r="O17" s="15">
        <f>ROUND(SUM(Z17:AB17)+(SUM(Z17:AB17)*'행정구역별 인구'!M$75)*13,-2)</f>
        <v>0</v>
      </c>
      <c r="P17" s="15">
        <f>+인구배분!Q31+인구배분!Q151</f>
        <v>900</v>
      </c>
      <c r="Q17" s="15">
        <f t="shared" si="4"/>
        <v>39600</v>
      </c>
      <c r="R17" s="15">
        <f>ROUND(N17+(N17*'행정구역별 인구'!O$75)*5,-2)</f>
        <v>38700</v>
      </c>
      <c r="S17" s="15">
        <f>ROUND(SUM(Z17:AC17)+(SUM(Z17:AC17)*'행정구역별 인구'!P$75)*18,-2)</f>
        <v>0</v>
      </c>
      <c r="T17" s="15">
        <f>+인구배분!R31+인구배분!R151</f>
        <v>900</v>
      </c>
      <c r="U17" s="16"/>
      <c r="W17" s="828"/>
      <c r="X17" s="991"/>
      <c r="Y17" s="580" t="s">
        <v>22</v>
      </c>
      <c r="Z17" s="35"/>
      <c r="AA17" s="35"/>
      <c r="AB17" s="35"/>
      <c r="AC17" s="35"/>
      <c r="AD17" s="409"/>
    </row>
    <row r="18" spans="1:30" ht="14.45" customHeight="1">
      <c r="A18" s="789"/>
      <c r="B18" s="991"/>
      <c r="C18" s="580" t="s">
        <v>177</v>
      </c>
      <c r="D18" s="15">
        <f>[17]처리구역별처리인구!$L$16</f>
        <v>20435</v>
      </c>
      <c r="E18" s="15">
        <f t="shared" si="1"/>
        <v>21800</v>
      </c>
      <c r="F18" s="15">
        <f>ROUND(D18+(D18*'행정구역별 인구'!F$75)*3,-2)</f>
        <v>19300</v>
      </c>
      <c r="G18" s="15">
        <f>ROUND(Z18+(Z18*'행정구역별 인구'!F$75)*3,-2)</f>
        <v>0</v>
      </c>
      <c r="H18" s="15">
        <f>+인구배분!O33</f>
        <v>2500</v>
      </c>
      <c r="I18" s="15">
        <f t="shared" si="2"/>
        <v>20000</v>
      </c>
      <c r="J18" s="15">
        <f>ROUND(F18+(F18*'행정구역별 인구'!I$75)*5,-2)</f>
        <v>17500</v>
      </c>
      <c r="K18" s="15">
        <f>ROUND(SUM(Z18:AA18)+(SUM(Z18:AA18)*'행정구역별 인구'!I$75)*8,-2)</f>
        <v>0</v>
      </c>
      <c r="L18" s="15">
        <f>+인구배분!P33</f>
        <v>2500</v>
      </c>
      <c r="M18" s="15">
        <f t="shared" si="3"/>
        <v>19400</v>
      </c>
      <c r="N18" s="15">
        <f>ROUND(J18+(J18*'행정구역별 인구'!L$75)*5,-2)</f>
        <v>16900</v>
      </c>
      <c r="O18" s="15">
        <f>ROUND(SUM(Z18:AB18)+(SUM(Z18:AB18)*'행정구역별 인구'!M$75)*13,-2)</f>
        <v>0</v>
      </c>
      <c r="P18" s="15">
        <f>+인구배분!Q33</f>
        <v>2500</v>
      </c>
      <c r="Q18" s="15">
        <f t="shared" si="4"/>
        <v>20300</v>
      </c>
      <c r="R18" s="15">
        <f>ROUND(N18+(N18*'행정구역별 인구'!O$75)*5,-2)</f>
        <v>17800</v>
      </c>
      <c r="S18" s="15">
        <f>ROUND(SUM(Z18:AC18)+(SUM(Z18:AC18)*'행정구역별 인구'!P$75)*18,-2)</f>
        <v>0</v>
      </c>
      <c r="T18" s="15">
        <f>+인구배분!R33</f>
        <v>2500</v>
      </c>
      <c r="U18" s="16"/>
      <c r="W18" s="828"/>
      <c r="X18" s="991"/>
      <c r="Y18" s="580" t="s">
        <v>177</v>
      </c>
      <c r="Z18" s="35"/>
      <c r="AA18" s="35"/>
      <c r="AB18" s="35"/>
      <c r="AC18" s="35"/>
      <c r="AD18" s="409"/>
    </row>
    <row r="19" spans="1:30" ht="14.45" customHeight="1">
      <c r="A19" s="789"/>
      <c r="B19" s="991"/>
      <c r="C19" s="580" t="s">
        <v>206</v>
      </c>
      <c r="D19" s="15">
        <f>[17]처리구역별처리인구!$L$17</f>
        <v>2321</v>
      </c>
      <c r="E19" s="15">
        <f t="shared" si="1"/>
        <v>2200</v>
      </c>
      <c r="F19" s="15">
        <f>ROUND(D19+(D19*'행정구역별 인구'!F$75)*3,-2)</f>
        <v>2200</v>
      </c>
      <c r="G19" s="15">
        <f>ROUND(Z19+(Z19*'행정구역별 인구'!F$75)*3,-2)</f>
        <v>0</v>
      </c>
      <c r="H19" s="15">
        <v>0</v>
      </c>
      <c r="I19" s="15">
        <f t="shared" si="2"/>
        <v>2000</v>
      </c>
      <c r="J19" s="15">
        <f>ROUND(F19+(F19*'행정구역별 인구'!I$75)*5,-2)</f>
        <v>2000</v>
      </c>
      <c r="K19" s="15">
        <f>ROUND(SUM(Z19:AA19)+(SUM(Z19:AA19)*'행정구역별 인구'!I$75)*8,-2)</f>
        <v>0</v>
      </c>
      <c r="L19" s="15">
        <v>0</v>
      </c>
      <c r="M19" s="15">
        <f t="shared" si="3"/>
        <v>1900</v>
      </c>
      <c r="N19" s="15">
        <f>ROUND(J19+(J19*'행정구역별 인구'!L$75)*5,-2)</f>
        <v>1900</v>
      </c>
      <c r="O19" s="15">
        <f>ROUND(SUM(Z19:AB19)+(SUM(Z19:AB19)*'행정구역별 인구'!M$75)*13,-2)</f>
        <v>0</v>
      </c>
      <c r="P19" s="15">
        <v>0</v>
      </c>
      <c r="Q19" s="15">
        <f t="shared" si="4"/>
        <v>2000</v>
      </c>
      <c r="R19" s="15">
        <f>ROUND(N19+(N19*'행정구역별 인구'!O$75)*5,-2)</f>
        <v>2000</v>
      </c>
      <c r="S19" s="15">
        <f>ROUND(SUM(Z19:AC19)+(SUM(Z19:AC19)*'행정구역별 인구'!P$75)*18,-2)</f>
        <v>0</v>
      </c>
      <c r="T19" s="15">
        <v>0</v>
      </c>
      <c r="U19" s="16"/>
      <c r="W19" s="828"/>
      <c r="X19" s="991"/>
      <c r="Y19" s="580" t="s">
        <v>206</v>
      </c>
      <c r="Z19" s="35"/>
      <c r="AA19" s="35"/>
      <c r="AB19" s="35"/>
      <c r="AC19" s="35"/>
      <c r="AD19" s="409"/>
    </row>
    <row r="20" spans="1:30" ht="14.45" customHeight="1">
      <c r="A20" s="789"/>
      <c r="B20" s="991"/>
      <c r="C20" s="580" t="s">
        <v>163</v>
      </c>
      <c r="D20" s="15">
        <f>[17]처리구역별처리인구!$L$18</f>
        <v>30520</v>
      </c>
      <c r="E20" s="15">
        <f t="shared" si="1"/>
        <v>29900</v>
      </c>
      <c r="F20" s="15">
        <f>ROUND(D20+(D20*'행정구역별 인구'!F$75)*3,-2)</f>
        <v>28900</v>
      </c>
      <c r="G20" s="15">
        <f>ROUND(Z20+(Z20*'행정구역별 인구'!F$75)*3,-2)</f>
        <v>0</v>
      </c>
      <c r="H20" s="15">
        <f>+인구배분!O32+인구배분!O140</f>
        <v>1000</v>
      </c>
      <c r="I20" s="15">
        <f t="shared" si="2"/>
        <v>27100</v>
      </c>
      <c r="J20" s="15">
        <f>ROUND(F20+(F20*'행정구역별 인구'!I$75)*5,-2)</f>
        <v>26100</v>
      </c>
      <c r="K20" s="15">
        <f>ROUND(SUM(Z20:AA20)+(SUM(Z20:AA20)*'행정구역별 인구'!I$75)*8,-2)</f>
        <v>0</v>
      </c>
      <c r="L20" s="15">
        <f>+인구배분!P32+인구배분!P140</f>
        <v>1000</v>
      </c>
      <c r="M20" s="15">
        <f t="shared" si="3"/>
        <v>26200</v>
      </c>
      <c r="N20" s="15">
        <f>ROUND(J20+(J20*'행정구역별 인구'!L$75)*5,-2)</f>
        <v>25200</v>
      </c>
      <c r="O20" s="15">
        <f>ROUND(SUM(Z20:AB20)+(SUM(Z20:AB20)*'행정구역별 인구'!M$75)*13,-2)</f>
        <v>0</v>
      </c>
      <c r="P20" s="15">
        <f>+인구배분!Q32+인구배분!Q140</f>
        <v>1000</v>
      </c>
      <c r="Q20" s="15">
        <f t="shared" si="4"/>
        <v>27600</v>
      </c>
      <c r="R20" s="15">
        <f>ROUND(N20+(N20*'행정구역별 인구'!O$75)*5,-2)+100</f>
        <v>26600</v>
      </c>
      <c r="S20" s="15">
        <f>ROUND(SUM(Z20:AC20)+(SUM(Z20:AC20)*'행정구역별 인구'!P$75)*18,-2)</f>
        <v>0</v>
      </c>
      <c r="T20" s="15">
        <f>+인구배분!R32+인구배분!R140</f>
        <v>1000</v>
      </c>
      <c r="U20" s="16"/>
      <c r="W20" s="828"/>
      <c r="X20" s="991"/>
      <c r="Y20" s="580" t="s">
        <v>163</v>
      </c>
      <c r="Z20" s="35"/>
      <c r="AA20" s="35"/>
      <c r="AB20" s="35"/>
      <c r="AC20" s="35"/>
      <c r="AD20" s="409"/>
    </row>
    <row r="21" spans="1:30" ht="14.45" customHeight="1">
      <c r="A21" s="789"/>
      <c r="B21" s="991"/>
      <c r="C21" s="580" t="s">
        <v>183</v>
      </c>
      <c r="D21" s="15">
        <f>[17]처리구역별처리인구!$L$19</f>
        <v>3872</v>
      </c>
      <c r="E21" s="15">
        <f t="shared" si="1"/>
        <v>11400</v>
      </c>
      <c r="F21" s="15">
        <f>ROUND(D21+(D21*'행정구역별 인구'!F$75)*3,-2)</f>
        <v>3700</v>
      </c>
      <c r="G21" s="15">
        <f>ROUND(Z21+(Z21*'행정구역별 인구'!F$75)*3,-2)</f>
        <v>0</v>
      </c>
      <c r="H21" s="15">
        <f>+인구배분!O104+인구배분!O136+인구배분!O139+인구배분!O141+인구배분!O146+인구배분!O163+인구배분!O164+인구배분!O165</f>
        <v>7700</v>
      </c>
      <c r="I21" s="15">
        <f t="shared" si="2"/>
        <v>11400</v>
      </c>
      <c r="J21" s="15">
        <f>ROUND(F21+(F21*'행정구역별 인구'!I$75)*5,-2)</f>
        <v>3300</v>
      </c>
      <c r="K21" s="15">
        <f>ROUND(SUM(Z21:AA21)+(SUM(Z21:AA21)*'행정구역별 인구'!I$75)*8,-2)</f>
        <v>0</v>
      </c>
      <c r="L21" s="15">
        <f>+인구배분!P104+인구배분!P136+인구배분!P139+인구배분!P141+인구배분!P146+인구배분!P163+인구배분!P164+인구배분!P165</f>
        <v>8100</v>
      </c>
      <c r="M21" s="15">
        <f t="shared" si="3"/>
        <v>11300</v>
      </c>
      <c r="N21" s="15">
        <f>ROUND(J21+(J21*'행정구역별 인구'!L$75)*5,-2)</f>
        <v>3200</v>
      </c>
      <c r="O21" s="15">
        <f>ROUND(SUM(Z21:AB21)+(SUM(Z21:AB21)*'행정구역별 인구'!M$75)*13,-2)</f>
        <v>0</v>
      </c>
      <c r="P21" s="15">
        <f>+인구배분!Q104+인구배분!Q136+인구배분!Q139+인구배분!Q141+인구배분!Q146+인구배분!Q163+인구배분!Q164+인구배분!Q165</f>
        <v>8100</v>
      </c>
      <c r="Q21" s="15">
        <f t="shared" si="4"/>
        <v>11500</v>
      </c>
      <c r="R21" s="15">
        <f>ROUND(N21+(N21*'행정구역별 인구'!O$75)*5,-2)</f>
        <v>3400</v>
      </c>
      <c r="S21" s="15">
        <f>ROUND(SUM(Z21:AC21)+(SUM(Z21:AC21)*'행정구역별 인구'!P$75)*18,-2)</f>
        <v>0</v>
      </c>
      <c r="T21" s="15">
        <f>+인구배분!R104+인구배분!R136+인구배분!R139+인구배분!R141+인구배분!R146+인구배분!R163+인구배분!R164+인구배분!R165</f>
        <v>8100</v>
      </c>
      <c r="U21" s="16"/>
      <c r="W21" s="828"/>
      <c r="X21" s="991"/>
      <c r="Y21" s="580" t="s">
        <v>183</v>
      </c>
      <c r="Z21" s="35"/>
      <c r="AA21" s="35"/>
      <c r="AB21" s="35"/>
      <c r="AC21" s="35"/>
      <c r="AD21" s="409"/>
    </row>
    <row r="22" spans="1:30" ht="14.45" customHeight="1">
      <c r="A22" s="789"/>
      <c r="B22" s="942"/>
      <c r="C22" s="580" t="s">
        <v>1100</v>
      </c>
      <c r="D22" s="15">
        <v>0</v>
      </c>
      <c r="E22" s="15">
        <f t="shared" si="1"/>
        <v>800</v>
      </c>
      <c r="F22" s="15">
        <f>ROUND(D22+(D22*'행정구역별 인구'!F$75)*3,-2)</f>
        <v>0</v>
      </c>
      <c r="G22" s="15">
        <f>ROUND(Z22+(Z22*'행정구역별 인구'!F$75)*3,-2)</f>
        <v>0</v>
      </c>
      <c r="H22" s="15">
        <f>인구배분!O147</f>
        <v>800</v>
      </c>
      <c r="I22" s="15">
        <f t="shared" si="2"/>
        <v>800</v>
      </c>
      <c r="J22" s="15">
        <f>ROUND(F22+(F22*'행정구역별 인구'!I$75)*5,-2)</f>
        <v>0</v>
      </c>
      <c r="K22" s="15">
        <f>ROUND(SUM(Z22:AA22)+(SUM(Z22:AA22)*'행정구역별 인구'!I$75)*8,-2)</f>
        <v>0</v>
      </c>
      <c r="L22" s="15">
        <f>인구배분!P147</f>
        <v>800</v>
      </c>
      <c r="M22" s="15">
        <f t="shared" si="3"/>
        <v>800</v>
      </c>
      <c r="N22" s="15">
        <f>ROUND(J22+(J22*'행정구역별 인구'!L$75)*5,-2)</f>
        <v>0</v>
      </c>
      <c r="O22" s="15">
        <f>ROUND(SUM(Z22:AB22)+(SUM(Z22:AB22)*'행정구역별 인구'!M$75)*13,-2)</f>
        <v>0</v>
      </c>
      <c r="P22" s="15">
        <f>인구배분!Q147</f>
        <v>800</v>
      </c>
      <c r="Q22" s="15">
        <f t="shared" si="4"/>
        <v>800</v>
      </c>
      <c r="R22" s="15">
        <f>ROUND(N22+(N22*'행정구역별 인구'!O$75)*5,-2)</f>
        <v>0</v>
      </c>
      <c r="S22" s="15">
        <f>ROUND(SUM(Z22:AC22)+(SUM(Z22:AC22)*'행정구역별 인구'!P$75)*18,-2)</f>
        <v>0</v>
      </c>
      <c r="T22" s="15">
        <f>인구배분!R147</f>
        <v>800</v>
      </c>
      <c r="U22" s="16"/>
      <c r="W22" s="828"/>
      <c r="X22" s="942"/>
      <c r="Y22" s="580" t="s">
        <v>1100</v>
      </c>
      <c r="Z22" s="35"/>
      <c r="AA22" s="35"/>
      <c r="AB22" s="35"/>
      <c r="AC22" s="35"/>
      <c r="AD22" s="409"/>
    </row>
    <row r="23" spans="1:30" ht="14.45" customHeight="1">
      <c r="A23" s="789"/>
      <c r="B23" s="920" t="s">
        <v>60</v>
      </c>
      <c r="C23" s="480" t="s">
        <v>154</v>
      </c>
      <c r="D23" s="481">
        <f t="shared" ref="D23:S23" si="6">SUM(D24:D26)</f>
        <v>24849</v>
      </c>
      <c r="E23" s="481">
        <f t="shared" si="6"/>
        <v>23500</v>
      </c>
      <c r="F23" s="481">
        <f t="shared" si="6"/>
        <v>23500</v>
      </c>
      <c r="G23" s="481">
        <f t="shared" si="6"/>
        <v>0</v>
      </c>
      <c r="H23" s="481">
        <f t="shared" si="6"/>
        <v>0</v>
      </c>
      <c r="I23" s="481">
        <f t="shared" si="6"/>
        <v>35800</v>
      </c>
      <c r="J23" s="481">
        <f t="shared" si="6"/>
        <v>21200</v>
      </c>
      <c r="K23" s="481">
        <f t="shared" si="6"/>
        <v>0</v>
      </c>
      <c r="L23" s="481">
        <f t="shared" si="6"/>
        <v>14600</v>
      </c>
      <c r="M23" s="481">
        <f t="shared" si="6"/>
        <v>35100</v>
      </c>
      <c r="N23" s="481">
        <f t="shared" si="6"/>
        <v>20500</v>
      </c>
      <c r="O23" s="481">
        <f t="shared" si="6"/>
        <v>0</v>
      </c>
      <c r="P23" s="481">
        <f t="shared" si="6"/>
        <v>14600</v>
      </c>
      <c r="Q23" s="481">
        <f t="shared" si="6"/>
        <v>36100</v>
      </c>
      <c r="R23" s="481">
        <f t="shared" si="6"/>
        <v>21500</v>
      </c>
      <c r="S23" s="481">
        <f t="shared" si="6"/>
        <v>0</v>
      </c>
      <c r="T23" s="481">
        <f>SUM(T24:T26)</f>
        <v>14600</v>
      </c>
      <c r="U23" s="477"/>
      <c r="W23" s="828"/>
      <c r="X23" s="920" t="s">
        <v>60</v>
      </c>
      <c r="Y23" s="580" t="s">
        <v>154</v>
      </c>
      <c r="Z23" s="35">
        <f>SUM(Z24:Z26)</f>
        <v>0</v>
      </c>
      <c r="AA23" s="35">
        <f>SUM(AA24:AA26)</f>
        <v>0</v>
      </c>
      <c r="AB23" s="35">
        <f>SUM(AB24:AB26)</f>
        <v>0</v>
      </c>
      <c r="AC23" s="35">
        <f>SUM(AC24:AC26)</f>
        <v>0</v>
      </c>
      <c r="AD23" s="409"/>
    </row>
    <row r="24" spans="1:30" ht="14.45" customHeight="1">
      <c r="A24" s="789"/>
      <c r="B24" s="920"/>
      <c r="C24" s="580" t="s">
        <v>1067</v>
      </c>
      <c r="D24" s="15">
        <f>+[17]처리구역별처리인구!$L$28+[17]처리구역별처리인구!$L$29</f>
        <v>2950</v>
      </c>
      <c r="E24" s="15">
        <f>SUM(F24:H24)</f>
        <v>2800</v>
      </c>
      <c r="F24" s="15">
        <f>ROUND(D24+(D24*'행정구역별 인구'!F$75)*3,-2)</f>
        <v>2800</v>
      </c>
      <c r="G24" s="15">
        <f>ROUND(Z24+(Z24*'행정구역별 인구'!F$75)*3,-2)</f>
        <v>0</v>
      </c>
      <c r="H24" s="15">
        <f>+인구배분!O89+인구배분!O92+인구배분!O98+인구배분!O99+인구배분!O100+인구배분!O101</f>
        <v>0</v>
      </c>
      <c r="I24" s="15">
        <f>SUM(J24:L24)</f>
        <v>3700</v>
      </c>
      <c r="J24" s="15">
        <f>ROUND(F24+(F24*'행정구역별 인구'!I$75)*5,-2)</f>
        <v>2500</v>
      </c>
      <c r="K24" s="15">
        <f>ROUND(SUM(Z24:AA24)+(SUM(Z24:AA24)*'행정구역별 인구'!I$75)*8,-2)</f>
        <v>0</v>
      </c>
      <c r="L24" s="15">
        <f>+인구배분!P89+인구배분!P92+인구배분!P98+인구배분!P99+인구배분!P100+인구배분!P101</f>
        <v>1200</v>
      </c>
      <c r="M24" s="15">
        <f>SUM(N24:P24)</f>
        <v>3600</v>
      </c>
      <c r="N24" s="15">
        <f>ROUND(J24+(J24*'행정구역별 인구'!L$75)*5,-2)</f>
        <v>2400</v>
      </c>
      <c r="O24" s="15">
        <f>ROUND(SUM(Z24:AB24)+(SUM(Z24:AB24)*'행정구역별 인구'!M$75)*13,-2)</f>
        <v>0</v>
      </c>
      <c r="P24" s="15">
        <f>+인구배분!Q89+인구배분!Q92+인구배분!Q98+인구배분!Q99+인구배분!Q100+인구배분!Q101</f>
        <v>1200</v>
      </c>
      <c r="Q24" s="15">
        <f>SUM(R24:T24)</f>
        <v>3700</v>
      </c>
      <c r="R24" s="15">
        <f>ROUND(N24+(N24*'행정구역별 인구'!O$75)*5,-2)</f>
        <v>2500</v>
      </c>
      <c r="S24" s="15">
        <f>ROUND(SUM(Z24:AC24)+(SUM(Z24:AC24)*'행정구역별 인구'!P$75)*18,-2)</f>
        <v>0</v>
      </c>
      <c r="T24" s="15">
        <f>+인구배분!R89+인구배분!R92+인구배분!R98+인구배분!R99+인구배분!R100+인구배분!R101</f>
        <v>1200</v>
      </c>
      <c r="U24" s="16"/>
      <c r="W24" s="828"/>
      <c r="X24" s="920"/>
      <c r="Y24" s="580" t="s">
        <v>1067</v>
      </c>
      <c r="Z24" s="35"/>
      <c r="AA24" s="35"/>
      <c r="AB24" s="35"/>
      <c r="AC24" s="35"/>
      <c r="AD24" s="409"/>
    </row>
    <row r="25" spans="1:30" ht="14.45" customHeight="1">
      <c r="A25" s="789"/>
      <c r="B25" s="920"/>
      <c r="C25" s="580" t="s">
        <v>185</v>
      </c>
      <c r="D25" s="15">
        <f>[17]처리구역별처리인구!$L$30-D26+[17]처리구역별처리인구!$L$31</f>
        <v>11360</v>
      </c>
      <c r="E25" s="15">
        <f>SUM(F25:H25)</f>
        <v>10700</v>
      </c>
      <c r="F25" s="15">
        <f>ROUND(D25+(D25*'행정구역별 인구'!F$75)*3,-2)</f>
        <v>10700</v>
      </c>
      <c r="G25" s="15">
        <f>ROUND(Z25+(Z25*'행정구역별 인구'!F$75)*3,-2)</f>
        <v>0</v>
      </c>
      <c r="H25" s="15">
        <f>+인구배분!O55+인구배분!O56+인구배분!O57+인구배분!O58+인구배분!O59+인구배분!O60+인구배분!O61</f>
        <v>0</v>
      </c>
      <c r="I25" s="15">
        <f>SUM(J25:L25)</f>
        <v>15600</v>
      </c>
      <c r="J25" s="15">
        <f>ROUND(F25+(F25*'행정구역별 인구'!I$75)*5,-2)</f>
        <v>9700</v>
      </c>
      <c r="K25" s="15">
        <f>ROUND(SUM(Z25:AA25)+(SUM(Z25:AA25)*'행정구역별 인구'!I$75)*8,-2)</f>
        <v>0</v>
      </c>
      <c r="L25" s="15">
        <f>+인구배분!P55+인구배분!P56+인구배분!P57+인구배분!P58+인구배분!P59+인구배분!P60+인구배분!P61</f>
        <v>5900</v>
      </c>
      <c r="M25" s="15">
        <f>SUM(N25:P25)</f>
        <v>15300</v>
      </c>
      <c r="N25" s="15">
        <f>ROUND(J25+(J25*'행정구역별 인구'!L$75)*5,-2)</f>
        <v>9400</v>
      </c>
      <c r="O25" s="15">
        <f>ROUND(SUM(Z25:AB25)+(SUM(Z25:AB25)*'행정구역별 인구'!M$75)*13,-2)</f>
        <v>0</v>
      </c>
      <c r="P25" s="15">
        <f>+인구배분!Q55+인구배분!Q56+인구배분!Q57+인구배분!Q58+인구배분!Q59+인구배분!Q60+인구배분!Q61</f>
        <v>5900</v>
      </c>
      <c r="Q25" s="15">
        <f>SUM(R25:T25)</f>
        <v>15800</v>
      </c>
      <c r="R25" s="15">
        <f>ROUND(N25+(N25*'행정구역별 인구'!O$75)*5,-2)</f>
        <v>9900</v>
      </c>
      <c r="S25" s="15">
        <f>ROUND(SUM(Z25:AC25)+(SUM(Z25:AC25)*'행정구역별 인구'!P$75)*18,-2)</f>
        <v>0</v>
      </c>
      <c r="T25" s="15">
        <f>+인구배분!R55+인구배분!R56+인구배분!R57+인구배분!R58+인구배분!R59+인구배분!R60+인구배분!R61</f>
        <v>5900</v>
      </c>
      <c r="U25" s="16"/>
      <c r="W25" s="828"/>
      <c r="X25" s="920"/>
      <c r="Y25" s="580" t="s">
        <v>185</v>
      </c>
      <c r="Z25" s="35"/>
      <c r="AA25" s="35"/>
      <c r="AB25" s="35"/>
      <c r="AC25" s="35"/>
      <c r="AD25" s="409"/>
    </row>
    <row r="26" spans="1:30" ht="14.45" customHeight="1">
      <c r="A26" s="789"/>
      <c r="B26" s="920"/>
      <c r="C26" s="580" t="s">
        <v>1058</v>
      </c>
      <c r="D26" s="15">
        <f>+'행정구역별 인구'!C53-'처리구역별 인구 근거'!D28</f>
        <v>10539</v>
      </c>
      <c r="E26" s="15">
        <f>SUM(F26:H26)</f>
        <v>10000</v>
      </c>
      <c r="F26" s="15">
        <f>ROUND(D26+(D26*'행정구역별 인구'!F$75)*3,-2)</f>
        <v>10000</v>
      </c>
      <c r="G26" s="15">
        <f>ROUND(Z26+(Z26*'행정구역별 인구'!F$75)*3,-2)</f>
        <v>0</v>
      </c>
      <c r="H26" s="15">
        <f>+인구배분!O62+인구배분!O63+인구배분!O64+인구배분!O65+인구배분!O66+인구배분!O67+인구배분!O68+인구배분!O69+인구배분!O70+인구배분!O71</f>
        <v>0</v>
      </c>
      <c r="I26" s="15">
        <f>SUM(J26:L26)</f>
        <v>16500</v>
      </c>
      <c r="J26" s="15">
        <f>ROUND(F26+(F26*'행정구역별 인구'!I$75)*5,-2)</f>
        <v>9000</v>
      </c>
      <c r="K26" s="15">
        <f>ROUND(SUM(Z26:AA26)+(SUM(Z26:AA26)*'행정구역별 인구'!I$75)*8,-2)</f>
        <v>0</v>
      </c>
      <c r="L26" s="15">
        <f>+인구배분!P62+인구배분!P63+인구배분!P64+인구배분!P65+인구배분!P66+인구배분!P67+인구배분!P68+인구배분!P69+인구배분!P70+인구배분!P71</f>
        <v>7500</v>
      </c>
      <c r="M26" s="15">
        <f>SUM(N26:P26)</f>
        <v>16200</v>
      </c>
      <c r="N26" s="15">
        <f>ROUND(J26+(J26*'행정구역별 인구'!L$75)*5,-2)</f>
        <v>8700</v>
      </c>
      <c r="O26" s="15">
        <f>ROUND(SUM(Z26:AB26)+(SUM(Z26:AB26)*'행정구역별 인구'!M$75)*13,-2)</f>
        <v>0</v>
      </c>
      <c r="P26" s="15">
        <f>+인구배분!Q62+인구배분!Q63+인구배분!Q64+인구배분!Q65+인구배분!Q66+인구배분!Q67+인구배분!Q68+인구배분!Q69+인구배분!Q70+인구배분!Q71</f>
        <v>7500</v>
      </c>
      <c r="Q26" s="15">
        <f>SUM(R26:T26)</f>
        <v>16600</v>
      </c>
      <c r="R26" s="15">
        <f>ROUND(N26+(N26*'행정구역별 인구'!O$75)*5,-2)</f>
        <v>9100</v>
      </c>
      <c r="S26" s="15">
        <f>ROUND(SUM(Z26:AC26)+(SUM(Z26:AC26)*'행정구역별 인구'!P$75)*18,-2)</f>
        <v>0</v>
      </c>
      <c r="T26" s="15">
        <f>+인구배분!R62+인구배분!R63+인구배분!R64+인구배분!R65+인구배분!R66+인구배분!R67+인구배분!R68+인구배분!R69+인구배분!R70+인구배분!R71</f>
        <v>7500</v>
      </c>
      <c r="U26" s="16"/>
      <c r="W26" s="828"/>
      <c r="X26" s="920"/>
      <c r="Y26" s="580" t="s">
        <v>1058</v>
      </c>
      <c r="Z26" s="35"/>
      <c r="AA26" s="35"/>
      <c r="AB26" s="35"/>
      <c r="AC26" s="35"/>
      <c r="AD26" s="409"/>
    </row>
    <row r="27" spans="1:30" ht="14.45" customHeight="1">
      <c r="A27" s="789"/>
      <c r="B27" s="920" t="s">
        <v>61</v>
      </c>
      <c r="C27" s="480" t="s">
        <v>154</v>
      </c>
      <c r="D27" s="481">
        <f t="shared" ref="D27:S27" si="7">SUM(D28:D29)</f>
        <v>16810</v>
      </c>
      <c r="E27" s="481">
        <f t="shared" si="7"/>
        <v>15900</v>
      </c>
      <c r="F27" s="481">
        <f t="shared" si="7"/>
        <v>15900</v>
      </c>
      <c r="G27" s="481">
        <f t="shared" si="7"/>
        <v>0</v>
      </c>
      <c r="H27" s="481">
        <f t="shared" si="7"/>
        <v>0</v>
      </c>
      <c r="I27" s="481">
        <f t="shared" si="7"/>
        <v>18800</v>
      </c>
      <c r="J27" s="481">
        <f t="shared" si="7"/>
        <v>14400</v>
      </c>
      <c r="K27" s="481">
        <f t="shared" si="7"/>
        <v>100</v>
      </c>
      <c r="L27" s="481">
        <f t="shared" si="7"/>
        <v>4300</v>
      </c>
      <c r="M27" s="481">
        <f t="shared" si="7"/>
        <v>18300</v>
      </c>
      <c r="N27" s="481">
        <f t="shared" si="7"/>
        <v>13900</v>
      </c>
      <c r="O27" s="481">
        <f t="shared" si="7"/>
        <v>100</v>
      </c>
      <c r="P27" s="481">
        <f t="shared" si="7"/>
        <v>4300</v>
      </c>
      <c r="Q27" s="481">
        <f t="shared" si="7"/>
        <v>19000</v>
      </c>
      <c r="R27" s="481">
        <f t="shared" si="7"/>
        <v>14600</v>
      </c>
      <c r="S27" s="481">
        <f t="shared" si="7"/>
        <v>100</v>
      </c>
      <c r="T27" s="481">
        <f>SUM(T28:T29)</f>
        <v>4300</v>
      </c>
      <c r="U27" s="477"/>
      <c r="W27" s="828"/>
      <c r="X27" s="920" t="s">
        <v>61</v>
      </c>
      <c r="Y27" s="580" t="s">
        <v>154</v>
      </c>
      <c r="Z27" s="35">
        <f>SUM(Z28:Z29)</f>
        <v>0</v>
      </c>
      <c r="AA27" s="35">
        <f>SUM(AA28:AA29)</f>
        <v>88</v>
      </c>
      <c r="AB27" s="35">
        <f>SUM(AB28:AB29)</f>
        <v>0</v>
      </c>
      <c r="AC27" s="35">
        <f>SUM(AC28:AC29)</f>
        <v>0</v>
      </c>
      <c r="AD27" s="409"/>
    </row>
    <row r="28" spans="1:30" ht="14.45" customHeight="1">
      <c r="A28" s="789"/>
      <c r="B28" s="920"/>
      <c r="C28" s="580" t="s">
        <v>1058</v>
      </c>
      <c r="D28" s="15">
        <f>[17]처리구역별처리인구!$L$33</f>
        <v>3300</v>
      </c>
      <c r="E28" s="15">
        <f t="shared" si="1"/>
        <v>3100</v>
      </c>
      <c r="F28" s="15">
        <f>ROUND(D28+(D28*'행정구역별 인구'!F$75)*3,-2)</f>
        <v>3100</v>
      </c>
      <c r="G28" s="15">
        <f>ROUND(Z28+(Z28*'행정구역별 인구'!F$75)*3,-2)</f>
        <v>0</v>
      </c>
      <c r="H28" s="15">
        <f>+인구배분!O72+인구배분!O73</f>
        <v>0</v>
      </c>
      <c r="I28" s="15">
        <f t="shared" si="2"/>
        <v>4800</v>
      </c>
      <c r="J28" s="15">
        <f>ROUND(F28+(F28*'행정구역별 인구'!I$75)*5,-2)</f>
        <v>2800</v>
      </c>
      <c r="K28" s="15">
        <f>ROUND(SUM(Z28:AA28)+(SUM(Z28:AA28)*'행정구역별 인구'!I$75)*8,-2)</f>
        <v>0</v>
      </c>
      <c r="L28" s="15">
        <f>+인구배분!P72+인구배분!P73</f>
        <v>2000</v>
      </c>
      <c r="M28" s="15">
        <f t="shared" si="3"/>
        <v>4700</v>
      </c>
      <c r="N28" s="15">
        <f>ROUND(J28+(J28*'행정구역별 인구'!L$75)*5,-2)</f>
        <v>2700</v>
      </c>
      <c r="O28" s="15">
        <f>ROUND(SUM(Z28:AB28)+(SUM(Z28:AB28)*'행정구역별 인구'!M$75)*13,-2)</f>
        <v>0</v>
      </c>
      <c r="P28" s="15">
        <f>+인구배분!Q72+인구배분!Q73</f>
        <v>2000</v>
      </c>
      <c r="Q28" s="15">
        <f t="shared" si="4"/>
        <v>4800</v>
      </c>
      <c r="R28" s="15">
        <f>ROUND(N28+(N28*'행정구역별 인구'!O$75)*5,-2)</f>
        <v>2800</v>
      </c>
      <c r="S28" s="15">
        <f>ROUND(SUM(Z28:AC28)+(SUM(Z28:AC28)*'행정구역별 인구'!P$75)*18,-2)</f>
        <v>0</v>
      </c>
      <c r="T28" s="15">
        <f>+인구배분!R72+인구배분!R73</f>
        <v>2000</v>
      </c>
      <c r="U28" s="16"/>
      <c r="W28" s="828"/>
      <c r="X28" s="920"/>
      <c r="Y28" s="580" t="s">
        <v>1058</v>
      </c>
      <c r="Z28" s="35"/>
      <c r="AA28" s="35"/>
      <c r="AB28" s="35"/>
      <c r="AC28" s="35"/>
      <c r="AD28" s="409"/>
    </row>
    <row r="29" spans="1:30" ht="14.45" customHeight="1">
      <c r="A29" s="789"/>
      <c r="B29" s="920"/>
      <c r="C29" s="580" t="s">
        <v>1061</v>
      </c>
      <c r="D29" s="15">
        <f>[17]소처리분구별인구!$AY$35+[17]소처리분구별인구!$AY$36-[17]처리구역별처리인구!$L$33</f>
        <v>13510</v>
      </c>
      <c r="E29" s="15">
        <f t="shared" si="1"/>
        <v>12800</v>
      </c>
      <c r="F29" s="15">
        <f>ROUND(D29+(D29*'행정구역별 인구'!F$75)*3,-2)</f>
        <v>12800</v>
      </c>
      <c r="G29" s="15">
        <f>ROUND(Z29+(Z29*'행정구역별 인구'!F$75)*3,-2)</f>
        <v>0</v>
      </c>
      <c r="H29" s="15">
        <f>+인구배분!O74+인구배분!O75+인구배분!O76+인구배분!O77</f>
        <v>0</v>
      </c>
      <c r="I29" s="15">
        <f t="shared" si="2"/>
        <v>14000</v>
      </c>
      <c r="J29" s="15">
        <f>ROUND(F29+(F29*'행정구역별 인구'!I$75)*5,-2)</f>
        <v>11600</v>
      </c>
      <c r="K29" s="15">
        <f>ROUND(SUM(Z29:AA29)+(SUM(Z29:AA29)*'행정구역별 인구'!I$75)*8,-2)</f>
        <v>100</v>
      </c>
      <c r="L29" s="15">
        <f>+인구배분!P74+인구배분!P75+인구배분!P76+인구배분!P77</f>
        <v>2300</v>
      </c>
      <c r="M29" s="15">
        <f t="shared" si="3"/>
        <v>13600</v>
      </c>
      <c r="N29" s="15">
        <f>ROUND(J29+(J29*'행정구역별 인구'!L$75)*5,-2)</f>
        <v>11200</v>
      </c>
      <c r="O29" s="15">
        <f>ROUND(SUM(Z29:AB29)+(SUM(Z29:AB29)*'행정구역별 인구'!M$75)*13,-2)</f>
        <v>100</v>
      </c>
      <c r="P29" s="15">
        <f>+인구배분!Q74+인구배분!Q75+인구배분!Q76+인구배분!Q77</f>
        <v>2300</v>
      </c>
      <c r="Q29" s="15">
        <f t="shared" si="4"/>
        <v>14200</v>
      </c>
      <c r="R29" s="15">
        <f>ROUND(N29+(N29*'행정구역별 인구'!O$75)*5,-2)</f>
        <v>11800</v>
      </c>
      <c r="S29" s="15">
        <f>ROUND(SUM(Z29:AC29)+(SUM(Z29:AC29)*'행정구역별 인구'!P$75)*18,-2)</f>
        <v>100</v>
      </c>
      <c r="T29" s="15">
        <f>+인구배분!R74+인구배분!R75+인구배분!R76+인구배분!R77</f>
        <v>2300</v>
      </c>
      <c r="U29" s="16"/>
      <c r="W29" s="828"/>
      <c r="X29" s="920"/>
      <c r="Y29" s="580" t="s">
        <v>1061</v>
      </c>
      <c r="Z29" s="35"/>
      <c r="AA29" s="35">
        <v>88</v>
      </c>
      <c r="AB29" s="35"/>
      <c r="AC29" s="35"/>
      <c r="AD29" s="409"/>
    </row>
    <row r="30" spans="1:30" ht="14.45" customHeight="1">
      <c r="A30" s="789"/>
      <c r="B30" s="990" t="s">
        <v>507</v>
      </c>
      <c r="C30" s="480" t="s">
        <v>154</v>
      </c>
      <c r="D30" s="481">
        <f t="shared" ref="D30:T30" si="8">SUM(D31:D35)</f>
        <v>97246</v>
      </c>
      <c r="E30" s="481">
        <f t="shared" si="8"/>
        <v>96900</v>
      </c>
      <c r="F30" s="481">
        <f t="shared" si="8"/>
        <v>91900</v>
      </c>
      <c r="G30" s="481">
        <f t="shared" si="8"/>
        <v>0</v>
      </c>
      <c r="H30" s="481">
        <f t="shared" si="8"/>
        <v>5000</v>
      </c>
      <c r="I30" s="481">
        <f t="shared" si="8"/>
        <v>96200</v>
      </c>
      <c r="J30" s="481">
        <f t="shared" si="8"/>
        <v>83100</v>
      </c>
      <c r="K30" s="481">
        <f t="shared" si="8"/>
        <v>0</v>
      </c>
      <c r="L30" s="481">
        <f t="shared" si="8"/>
        <v>13100</v>
      </c>
      <c r="M30" s="481">
        <f t="shared" si="8"/>
        <v>93200</v>
      </c>
      <c r="N30" s="481">
        <f t="shared" si="8"/>
        <v>80100</v>
      </c>
      <c r="O30" s="481">
        <f t="shared" si="8"/>
        <v>0</v>
      </c>
      <c r="P30" s="481">
        <f t="shared" si="8"/>
        <v>13100</v>
      </c>
      <c r="Q30" s="481">
        <f t="shared" si="8"/>
        <v>97300</v>
      </c>
      <c r="R30" s="481">
        <f t="shared" si="8"/>
        <v>84200</v>
      </c>
      <c r="S30" s="481">
        <f t="shared" si="8"/>
        <v>0</v>
      </c>
      <c r="T30" s="481">
        <f t="shared" si="8"/>
        <v>13100</v>
      </c>
      <c r="U30" s="477"/>
      <c r="W30" s="828"/>
      <c r="X30" s="990" t="s">
        <v>507</v>
      </c>
      <c r="Y30" s="580" t="s">
        <v>154</v>
      </c>
      <c r="Z30" s="35">
        <f>SUM(Z31:Z35)</f>
        <v>0</v>
      </c>
      <c r="AA30" s="35">
        <f>SUM(AA31:AA35)</f>
        <v>0</v>
      </c>
      <c r="AB30" s="35">
        <f>SUM(AB31:AB35)</f>
        <v>0</v>
      </c>
      <c r="AC30" s="35">
        <f>SUM(AC31:AC35)</f>
        <v>0</v>
      </c>
      <c r="AD30" s="409"/>
    </row>
    <row r="31" spans="1:30" ht="14.45" customHeight="1">
      <c r="A31" s="789"/>
      <c r="B31" s="991"/>
      <c r="C31" s="580" t="s">
        <v>24</v>
      </c>
      <c r="D31" s="15">
        <f>[17]처리구역별처리인구!$L$38-D32</f>
        <v>17258</v>
      </c>
      <c r="E31" s="15">
        <f t="shared" si="1"/>
        <v>16300</v>
      </c>
      <c r="F31" s="15">
        <f>ROUND(D31+(D31*'행정구역별 인구'!F$75)*3,-2)</f>
        <v>16300</v>
      </c>
      <c r="G31" s="15">
        <f>ROUND(Z31+(Z31*'행정구역별 인구'!F$75)*3,-2)</f>
        <v>0</v>
      </c>
      <c r="H31" s="15">
        <f>+인구배분!O108+인구배분!O109+인구배분!O110+인구배분!O111+인구배분!O112+인구배분!O113+인구배분!O131</f>
        <v>0</v>
      </c>
      <c r="I31" s="15">
        <f t="shared" si="2"/>
        <v>19500</v>
      </c>
      <c r="J31" s="15">
        <f>ROUND(F31+(F31*'행정구역별 인구'!I$75)*5,-2)</f>
        <v>14700</v>
      </c>
      <c r="K31" s="15">
        <f>ROUND(SUM(Z31:AA31)+(SUM(Z31:AA31)*'행정구역별 인구'!I$75)*8,-2)</f>
        <v>0</v>
      </c>
      <c r="L31" s="15">
        <f>+인구배분!P108+인구배분!P109+인구배분!P110+인구배분!P111+인구배분!P112+인구배분!P113+인구배분!P131</f>
        <v>4800</v>
      </c>
      <c r="M31" s="15">
        <f t="shared" si="3"/>
        <v>19000</v>
      </c>
      <c r="N31" s="15">
        <f>ROUND(J31+(J31*'행정구역별 인구'!L$75)*5,-2)</f>
        <v>14200</v>
      </c>
      <c r="O31" s="15">
        <f>ROUND(SUM(Z31:AB31)+(SUM(Z31:AB31)*'행정구역별 인구'!M$75)*13,-2)</f>
        <v>0</v>
      </c>
      <c r="P31" s="15">
        <f>+인구배분!Q108+인구배분!Q109+인구배분!Q110+인구배분!Q111+인구배분!Q112+인구배분!Q113+인구배분!Q131</f>
        <v>4800</v>
      </c>
      <c r="Q31" s="15">
        <f t="shared" si="4"/>
        <v>19700</v>
      </c>
      <c r="R31" s="15">
        <f>ROUND(N31+(N31*'행정구역별 인구'!O$75)*5,-2)</f>
        <v>14900</v>
      </c>
      <c r="S31" s="15">
        <f>ROUND(SUM(Z31:AC31)+(SUM(Z31:AC31)*'행정구역별 인구'!P$75)*18,-2)</f>
        <v>0</v>
      </c>
      <c r="T31" s="15">
        <f>+인구배분!R108+인구배분!R109+인구배분!R110+인구배분!R111+인구배분!R112+인구배분!R113+인구배분!R131</f>
        <v>4800</v>
      </c>
      <c r="U31" s="16"/>
      <c r="W31" s="828"/>
      <c r="X31" s="991"/>
      <c r="Y31" s="580" t="s">
        <v>24</v>
      </c>
      <c r="Z31" s="35"/>
      <c r="AA31" s="35"/>
      <c r="AB31" s="35"/>
      <c r="AC31" s="35"/>
      <c r="AD31" s="409"/>
    </row>
    <row r="32" spans="1:30" ht="14.45" customHeight="1">
      <c r="A32" s="789"/>
      <c r="B32" s="991"/>
      <c r="C32" s="580" t="s">
        <v>1086</v>
      </c>
      <c r="D32" s="15">
        <f>'행정구역별 인구'!C44</f>
        <v>21438</v>
      </c>
      <c r="E32" s="15">
        <f t="shared" si="1"/>
        <v>20300</v>
      </c>
      <c r="F32" s="15">
        <f>ROUND(D32+(D32*'행정구역별 인구'!F$75)*3,-2)</f>
        <v>20300</v>
      </c>
      <c r="G32" s="15">
        <f>ROUND(Z32+(Z32*'행정구역별 인구'!F$75)*3,-2)</f>
        <v>0</v>
      </c>
      <c r="H32" s="15">
        <f>+인구배분!O107</f>
        <v>0</v>
      </c>
      <c r="I32" s="15">
        <f t="shared" si="2"/>
        <v>19000</v>
      </c>
      <c r="J32" s="15">
        <f>ROUND(F32+(F32*'행정구역별 인구'!I$75)*5,-2)</f>
        <v>18400</v>
      </c>
      <c r="K32" s="15">
        <f>ROUND(SUM(Z32:AA32)+(SUM(Z32:AA32)*'행정구역별 인구'!I$75)*8,-2)</f>
        <v>0</v>
      </c>
      <c r="L32" s="15">
        <f>+인구배분!P107</f>
        <v>600</v>
      </c>
      <c r="M32" s="15">
        <f t="shared" si="3"/>
        <v>18300</v>
      </c>
      <c r="N32" s="15">
        <f>ROUND(J32+(J32*'행정구역별 인구'!L$75)*5,-2)</f>
        <v>17700</v>
      </c>
      <c r="O32" s="15">
        <f>ROUND(SUM(Z32:AB32)+(SUM(Z32:AB32)*'행정구역별 인구'!M$75)*13,-2)</f>
        <v>0</v>
      </c>
      <c r="P32" s="15">
        <f>+인구배분!Q107</f>
        <v>600</v>
      </c>
      <c r="Q32" s="15">
        <f t="shared" si="4"/>
        <v>19200</v>
      </c>
      <c r="R32" s="15">
        <f>ROUND(N32+(N32*'행정구역별 인구'!O$75)*5,-2)</f>
        <v>18600</v>
      </c>
      <c r="S32" s="15">
        <f>ROUND(SUM(Z32:AC32)+(SUM(Z32:AC32)*'행정구역별 인구'!P$75)*18,-2)</f>
        <v>0</v>
      </c>
      <c r="T32" s="15">
        <f>+인구배분!R107</f>
        <v>600</v>
      </c>
      <c r="U32" s="16"/>
      <c r="W32" s="828"/>
      <c r="X32" s="991"/>
      <c r="Y32" s="580" t="s">
        <v>1086</v>
      </c>
      <c r="Z32" s="35"/>
      <c r="AA32" s="35"/>
      <c r="AB32" s="35"/>
      <c r="AC32" s="35"/>
      <c r="AD32" s="409"/>
    </row>
    <row r="33" spans="1:30" ht="14.45" customHeight="1">
      <c r="A33" s="789"/>
      <c r="B33" s="991"/>
      <c r="C33" s="580" t="s">
        <v>206</v>
      </c>
      <c r="D33" s="15">
        <f>[17]처리구역별처리인구!$L$39</f>
        <v>8918</v>
      </c>
      <c r="E33" s="15">
        <f t="shared" si="1"/>
        <v>8400</v>
      </c>
      <c r="F33" s="15">
        <f>ROUND(D33+(D33*'행정구역별 인구'!F$75)*3,-2)</f>
        <v>8400</v>
      </c>
      <c r="G33" s="15">
        <f>ROUND(Z33+(Z33*'행정구역별 인구'!F$75)*3,-2)</f>
        <v>0</v>
      </c>
      <c r="H33" s="15">
        <f>+인구배분!O115+인구배분!O116+인구배분!O118</f>
        <v>0</v>
      </c>
      <c r="I33" s="15">
        <f t="shared" si="2"/>
        <v>10300</v>
      </c>
      <c r="J33" s="15">
        <f>ROUND(F33+(F33*'행정구역별 인구'!I$75)*5,-2)</f>
        <v>7600</v>
      </c>
      <c r="K33" s="15">
        <f>ROUND(SUM(Z33:AA33)+(SUM(Z33:AA33)*'행정구역별 인구'!I$75)*8,-2)</f>
        <v>0</v>
      </c>
      <c r="L33" s="15">
        <f>+인구배분!P115+인구배분!P116+인구배분!P118</f>
        <v>2700</v>
      </c>
      <c r="M33" s="15">
        <f t="shared" si="3"/>
        <v>10000</v>
      </c>
      <c r="N33" s="15">
        <f>ROUND(J33+(J33*'행정구역별 인구'!L$75)*5,-2)</f>
        <v>7300</v>
      </c>
      <c r="O33" s="15">
        <f>ROUND(SUM(Z33:AB33)+(SUM(Z33:AB33)*'행정구역별 인구'!M$75)*13,-2)</f>
        <v>0</v>
      </c>
      <c r="P33" s="15">
        <f>+인구배분!Q115+인구배분!Q116+인구배분!Q118</f>
        <v>2700</v>
      </c>
      <c r="Q33" s="15">
        <f t="shared" si="4"/>
        <v>10400</v>
      </c>
      <c r="R33" s="15">
        <f>ROUND(N33+(N33*'행정구역별 인구'!O$75)*5,-2)</f>
        <v>7700</v>
      </c>
      <c r="S33" s="15">
        <f>ROUND(SUM(Z33:AC33)+(SUM(Z33:AC33)*'행정구역별 인구'!P$75)*18,-2)</f>
        <v>0</v>
      </c>
      <c r="T33" s="15">
        <f>+인구배분!R115+인구배분!R116+인구배분!R118</f>
        <v>2700</v>
      </c>
      <c r="U33" s="16"/>
      <c r="W33" s="828"/>
      <c r="X33" s="991"/>
      <c r="Y33" s="580" t="s">
        <v>206</v>
      </c>
      <c r="Z33" s="35"/>
      <c r="AA33" s="35"/>
      <c r="AB33" s="35"/>
      <c r="AC33" s="35"/>
      <c r="AD33" s="409"/>
    </row>
    <row r="34" spans="1:30" ht="14.45" customHeight="1">
      <c r="A34" s="789"/>
      <c r="B34" s="991"/>
      <c r="C34" s="580" t="s">
        <v>160</v>
      </c>
      <c r="D34" s="15">
        <f>[17]처리구역별처리인구!$L$40+[17]처리구역별처리인구!$L$41+[17]처리구역별처리인구!$L$42</f>
        <v>45418</v>
      </c>
      <c r="E34" s="15">
        <f t="shared" si="1"/>
        <v>47900</v>
      </c>
      <c r="F34" s="15">
        <f>ROUND(D34+(D34*'행정구역별 인구'!F$75)*3,-2)</f>
        <v>42900</v>
      </c>
      <c r="G34" s="15">
        <f>ROUND(Z34+(Z34*'행정구역별 인구'!F$75)*3,-2)</f>
        <v>0</v>
      </c>
      <c r="H34" s="15">
        <f>+인구배분!O138+인구배분!O144</f>
        <v>5000</v>
      </c>
      <c r="I34" s="15">
        <f t="shared" si="2"/>
        <v>43800</v>
      </c>
      <c r="J34" s="15">
        <f>ROUND(F34+(F34*'행정구역별 인구'!I$75)*5,-2)</f>
        <v>38800</v>
      </c>
      <c r="K34" s="15">
        <f>ROUND(SUM(Z34:AA34)+(SUM(Z34:AA34)*'행정구역별 인구'!I$75)*8,-2)</f>
        <v>0</v>
      </c>
      <c r="L34" s="15">
        <f>+인구배분!P138+인구배분!P144</f>
        <v>5000</v>
      </c>
      <c r="M34" s="15">
        <f t="shared" si="3"/>
        <v>42400</v>
      </c>
      <c r="N34" s="15">
        <f>ROUND(J34+(J34*'행정구역별 인구'!L$75)*5,-2)</f>
        <v>37400</v>
      </c>
      <c r="O34" s="15">
        <f>ROUND(SUM(Z34:AB34)+(SUM(Z34:AB34)*'행정구역별 인구'!M$75)*13,-2)</f>
        <v>0</v>
      </c>
      <c r="P34" s="15">
        <f>+인구배분!Q138+인구배분!Q144</f>
        <v>5000</v>
      </c>
      <c r="Q34" s="15">
        <f t="shared" si="4"/>
        <v>44300</v>
      </c>
      <c r="R34" s="15">
        <f>ROUND(N34+(N34*'행정구역별 인구'!O$75)*5,-2)</f>
        <v>39300</v>
      </c>
      <c r="S34" s="15">
        <f>ROUND(SUM(Z34:AC34)+(SUM(Z34:AC34)*'행정구역별 인구'!P$75)*18,-2)</f>
        <v>0</v>
      </c>
      <c r="T34" s="15">
        <f>+인구배분!R138+인구배분!R144</f>
        <v>5000</v>
      </c>
      <c r="U34" s="16"/>
      <c r="W34" s="828"/>
      <c r="X34" s="991"/>
      <c r="Y34" s="580" t="s">
        <v>160</v>
      </c>
      <c r="Z34" s="35"/>
      <c r="AA34" s="35"/>
      <c r="AB34" s="35"/>
      <c r="AC34" s="35"/>
      <c r="AD34" s="409"/>
    </row>
    <row r="35" spans="1:30" ht="14.45" customHeight="1">
      <c r="A35" s="789"/>
      <c r="B35" s="991"/>
      <c r="C35" s="580" t="s">
        <v>1100</v>
      </c>
      <c r="D35" s="15">
        <f>[17]처리구역별처리인구!$L$43</f>
        <v>4214</v>
      </c>
      <c r="E35" s="15">
        <f t="shared" si="1"/>
        <v>4000</v>
      </c>
      <c r="F35" s="15">
        <f>ROUND(D35+(D35*'행정구역별 인구'!F$75)*3,-2)</f>
        <v>4000</v>
      </c>
      <c r="G35" s="15">
        <f>ROUND(Z35+(Z35*'행정구역별 인구'!F$75)*3,-2)</f>
        <v>0</v>
      </c>
      <c r="H35" s="15">
        <v>0</v>
      </c>
      <c r="I35" s="15">
        <f t="shared" si="2"/>
        <v>3600</v>
      </c>
      <c r="J35" s="15">
        <f>ROUND(F35+(F35*'행정구역별 인구'!I$75)*5,-2)</f>
        <v>3600</v>
      </c>
      <c r="K35" s="15">
        <f>ROUND(SUM(Z35:AA35)+(SUM(Z35:AA35)*'행정구역별 인구'!I$75)*8,-2)</f>
        <v>0</v>
      </c>
      <c r="L35" s="15">
        <v>0</v>
      </c>
      <c r="M35" s="15">
        <f t="shared" si="3"/>
        <v>3500</v>
      </c>
      <c r="N35" s="15">
        <f>ROUND(J35+(J35*'행정구역별 인구'!L$75)*5,-2)</f>
        <v>3500</v>
      </c>
      <c r="O35" s="15">
        <f>ROUND(SUM(Z35:AB35)+(SUM(Z35:AB35)*'행정구역별 인구'!M$75)*13,-2)</f>
        <v>0</v>
      </c>
      <c r="P35" s="15">
        <v>0</v>
      </c>
      <c r="Q35" s="15">
        <f t="shared" si="4"/>
        <v>3700</v>
      </c>
      <c r="R35" s="15">
        <f>ROUND(N35+(N35*'행정구역별 인구'!O$75)*5,-2)</f>
        <v>3700</v>
      </c>
      <c r="S35" s="15">
        <f>ROUND(SUM(Z35:AC35)+(SUM(Z35:AC35)*'행정구역별 인구'!P$75)*18,-2)</f>
        <v>0</v>
      </c>
      <c r="T35" s="15">
        <v>0</v>
      </c>
      <c r="U35" s="16"/>
      <c r="W35" s="828"/>
      <c r="X35" s="991"/>
      <c r="Y35" s="580" t="s">
        <v>1100</v>
      </c>
      <c r="Z35" s="35"/>
      <c r="AA35" s="35"/>
      <c r="AB35" s="35"/>
      <c r="AC35" s="35"/>
      <c r="AD35" s="409"/>
    </row>
    <row r="36" spans="1:30" ht="14.45" customHeight="1">
      <c r="A36" s="789"/>
      <c r="B36" s="990" t="s">
        <v>207</v>
      </c>
      <c r="C36" s="480" t="s">
        <v>154</v>
      </c>
      <c r="D36" s="481">
        <f>SUM(D37)</f>
        <v>36884</v>
      </c>
      <c r="E36" s="481">
        <f t="shared" ref="E36:S36" si="9">SUM(E37:E38)</f>
        <v>48600</v>
      </c>
      <c r="F36" s="481">
        <f t="shared" si="9"/>
        <v>34900</v>
      </c>
      <c r="G36" s="481">
        <f t="shared" si="9"/>
        <v>0</v>
      </c>
      <c r="H36" s="481">
        <f t="shared" si="9"/>
        <v>13700</v>
      </c>
      <c r="I36" s="481">
        <f t="shared" si="9"/>
        <v>87400</v>
      </c>
      <c r="J36" s="481">
        <f t="shared" si="9"/>
        <v>31600</v>
      </c>
      <c r="K36" s="481">
        <f t="shared" si="9"/>
        <v>0</v>
      </c>
      <c r="L36" s="481">
        <f t="shared" si="9"/>
        <v>55800</v>
      </c>
      <c r="M36" s="481">
        <f t="shared" si="9"/>
        <v>101100</v>
      </c>
      <c r="N36" s="481">
        <f t="shared" si="9"/>
        <v>30500</v>
      </c>
      <c r="O36" s="481">
        <f t="shared" si="9"/>
        <v>0</v>
      </c>
      <c r="P36" s="481">
        <f t="shared" si="9"/>
        <v>70600</v>
      </c>
      <c r="Q36" s="481">
        <f t="shared" si="9"/>
        <v>102700</v>
      </c>
      <c r="R36" s="481">
        <f t="shared" si="9"/>
        <v>32100</v>
      </c>
      <c r="S36" s="481">
        <f t="shared" si="9"/>
        <v>0</v>
      </c>
      <c r="T36" s="481">
        <f>SUM(T37:T38)</f>
        <v>70600</v>
      </c>
      <c r="U36" s="477"/>
      <c r="W36" s="828"/>
      <c r="X36" s="990" t="s">
        <v>207</v>
      </c>
      <c r="Y36" s="580" t="s">
        <v>154</v>
      </c>
      <c r="Z36" s="35">
        <f>SUM(Z37:Z38)</f>
        <v>0</v>
      </c>
      <c r="AA36" s="35">
        <f>SUM(AA37:AA38)</f>
        <v>0</v>
      </c>
      <c r="AB36" s="35">
        <f>SUM(AB37:AB38)</f>
        <v>0</v>
      </c>
      <c r="AC36" s="35">
        <f>SUM(AC37:AC38)</f>
        <v>0</v>
      </c>
      <c r="AD36" s="409"/>
    </row>
    <row r="37" spans="1:30" ht="14.45" customHeight="1">
      <c r="A37" s="789"/>
      <c r="B37" s="991"/>
      <c r="C37" s="580" t="s">
        <v>1100</v>
      </c>
      <c r="D37" s="15">
        <f>+[17]처리구역별처리인구!$L$45+[17]처리구역별처리인구!$L$46</f>
        <v>36884</v>
      </c>
      <c r="E37" s="15">
        <f t="shared" si="1"/>
        <v>48600</v>
      </c>
      <c r="F37" s="15">
        <f>ROUND(D37+(D37*'행정구역별 인구'!F$75)*3,-2)</f>
        <v>34900</v>
      </c>
      <c r="G37" s="15">
        <f>ROUND(Z37+(Z37*'행정구역별 인구'!F$75)*3,-2)</f>
        <v>0</v>
      </c>
      <c r="H37" s="15">
        <f>인구배분!O22+인구배분!O23+인구배분!O34+인구배분!O35+인구배분!O36+인구배분!O37+인구배분!O38</f>
        <v>13700</v>
      </c>
      <c r="I37" s="15">
        <f t="shared" si="2"/>
        <v>75500</v>
      </c>
      <c r="J37" s="15">
        <f>ROUND(F37+(F37*'행정구역별 인구'!I$75)*5,-2)</f>
        <v>31600</v>
      </c>
      <c r="K37" s="15">
        <f>ROUND(SUM(Z37:AA37)+(SUM(Z37:AA37)*'행정구역별 인구'!I$75)*8,-2)</f>
        <v>0</v>
      </c>
      <c r="L37" s="15">
        <f>인구배분!P22+인구배분!P23+인구배분!P34+인구배분!P35+인구배분!P36+인구배분!P37+인구배분!P38</f>
        <v>43900</v>
      </c>
      <c r="M37" s="15">
        <f t="shared" si="3"/>
        <v>89200</v>
      </c>
      <c r="N37" s="15">
        <f>ROUND(J37+(J37*'행정구역별 인구'!L$75)*5,-2)</f>
        <v>30500</v>
      </c>
      <c r="O37" s="15">
        <f>ROUND(SUM(Z37:AB37)+(SUM(Z37:AB37)*'행정구역별 인구'!M$75)*13,-2)</f>
        <v>0</v>
      </c>
      <c r="P37" s="15">
        <f>인구배분!Q22+인구배분!Q23+인구배분!Q34+인구배분!Q35+인구배분!Q36+인구배분!Q37+인구배분!Q38</f>
        <v>58700</v>
      </c>
      <c r="Q37" s="15">
        <f t="shared" si="4"/>
        <v>90800</v>
      </c>
      <c r="R37" s="15">
        <f>ROUND(N37+(N37*'행정구역별 인구'!O$75)*5,-2)</f>
        <v>32100</v>
      </c>
      <c r="S37" s="15">
        <f>ROUND(SUM(Z37:AC37)+(SUM(Z37:AC37)*'행정구역별 인구'!P$75)*18,-2)</f>
        <v>0</v>
      </c>
      <c r="T37" s="15">
        <f>인구배분!R22+인구배분!R23+인구배분!R34+인구배분!R35+인구배분!R36+인구배분!R37+인구배분!R38</f>
        <v>58700</v>
      </c>
      <c r="U37" s="16"/>
      <c r="W37" s="828"/>
      <c r="X37" s="991"/>
      <c r="Y37" s="580" t="s">
        <v>1100</v>
      </c>
      <c r="Z37" s="35"/>
      <c r="AA37" s="35"/>
      <c r="AB37" s="35"/>
      <c r="AC37" s="35"/>
      <c r="AD37" s="409"/>
    </row>
    <row r="38" spans="1:30" ht="14.45" customHeight="1">
      <c r="A38" s="789"/>
      <c r="B38" s="942"/>
      <c r="C38" s="580" t="s">
        <v>160</v>
      </c>
      <c r="D38" s="15">
        <v>0</v>
      </c>
      <c r="E38" s="15">
        <f t="shared" si="1"/>
        <v>0</v>
      </c>
      <c r="F38" s="15">
        <f>ROUND(D38+(D38*'행정구역별 인구'!F$75)*3,-2)</f>
        <v>0</v>
      </c>
      <c r="G38" s="15">
        <f>ROUND(Z38+(Z38*'행정구역별 인구'!F$75)*3,-2)</f>
        <v>0</v>
      </c>
      <c r="H38" s="15">
        <f>인구배분!O7</f>
        <v>0</v>
      </c>
      <c r="I38" s="15">
        <f t="shared" si="2"/>
        <v>11900</v>
      </c>
      <c r="J38" s="15">
        <f>ROUND(F38+(F38*'행정구역별 인구'!I$75)*5,-2)</f>
        <v>0</v>
      </c>
      <c r="K38" s="15">
        <f>ROUND(SUM(Z38:AA38)+(SUM(Z38:AA38)*'행정구역별 인구'!I$75)*8,-2)</f>
        <v>0</v>
      </c>
      <c r="L38" s="15">
        <f>인구배분!P7</f>
        <v>11900</v>
      </c>
      <c r="M38" s="15">
        <f t="shared" si="3"/>
        <v>11900</v>
      </c>
      <c r="N38" s="15">
        <f>ROUND(J38+(J38*'행정구역별 인구'!L$75)*5,-2)</f>
        <v>0</v>
      </c>
      <c r="O38" s="15">
        <f>ROUND(SUM(Z38:AB38)+(SUM(Z38:AB38)*'행정구역별 인구'!M$75)*13,-2)</f>
        <v>0</v>
      </c>
      <c r="P38" s="15">
        <f>인구배분!Q7</f>
        <v>11900</v>
      </c>
      <c r="Q38" s="15">
        <f t="shared" si="4"/>
        <v>11900</v>
      </c>
      <c r="R38" s="15">
        <f>ROUND(N38+(N38*'행정구역별 인구'!O$75)*5,-2)</f>
        <v>0</v>
      </c>
      <c r="S38" s="15">
        <f>ROUND(SUM(Z38:AC38)+(SUM(Z38:AC38)*'행정구역별 인구'!P$75)*18,-2)</f>
        <v>0</v>
      </c>
      <c r="T38" s="15">
        <f>인구배분!R7</f>
        <v>11900</v>
      </c>
      <c r="U38" s="16"/>
      <c r="W38" s="828"/>
      <c r="X38" s="942"/>
      <c r="Y38" s="580" t="s">
        <v>160</v>
      </c>
      <c r="Z38" s="35"/>
      <c r="AA38" s="35"/>
      <c r="AB38" s="35"/>
      <c r="AC38" s="35"/>
      <c r="AD38" s="409"/>
    </row>
    <row r="39" spans="1:30" ht="14.45" customHeight="1">
      <c r="A39" s="789"/>
      <c r="B39" s="990" t="s">
        <v>1209</v>
      </c>
      <c r="C39" s="480" t="s">
        <v>154</v>
      </c>
      <c r="D39" s="481">
        <f>SUM(D40:D41)</f>
        <v>12939</v>
      </c>
      <c r="E39" s="481">
        <f t="shared" ref="E39:S39" si="10">SUM(E40:E42)</f>
        <v>60000</v>
      </c>
      <c r="F39" s="481">
        <f t="shared" si="10"/>
        <v>12300</v>
      </c>
      <c r="G39" s="481">
        <f t="shared" si="10"/>
        <v>8400</v>
      </c>
      <c r="H39" s="481">
        <f t="shared" si="10"/>
        <v>39300</v>
      </c>
      <c r="I39" s="481">
        <f t="shared" si="10"/>
        <v>62100</v>
      </c>
      <c r="J39" s="481">
        <f t="shared" si="10"/>
        <v>11100</v>
      </c>
      <c r="K39" s="481">
        <f t="shared" si="10"/>
        <v>8500</v>
      </c>
      <c r="L39" s="481">
        <f t="shared" si="10"/>
        <v>42500</v>
      </c>
      <c r="M39" s="481">
        <f t="shared" si="10"/>
        <v>69100</v>
      </c>
      <c r="N39" s="481">
        <f t="shared" si="10"/>
        <v>10700</v>
      </c>
      <c r="O39" s="481">
        <f t="shared" si="10"/>
        <v>8200</v>
      </c>
      <c r="P39" s="481">
        <f t="shared" si="10"/>
        <v>50200</v>
      </c>
      <c r="Q39" s="481">
        <f t="shared" si="10"/>
        <v>70200</v>
      </c>
      <c r="R39" s="481">
        <f t="shared" si="10"/>
        <v>11300</v>
      </c>
      <c r="S39" s="481">
        <f t="shared" si="10"/>
        <v>8700</v>
      </c>
      <c r="T39" s="481">
        <f>SUM(T40:T42)</f>
        <v>50200</v>
      </c>
      <c r="U39" s="477"/>
      <c r="W39" s="828"/>
      <c r="X39" s="990" t="s">
        <v>1209</v>
      </c>
      <c r="Y39" s="580" t="s">
        <v>154</v>
      </c>
      <c r="Z39" s="35">
        <f>SUM(Z40:Z42)</f>
        <v>8932</v>
      </c>
      <c r="AA39" s="35">
        <f>SUM(AA40:AA42)</f>
        <v>1147</v>
      </c>
      <c r="AB39" s="35">
        <f>SUM(AB40:AB42)</f>
        <v>0</v>
      </c>
      <c r="AC39" s="35">
        <f>SUM(AC40:AC42)</f>
        <v>0</v>
      </c>
      <c r="AD39" s="409"/>
    </row>
    <row r="40" spans="1:30" ht="14.45" customHeight="1">
      <c r="A40" s="789"/>
      <c r="B40" s="991"/>
      <c r="C40" s="580" t="s">
        <v>183</v>
      </c>
      <c r="D40" s="15">
        <f>ROUND([17]처리구역별처리인구!$L$22*0.5+[17]처리구역별처리인구!$L$26,0)</f>
        <v>4200</v>
      </c>
      <c r="E40" s="15">
        <f>SUM(F40:H40)</f>
        <v>6400</v>
      </c>
      <c r="F40" s="15">
        <f>ROUND(D40+(D40*'행정구역별 인구'!F$75)*3,-2)</f>
        <v>4000</v>
      </c>
      <c r="G40" s="15">
        <f>ROUND(Z40+(Z40*'행정구역별 인구'!F$75)*3,-2)</f>
        <v>2400</v>
      </c>
      <c r="H40" s="15">
        <v>0</v>
      </c>
      <c r="I40" s="15">
        <f>SUM(J40:L40)</f>
        <v>5800</v>
      </c>
      <c r="J40" s="15">
        <f>ROUND(F40+(F40*'행정구역별 인구'!I$75)*5,-2)</f>
        <v>3600</v>
      </c>
      <c r="K40" s="15">
        <f>ROUND(SUM(Z40:AA40)+(SUM(Z40:AA40)*'행정구역별 인구'!I$75)*8,-2)</f>
        <v>2200</v>
      </c>
      <c r="L40" s="15">
        <v>0</v>
      </c>
      <c r="M40" s="15">
        <f>SUM(N40:P40)</f>
        <v>5600</v>
      </c>
      <c r="N40" s="15">
        <f>ROUND(J40+(J40*'행정구역별 인구'!L$75)*5,-2)</f>
        <v>3500</v>
      </c>
      <c r="O40" s="15">
        <f>ROUND(SUM(Z40:AB40)+(SUM(Z40:AB40)*'행정구역별 인구'!M$75)*13,-2)</f>
        <v>2100</v>
      </c>
      <c r="P40" s="15">
        <v>0</v>
      </c>
      <c r="Q40" s="15">
        <f>SUM(R40:T40)</f>
        <v>5900</v>
      </c>
      <c r="R40" s="15">
        <f>ROUND(N40+(N40*'행정구역별 인구'!O$75)*5,-2)</f>
        <v>3700</v>
      </c>
      <c r="S40" s="15">
        <f>ROUND(SUM(Z40:AC40)+(SUM(Z40:AC40)*'행정구역별 인구'!P$75)*18,-2)</f>
        <v>2200</v>
      </c>
      <c r="T40" s="15">
        <v>0</v>
      </c>
      <c r="U40" s="16"/>
      <c r="W40" s="828"/>
      <c r="X40" s="991"/>
      <c r="Y40" s="580" t="s">
        <v>183</v>
      </c>
      <c r="Z40" s="35">
        <v>2564</v>
      </c>
      <c r="AA40" s="35"/>
      <c r="AB40" s="35"/>
      <c r="AC40" s="35"/>
      <c r="AD40" s="409"/>
    </row>
    <row r="41" spans="1:30" ht="14.45" customHeight="1">
      <c r="A41" s="789"/>
      <c r="B41" s="991"/>
      <c r="C41" s="580" t="s">
        <v>1061</v>
      </c>
      <c r="D41" s="15">
        <f>+[17]처리구역별처리인구!$L$23</f>
        <v>8739</v>
      </c>
      <c r="E41" s="15">
        <f>SUM(F41:H41)</f>
        <v>37700</v>
      </c>
      <c r="F41" s="15">
        <f>ROUND(D41+(D41*'행정구역별 인구'!F$75)*3,-2)</f>
        <v>8300</v>
      </c>
      <c r="G41" s="15">
        <f>ROUND(Z41+(Z41*'행정구역별 인구'!F$75)*3,-2)</f>
        <v>6000</v>
      </c>
      <c r="H41" s="15">
        <f>+인구배분!O21+인구배분!O39+인구배분!O43+인구배분!O105+인구배분!O106+인구배분!O130+인구배분!O149+인구배분!O156</f>
        <v>23400</v>
      </c>
      <c r="I41" s="15">
        <f>SUM(J41:L41)</f>
        <v>39900</v>
      </c>
      <c r="J41" s="15">
        <f>ROUND(F41+(F41*'행정구역별 인구'!I$75)*5,-2)</f>
        <v>7500</v>
      </c>
      <c r="K41" s="15">
        <f>ROUND(SUM(Z41:AA41)+(SUM(Z41:AA41)*'행정구역별 인구'!I$75)*8,-2)</f>
        <v>5800</v>
      </c>
      <c r="L41" s="15">
        <f>+인구배분!P21+인구배분!P39+인구배분!P43+인구배분!P105+인구배분!P106+인구배분!P130+인구배분!P149+인구배분!P156</f>
        <v>26600</v>
      </c>
      <c r="M41" s="15">
        <f>SUM(N41:P41)</f>
        <v>47100</v>
      </c>
      <c r="N41" s="15">
        <f>ROUND(J41+(J41*'행정구역별 인구'!L$75)*5,-2)</f>
        <v>7200</v>
      </c>
      <c r="O41" s="15">
        <f>ROUND(SUM(Z41:AB41)+(SUM(Z41:AB41)*'행정구역별 인구'!M$75)*13,-2)</f>
        <v>5600</v>
      </c>
      <c r="P41" s="15">
        <f>+인구배분!Q21+인구배분!Q39+인구배분!Q43+인구배분!Q105+인구배분!Q106+인구배분!Q130+인구배분!Q149+인구배분!Q156</f>
        <v>34300</v>
      </c>
      <c r="Q41" s="15">
        <f>SUM(R41:T41)</f>
        <v>47900</v>
      </c>
      <c r="R41" s="15">
        <f>ROUND(N41+(N41*'행정구역별 인구'!O$75)*5,-2)</f>
        <v>7600</v>
      </c>
      <c r="S41" s="15">
        <f>ROUND(SUM(Z41:AC41)+(SUM(Z41:AC41)*'행정구역별 인구'!P$75)*18,-2)</f>
        <v>6000</v>
      </c>
      <c r="T41" s="15">
        <f>+인구배분!R21+인구배분!R39+인구배분!R43+인구배분!R105+인구배분!R106+인구배분!R130+인구배분!R149+인구배분!R156</f>
        <v>34300</v>
      </c>
      <c r="U41" s="16"/>
      <c r="W41" s="828"/>
      <c r="X41" s="991"/>
      <c r="Y41" s="580" t="s">
        <v>1061</v>
      </c>
      <c r="Z41" s="35">
        <v>6368</v>
      </c>
      <c r="AA41" s="35">
        <v>531</v>
      </c>
      <c r="AB41" s="35"/>
      <c r="AC41" s="35"/>
      <c r="AD41" s="409"/>
    </row>
    <row r="42" spans="1:30" ht="14.45" customHeight="1">
      <c r="A42" s="789"/>
      <c r="B42" s="942"/>
      <c r="C42" s="580" t="s">
        <v>163</v>
      </c>
      <c r="D42" s="15">
        <v>0</v>
      </c>
      <c r="E42" s="15">
        <f>SUM(F42:H42)</f>
        <v>15900</v>
      </c>
      <c r="F42" s="15">
        <f>ROUND(D42+(D42*'행정구역별 인구'!F$75)*3,-2)</f>
        <v>0</v>
      </c>
      <c r="G42" s="15">
        <f>ROUND(Z42+(Z42*'행정구역별 인구'!F$75)*3,-2)</f>
        <v>0</v>
      </c>
      <c r="H42" s="15">
        <f>+인구배분!O30+인구배분!O40</f>
        <v>15900</v>
      </c>
      <c r="I42" s="15">
        <f>SUM(J42:L42)</f>
        <v>16400</v>
      </c>
      <c r="J42" s="15">
        <f>ROUND(F42+(F42*'행정구역별 인구'!I$75)*5,-2)</f>
        <v>0</v>
      </c>
      <c r="K42" s="15">
        <f>ROUND(SUM(Z42:AA42)+(SUM(Z42:AA42)*'행정구역별 인구'!I$75)*8,-2)</f>
        <v>500</v>
      </c>
      <c r="L42" s="15">
        <f>+인구배분!P30+인구배분!P40</f>
        <v>15900</v>
      </c>
      <c r="M42" s="15">
        <f>SUM(N42:P42)</f>
        <v>16400</v>
      </c>
      <c r="N42" s="15">
        <f>ROUND(J42+(J42*'행정구역별 인구'!L$75)*5,-2)</f>
        <v>0</v>
      </c>
      <c r="O42" s="15">
        <f>ROUND(SUM(Z42:AB42)+(SUM(Z42:AB42)*'행정구역별 인구'!M$75)*13,-2)</f>
        <v>500</v>
      </c>
      <c r="P42" s="15">
        <f>+인구배분!Q30+인구배분!Q40</f>
        <v>15900</v>
      </c>
      <c r="Q42" s="15">
        <f>SUM(R42:T42)</f>
        <v>16400</v>
      </c>
      <c r="R42" s="15">
        <f>ROUND(N42+(N42*'행정구역별 인구'!O$75)*5,-2)</f>
        <v>0</v>
      </c>
      <c r="S42" s="15">
        <f>ROUND(SUM(Z42:AC42)+(SUM(Z42:AC42)*'행정구역별 인구'!P$75)*18,-2)</f>
        <v>500</v>
      </c>
      <c r="T42" s="15">
        <f>+인구배분!R30+인구배분!R40</f>
        <v>15900</v>
      </c>
      <c r="U42" s="16"/>
      <c r="W42" s="828"/>
      <c r="X42" s="942"/>
      <c r="Y42" s="580" t="s">
        <v>163</v>
      </c>
      <c r="Z42" s="35">
        <f>SUM([17]소처리분구별인구!$AZ$15,[17]소처리분구별인구!$AZ$16,[17]소처리분구별인구!$AZ$17)</f>
        <v>0</v>
      </c>
      <c r="AA42" s="35">
        <v>616</v>
      </c>
      <c r="AB42" s="35"/>
      <c r="AC42" s="35"/>
      <c r="AD42" s="409"/>
    </row>
    <row r="43" spans="1:30" ht="14.45" customHeight="1">
      <c r="A43" s="789"/>
      <c r="B43" s="920" t="s">
        <v>208</v>
      </c>
      <c r="C43" s="480" t="s">
        <v>154</v>
      </c>
      <c r="D43" s="481">
        <f t="shared" ref="D43:S43" si="11">SUM(D44)</f>
        <v>386</v>
      </c>
      <c r="E43" s="481">
        <f t="shared" si="11"/>
        <v>400</v>
      </c>
      <c r="F43" s="481">
        <f t="shared" si="11"/>
        <v>400</v>
      </c>
      <c r="G43" s="481">
        <f t="shared" si="11"/>
        <v>0</v>
      </c>
      <c r="H43" s="481">
        <f t="shared" si="11"/>
        <v>0</v>
      </c>
      <c r="I43" s="481">
        <f t="shared" si="11"/>
        <v>400</v>
      </c>
      <c r="J43" s="481">
        <f t="shared" si="11"/>
        <v>400</v>
      </c>
      <c r="K43" s="481">
        <f t="shared" si="11"/>
        <v>0</v>
      </c>
      <c r="L43" s="481">
        <f t="shared" si="11"/>
        <v>0</v>
      </c>
      <c r="M43" s="481">
        <f t="shared" si="11"/>
        <v>400</v>
      </c>
      <c r="N43" s="481">
        <f t="shared" si="11"/>
        <v>400</v>
      </c>
      <c r="O43" s="481">
        <f t="shared" si="11"/>
        <v>0</v>
      </c>
      <c r="P43" s="481">
        <f t="shared" si="11"/>
        <v>0</v>
      </c>
      <c r="Q43" s="481">
        <f t="shared" si="11"/>
        <v>400</v>
      </c>
      <c r="R43" s="481">
        <f t="shared" si="11"/>
        <v>400</v>
      </c>
      <c r="S43" s="481">
        <f t="shared" si="11"/>
        <v>0</v>
      </c>
      <c r="T43" s="481">
        <f>SUM(T44)</f>
        <v>0</v>
      </c>
      <c r="U43" s="477"/>
      <c r="W43" s="828"/>
      <c r="X43" s="920" t="s">
        <v>208</v>
      </c>
      <c r="Y43" s="580" t="s">
        <v>154</v>
      </c>
      <c r="Z43" s="35">
        <f>SUM(Z44)</f>
        <v>0</v>
      </c>
      <c r="AA43" s="35">
        <f>SUM(AA44)</f>
        <v>0</v>
      </c>
      <c r="AB43" s="35">
        <f>SUM(AB44)</f>
        <v>0</v>
      </c>
      <c r="AC43" s="35">
        <f>SUM(AC44)</f>
        <v>0</v>
      </c>
      <c r="AD43" s="409"/>
    </row>
    <row r="44" spans="1:30" ht="14.45" customHeight="1">
      <c r="A44" s="789"/>
      <c r="B44" s="920"/>
      <c r="C44" s="580" t="s">
        <v>160</v>
      </c>
      <c r="D44" s="15">
        <f>[17]처리구역별처리인구!$L$48</f>
        <v>386</v>
      </c>
      <c r="E44" s="15">
        <f>SUM(F44:H44)</f>
        <v>400</v>
      </c>
      <c r="F44" s="15">
        <f>ROUND(D44+(D44*'행정구역별 인구'!F$75)*3,-2)</f>
        <v>400</v>
      </c>
      <c r="G44" s="15">
        <f>ROUND(Z44+(Z44*'행정구역별 인구'!F$75)*3,-2)</f>
        <v>0</v>
      </c>
      <c r="H44" s="15">
        <v>0</v>
      </c>
      <c r="I44" s="15">
        <f>SUM(J44:L44)</f>
        <v>400</v>
      </c>
      <c r="J44" s="15">
        <f>ROUND(F44+(F44*'행정구역별 인구'!I$75)*5,-2)</f>
        <v>400</v>
      </c>
      <c r="K44" s="15">
        <f>ROUND(SUM(Z44:AA44)+(SUM(Z44:AA44)*'행정구역별 인구'!I$75)*8,-2)</f>
        <v>0</v>
      </c>
      <c r="L44" s="15">
        <v>0</v>
      </c>
      <c r="M44" s="15">
        <f>SUM(N44:P44)</f>
        <v>400</v>
      </c>
      <c r="N44" s="15">
        <f>ROUND(J44+(J44*'행정구역별 인구'!L$75)*5,-2)</f>
        <v>400</v>
      </c>
      <c r="O44" s="15">
        <f>ROUND(SUM(Z44:AB44)+(SUM(Z44:AB44)*'행정구역별 인구'!M$75)*13,-2)</f>
        <v>0</v>
      </c>
      <c r="P44" s="15">
        <v>0</v>
      </c>
      <c r="Q44" s="15">
        <f>SUM(R44:T44)</f>
        <v>400</v>
      </c>
      <c r="R44" s="15">
        <f>ROUND(N44+(N44*'행정구역별 인구'!O$75)*5,-2)</f>
        <v>400</v>
      </c>
      <c r="S44" s="15">
        <f>ROUND(SUM(Z44:AC44)+(SUM(Z44:AC44)*'행정구역별 인구'!P$75)*18,-2)</f>
        <v>0</v>
      </c>
      <c r="T44" s="15">
        <v>0</v>
      </c>
      <c r="U44" s="16"/>
      <c r="W44" s="828"/>
      <c r="X44" s="920"/>
      <c r="Y44" s="580" t="s">
        <v>160</v>
      </c>
      <c r="Z44" s="35"/>
      <c r="AA44" s="35"/>
      <c r="AB44" s="35"/>
      <c r="AC44" s="35"/>
      <c r="AD44" s="409"/>
    </row>
    <row r="45" spans="1:30" ht="14.45" customHeight="1">
      <c r="A45" s="789"/>
      <c r="B45" s="942" t="s">
        <v>1166</v>
      </c>
      <c r="C45" s="484" t="s">
        <v>154</v>
      </c>
      <c r="D45" s="485">
        <f>SUM(D46:D46)</f>
        <v>2632</v>
      </c>
      <c r="E45" s="485">
        <f t="shared" ref="E45:S45" si="12">SUM(E46)</f>
        <v>2600</v>
      </c>
      <c r="F45" s="485">
        <f t="shared" si="12"/>
        <v>2600</v>
      </c>
      <c r="G45" s="485">
        <f t="shared" si="12"/>
        <v>0</v>
      </c>
      <c r="H45" s="485">
        <f t="shared" si="12"/>
        <v>0</v>
      </c>
      <c r="I45" s="485">
        <f t="shared" si="12"/>
        <v>3600</v>
      </c>
      <c r="J45" s="485">
        <f t="shared" si="12"/>
        <v>2600</v>
      </c>
      <c r="K45" s="485">
        <f t="shared" si="12"/>
        <v>1000</v>
      </c>
      <c r="L45" s="485">
        <f t="shared" si="12"/>
        <v>0</v>
      </c>
      <c r="M45" s="485">
        <f t="shared" si="12"/>
        <v>3600</v>
      </c>
      <c r="N45" s="485">
        <f t="shared" si="12"/>
        <v>2600</v>
      </c>
      <c r="O45" s="485">
        <f t="shared" si="12"/>
        <v>1000</v>
      </c>
      <c r="P45" s="485">
        <f t="shared" si="12"/>
        <v>0</v>
      </c>
      <c r="Q45" s="485">
        <f t="shared" si="12"/>
        <v>3600</v>
      </c>
      <c r="R45" s="485">
        <f t="shared" si="12"/>
        <v>2600</v>
      </c>
      <c r="S45" s="485">
        <f t="shared" si="12"/>
        <v>1000</v>
      </c>
      <c r="T45" s="485">
        <f>SUM(T46)</f>
        <v>0</v>
      </c>
      <c r="U45" s="486"/>
      <c r="W45" s="828"/>
      <c r="X45" s="920" t="s">
        <v>1166</v>
      </c>
      <c r="Y45" s="580" t="s">
        <v>154</v>
      </c>
      <c r="Z45" s="35">
        <f>SUM(Z46)</f>
        <v>0</v>
      </c>
      <c r="AA45" s="35">
        <f>SUM(AA46)</f>
        <v>1038</v>
      </c>
      <c r="AB45" s="35">
        <f>SUM(AB46)</f>
        <v>0</v>
      </c>
      <c r="AC45" s="35">
        <f>SUM(AC46)</f>
        <v>0</v>
      </c>
      <c r="AD45" s="409"/>
    </row>
    <row r="46" spans="1:30" ht="14.45" customHeight="1">
      <c r="A46" s="809"/>
      <c r="B46" s="795"/>
      <c r="C46" s="585" t="s">
        <v>200</v>
      </c>
      <c r="D46" s="403">
        <f>SUM([17]소처리분구별인구!$BA$57:$BA$68)</f>
        <v>2632</v>
      </c>
      <c r="E46" s="403">
        <f t="shared" si="1"/>
        <v>2600</v>
      </c>
      <c r="F46" s="403">
        <f>ROUND(D46+(D46*'행정구역별 인구'!F$78)*3,-2)</f>
        <v>2600</v>
      </c>
      <c r="G46" s="403">
        <f>ROUND(Z46+(Z46*'행정구역별 인구'!F$78)*3,-2)</f>
        <v>0</v>
      </c>
      <c r="H46" s="403">
        <v>0</v>
      </c>
      <c r="I46" s="403">
        <f t="shared" si="2"/>
        <v>3600</v>
      </c>
      <c r="J46" s="403">
        <f>ROUND(F46+(F46*'행정구역별 인구'!I$78)*5,-2)</f>
        <v>2600</v>
      </c>
      <c r="K46" s="403">
        <f>ROUND(SUM(Z46:AA46)+(SUM(Z46:AA46)*'행정구역별 인구'!I$78)*8,-2)</f>
        <v>1000</v>
      </c>
      <c r="L46" s="403">
        <v>0</v>
      </c>
      <c r="M46" s="403">
        <f t="shared" si="3"/>
        <v>3600</v>
      </c>
      <c r="N46" s="403">
        <f>ROUND(J46+(J46*'행정구역별 인구'!L$78)*5,-2)</f>
        <v>2600</v>
      </c>
      <c r="O46" s="403">
        <f>ROUND(SUM(Z46:AB46)+(SUM(Z46:AB46)*'행정구역별 인구'!M$78)*13,-2)</f>
        <v>1000</v>
      </c>
      <c r="P46" s="403">
        <v>0</v>
      </c>
      <c r="Q46" s="403">
        <f t="shared" si="4"/>
        <v>3600</v>
      </c>
      <c r="R46" s="403">
        <f>ROUND(N46+(N46*'행정구역별 인구'!O$78)*5,-2)</f>
        <v>2600</v>
      </c>
      <c r="S46" s="403">
        <f>ROUND(SUM(Z46:AC46)+(SUM(Z46:AC46)*'행정구역별 인구'!P$78)*18,-2)</f>
        <v>1000</v>
      </c>
      <c r="T46" s="403">
        <v>0</v>
      </c>
      <c r="U46" s="374"/>
      <c r="W46" s="828"/>
      <c r="X46" s="920"/>
      <c r="Y46" s="580" t="s">
        <v>200</v>
      </c>
      <c r="Z46" s="35">
        <f>SUM([17]소처리분구별인구!$BB$57:$BB$68)</f>
        <v>0</v>
      </c>
      <c r="AA46" s="35">
        <f>391+647</f>
        <v>1038</v>
      </c>
      <c r="AB46" s="35">
        <v>0</v>
      </c>
      <c r="AC46" s="35">
        <f>SUM([17]소처리분구별인구!$BE$57:$BE$68)</f>
        <v>0</v>
      </c>
      <c r="AD46" s="409"/>
    </row>
    <row r="47" spans="1:30" ht="20.100000000000001" customHeight="1">
      <c r="A47" s="992" t="s">
        <v>45</v>
      </c>
      <c r="B47" s="981" t="s">
        <v>53</v>
      </c>
      <c r="C47" s="981"/>
      <c r="D47" s="482">
        <f>SUM(D48,D52,D57)</f>
        <v>61641</v>
      </c>
      <c r="E47" s="482">
        <f t="shared" si="1"/>
        <v>77200</v>
      </c>
      <c r="F47" s="482">
        <f>SUM(F48,F52,F57)</f>
        <v>60100</v>
      </c>
      <c r="G47" s="482">
        <f>SUM(G48,G52,G57)</f>
        <v>6800</v>
      </c>
      <c r="H47" s="482">
        <f>SUM(H48,H52,H57)</f>
        <v>10300</v>
      </c>
      <c r="I47" s="482">
        <f t="shared" si="2"/>
        <v>110100</v>
      </c>
      <c r="J47" s="482">
        <f>SUM(J48,J52,J57)</f>
        <v>53400</v>
      </c>
      <c r="K47" s="482">
        <f>SUM(K48,K52,K57)</f>
        <v>15700</v>
      </c>
      <c r="L47" s="482">
        <f>SUM(L48,L52,L57)</f>
        <v>41000</v>
      </c>
      <c r="M47" s="482">
        <f t="shared" si="3"/>
        <v>179800</v>
      </c>
      <c r="N47" s="482">
        <f>SUM(N48,N52,N57)</f>
        <v>39100</v>
      </c>
      <c r="O47" s="482">
        <f>SUM(O48,O52,O57)</f>
        <v>16100</v>
      </c>
      <c r="P47" s="482">
        <f>SUM(P48,P52,P57)</f>
        <v>124600</v>
      </c>
      <c r="Q47" s="482">
        <f t="shared" si="4"/>
        <v>183300</v>
      </c>
      <c r="R47" s="482">
        <f>SUM(R48,R52,R57)</f>
        <v>41700</v>
      </c>
      <c r="S47" s="482">
        <f>SUM(S48,S52,S57)</f>
        <v>17000</v>
      </c>
      <c r="T47" s="482">
        <f>SUM(T48,T52,T57)</f>
        <v>124600</v>
      </c>
      <c r="U47" s="483"/>
      <c r="W47" s="828" t="s">
        <v>45</v>
      </c>
      <c r="X47" s="920" t="s">
        <v>53</v>
      </c>
      <c r="Y47" s="920"/>
      <c r="Z47" s="35">
        <f>SUM(Z48,Z52,Z57)</f>
        <v>7158</v>
      </c>
      <c r="AA47" s="35">
        <f>SUM(AA48,AA52,AA57)</f>
        <v>11755</v>
      </c>
      <c r="AB47" s="35">
        <f>SUM(AB48,AB52,AB57)</f>
        <v>6473</v>
      </c>
      <c r="AC47" s="35">
        <f>SUM(AC48,AC52,AC57)</f>
        <v>0</v>
      </c>
      <c r="AD47" s="410"/>
    </row>
    <row r="48" spans="1:30" ht="20.100000000000001" customHeight="1">
      <c r="A48" s="828"/>
      <c r="B48" s="920" t="s">
        <v>509</v>
      </c>
      <c r="C48" s="480" t="s">
        <v>154</v>
      </c>
      <c r="D48" s="481">
        <f>SUM(D49:D51)</f>
        <v>40932</v>
      </c>
      <c r="E48" s="481">
        <f t="shared" ref="E48:S48" si="13">SUM(E49:E51)</f>
        <v>46700</v>
      </c>
      <c r="F48" s="481">
        <f t="shared" si="13"/>
        <v>39900</v>
      </c>
      <c r="G48" s="481">
        <f t="shared" si="13"/>
        <v>1600</v>
      </c>
      <c r="H48" s="481">
        <f t="shared" si="13"/>
        <v>5200</v>
      </c>
      <c r="I48" s="481">
        <f t="shared" si="13"/>
        <v>79000</v>
      </c>
      <c r="J48" s="481">
        <f t="shared" si="13"/>
        <v>35400</v>
      </c>
      <c r="K48" s="481">
        <f t="shared" si="13"/>
        <v>7700</v>
      </c>
      <c r="L48" s="481">
        <f>SUM(L49:L51)</f>
        <v>35900</v>
      </c>
      <c r="M48" s="481">
        <f t="shared" si="13"/>
        <v>107300</v>
      </c>
      <c r="N48" s="481">
        <f t="shared" si="13"/>
        <v>25900</v>
      </c>
      <c r="O48" s="481">
        <f t="shared" si="13"/>
        <v>6500</v>
      </c>
      <c r="P48" s="481">
        <f t="shared" si="13"/>
        <v>74900</v>
      </c>
      <c r="Q48" s="481">
        <f t="shared" si="13"/>
        <v>109500</v>
      </c>
      <c r="R48" s="481">
        <f t="shared" si="13"/>
        <v>27700</v>
      </c>
      <c r="S48" s="481">
        <f t="shared" si="13"/>
        <v>6900</v>
      </c>
      <c r="T48" s="481">
        <f>SUM(T49:T51)</f>
        <v>74900</v>
      </c>
      <c r="U48" s="477"/>
      <c r="W48" s="828"/>
      <c r="X48" s="920" t="s">
        <v>509</v>
      </c>
      <c r="Y48" s="580" t="s">
        <v>154</v>
      </c>
      <c r="Z48" s="35">
        <f>SUM(Z49:Z51)</f>
        <v>1655</v>
      </c>
      <c r="AA48" s="35">
        <f>SUM(AA49:AA51)</f>
        <v>7801</v>
      </c>
      <c r="AB48" s="35">
        <f>SUM(AB49:AB51)</f>
        <v>1429</v>
      </c>
      <c r="AC48" s="35">
        <f>SUM(AC49:AC51)</f>
        <v>0</v>
      </c>
      <c r="AD48" s="410"/>
    </row>
    <row r="49" spans="1:30" ht="20.100000000000001" customHeight="1">
      <c r="A49" s="828"/>
      <c r="B49" s="920"/>
      <c r="C49" s="580" t="s">
        <v>156</v>
      </c>
      <c r="D49" s="15">
        <f>SUM([17]소처리분구별인구!$BA$88:$BA$90,[17]소처리분구별인구!$BA$96:$BA$108)</f>
        <v>6717</v>
      </c>
      <c r="E49" s="15">
        <f>SUM(F49:H49)</f>
        <v>7300</v>
      </c>
      <c r="F49" s="15">
        <f>ROUND(D49+(D49*'행정구역별 인구'!F$76)*3,-2)</f>
        <v>6500</v>
      </c>
      <c r="G49" s="15">
        <f>ROUND(Z49+(Z49*'행정구역별 인구'!F$76)*3,-2)</f>
        <v>0</v>
      </c>
      <c r="H49" s="15">
        <f>인구배분!O12+인구배분!O157</f>
        <v>800</v>
      </c>
      <c r="I49" s="15">
        <f>SUM(J49:L49)</f>
        <v>10000</v>
      </c>
      <c r="J49" s="15">
        <f>ROUND(F49+(F49*'행정구역별 인구'!I$76)*5,-2)</f>
        <v>5800</v>
      </c>
      <c r="K49" s="15">
        <f>ROUND(SUM(Z49:AA49)+(SUM(Z49:AA49)*'행정구역별 인구'!I$76)*8,-2)</f>
        <v>3400</v>
      </c>
      <c r="L49" s="15">
        <f>인구배분!P12+인구배분!P157</f>
        <v>800</v>
      </c>
      <c r="M49" s="15">
        <f>SUM(N49:P49)</f>
        <v>47300</v>
      </c>
      <c r="N49" s="15">
        <f>ROUND(J49+(J49*'행정구역별 인구'!L$76)*5,-2)</f>
        <v>4200</v>
      </c>
      <c r="O49" s="15">
        <f>ROUND(SUM(Z49:AB49)+(SUM(Z49:AB49)*'행정구역별 인구'!M$76)*13,-2)</f>
        <v>3300</v>
      </c>
      <c r="P49" s="15">
        <f>인구배분!Q12+인구배분!Q157</f>
        <v>39800</v>
      </c>
      <c r="Q49" s="15">
        <f>SUM(R49:T49)</f>
        <v>47800</v>
      </c>
      <c r="R49" s="15">
        <f>ROUND(N49+(N49*'행정구역별 인구'!O$76)*5,-2)+100</f>
        <v>4500</v>
      </c>
      <c r="S49" s="15">
        <f>ROUND(SUM(Z49:AC49)+(SUM(Z49:AC49)*'행정구역별 인구'!P$76)*18,-2)</f>
        <v>3500</v>
      </c>
      <c r="T49" s="15">
        <f>인구배분!R12+인구배분!R157</f>
        <v>39800</v>
      </c>
      <c r="U49" s="16"/>
      <c r="W49" s="828"/>
      <c r="X49" s="920"/>
      <c r="Y49" s="580" t="s">
        <v>156</v>
      </c>
      <c r="Z49" s="35">
        <f>SUM([17]소처리분구별인구!$BB$88:$BB$90,[17]소처리분구별인구!$BB$96:$BB$108)</f>
        <v>0</v>
      </c>
      <c r="AA49" s="35">
        <f>SUM([17]소처리분구별인구!$BC$88:$BC$90,[17]소처리분구별인구!$BC$96:$BC$108)</f>
        <v>4203</v>
      </c>
      <c r="AB49" s="35">
        <f>SUM([17]소처리분구별인구!$BD$88:$BD$90,[17]소처리분구별인구!$BD$96:$BD$108)</f>
        <v>1329</v>
      </c>
      <c r="AC49" s="35">
        <f>SUM([17]소처리분구별인구!$BE$88:$BE$90,[17]소처리분구별인구!$BE$96:$BE$108)</f>
        <v>0</v>
      </c>
      <c r="AD49" s="409"/>
    </row>
    <row r="50" spans="1:30" ht="20.100000000000001" customHeight="1">
      <c r="A50" s="828"/>
      <c r="B50" s="920"/>
      <c r="C50" s="580" t="s">
        <v>49</v>
      </c>
      <c r="D50" s="15">
        <f>SUM([17]소처리분구별인구!$BA$91:$BA$95)</f>
        <v>13528</v>
      </c>
      <c r="E50" s="15">
        <f>SUM(F50:H50)</f>
        <v>15600</v>
      </c>
      <c r="F50" s="15">
        <f>ROUND(D50+(D50*'행정구역별 인구'!F$76)*3,-2)</f>
        <v>13200</v>
      </c>
      <c r="G50" s="15">
        <f>ROUND(Z50+(Z50*'행정구역별 인구'!F$76)*3,-2)</f>
        <v>0</v>
      </c>
      <c r="H50" s="15">
        <f>+인구배분!O41+인구배분!O158</f>
        <v>2400</v>
      </c>
      <c r="I50" s="15">
        <f>SUM(J50:L50)</f>
        <v>28400</v>
      </c>
      <c r="J50" s="15">
        <f>ROUND(F50+(F50*'행정구역별 인구'!I$76)*5,-2)</f>
        <v>11700</v>
      </c>
      <c r="K50" s="15">
        <f>ROUND(SUM(Z50:AA50)+(SUM(Z50:AA50)*'행정구역별 인구'!I$76)*8,-2)</f>
        <v>0</v>
      </c>
      <c r="L50" s="15">
        <f>+인구배분!P41+인구배분!P158</f>
        <v>16700</v>
      </c>
      <c r="M50" s="15">
        <f>SUM(N50:P50)</f>
        <v>25400</v>
      </c>
      <c r="N50" s="15">
        <f>ROUND(J50+(J50*'행정구역별 인구'!L$76)*5,-2)</f>
        <v>8600</v>
      </c>
      <c r="O50" s="15">
        <f>ROUND(SUM(Z50:AB50)+(SUM(Z50:AB50)*'행정구역별 인구'!M$76)*13,-2)</f>
        <v>100</v>
      </c>
      <c r="P50" s="15">
        <f>+인구배분!Q41+인구배분!Q158</f>
        <v>16700</v>
      </c>
      <c r="Q50" s="15">
        <f>SUM(R50:T50)</f>
        <v>26000</v>
      </c>
      <c r="R50" s="15">
        <f>ROUND(N50+(N50*'행정구역별 인구'!O$76)*5,-2)+300</f>
        <v>9200</v>
      </c>
      <c r="S50" s="15">
        <f>ROUND(SUM(Z50:AC50)+(SUM(Z50:AC50)*'행정구역별 인구'!P$76)*18,-2)</f>
        <v>100</v>
      </c>
      <c r="T50" s="15">
        <f>+인구배분!R41+인구배분!R158</f>
        <v>16700</v>
      </c>
      <c r="U50" s="16"/>
      <c r="W50" s="828"/>
      <c r="X50" s="920"/>
      <c r="Y50" s="580" t="s">
        <v>49</v>
      </c>
      <c r="Z50" s="35">
        <f>SUM([17]소처리분구별인구!$BB$91:$BB$95)</f>
        <v>0</v>
      </c>
      <c r="AA50" s="35">
        <f>SUM([17]소처리분구별인구!$BC$91:$BC$95)</f>
        <v>0</v>
      </c>
      <c r="AB50" s="35">
        <f>SUM([17]소처리분구별인구!$BD$91:$BD$95)</f>
        <v>100</v>
      </c>
      <c r="AC50" s="35">
        <f>SUM([17]소처리분구별인구!$BE$91:$BE$95)</f>
        <v>0</v>
      </c>
      <c r="AD50" s="409"/>
    </row>
    <row r="51" spans="1:30" ht="20.100000000000001" customHeight="1">
      <c r="A51" s="828"/>
      <c r="B51" s="920"/>
      <c r="C51" s="580" t="s">
        <v>155</v>
      </c>
      <c r="D51" s="15">
        <f>SUM([17]소처리분구별인구!$BA$109:$BA$134)</f>
        <v>20687</v>
      </c>
      <c r="E51" s="15">
        <f>SUM(F51:H51)</f>
        <v>23800</v>
      </c>
      <c r="F51" s="15">
        <f>ROUND(D51+(D51*'행정구역별 인구'!F$76)*3,-2)</f>
        <v>20200</v>
      </c>
      <c r="G51" s="15">
        <f>ROUND(Z51+(Z51*'행정구역별 인구'!F$76)*3,-2)</f>
        <v>1600</v>
      </c>
      <c r="H51" s="15">
        <f>+인구배분!O42+인구배분!O44+인구배분!O127+인구배분!O142+인구배분!O143+인구배분!O148</f>
        <v>2000</v>
      </c>
      <c r="I51" s="15">
        <f>SUM(J51:L51)</f>
        <v>40600</v>
      </c>
      <c r="J51" s="15">
        <f>ROUND(F51+(F51*'행정구역별 인구'!I$76)*5,-2)</f>
        <v>17900</v>
      </c>
      <c r="K51" s="15">
        <f>ROUND(SUM(Z51:AA51)+(SUM(Z51:AA51)*'행정구역별 인구'!I$76)*8,-2)</f>
        <v>4300</v>
      </c>
      <c r="L51" s="15">
        <f>+인구배분!P42+인구배분!P44+인구배분!P127+인구배분!P142+인구배분!P143+인구배분!P148</f>
        <v>18400</v>
      </c>
      <c r="M51" s="15">
        <f>SUM(N51:P51)</f>
        <v>34600</v>
      </c>
      <c r="N51" s="15">
        <f>ROUND(J51+(J51*'행정구역별 인구'!L$76)*5,-2)</f>
        <v>13100</v>
      </c>
      <c r="O51" s="15">
        <f>ROUND(SUM(Z51:AB51)+(SUM(Z51:AB51)*'행정구역별 인구'!M$76)*13,-2)</f>
        <v>3100</v>
      </c>
      <c r="P51" s="15">
        <f>+인구배분!Q42+인구배분!Q44+인구배분!Q127+인구배분!Q142+인구배분!Q143+인구배분!Q148</f>
        <v>18400</v>
      </c>
      <c r="Q51" s="15">
        <f>SUM(R51:T51)</f>
        <v>35700</v>
      </c>
      <c r="R51" s="15">
        <f>ROUND(N51+(N51*'행정구역별 인구'!O$76)*5,-2)+400</f>
        <v>14000</v>
      </c>
      <c r="S51" s="15">
        <f>ROUND(SUM(Z51:AC51)+(SUM(Z51:AC51)*'행정구역별 인구'!P$76)*18,-2)</f>
        <v>3300</v>
      </c>
      <c r="T51" s="15">
        <f>+인구배분!R42+인구배분!R44+인구배분!R127+인구배분!R142+인구배분!R143+인구배분!R148</f>
        <v>18400</v>
      </c>
      <c r="U51" s="16"/>
      <c r="W51" s="828"/>
      <c r="X51" s="920"/>
      <c r="Y51" s="580" t="s">
        <v>155</v>
      </c>
      <c r="Z51" s="35">
        <f>SUM([17]소처리분구별인구!$BB$109:$BB$134)</f>
        <v>1655</v>
      </c>
      <c r="AA51" s="35">
        <f>SUM([17]소처리분구별인구!$BC$109:$BC$134)</f>
        <v>3598</v>
      </c>
      <c r="AB51" s="35">
        <f>SUM([17]소처리분구별인구!$BD$109:$BD$134)</f>
        <v>0</v>
      </c>
      <c r="AC51" s="35">
        <f>SUM([17]소처리분구별인구!$BE$109:$BE$134)</f>
        <v>0</v>
      </c>
      <c r="AD51" s="409"/>
    </row>
    <row r="52" spans="1:30" ht="20.100000000000001" customHeight="1">
      <c r="A52" s="828"/>
      <c r="B52" s="920" t="s">
        <v>38</v>
      </c>
      <c r="C52" s="480" t="s">
        <v>154</v>
      </c>
      <c r="D52" s="481">
        <f t="shared" ref="D52:S52" si="14">SUM(D53:D56)</f>
        <v>20709</v>
      </c>
      <c r="E52" s="481">
        <f t="shared" si="14"/>
        <v>26400</v>
      </c>
      <c r="F52" s="481">
        <f t="shared" si="14"/>
        <v>20200</v>
      </c>
      <c r="G52" s="481">
        <f t="shared" si="14"/>
        <v>1500</v>
      </c>
      <c r="H52" s="481">
        <f t="shared" si="14"/>
        <v>4700</v>
      </c>
      <c r="I52" s="481">
        <f t="shared" si="14"/>
        <v>26600</v>
      </c>
      <c r="J52" s="481">
        <f t="shared" si="14"/>
        <v>18000</v>
      </c>
      <c r="K52" s="481">
        <f t="shared" si="14"/>
        <v>3900</v>
      </c>
      <c r="L52" s="481">
        <f t="shared" si="14"/>
        <v>4700</v>
      </c>
      <c r="M52" s="481">
        <f t="shared" si="14"/>
        <v>34700</v>
      </c>
      <c r="N52" s="481">
        <f t="shared" si="14"/>
        <v>13200</v>
      </c>
      <c r="O52" s="481">
        <f t="shared" si="14"/>
        <v>5800</v>
      </c>
      <c r="P52" s="481">
        <f t="shared" si="14"/>
        <v>15700</v>
      </c>
      <c r="Q52" s="481">
        <f t="shared" si="14"/>
        <v>35800</v>
      </c>
      <c r="R52" s="481">
        <f t="shared" si="14"/>
        <v>14000</v>
      </c>
      <c r="S52" s="481">
        <f t="shared" si="14"/>
        <v>6100</v>
      </c>
      <c r="T52" s="481">
        <f>SUM(T53:T56)</f>
        <v>15700</v>
      </c>
      <c r="U52" s="477"/>
      <c r="W52" s="828"/>
      <c r="X52" s="920" t="s">
        <v>38</v>
      </c>
      <c r="Y52" s="580" t="s">
        <v>154</v>
      </c>
      <c r="Z52" s="35">
        <f>SUM(Z53:Z56)</f>
        <v>1586</v>
      </c>
      <c r="AA52" s="35">
        <f>SUM(AA53:AA56)</f>
        <v>3103</v>
      </c>
      <c r="AB52" s="35">
        <f>SUM(AB53:AB56)</f>
        <v>5044</v>
      </c>
      <c r="AC52" s="35">
        <f>SUM(AC53:AC56)</f>
        <v>0</v>
      </c>
      <c r="AD52" s="409"/>
    </row>
    <row r="53" spans="1:30" ht="20.100000000000001" customHeight="1">
      <c r="A53" s="828"/>
      <c r="B53" s="920"/>
      <c r="C53" s="580" t="s">
        <v>49</v>
      </c>
      <c r="D53" s="15">
        <f>SUM([17]소처리분구별인구!$BA$136:$BA$156)</f>
        <v>12921</v>
      </c>
      <c r="E53" s="15">
        <f t="shared" si="1"/>
        <v>16700</v>
      </c>
      <c r="F53" s="15">
        <f>ROUND(D53+(D53*'행정구역별 인구'!F$76)*3,-2)</f>
        <v>12600</v>
      </c>
      <c r="G53" s="15">
        <f>ROUND(Z53+(Z53*'행정구역별 인구'!F$76)*3,-2)</f>
        <v>500</v>
      </c>
      <c r="H53" s="15">
        <f>+인구배분!O24+인구배분!O137</f>
        <v>3600</v>
      </c>
      <c r="I53" s="15">
        <f t="shared" si="2"/>
        <v>16700</v>
      </c>
      <c r="J53" s="15">
        <f>ROUND(F53+(F53*'행정구역별 인구'!I$76)*5,-2)</f>
        <v>11200</v>
      </c>
      <c r="K53" s="15">
        <f>ROUND(SUM(Z53:AA53)+(SUM(Z53:AA53)*'행정구역별 인구'!I$76)*8,-2)</f>
        <v>1900</v>
      </c>
      <c r="L53" s="15">
        <f>+인구배분!P24+인구배분!P137</f>
        <v>3600</v>
      </c>
      <c r="M53" s="15">
        <f t="shared" si="3"/>
        <v>24200</v>
      </c>
      <c r="N53" s="15">
        <f>ROUND(J53+(J53*'행정구역별 인구'!L$76)*5,-2)</f>
        <v>8200</v>
      </c>
      <c r="O53" s="15">
        <f>ROUND(SUM(Z53:AB53)+(SUM(Z53:AB53)*'행정구역별 인구'!M$76)*13,-2)</f>
        <v>1400</v>
      </c>
      <c r="P53" s="15">
        <f>+인구배분!Q24+인구배분!Q137</f>
        <v>14600</v>
      </c>
      <c r="Q53" s="15">
        <f t="shared" si="4"/>
        <v>24700</v>
      </c>
      <c r="R53" s="15">
        <f>ROUND(N53+(N53*'행정구역별 인구'!O$76)*5,-2)+200</f>
        <v>8700</v>
      </c>
      <c r="S53" s="15">
        <f>ROUND(SUM(Z53:AC53)+(SUM(Z53:AC53)*'행정구역별 인구'!P$76)*18,-2)</f>
        <v>1400</v>
      </c>
      <c r="T53" s="15">
        <f>+인구배분!R24+인구배분!R137</f>
        <v>14600</v>
      </c>
      <c r="U53" s="16"/>
      <c r="W53" s="828"/>
      <c r="X53" s="920"/>
      <c r="Y53" s="580" t="s">
        <v>49</v>
      </c>
      <c r="Z53" s="35">
        <f>SUM([17]소처리분구별인구!$BB$136:$BB$156)</f>
        <v>550</v>
      </c>
      <c r="AA53" s="35">
        <f>SUM([17]소처리분구별인구!$BC$136:$BC$156)</f>
        <v>1745</v>
      </c>
      <c r="AB53" s="35">
        <f>SUM([17]소처리분구별인구!$BD$136:$BD$156)</f>
        <v>0</v>
      </c>
      <c r="AC53" s="35">
        <f>SUM([17]소처리분구별인구!$BE$136:$BE$156)</f>
        <v>0</v>
      </c>
      <c r="AD53" s="409"/>
    </row>
    <row r="54" spans="1:30" ht="20.100000000000001" customHeight="1">
      <c r="A54" s="828"/>
      <c r="B54" s="920"/>
      <c r="C54" s="580" t="s">
        <v>156</v>
      </c>
      <c r="D54" s="15">
        <f>SUM([17]소처리분구별인구!$BA$160:$BA$162)</f>
        <v>0</v>
      </c>
      <c r="E54" s="15">
        <f t="shared" si="1"/>
        <v>0</v>
      </c>
      <c r="F54" s="15">
        <f>ROUND(D54+(D54*'행정구역별 인구'!F$76)*3,-2)</f>
        <v>0</v>
      </c>
      <c r="G54" s="15">
        <f>ROUND(Z54+(Z54*'행정구역별 인구'!F$76)*3,-2)</f>
        <v>0</v>
      </c>
      <c r="H54" s="15">
        <v>0</v>
      </c>
      <c r="I54" s="15">
        <f t="shared" si="2"/>
        <v>0</v>
      </c>
      <c r="J54" s="15">
        <f>ROUND(F54+(F54*'행정구역별 인구'!I$76)*5,-2)</f>
        <v>0</v>
      </c>
      <c r="K54" s="15">
        <f>ROUND(SUM(Z54:AA54)+(SUM(Z54:AA54)*'행정구역별 인구'!I$76)*8,-2)</f>
        <v>0</v>
      </c>
      <c r="L54" s="15">
        <v>0</v>
      </c>
      <c r="M54" s="15">
        <f t="shared" si="3"/>
        <v>1500</v>
      </c>
      <c r="N54" s="15">
        <f>ROUND(J54+(J54*'행정구역별 인구'!L$76)*5,-2)</f>
        <v>0</v>
      </c>
      <c r="O54" s="15">
        <f>ROUND(SUM(Z54:AB54)+(SUM(Z54:AB54)*'행정구역별 인구'!M$76)*13,-2)</f>
        <v>1500</v>
      </c>
      <c r="P54" s="15">
        <v>0</v>
      </c>
      <c r="Q54" s="15">
        <f t="shared" si="4"/>
        <v>1500</v>
      </c>
      <c r="R54" s="15">
        <f>ROUND(N54+(N54*'행정구역별 인구'!O$76)*5,-2)</f>
        <v>0</v>
      </c>
      <c r="S54" s="15">
        <f>ROUND(SUM(Z54:AC54)+(SUM(Z54:AC54)*'행정구역별 인구'!P$76)*18,-2)</f>
        <v>1500</v>
      </c>
      <c r="T54" s="15">
        <v>0</v>
      </c>
      <c r="U54" s="16"/>
      <c r="W54" s="828"/>
      <c r="X54" s="920"/>
      <c r="Y54" s="580" t="s">
        <v>156</v>
      </c>
      <c r="Z54" s="35">
        <f>SUM([17]소처리분구별인구!$BB$160:$BB$162)</f>
        <v>0</v>
      </c>
      <c r="AA54" s="35">
        <f>SUM([17]소처리분구별인구!$BC$160:$BC$162)</f>
        <v>0</v>
      </c>
      <c r="AB54" s="35">
        <f>SUM([17]소처리분구별인구!$BD$160:$BD$162)</f>
        <v>2466</v>
      </c>
      <c r="AC54" s="35">
        <f>SUM([17]소처리분구별인구!$BE$160:$BE$162)</f>
        <v>0</v>
      </c>
      <c r="AD54" s="409"/>
    </row>
    <row r="55" spans="1:30" ht="20.100000000000001" customHeight="1">
      <c r="A55" s="828"/>
      <c r="B55" s="920"/>
      <c r="C55" s="580" t="s">
        <v>164</v>
      </c>
      <c r="D55" s="15">
        <f>SUM([17]소처리분구별인구!$BA$157:$BA$159,[17]소처리분구별인구!$BA$163:$BA$180,[17]소처리분구별인구!$BA$190)</f>
        <v>6451</v>
      </c>
      <c r="E55" s="15">
        <f t="shared" si="1"/>
        <v>7600</v>
      </c>
      <c r="F55" s="15">
        <f>ROUND(D55+(D55*'행정구역별 인구'!F$76)*3,-2)</f>
        <v>6300</v>
      </c>
      <c r="G55" s="15">
        <f>ROUND(Z55+(Z55*'행정구역별 인구'!F$76)*3,-2)</f>
        <v>200</v>
      </c>
      <c r="H55" s="15">
        <f>+인구배분!O160+인구배분!O162</f>
        <v>1100</v>
      </c>
      <c r="I55" s="15">
        <f t="shared" si="2"/>
        <v>7400</v>
      </c>
      <c r="J55" s="15">
        <f>ROUND(F55+(F55*'행정구역별 인구'!I$76)*5,-2)</f>
        <v>5600</v>
      </c>
      <c r="K55" s="15">
        <f>ROUND(SUM(Z55:AA55)+(SUM(Z55:AA55)*'행정구역별 인구'!I$76)*8,-2)</f>
        <v>700</v>
      </c>
      <c r="L55" s="15">
        <f>+인구배분!P160+인구배분!P162</f>
        <v>1100</v>
      </c>
      <c r="M55" s="15">
        <f t="shared" si="3"/>
        <v>7200</v>
      </c>
      <c r="N55" s="15">
        <f>ROUND(J55+(J55*'행정구역별 인구'!L$76)*5,-2)</f>
        <v>4100</v>
      </c>
      <c r="O55" s="15">
        <f>ROUND(SUM(Z55:AB55)+(SUM(Z55:AB55)*'행정구역별 인구'!M$76)*13,-2)</f>
        <v>2000</v>
      </c>
      <c r="P55" s="15">
        <f>+인구배분!Q160+인구배분!Q162</f>
        <v>1100</v>
      </c>
      <c r="Q55" s="15">
        <f t="shared" si="4"/>
        <v>7700</v>
      </c>
      <c r="R55" s="15">
        <f>ROUND(N55+(N55*'행정구역별 인구'!O$76)*5,-2)+100</f>
        <v>4400</v>
      </c>
      <c r="S55" s="15">
        <f>ROUND(SUM(Z55:AC55)+(SUM(Z55:AC55)*'행정구역별 인구'!P$76)*18,-2)</f>
        <v>2200</v>
      </c>
      <c r="T55" s="15">
        <f>+인구배분!R160+인구배분!R162</f>
        <v>1100</v>
      </c>
      <c r="U55" s="16"/>
      <c r="W55" s="828"/>
      <c r="X55" s="920"/>
      <c r="Y55" s="580" t="s">
        <v>164</v>
      </c>
      <c r="Z55" s="35">
        <f>SUM([17]소처리분구별인구!$BB$157:$BB$159,[17]소처리분구별인구!$BB$163:$BB$180,[17]소처리분구별인구!$BB$190)</f>
        <v>176</v>
      </c>
      <c r="AA55" s="35">
        <f>SUM([17]소처리분구별인구!$BC$157:$BC$159,[17]소처리분구별인구!$BC$163:$BC$180,[17]소처리분구별인구!$BC$190)</f>
        <v>686</v>
      </c>
      <c r="AB55" s="35">
        <f>SUM([17]소처리분구별인구!$BD$157:$BD$159,[17]소처리분구별인구!$BD$163:$BD$180,[17]소처리분구별인구!$BD$190)</f>
        <v>2578</v>
      </c>
      <c r="AC55" s="35">
        <f>SUM([17]소처리분구별인구!$BE$157:$BE$159,[17]소처리분구별인구!$BE$163:$BE$180,[17]소처리분구별인구!$BE$190)</f>
        <v>0</v>
      </c>
      <c r="AD55" s="409"/>
    </row>
    <row r="56" spans="1:30" ht="20.100000000000001" customHeight="1">
      <c r="A56" s="828"/>
      <c r="B56" s="920"/>
      <c r="C56" s="580" t="s">
        <v>155</v>
      </c>
      <c r="D56" s="15">
        <f>SUM([17]소처리분구별인구!$BA$181:$BA$189,[17]소처리분구별인구!$BA$191)</f>
        <v>1337</v>
      </c>
      <c r="E56" s="15">
        <f t="shared" si="1"/>
        <v>2100</v>
      </c>
      <c r="F56" s="15">
        <f>ROUND(D56+(D56*'행정구역별 인구'!F$76)*3,-2)</f>
        <v>1300</v>
      </c>
      <c r="G56" s="15">
        <f>ROUND(Z56+(Z56*'행정구역별 인구'!F$76)*3,-2)</f>
        <v>800</v>
      </c>
      <c r="H56" s="15">
        <v>0</v>
      </c>
      <c r="I56" s="15">
        <f t="shared" si="2"/>
        <v>2500</v>
      </c>
      <c r="J56" s="15">
        <f>ROUND(F56+(F56*'행정구역별 인구'!I$76)*5,-2)</f>
        <v>1200</v>
      </c>
      <c r="K56" s="15">
        <f>ROUND(SUM(Z56:AA56)+(SUM(Z56:AA56)*'행정구역별 인구'!I$76)*8,-2)</f>
        <v>1300</v>
      </c>
      <c r="L56" s="15">
        <v>0</v>
      </c>
      <c r="M56" s="15">
        <f t="shared" si="3"/>
        <v>1800</v>
      </c>
      <c r="N56" s="15">
        <f>ROUND(J56+(J56*'행정구역별 인구'!L$76)*5,-2)</f>
        <v>900</v>
      </c>
      <c r="O56" s="15">
        <f>ROUND(SUM(Z56:AB56)+(SUM(Z56:AB56)*'행정구역별 인구'!M$76)*13,-2)</f>
        <v>900</v>
      </c>
      <c r="P56" s="15">
        <v>0</v>
      </c>
      <c r="Q56" s="15">
        <f t="shared" si="4"/>
        <v>1900</v>
      </c>
      <c r="R56" s="15">
        <f>ROUND(N56+(N56*'행정구역별 인구'!O$76)*5,-2)</f>
        <v>900</v>
      </c>
      <c r="S56" s="15">
        <f>ROUND(SUM(Z56:AC56)+(SUM(Z56:AC56)*'행정구역별 인구'!P$76)*18,-2)</f>
        <v>1000</v>
      </c>
      <c r="T56" s="15">
        <v>0</v>
      </c>
      <c r="U56" s="16"/>
      <c r="W56" s="828"/>
      <c r="X56" s="920"/>
      <c r="Y56" s="580" t="s">
        <v>155</v>
      </c>
      <c r="Z56" s="35">
        <f>SUM([17]소처리분구별인구!$BB$181:$BB$189,[17]소처리분구별인구!$BB$191)</f>
        <v>860</v>
      </c>
      <c r="AA56" s="35">
        <f>SUM([17]소처리분구별인구!$BC$181:$BC$189,[17]소처리분구별인구!$BC$191)</f>
        <v>672</v>
      </c>
      <c r="AB56" s="35">
        <f>SUM([17]소처리분구별인구!$BD$181:$BD$189,[17]소처리분구별인구!$BD$191)</f>
        <v>0</v>
      </c>
      <c r="AC56" s="35">
        <f>SUM([17]소처리분구별인구!$BE$181:$BE$189,[17]소처리분구별인구!$BE$191)</f>
        <v>0</v>
      </c>
      <c r="AD56" s="409"/>
    </row>
    <row r="57" spans="1:30" ht="20.100000000000001" customHeight="1">
      <c r="A57" s="828"/>
      <c r="B57" s="920" t="s">
        <v>209</v>
      </c>
      <c r="C57" s="480" t="s">
        <v>154</v>
      </c>
      <c r="D57" s="481">
        <f t="shared" ref="D57:S57" si="15">SUM(D58:D59)</f>
        <v>0</v>
      </c>
      <c r="E57" s="481">
        <f t="shared" si="15"/>
        <v>4100</v>
      </c>
      <c r="F57" s="481">
        <f t="shared" si="15"/>
        <v>0</v>
      </c>
      <c r="G57" s="481">
        <f t="shared" si="15"/>
        <v>3700</v>
      </c>
      <c r="H57" s="481">
        <f t="shared" si="15"/>
        <v>400</v>
      </c>
      <c r="I57" s="481">
        <f t="shared" si="15"/>
        <v>4500</v>
      </c>
      <c r="J57" s="481">
        <f t="shared" si="15"/>
        <v>0</v>
      </c>
      <c r="K57" s="481">
        <f t="shared" si="15"/>
        <v>4100</v>
      </c>
      <c r="L57" s="481">
        <f t="shared" si="15"/>
        <v>400</v>
      </c>
      <c r="M57" s="481">
        <f t="shared" si="15"/>
        <v>37800</v>
      </c>
      <c r="N57" s="481">
        <f t="shared" si="15"/>
        <v>0</v>
      </c>
      <c r="O57" s="481">
        <f t="shared" si="15"/>
        <v>3800</v>
      </c>
      <c r="P57" s="481">
        <f t="shared" si="15"/>
        <v>34000</v>
      </c>
      <c r="Q57" s="481">
        <f t="shared" si="15"/>
        <v>38000</v>
      </c>
      <c r="R57" s="481">
        <f t="shared" si="15"/>
        <v>0</v>
      </c>
      <c r="S57" s="481">
        <f t="shared" si="15"/>
        <v>4000</v>
      </c>
      <c r="T57" s="481">
        <f>SUM(T58:T59)</f>
        <v>34000</v>
      </c>
      <c r="U57" s="477"/>
      <c r="W57" s="828"/>
      <c r="X57" s="920" t="s">
        <v>209</v>
      </c>
      <c r="Y57" s="580" t="s">
        <v>154</v>
      </c>
      <c r="Z57" s="35">
        <f>SUM(Z58:Z59)</f>
        <v>3917</v>
      </c>
      <c r="AA57" s="35">
        <f>SUM(AA58:AA59)</f>
        <v>851</v>
      </c>
      <c r="AB57" s="35">
        <f>SUM(AB58:AB59)</f>
        <v>0</v>
      </c>
      <c r="AC57" s="35">
        <f>SUM(AC58:AC59)</f>
        <v>0</v>
      </c>
      <c r="AD57" s="409"/>
    </row>
    <row r="58" spans="1:30" ht="20.100000000000001" customHeight="1">
      <c r="A58" s="828"/>
      <c r="B58" s="920"/>
      <c r="C58" s="580" t="s">
        <v>160</v>
      </c>
      <c r="D58" s="15">
        <f>SUM([17]소처리분구별인구!$BA$73:$BA$85)</f>
        <v>0</v>
      </c>
      <c r="E58" s="15">
        <f t="shared" si="1"/>
        <v>4100</v>
      </c>
      <c r="F58" s="15">
        <f>ROUND(D58+(D58*'행정구역별 인구'!F$75)*3,-2)</f>
        <v>0</v>
      </c>
      <c r="G58" s="15">
        <f>ROUND(Z58+(Z58*'행정구역별 인구'!F$75)*3,-2)</f>
        <v>3700</v>
      </c>
      <c r="H58" s="15">
        <f>인구배분!O45+인구배분!O154</f>
        <v>400</v>
      </c>
      <c r="I58" s="15">
        <f t="shared" si="2"/>
        <v>4200</v>
      </c>
      <c r="J58" s="15">
        <f>ROUND(F58+(F58*'행정구역별 인구'!I$75)*5,-2)</f>
        <v>0</v>
      </c>
      <c r="K58" s="15">
        <f>ROUND(SUM(Z58:AA58)+(SUM(Z58:AA58)*'행정구역별 인구'!I$75)*8,-2)</f>
        <v>3800</v>
      </c>
      <c r="L58" s="15">
        <f>인구배분!P45+인구배분!P154</f>
        <v>400</v>
      </c>
      <c r="M58" s="15">
        <f t="shared" si="3"/>
        <v>37600</v>
      </c>
      <c r="N58" s="15">
        <f>ROUND(J58+(J58*'행정구역별 인구'!L$75)*5,-2)</f>
        <v>0</v>
      </c>
      <c r="O58" s="15">
        <f>ROUND(SUM(Z58:AB58)+(SUM(Z58:AB58)*'행정구역별 인구'!M$75)*13,-2)</f>
        <v>3600</v>
      </c>
      <c r="P58" s="15">
        <f>인구배분!Q45+인구배분!Q154</f>
        <v>34000</v>
      </c>
      <c r="Q58" s="15">
        <f t="shared" si="4"/>
        <v>37800</v>
      </c>
      <c r="R58" s="15">
        <f>ROUND(N58+(N58*'행정구역별 인구'!O$75)*5,-2)</f>
        <v>0</v>
      </c>
      <c r="S58" s="15">
        <f>ROUND(SUM(Z58:AC58)+(SUM(Z58:AC58)*'행정구역별 인구'!P$75)*18,-2)</f>
        <v>3800</v>
      </c>
      <c r="T58" s="15">
        <f>인구배분!R45+인구배분!R154</f>
        <v>34000</v>
      </c>
      <c r="U58" s="16"/>
      <c r="W58" s="828"/>
      <c r="X58" s="920"/>
      <c r="Y58" s="580" t="s">
        <v>160</v>
      </c>
      <c r="Z58" s="35">
        <f>SUM([17]소처리분구별인구!$BB$73:$BB$85)</f>
        <v>3917</v>
      </c>
      <c r="AA58" s="35">
        <f>SUM([17]소처리분구별인구!$BC$73:$BC$85)</f>
        <v>514</v>
      </c>
      <c r="AB58" s="35">
        <f>SUM([17]소처리분구별인구!$BD$73:$BD$85)</f>
        <v>0</v>
      </c>
      <c r="AC58" s="35">
        <f>SUM([17]소처리분구별인구!$BE$73:$BE$85)</f>
        <v>0</v>
      </c>
      <c r="AD58" s="409"/>
    </row>
    <row r="59" spans="1:30" ht="20.100000000000001" customHeight="1">
      <c r="A59" s="829"/>
      <c r="B59" s="795"/>
      <c r="C59" s="585" t="s">
        <v>156</v>
      </c>
      <c r="D59" s="403">
        <f>SUM([17]소처리분구별인구!$BA$86)</f>
        <v>0</v>
      </c>
      <c r="E59" s="403">
        <f t="shared" si="1"/>
        <v>0</v>
      </c>
      <c r="F59" s="403">
        <f>ROUND(D59+(D59*'행정구역별 인구'!F$76)*3,-2)</f>
        <v>0</v>
      </c>
      <c r="G59" s="15">
        <f>ROUND(Z59+(Z59*'행정구역별 인구'!F$76)*3,-2)</f>
        <v>0</v>
      </c>
      <c r="H59" s="403">
        <v>0</v>
      </c>
      <c r="I59" s="403">
        <f t="shared" si="2"/>
        <v>300</v>
      </c>
      <c r="J59" s="403">
        <f>ROUND(F59+(F59*'행정구역별 인구'!I$76)*5,-2)</f>
        <v>0</v>
      </c>
      <c r="K59" s="15">
        <f>ROUND(SUM(Z59:AA59)+(SUM(Z59:AA59)*'행정구역별 인구'!I$76)*8,-2)</f>
        <v>300</v>
      </c>
      <c r="L59" s="403">
        <v>0</v>
      </c>
      <c r="M59" s="403">
        <f t="shared" si="3"/>
        <v>200</v>
      </c>
      <c r="N59" s="403">
        <f>ROUND(J59+(J59*'행정구역별 인구'!L$76)*5,-2)</f>
        <v>0</v>
      </c>
      <c r="O59" s="15">
        <f>ROUND(SUM(Z59:AB59)+(SUM(Z59:AB59)*'행정구역별 인구'!M$76)*13,-2)</f>
        <v>200</v>
      </c>
      <c r="P59" s="403">
        <v>0</v>
      </c>
      <c r="Q59" s="403">
        <f t="shared" si="4"/>
        <v>200</v>
      </c>
      <c r="R59" s="403">
        <f>ROUND(N59+(N59*'행정구역별 인구'!O$76)*5,-2)</f>
        <v>0</v>
      </c>
      <c r="S59" s="15">
        <f>ROUND(SUM(Z59:AC59)+(SUM(Z59:AC59)*'행정구역별 인구'!P$76)*18,-2)</f>
        <v>200</v>
      </c>
      <c r="T59" s="403">
        <v>0</v>
      </c>
      <c r="U59" s="374"/>
      <c r="W59" s="828"/>
      <c r="X59" s="920"/>
      <c r="Y59" s="580" t="s">
        <v>156</v>
      </c>
      <c r="Z59" s="35">
        <f>SUM([17]소처리분구별인구!$BB$86)</f>
        <v>0</v>
      </c>
      <c r="AA59" s="35">
        <f>SUM([17]소처리분구별인구!$BC$86)</f>
        <v>337</v>
      </c>
      <c r="AB59" s="35">
        <f>SUM([17]소처리분구별인구!$BD$86)</f>
        <v>0</v>
      </c>
      <c r="AC59" s="35">
        <f>SUM([17]소처리분구별인구!$BE$86)</f>
        <v>0</v>
      </c>
      <c r="AD59" s="409"/>
    </row>
    <row r="60" spans="1:30" ht="20.100000000000001" customHeight="1">
      <c r="A60" s="992" t="s">
        <v>40</v>
      </c>
      <c r="B60" s="981" t="s">
        <v>53</v>
      </c>
      <c r="C60" s="981"/>
      <c r="D60" s="482">
        <f>SUM(D61,D66,D70)</f>
        <v>12035</v>
      </c>
      <c r="E60" s="482">
        <f t="shared" si="1"/>
        <v>26900</v>
      </c>
      <c r="F60" s="482">
        <f>SUM(F61,F66,F70)</f>
        <v>12100</v>
      </c>
      <c r="G60" s="482">
        <f>SUM(G61,G66,G70)</f>
        <v>14400</v>
      </c>
      <c r="H60" s="482">
        <f>SUM(H61,H66,H70)</f>
        <v>400</v>
      </c>
      <c r="I60" s="482">
        <f t="shared" si="2"/>
        <v>32900</v>
      </c>
      <c r="J60" s="482">
        <f>SUM(J61,J66,J70)</f>
        <v>12100</v>
      </c>
      <c r="K60" s="482">
        <f>SUM(K61,K66,K70)</f>
        <v>17400</v>
      </c>
      <c r="L60" s="482">
        <f>SUM(L61,L66,L70)</f>
        <v>3400</v>
      </c>
      <c r="M60" s="482">
        <f t="shared" si="3"/>
        <v>33300</v>
      </c>
      <c r="N60" s="482">
        <f>SUM(N61,N66,N70)</f>
        <v>12100</v>
      </c>
      <c r="O60" s="482">
        <f>SUM(O61,O66,O70)</f>
        <v>17800</v>
      </c>
      <c r="P60" s="482">
        <f>SUM(P61,P66,P70)</f>
        <v>3400</v>
      </c>
      <c r="Q60" s="482">
        <f t="shared" si="4"/>
        <v>34000</v>
      </c>
      <c r="R60" s="482">
        <f>SUM(R61,R66,R70)</f>
        <v>12700</v>
      </c>
      <c r="S60" s="482">
        <f>SUM(S61,S66,S70)</f>
        <v>17900</v>
      </c>
      <c r="T60" s="482">
        <f>SUM(T61,T66,T70)</f>
        <v>3400</v>
      </c>
      <c r="U60" s="483"/>
      <c r="W60" s="828" t="s">
        <v>40</v>
      </c>
      <c r="X60" s="920" t="s">
        <v>53</v>
      </c>
      <c r="Y60" s="920"/>
      <c r="Z60" s="35">
        <f>SUM(Z61,Z66,Z70)</f>
        <v>14197</v>
      </c>
      <c r="AA60" s="35">
        <f>SUM(AA61,AA66,AA70)</f>
        <v>3267</v>
      </c>
      <c r="AB60" s="35">
        <f>SUM(AB61,AB66,AB70)</f>
        <v>0</v>
      </c>
      <c r="AC60" s="35">
        <f>SUM(AC61,AC66,AC70)</f>
        <v>0</v>
      </c>
      <c r="AD60" s="409"/>
    </row>
    <row r="61" spans="1:30" ht="20.100000000000001" customHeight="1">
      <c r="A61" s="828"/>
      <c r="B61" s="920" t="s">
        <v>63</v>
      </c>
      <c r="C61" s="480" t="s">
        <v>154</v>
      </c>
      <c r="D61" s="481">
        <f t="shared" ref="D61:S61" si="16">SUM(D62:D65)</f>
        <v>5412</v>
      </c>
      <c r="E61" s="481">
        <f t="shared" si="16"/>
        <v>8400</v>
      </c>
      <c r="F61" s="481">
        <f t="shared" si="16"/>
        <v>5500</v>
      </c>
      <c r="G61" s="481">
        <f t="shared" si="16"/>
        <v>2900</v>
      </c>
      <c r="H61" s="481">
        <f t="shared" si="16"/>
        <v>0</v>
      </c>
      <c r="I61" s="481">
        <f t="shared" si="16"/>
        <v>9800</v>
      </c>
      <c r="J61" s="481">
        <f t="shared" si="16"/>
        <v>5500</v>
      </c>
      <c r="K61" s="481">
        <f t="shared" si="16"/>
        <v>4300</v>
      </c>
      <c r="L61" s="481">
        <f t="shared" si="16"/>
        <v>0</v>
      </c>
      <c r="M61" s="481">
        <f t="shared" si="16"/>
        <v>9900</v>
      </c>
      <c r="N61" s="481">
        <f t="shared" si="16"/>
        <v>5500</v>
      </c>
      <c r="O61" s="481">
        <f t="shared" si="16"/>
        <v>4400</v>
      </c>
      <c r="P61" s="481">
        <f t="shared" si="16"/>
        <v>0</v>
      </c>
      <c r="Q61" s="481">
        <f t="shared" si="16"/>
        <v>10200</v>
      </c>
      <c r="R61" s="481">
        <f t="shared" si="16"/>
        <v>5800</v>
      </c>
      <c r="S61" s="481">
        <f t="shared" si="16"/>
        <v>4400</v>
      </c>
      <c r="T61" s="481">
        <f>SUM(T62:T65)</f>
        <v>0</v>
      </c>
      <c r="U61" s="477"/>
      <c r="W61" s="828"/>
      <c r="X61" s="920" t="s">
        <v>63</v>
      </c>
      <c r="Y61" s="580" t="s">
        <v>154</v>
      </c>
      <c r="Z61" s="35">
        <f>SUM(Z62:Z65)</f>
        <v>2863</v>
      </c>
      <c r="AA61" s="35">
        <f>SUM(AA62:AA65)</f>
        <v>1409</v>
      </c>
      <c r="AB61" s="35">
        <f>SUM(AB62:AB65)</f>
        <v>0</v>
      </c>
      <c r="AC61" s="35">
        <f>SUM(AC62:AC65)</f>
        <v>0</v>
      </c>
      <c r="AD61" s="410"/>
    </row>
    <row r="62" spans="1:30" ht="20.100000000000001" customHeight="1">
      <c r="A62" s="828"/>
      <c r="B62" s="920"/>
      <c r="C62" s="580" t="s">
        <v>527</v>
      </c>
      <c r="D62" s="15">
        <f>SUM([17]소처리분구별인구!$BA$235:$BA$245)</f>
        <v>1943</v>
      </c>
      <c r="E62" s="15">
        <f t="shared" si="1"/>
        <v>4700</v>
      </c>
      <c r="F62" s="15">
        <f>ROUND(D62+(D62*'행정구역별 인구'!F$77)*3,-2)</f>
        <v>2000</v>
      </c>
      <c r="G62" s="15">
        <f>ROUND(Z62+(Z62*'행정구역별 인구'!F$77)*3,-2)</f>
        <v>2700</v>
      </c>
      <c r="H62" s="15">
        <v>0</v>
      </c>
      <c r="I62" s="15">
        <f t="shared" si="2"/>
        <v>4700</v>
      </c>
      <c r="J62" s="15">
        <f>ROUND(F62+(F62*'행정구역별 인구'!I$77)*5,-2)</f>
        <v>2000</v>
      </c>
      <c r="K62" s="15">
        <f>ROUND(SUM(Z62:AA62)+(SUM(Z62:AA62)*'행정구역별 인구'!I$77)*8,-2)</f>
        <v>2700</v>
      </c>
      <c r="L62" s="15">
        <v>0</v>
      </c>
      <c r="M62" s="15">
        <f t="shared" si="3"/>
        <v>4800</v>
      </c>
      <c r="N62" s="15">
        <f>ROUND(J62+(J62*'행정구역별 인구'!L$77)*5,-2)</f>
        <v>2000</v>
      </c>
      <c r="O62" s="15">
        <f>ROUND(SUM(Z62:AB62)+(SUM(Z62:AB62)*'행정구역별 인구'!M$77)*13,-2)</f>
        <v>2800</v>
      </c>
      <c r="P62" s="15">
        <v>0</v>
      </c>
      <c r="Q62" s="15">
        <f t="shared" si="4"/>
        <v>4900</v>
      </c>
      <c r="R62" s="15">
        <f>ROUND(N62+(N62*'행정구역별 인구'!O$77)*5,-2)+100</f>
        <v>2100</v>
      </c>
      <c r="S62" s="15">
        <f>ROUND(SUM(Z62:AC62)+(SUM(Z62:AC62)*'행정구역별 인구'!P$77)*18,-2)</f>
        <v>2800</v>
      </c>
      <c r="T62" s="15">
        <v>0</v>
      </c>
      <c r="U62" s="16"/>
      <c r="W62" s="828"/>
      <c r="X62" s="920"/>
      <c r="Y62" s="580" t="s">
        <v>527</v>
      </c>
      <c r="Z62" s="35">
        <f>SUM([17]소처리분구별인구!$BB$235:$BB$245)</f>
        <v>2715</v>
      </c>
      <c r="AA62" s="35">
        <f>SUM([17]소처리분구별인구!$BC$235:$BC$245)</f>
        <v>0</v>
      </c>
      <c r="AB62" s="35">
        <f>SUM([17]소처리분구별인구!$BD$235:$BD$245)</f>
        <v>0</v>
      </c>
      <c r="AC62" s="35">
        <f>SUM([17]소처리분구별인구!$BE$235:$BE$245)</f>
        <v>0</v>
      </c>
      <c r="AD62" s="409"/>
    </row>
    <row r="63" spans="1:30" ht="20.100000000000001" customHeight="1">
      <c r="A63" s="828"/>
      <c r="B63" s="920"/>
      <c r="C63" s="580" t="s">
        <v>151</v>
      </c>
      <c r="D63" s="15">
        <f>SUM([17]소처리분구별인구!$BA$246:$BA$253)</f>
        <v>3193</v>
      </c>
      <c r="E63" s="15">
        <f t="shared" si="1"/>
        <v>3300</v>
      </c>
      <c r="F63" s="15">
        <f>ROUND(D63+(D63*'행정구역별 인구'!F$77)*3,-2)</f>
        <v>3200</v>
      </c>
      <c r="G63" s="15">
        <f>ROUND(Z63+(Z63*'행정구역별 인구'!F$77)*3,-2)</f>
        <v>100</v>
      </c>
      <c r="H63" s="15">
        <v>0</v>
      </c>
      <c r="I63" s="15">
        <f t="shared" si="2"/>
        <v>3500</v>
      </c>
      <c r="J63" s="15">
        <f>ROUND(F63+(F63*'행정구역별 인구'!I$77)*5,-2)</f>
        <v>3200</v>
      </c>
      <c r="K63" s="15">
        <f>ROUND(SUM(Z63:AA63)+(SUM(Z63:AA63)*'행정구역별 인구'!I$77)*8,-2)</f>
        <v>300</v>
      </c>
      <c r="L63" s="15">
        <v>0</v>
      </c>
      <c r="M63" s="15">
        <f t="shared" si="3"/>
        <v>3500</v>
      </c>
      <c r="N63" s="15">
        <f>ROUND(J63+(J63*'행정구역별 인구'!L$77)*5,-2)</f>
        <v>3200</v>
      </c>
      <c r="O63" s="15">
        <f>ROUND(SUM(Z63:AB63)+(SUM(Z63:AB63)*'행정구역별 인구'!M$77)*13,-2)</f>
        <v>300</v>
      </c>
      <c r="P63" s="15">
        <v>0</v>
      </c>
      <c r="Q63" s="15">
        <f t="shared" si="4"/>
        <v>3700</v>
      </c>
      <c r="R63" s="15">
        <f>ROUND(N63+(N63*'행정구역별 인구'!O$77)*5,-2)+200</f>
        <v>3400</v>
      </c>
      <c r="S63" s="15">
        <f>ROUND(SUM(Z63:AC63)+(SUM(Z63:AC63)*'행정구역별 인구'!P$77)*18,-2)</f>
        <v>300</v>
      </c>
      <c r="T63" s="15">
        <v>0</v>
      </c>
      <c r="U63" s="16"/>
      <c r="W63" s="828"/>
      <c r="X63" s="920"/>
      <c r="Y63" s="580" t="s">
        <v>151</v>
      </c>
      <c r="Z63" s="35">
        <f>SUM([17]소처리분구별인구!$BB$246:$BB$253)</f>
        <v>89</v>
      </c>
      <c r="AA63" s="35">
        <f>SUM([17]소처리분구별인구!$BC$246:$BC$253)</f>
        <v>170</v>
      </c>
      <c r="AB63" s="35">
        <f>SUM([17]소처리분구별인구!$BD$246:$BD$253)</f>
        <v>0</v>
      </c>
      <c r="AC63" s="35">
        <f>SUM([17]소처리분구별인구!$BE$246:$BE$253)</f>
        <v>0</v>
      </c>
      <c r="AD63" s="409"/>
    </row>
    <row r="64" spans="1:30" ht="20.100000000000001" customHeight="1">
      <c r="A64" s="828"/>
      <c r="B64" s="920"/>
      <c r="C64" s="580" t="s">
        <v>548</v>
      </c>
      <c r="D64" s="15">
        <f>SUM([17]소처리분구별인구!$BA$254:$BA$255)</f>
        <v>0</v>
      </c>
      <c r="E64" s="15">
        <f t="shared" si="1"/>
        <v>0</v>
      </c>
      <c r="F64" s="15">
        <f>ROUND(D64+(D64*'행정구역별 인구'!F$77)*3,-2)</f>
        <v>0</v>
      </c>
      <c r="G64" s="15">
        <f>ROUND(Z64+(Z64*'행정구역별 인구'!F$77)*3,-2)</f>
        <v>0</v>
      </c>
      <c r="H64" s="15">
        <v>0</v>
      </c>
      <c r="I64" s="15">
        <f t="shared" si="2"/>
        <v>200</v>
      </c>
      <c r="J64" s="15">
        <f>ROUND(F64+(F64*'행정구역별 인구'!I$77)*5,-2)</f>
        <v>0</v>
      </c>
      <c r="K64" s="15">
        <f>ROUND(SUM(Z64:AA64)+(SUM(Z64:AA64)*'행정구역별 인구'!I$77)*8,-2)</f>
        <v>200</v>
      </c>
      <c r="L64" s="15">
        <v>0</v>
      </c>
      <c r="M64" s="15">
        <f t="shared" si="3"/>
        <v>200</v>
      </c>
      <c r="N64" s="15">
        <f>ROUND(J64+(J64*'행정구역별 인구'!L$77)*5,-2)</f>
        <v>0</v>
      </c>
      <c r="O64" s="15">
        <f>ROUND(SUM(Z64:AB64)+(SUM(Z64:AB64)*'행정구역별 인구'!M$77)*13,-2)</f>
        <v>200</v>
      </c>
      <c r="P64" s="15">
        <v>0</v>
      </c>
      <c r="Q64" s="15">
        <f t="shared" si="4"/>
        <v>200</v>
      </c>
      <c r="R64" s="15">
        <f>ROUND(N64+(N64*'행정구역별 인구'!O$77)*5,-2)</f>
        <v>0</v>
      </c>
      <c r="S64" s="15">
        <f>ROUND(SUM(Z64:AC64)+(SUM(Z64:AC64)*'행정구역별 인구'!P$77)*18,-2)</f>
        <v>200</v>
      </c>
      <c r="T64" s="15">
        <v>0</v>
      </c>
      <c r="U64" s="16"/>
      <c r="W64" s="828"/>
      <c r="X64" s="920"/>
      <c r="Y64" s="580" t="s">
        <v>548</v>
      </c>
      <c r="Z64" s="35">
        <f>SUM([17]소처리분구별인구!$BB$254:$BB$255)</f>
        <v>0</v>
      </c>
      <c r="AA64" s="35">
        <f>SUM([17]소처리분구별인구!$BC$254:$BC$255)</f>
        <v>204</v>
      </c>
      <c r="AB64" s="35">
        <f>SUM([17]소처리분구별인구!$BD$254:$BD$255)</f>
        <v>0</v>
      </c>
      <c r="AC64" s="35">
        <f>SUM([17]소처리분구별인구!$BE$254:$BE$255)</f>
        <v>0</v>
      </c>
      <c r="AD64" s="409"/>
    </row>
    <row r="65" spans="1:30" ht="20.100000000000001" customHeight="1">
      <c r="A65" s="828"/>
      <c r="B65" s="920"/>
      <c r="C65" s="580" t="s">
        <v>152</v>
      </c>
      <c r="D65" s="15">
        <f>SUM([17]소처리분구별인구!$BA$256:$BA$263)</f>
        <v>276</v>
      </c>
      <c r="E65" s="15">
        <f t="shared" si="1"/>
        <v>400</v>
      </c>
      <c r="F65" s="15">
        <f>ROUND(D65+(D65*'행정구역별 인구'!F$77)*3,-2)</f>
        <v>300</v>
      </c>
      <c r="G65" s="15">
        <f>ROUND(Z65+(Z65*'행정구역별 인구'!F$77)*3,-2)</f>
        <v>100</v>
      </c>
      <c r="H65" s="15">
        <v>0</v>
      </c>
      <c r="I65" s="15">
        <f t="shared" si="2"/>
        <v>1400</v>
      </c>
      <c r="J65" s="15">
        <f>ROUND(F65+(F65*'행정구역별 인구'!I$77)*5,-2)</f>
        <v>300</v>
      </c>
      <c r="K65" s="15">
        <f>ROUND(SUM(Z65:AA65)+(SUM(Z65:AA65)*'행정구역별 인구'!I$77)*8,-2)</f>
        <v>1100</v>
      </c>
      <c r="L65" s="15">
        <v>0</v>
      </c>
      <c r="M65" s="15">
        <f t="shared" si="3"/>
        <v>1400</v>
      </c>
      <c r="N65" s="15">
        <f>ROUND(J65+(J65*'행정구역별 인구'!L$77)*5,-2)</f>
        <v>300</v>
      </c>
      <c r="O65" s="15">
        <f>ROUND(SUM(Z65:AB65)+(SUM(Z65:AB65)*'행정구역별 인구'!M$77)*13,-2)</f>
        <v>1100</v>
      </c>
      <c r="P65" s="15">
        <v>0</v>
      </c>
      <c r="Q65" s="15">
        <f t="shared" si="4"/>
        <v>1400</v>
      </c>
      <c r="R65" s="15">
        <f>ROUND(N65+(N65*'행정구역별 인구'!O$77)*5,-2)</f>
        <v>300</v>
      </c>
      <c r="S65" s="15">
        <f>ROUND(SUM(Z65:AC65)+(SUM(Z65:AC65)*'행정구역별 인구'!P$77)*18,-2)</f>
        <v>1100</v>
      </c>
      <c r="T65" s="15">
        <v>0</v>
      </c>
      <c r="U65" s="16"/>
      <c r="W65" s="828"/>
      <c r="X65" s="920"/>
      <c r="Y65" s="580" t="s">
        <v>152</v>
      </c>
      <c r="Z65" s="35">
        <f>SUM([17]소처리분구별인구!$BB$256:$BB$263)</f>
        <v>59</v>
      </c>
      <c r="AA65" s="35">
        <f>SUM([17]소처리분구별인구!$BC$256:$BC$263)</f>
        <v>1035</v>
      </c>
      <c r="AB65" s="35">
        <f>SUM([17]소처리분구별인구!$BD$256:$BD$263)</f>
        <v>0</v>
      </c>
      <c r="AC65" s="35">
        <f>SUM([17]소처리분구별인구!$BE$256:$BE$263)</f>
        <v>0</v>
      </c>
      <c r="AD65" s="409"/>
    </row>
    <row r="66" spans="1:30" ht="20.100000000000001" customHeight="1">
      <c r="A66" s="828"/>
      <c r="B66" s="920" t="s">
        <v>210</v>
      </c>
      <c r="C66" s="480" t="s">
        <v>154</v>
      </c>
      <c r="D66" s="481">
        <f t="shared" ref="D66:S66" si="17">SUM(D67:D69)</f>
        <v>4001</v>
      </c>
      <c r="E66" s="481">
        <f t="shared" si="17"/>
        <v>15000</v>
      </c>
      <c r="F66" s="481">
        <f t="shared" si="17"/>
        <v>4000</v>
      </c>
      <c r="G66" s="481">
        <f t="shared" si="17"/>
        <v>11000</v>
      </c>
      <c r="H66" s="481">
        <f t="shared" si="17"/>
        <v>0</v>
      </c>
      <c r="I66" s="481">
        <f t="shared" si="17"/>
        <v>19600</v>
      </c>
      <c r="J66" s="481">
        <f t="shared" si="17"/>
        <v>4000</v>
      </c>
      <c r="K66" s="481">
        <f t="shared" si="17"/>
        <v>12600</v>
      </c>
      <c r="L66" s="481">
        <f t="shared" si="17"/>
        <v>3000</v>
      </c>
      <c r="M66" s="481">
        <f t="shared" si="17"/>
        <v>19900</v>
      </c>
      <c r="N66" s="481">
        <f t="shared" si="17"/>
        <v>4000</v>
      </c>
      <c r="O66" s="481">
        <f t="shared" si="17"/>
        <v>12900</v>
      </c>
      <c r="P66" s="481">
        <f t="shared" si="17"/>
        <v>3000</v>
      </c>
      <c r="Q66" s="481">
        <f t="shared" si="17"/>
        <v>20200</v>
      </c>
      <c r="R66" s="481">
        <f t="shared" si="17"/>
        <v>4200</v>
      </c>
      <c r="S66" s="481">
        <f t="shared" si="17"/>
        <v>13000</v>
      </c>
      <c r="T66" s="481">
        <f>SUM(T67:T69)</f>
        <v>3000</v>
      </c>
      <c r="U66" s="477"/>
      <c r="W66" s="828"/>
      <c r="X66" s="920" t="s">
        <v>210</v>
      </c>
      <c r="Y66" s="580" t="s">
        <v>154</v>
      </c>
      <c r="Z66" s="35">
        <f>SUM(Z67:Z69)</f>
        <v>10843</v>
      </c>
      <c r="AA66" s="35">
        <f>SUM(AA67:AA69)</f>
        <v>1858</v>
      </c>
      <c r="AB66" s="35">
        <f>SUM(AB67:AB69)</f>
        <v>0</v>
      </c>
      <c r="AC66" s="35">
        <f>SUM(AC67:AC69)</f>
        <v>0</v>
      </c>
      <c r="AD66" s="410"/>
    </row>
    <row r="67" spans="1:30" ht="20.100000000000001" customHeight="1">
      <c r="A67" s="828"/>
      <c r="B67" s="920"/>
      <c r="C67" s="580" t="s">
        <v>527</v>
      </c>
      <c r="D67" s="15">
        <f>SUM([17]소처리분구별인구!$BA$194:$BA$200)</f>
        <v>2799</v>
      </c>
      <c r="E67" s="15">
        <f t="shared" si="1"/>
        <v>10900</v>
      </c>
      <c r="F67" s="15">
        <f>ROUND(D67+(D67*'행정구역별 인구'!F$77)*3,-2)</f>
        <v>2800</v>
      </c>
      <c r="G67" s="15">
        <f>ROUND(Z67+(Z67*'행정구역별 인구'!F$77)*3,-2)</f>
        <v>8100</v>
      </c>
      <c r="H67" s="15">
        <v>0</v>
      </c>
      <c r="I67" s="15">
        <f t="shared" si="2"/>
        <v>10800</v>
      </c>
      <c r="J67" s="15">
        <f>ROUND(F67+(F67*'행정구역별 인구'!I$77)*5,-2)</f>
        <v>2800</v>
      </c>
      <c r="K67" s="15">
        <f>ROUND(SUM(Z67:AA67)+(SUM(Z67:AA67)*'행정구역별 인구'!I$77)*8,-2)</f>
        <v>8000</v>
      </c>
      <c r="L67" s="15">
        <v>0</v>
      </c>
      <c r="M67" s="15">
        <f t="shared" si="3"/>
        <v>11000</v>
      </c>
      <c r="N67" s="15">
        <f>ROUND(J67+(J67*'행정구역별 인구'!L$77)*5,-2)</f>
        <v>2800</v>
      </c>
      <c r="O67" s="15">
        <f>ROUND(SUM(Z67:AB67)+(SUM(Z67:AB67)*'행정구역별 인구'!M$77)*13,-2)</f>
        <v>8200</v>
      </c>
      <c r="P67" s="15">
        <v>0</v>
      </c>
      <c r="Q67" s="15">
        <f t="shared" si="4"/>
        <v>11300</v>
      </c>
      <c r="R67" s="15">
        <f>ROUND(N67+(N67*'행정구역별 인구'!O$77)*5,-2)+200</f>
        <v>3000</v>
      </c>
      <c r="S67" s="15">
        <f>ROUND(SUM(Z67:AC67)+(SUM(Z67:AC67)*'행정구역별 인구'!P$77)*18,-2)</f>
        <v>8300</v>
      </c>
      <c r="T67" s="15">
        <v>0</v>
      </c>
      <c r="U67" s="16"/>
      <c r="W67" s="828"/>
      <c r="X67" s="920"/>
      <c r="Y67" s="580" t="s">
        <v>527</v>
      </c>
      <c r="Z67" s="411">
        <f>SUM([17]소처리분구별인구!$BB$194:$BB$200)</f>
        <v>7986</v>
      </c>
      <c r="AA67" s="411">
        <f>SUM([17]소처리분구별인구!$BC$194:$BC$200)</f>
        <v>88</v>
      </c>
      <c r="AB67" s="411">
        <f>SUM([17]소처리분구별인구!$BD$194:$BD$200)</f>
        <v>0</v>
      </c>
      <c r="AC67" s="411">
        <f>SUM([17]소처리분구별인구!$BE$194:$BE$200)</f>
        <v>0</v>
      </c>
      <c r="AD67" s="412"/>
    </row>
    <row r="68" spans="1:30" ht="20.100000000000001" customHeight="1">
      <c r="A68" s="828"/>
      <c r="B68" s="920"/>
      <c r="C68" s="580" t="s">
        <v>548</v>
      </c>
      <c r="D68" s="15">
        <f>SUM([17]소처리분구별인구!$BA$201:$BA$216)</f>
        <v>684</v>
      </c>
      <c r="E68" s="15">
        <f t="shared" si="1"/>
        <v>2100</v>
      </c>
      <c r="F68" s="15">
        <f>ROUND(D68+(D68*'행정구역별 인구'!F$77)*3,-2)</f>
        <v>700</v>
      </c>
      <c r="G68" s="15">
        <f>ROUND(Z68+(Z68*'행정구역별 인구'!F$77)*3,-2)</f>
        <v>1400</v>
      </c>
      <c r="H68" s="15">
        <f>+인구배분!O6</f>
        <v>0</v>
      </c>
      <c r="I68" s="15">
        <f t="shared" si="2"/>
        <v>6400</v>
      </c>
      <c r="J68" s="15">
        <f>ROUND(F68+(F68*'행정구역별 인구'!I$77)*5,-2)</f>
        <v>700</v>
      </c>
      <c r="K68" s="15">
        <f>ROUND(SUM(Z68:AA68)+(SUM(Z68:AA68)*'행정구역별 인구'!I$77)*8,-2)</f>
        <v>2700</v>
      </c>
      <c r="L68" s="15">
        <f>+인구배분!P6</f>
        <v>3000</v>
      </c>
      <c r="M68" s="15">
        <f t="shared" si="3"/>
        <v>6500</v>
      </c>
      <c r="N68" s="15">
        <f>ROUND(J68+(J68*'행정구역별 인구'!L$77)*5,-2)</f>
        <v>700</v>
      </c>
      <c r="O68" s="15">
        <f>ROUND(SUM(Z68:AB68)+(SUM(Z68:AB68)*'행정구역별 인구'!M$77)*13,-2)</f>
        <v>2800</v>
      </c>
      <c r="P68" s="15">
        <f>+인구배분!Q6</f>
        <v>3000</v>
      </c>
      <c r="Q68" s="15">
        <f t="shared" si="4"/>
        <v>6500</v>
      </c>
      <c r="R68" s="15">
        <f>ROUND(N68+(N68*'행정구역별 인구'!O$77)*5,-2)</f>
        <v>700</v>
      </c>
      <c r="S68" s="15">
        <f>ROUND(SUM(Z68:AC68)+(SUM(Z68:AC68)*'행정구역별 인구'!P$77)*18,-2)</f>
        <v>2800</v>
      </c>
      <c r="T68" s="15">
        <f>+인구배분!R6</f>
        <v>3000</v>
      </c>
      <c r="U68" s="16"/>
      <c r="W68" s="828"/>
      <c r="X68" s="920"/>
      <c r="Y68" s="580" t="s">
        <v>548</v>
      </c>
      <c r="Z68" s="411">
        <f>SUM([17]소처리분구별인구!$BB$201:$BB$216,[17]소처리분구별인구!$BB$229)</f>
        <v>1389</v>
      </c>
      <c r="AA68" s="411">
        <f>SUM([17]소처리분구별인구!$BC$201:$BC$216,[17]소처리분구별인구!$BC$229)</f>
        <v>1356</v>
      </c>
      <c r="AB68" s="411">
        <f>SUM([17]소처리분구별인구!$BD$201:$BD$216,[17]소처리분구별인구!$BD$229)</f>
        <v>0</v>
      </c>
      <c r="AC68" s="411">
        <f>SUM([17]소처리분구별인구!$BE$201:$BE$216,[17]소처리분구별인구!$BE$229)</f>
        <v>0</v>
      </c>
      <c r="AD68" s="412"/>
    </row>
    <row r="69" spans="1:30" ht="20.100000000000001" customHeight="1">
      <c r="A69" s="828"/>
      <c r="B69" s="920"/>
      <c r="C69" s="580" t="s">
        <v>201</v>
      </c>
      <c r="D69" s="15">
        <f>SUM([17]소처리분구별인구!$BA$217:$BA$233)</f>
        <v>518</v>
      </c>
      <c r="E69" s="15">
        <f t="shared" si="1"/>
        <v>2000</v>
      </c>
      <c r="F69" s="15">
        <f>ROUND(D69+(D69*'행정구역별 인구'!F$77)*3,-2)</f>
        <v>500</v>
      </c>
      <c r="G69" s="15">
        <f>ROUND(Z69+(Z69*'행정구역별 인구'!F$77)*3,-2)</f>
        <v>1500</v>
      </c>
      <c r="H69" s="15">
        <v>0</v>
      </c>
      <c r="I69" s="15">
        <f t="shared" si="2"/>
        <v>2400</v>
      </c>
      <c r="J69" s="15">
        <f>ROUND(F69+(F69*'행정구역별 인구'!I$77)*5,-2)</f>
        <v>500</v>
      </c>
      <c r="K69" s="15">
        <f>ROUND(SUM(Z69:AA69)+(SUM(Z69:AA69)*'행정구역별 인구'!I$77)*8,-2)</f>
        <v>1900</v>
      </c>
      <c r="L69" s="15">
        <v>0</v>
      </c>
      <c r="M69" s="15">
        <f t="shared" si="3"/>
        <v>2400</v>
      </c>
      <c r="N69" s="15">
        <f>ROUND(J69+(J69*'행정구역별 인구'!L$77)*5,-2)</f>
        <v>500</v>
      </c>
      <c r="O69" s="15">
        <f>ROUND(SUM(Z69:AB69)+(SUM(Z69:AB69)*'행정구역별 인구'!M$77)*13,-2)</f>
        <v>1900</v>
      </c>
      <c r="P69" s="15">
        <v>0</v>
      </c>
      <c r="Q69" s="15">
        <f t="shared" si="4"/>
        <v>2400</v>
      </c>
      <c r="R69" s="15">
        <f>ROUND(N69+(N69*'행정구역별 인구'!O$77)*5,-2)</f>
        <v>500</v>
      </c>
      <c r="S69" s="15">
        <f>ROUND(SUM(Z69:AC69)+(SUM(Z69:AC69)*'행정구역별 인구'!P$77)*18,-2)</f>
        <v>1900</v>
      </c>
      <c r="T69" s="15">
        <v>0</v>
      </c>
      <c r="U69" s="16"/>
      <c r="W69" s="828"/>
      <c r="X69" s="920"/>
      <c r="Y69" s="580" t="s">
        <v>201</v>
      </c>
      <c r="Z69" s="411">
        <f>SUM([17]소처리분구별인구!$BB$217:$BB$228,[17]소처리분구별인구!$BB$230:$BB$233)</f>
        <v>1468</v>
      </c>
      <c r="AA69" s="411">
        <f>SUM([17]소처리분구별인구!$BC$217:$BC$228,[17]소처리분구별인구!$BC$230:$BC$233)</f>
        <v>414</v>
      </c>
      <c r="AB69" s="411">
        <f>SUM([17]소처리분구별인구!$BD$217:$BD$228,[17]소처리분구별인구!$BD$230:$BD$233)</f>
        <v>0</v>
      </c>
      <c r="AC69" s="411">
        <f>SUM([17]소처리분구별인구!$BE$217:$BE$228,[17]소처리분구별인구!$BE$230:$BE$233)</f>
        <v>0</v>
      </c>
      <c r="AD69" s="412"/>
    </row>
    <row r="70" spans="1:30" ht="20.100000000000001" customHeight="1">
      <c r="A70" s="828"/>
      <c r="B70" s="920" t="s">
        <v>39</v>
      </c>
      <c r="C70" s="480" t="s">
        <v>154</v>
      </c>
      <c r="D70" s="481">
        <f t="shared" ref="D70:S70" si="18">SUM(D71)</f>
        <v>2622</v>
      </c>
      <c r="E70" s="481">
        <f t="shared" si="18"/>
        <v>3500</v>
      </c>
      <c r="F70" s="481">
        <f t="shared" si="18"/>
        <v>2600</v>
      </c>
      <c r="G70" s="481">
        <f t="shared" si="18"/>
        <v>500</v>
      </c>
      <c r="H70" s="481">
        <f t="shared" si="18"/>
        <v>400</v>
      </c>
      <c r="I70" s="481">
        <f t="shared" si="18"/>
        <v>3500</v>
      </c>
      <c r="J70" s="481">
        <f t="shared" si="18"/>
        <v>2600</v>
      </c>
      <c r="K70" s="481">
        <f t="shared" si="18"/>
        <v>500</v>
      </c>
      <c r="L70" s="481">
        <f t="shared" si="18"/>
        <v>400</v>
      </c>
      <c r="M70" s="481">
        <f t="shared" si="18"/>
        <v>3500</v>
      </c>
      <c r="N70" s="481">
        <f t="shared" si="18"/>
        <v>2600</v>
      </c>
      <c r="O70" s="481">
        <f t="shared" si="18"/>
        <v>500</v>
      </c>
      <c r="P70" s="481">
        <f t="shared" si="18"/>
        <v>400</v>
      </c>
      <c r="Q70" s="481">
        <f t="shared" si="18"/>
        <v>3600</v>
      </c>
      <c r="R70" s="481">
        <f t="shared" si="18"/>
        <v>2700</v>
      </c>
      <c r="S70" s="481">
        <f t="shared" si="18"/>
        <v>500</v>
      </c>
      <c r="T70" s="481">
        <f>SUM(T71)</f>
        <v>400</v>
      </c>
      <c r="U70" s="477"/>
      <c r="W70" s="828"/>
      <c r="X70" s="920" t="s">
        <v>39</v>
      </c>
      <c r="Y70" s="580" t="s">
        <v>154</v>
      </c>
      <c r="Z70" s="326">
        <f>SUM(Z71)</f>
        <v>491</v>
      </c>
      <c r="AA70" s="326">
        <f>SUM(AA71)</f>
        <v>0</v>
      </c>
      <c r="AB70" s="326">
        <f>SUM(AB71)</f>
        <v>0</v>
      </c>
      <c r="AC70" s="326">
        <f>SUM(AC71)</f>
        <v>0</v>
      </c>
      <c r="AD70" s="413"/>
    </row>
    <row r="71" spans="1:30" ht="20.100000000000001" customHeight="1">
      <c r="A71" s="829"/>
      <c r="B71" s="795"/>
      <c r="C71" s="585" t="s">
        <v>152</v>
      </c>
      <c r="D71" s="403">
        <f>SUM([17]소처리분구별인구!$BA$265:$BA$274)</f>
        <v>2622</v>
      </c>
      <c r="E71" s="403">
        <f t="shared" si="1"/>
        <v>3500</v>
      </c>
      <c r="F71" s="403">
        <f>ROUND(D71+(D71*'행정구역별 인구'!F$77)*3,-2)</f>
        <v>2600</v>
      </c>
      <c r="G71" s="403">
        <f>ROUND(Z71+(Z71*'행정구역별 인구'!F$77)*3,-2)</f>
        <v>500</v>
      </c>
      <c r="H71" s="403">
        <f>+인구배분!O152</f>
        <v>400</v>
      </c>
      <c r="I71" s="403">
        <f t="shared" si="2"/>
        <v>3500</v>
      </c>
      <c r="J71" s="403">
        <f>ROUND(F71+(F71*'행정구역별 인구'!I$77)*5,-2)</f>
        <v>2600</v>
      </c>
      <c r="K71" s="403">
        <f>ROUND(SUM(Z71:AA71)+(SUM(Z71:AA71)*'행정구역별 인구'!I$77)*8,-2)</f>
        <v>500</v>
      </c>
      <c r="L71" s="403">
        <f>+인구배분!P152</f>
        <v>400</v>
      </c>
      <c r="M71" s="403">
        <f t="shared" si="3"/>
        <v>3500</v>
      </c>
      <c r="N71" s="403">
        <f>ROUND(J71+(J71*'행정구역별 인구'!L$77)*5,-2)</f>
        <v>2600</v>
      </c>
      <c r="O71" s="403">
        <f>ROUND(SUM(Z71:AB71)+(SUM(Z71:AB71)*'행정구역별 인구'!M$77)*13,-2)</f>
        <v>500</v>
      </c>
      <c r="P71" s="403">
        <f>+인구배분!Q152</f>
        <v>400</v>
      </c>
      <c r="Q71" s="403">
        <f t="shared" si="4"/>
        <v>3600</v>
      </c>
      <c r="R71" s="403">
        <f>ROUND(N71+(N71*'행정구역별 인구'!O$77)*5,-2)+100</f>
        <v>2700</v>
      </c>
      <c r="S71" s="403">
        <f>ROUND(SUM(Z71:AC71)+(SUM(Z71:AC71)*'행정구역별 인구'!P$77)*18,-2)</f>
        <v>500</v>
      </c>
      <c r="T71" s="403">
        <f>+인구배분!R152</f>
        <v>400</v>
      </c>
      <c r="U71" s="374"/>
      <c r="W71" s="829"/>
      <c r="X71" s="795"/>
      <c r="Y71" s="585" t="s">
        <v>152</v>
      </c>
      <c r="Z71" s="53">
        <f>SUM([17]소처리분구별인구!$BB$265:$BB$274)</f>
        <v>491</v>
      </c>
      <c r="AA71" s="53">
        <f>SUM([17]소처리분구별인구!$BC$265:$BC$274)</f>
        <v>0</v>
      </c>
      <c r="AB71" s="53">
        <f>SUM([17]소처리분구별인구!$BD$265:$BD$274)</f>
        <v>0</v>
      </c>
      <c r="AC71" s="53">
        <f>SUM([17]소처리분구별인구!$BE$265:$BE$274)</f>
        <v>0</v>
      </c>
      <c r="AD71" s="414"/>
    </row>
    <row r="75" spans="1:30" ht="17.45" customHeight="1">
      <c r="Z75" s="401"/>
      <c r="AA75" s="401"/>
      <c r="AB75" s="401"/>
      <c r="AC75" s="401"/>
    </row>
  </sheetData>
  <mergeCells count="56">
    <mergeCell ref="A60:A71"/>
    <mergeCell ref="B61:B65"/>
    <mergeCell ref="B66:B69"/>
    <mergeCell ref="B70:B71"/>
    <mergeCell ref="B60:C60"/>
    <mergeCell ref="A47:A59"/>
    <mergeCell ref="B57:B59"/>
    <mergeCell ref="B52:B56"/>
    <mergeCell ref="B48:B51"/>
    <mergeCell ref="C4:C5"/>
    <mergeCell ref="B7:C7"/>
    <mergeCell ref="B47:C47"/>
    <mergeCell ref="A6:C6"/>
    <mergeCell ref="B43:B44"/>
    <mergeCell ref="B45:B46"/>
    <mergeCell ref="B39:B42"/>
    <mergeCell ref="B30:B35"/>
    <mergeCell ref="A7:A46"/>
    <mergeCell ref="B27:B29"/>
    <mergeCell ref="B23:B26"/>
    <mergeCell ref="B15:B22"/>
    <mergeCell ref="B36:B38"/>
    <mergeCell ref="Z4:AC4"/>
    <mergeCell ref="AD4:AD5"/>
    <mergeCell ref="X27:X29"/>
    <mergeCell ref="X30:X35"/>
    <mergeCell ref="X36:X38"/>
    <mergeCell ref="Q4:T4"/>
    <mergeCell ref="M4:P4"/>
    <mergeCell ref="I4:L4"/>
    <mergeCell ref="U4:U5"/>
    <mergeCell ref="E4:H4"/>
    <mergeCell ref="A4:B5"/>
    <mergeCell ref="D4:D5"/>
    <mergeCell ref="B8:B14"/>
    <mergeCell ref="X61:X65"/>
    <mergeCell ref="X47:Y47"/>
    <mergeCell ref="X48:X51"/>
    <mergeCell ref="X52:X56"/>
    <mergeCell ref="X57:X59"/>
    <mergeCell ref="W60:W71"/>
    <mergeCell ref="X66:X69"/>
    <mergeCell ref="X70:X71"/>
    <mergeCell ref="Y4:Y5"/>
    <mergeCell ref="W4:X5"/>
    <mergeCell ref="W6:Y6"/>
    <mergeCell ref="W7:W46"/>
    <mergeCell ref="X7:Y7"/>
    <mergeCell ref="X8:X14"/>
    <mergeCell ref="X15:X22"/>
    <mergeCell ref="X23:X26"/>
    <mergeCell ref="X39:X42"/>
    <mergeCell ref="X45:X46"/>
    <mergeCell ref="X43:X44"/>
    <mergeCell ref="W47:W59"/>
    <mergeCell ref="X60:Y60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67" orientation="landscape" r:id="rId1"/>
  <headerFooter alignWithMargins="0"/>
  <colBreaks count="1" manualBreakCount="1"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R50"/>
  <sheetViews>
    <sheetView showGridLines="0" view="pageBreakPreview" zoomScaleNormal="85" zoomScaleSheetLayoutView="100" workbookViewId="0">
      <selection activeCell="H18" sqref="H18"/>
    </sheetView>
  </sheetViews>
  <sheetFormatPr defaultRowHeight="17.45" customHeight="1"/>
  <cols>
    <col min="1" max="1" width="3.33203125" style="345" customWidth="1"/>
    <col min="2" max="2" width="5.33203125" style="435" customWidth="1"/>
    <col min="3" max="3" width="8.88671875" style="345"/>
    <col min="4" max="4" width="8" style="345" bestFit="1" customWidth="1"/>
    <col min="5" max="5" width="7.77734375" style="345" bestFit="1" customWidth="1"/>
    <col min="6" max="7" width="8" style="345" bestFit="1" customWidth="1"/>
    <col min="8" max="9" width="8.6640625" style="345" bestFit="1" customWidth="1"/>
    <col min="10" max="10" width="8.88671875" style="345"/>
    <col min="11" max="16" width="8.88671875" style="435"/>
    <col min="17" max="16384" width="8.88671875" style="345"/>
  </cols>
  <sheetData>
    <row r="1" spans="1:18" ht="17.45" customHeight="1">
      <c r="A1" s="522" t="s">
        <v>1263</v>
      </c>
      <c r="C1" s="256"/>
      <c r="D1" s="521"/>
      <c r="E1" s="400"/>
      <c r="F1" s="400"/>
      <c r="G1" s="400"/>
      <c r="H1" s="400"/>
      <c r="I1" s="400"/>
      <c r="J1" s="400"/>
      <c r="K1" s="435" t="s">
        <v>1314</v>
      </c>
    </row>
    <row r="2" spans="1:18" ht="14.1" customHeight="1">
      <c r="B2" s="436"/>
      <c r="C2" s="256"/>
      <c r="D2" s="256"/>
      <c r="E2" s="400"/>
      <c r="F2" s="400"/>
      <c r="G2" s="400"/>
      <c r="H2" s="400"/>
      <c r="I2" s="400"/>
      <c r="J2" s="313" t="s">
        <v>214</v>
      </c>
      <c r="R2" s="313" t="s">
        <v>214</v>
      </c>
    </row>
    <row r="3" spans="1:18" ht="14.1" customHeight="1">
      <c r="A3" s="781" t="s">
        <v>566</v>
      </c>
      <c r="B3" s="782"/>
      <c r="C3" s="782"/>
      <c r="D3" s="887" t="s">
        <v>567</v>
      </c>
      <c r="E3" s="793" t="s">
        <v>367</v>
      </c>
      <c r="F3" s="793" t="s">
        <v>368</v>
      </c>
      <c r="G3" s="793" t="s">
        <v>496</v>
      </c>
      <c r="H3" s="793" t="s">
        <v>497</v>
      </c>
      <c r="I3" s="793" t="s">
        <v>498</v>
      </c>
      <c r="J3" s="798" t="s">
        <v>369</v>
      </c>
      <c r="K3" s="792" t="s">
        <v>1315</v>
      </c>
      <c r="L3" s="793"/>
      <c r="M3" s="793" t="s">
        <v>1316</v>
      </c>
      <c r="N3" s="793" t="s">
        <v>1317</v>
      </c>
      <c r="O3" s="793" t="s">
        <v>1318</v>
      </c>
      <c r="P3" s="793" t="s">
        <v>1319</v>
      </c>
      <c r="Q3" s="793" t="s">
        <v>1320</v>
      </c>
      <c r="R3" s="798" t="s">
        <v>1321</v>
      </c>
    </row>
    <row r="4" spans="1:18" ht="14.1" customHeight="1">
      <c r="A4" s="784"/>
      <c r="B4" s="785"/>
      <c r="C4" s="785"/>
      <c r="D4" s="1000"/>
      <c r="E4" s="795"/>
      <c r="F4" s="795"/>
      <c r="G4" s="795"/>
      <c r="H4" s="795"/>
      <c r="I4" s="795"/>
      <c r="J4" s="799"/>
      <c r="K4" s="794"/>
      <c r="L4" s="795"/>
      <c r="M4" s="795"/>
      <c r="N4" s="795"/>
      <c r="O4" s="795"/>
      <c r="P4" s="795"/>
      <c r="Q4" s="795"/>
      <c r="R4" s="799"/>
    </row>
    <row r="5" spans="1:18" ht="14.1" customHeight="1">
      <c r="A5" s="792" t="s">
        <v>503</v>
      </c>
      <c r="B5" s="793"/>
      <c r="C5" s="793"/>
      <c r="D5" s="248">
        <f t="shared" ref="D5:I5" si="0">SUM(D6,D17,D22)</f>
        <v>2087</v>
      </c>
      <c r="E5" s="248">
        <f t="shared" si="0"/>
        <v>2150</v>
      </c>
      <c r="F5" s="248">
        <f t="shared" si="0"/>
        <v>6820</v>
      </c>
      <c r="G5" s="248">
        <f t="shared" si="0"/>
        <v>7920</v>
      </c>
      <c r="H5" s="248">
        <f t="shared" si="0"/>
        <v>7920</v>
      </c>
      <c r="I5" s="248">
        <f t="shared" si="0"/>
        <v>7920</v>
      </c>
      <c r="J5" s="437"/>
      <c r="K5" s="787" t="s">
        <v>1326</v>
      </c>
      <c r="L5" s="788"/>
      <c r="M5" s="661">
        <f>SUM(M6,M18,M21)</f>
        <v>2150</v>
      </c>
      <c r="N5" s="661">
        <f t="shared" ref="N5:Q5" si="1">SUM(N6,N18,N21)</f>
        <v>6820</v>
      </c>
      <c r="O5" s="661">
        <f t="shared" si="1"/>
        <v>7920</v>
      </c>
      <c r="P5" s="661">
        <f t="shared" si="1"/>
        <v>7920</v>
      </c>
      <c r="Q5" s="661">
        <f t="shared" si="1"/>
        <v>7920</v>
      </c>
      <c r="R5" s="640"/>
    </row>
    <row r="6" spans="1:18" ht="14.1" customHeight="1">
      <c r="A6" s="796" t="s">
        <v>568</v>
      </c>
      <c r="B6" s="920" t="s">
        <v>569</v>
      </c>
      <c r="C6" s="920"/>
      <c r="D6" s="559">
        <f t="shared" ref="D6:I6" si="2">SUM(D7:D16)</f>
        <v>529</v>
      </c>
      <c r="E6" s="559">
        <f>SUM(E7:E16)</f>
        <v>1570</v>
      </c>
      <c r="F6" s="559">
        <f t="shared" si="2"/>
        <v>1570</v>
      </c>
      <c r="G6" s="559">
        <f t="shared" si="2"/>
        <v>1460</v>
      </c>
      <c r="H6" s="559">
        <f t="shared" si="2"/>
        <v>1460</v>
      </c>
      <c r="I6" s="559">
        <f t="shared" si="2"/>
        <v>1460</v>
      </c>
      <c r="J6" s="438"/>
      <c r="K6" s="974" t="s">
        <v>1322</v>
      </c>
      <c r="L6" s="659" t="s">
        <v>1323</v>
      </c>
      <c r="M6" s="658">
        <f>SUM(M7:M17)</f>
        <v>1180</v>
      </c>
      <c r="N6" s="658">
        <f>SUM(N7:N17)</f>
        <v>2220</v>
      </c>
      <c r="O6" s="658">
        <f t="shared" ref="O6:Q6" si="3">SUM(O7:O17)</f>
        <v>3120</v>
      </c>
      <c r="P6" s="658">
        <f t="shared" si="3"/>
        <v>3120</v>
      </c>
      <c r="Q6" s="658">
        <f t="shared" si="3"/>
        <v>3120</v>
      </c>
      <c r="R6" s="409"/>
    </row>
    <row r="7" spans="1:18" ht="14.1" customHeight="1">
      <c r="A7" s="789"/>
      <c r="B7" s="562" t="s">
        <v>524</v>
      </c>
      <c r="C7" s="561" t="s">
        <v>525</v>
      </c>
      <c r="D7" s="559">
        <f>소규모하수도현황!G6</f>
        <v>48</v>
      </c>
      <c r="E7" s="559">
        <f>[18]기존!$F$7</f>
        <v>250</v>
      </c>
      <c r="F7" s="559">
        <f>E7</f>
        <v>250</v>
      </c>
      <c r="G7" s="559">
        <f t="shared" ref="G7:I7" si="4">F7</f>
        <v>250</v>
      </c>
      <c r="H7" s="559">
        <f t="shared" si="4"/>
        <v>250</v>
      </c>
      <c r="I7" s="559">
        <f t="shared" si="4"/>
        <v>250</v>
      </c>
      <c r="J7" s="438"/>
      <c r="K7" s="974"/>
      <c r="L7" s="659" t="str">
        <f>C14</f>
        <v>미죽지구</v>
      </c>
      <c r="M7" s="658">
        <f t="shared" ref="M7:Q9" si="5">E14</f>
        <v>440</v>
      </c>
      <c r="N7" s="658">
        <f t="shared" si="5"/>
        <v>440</v>
      </c>
      <c r="O7" s="658">
        <f t="shared" si="5"/>
        <v>440</v>
      </c>
      <c r="P7" s="658">
        <f t="shared" si="5"/>
        <v>440</v>
      </c>
      <c r="Q7" s="658">
        <f t="shared" si="5"/>
        <v>440</v>
      </c>
      <c r="R7" s="409"/>
    </row>
    <row r="8" spans="1:18" ht="14.1" customHeight="1">
      <c r="A8" s="789"/>
      <c r="B8" s="941" t="s">
        <v>532</v>
      </c>
      <c r="C8" s="561" t="s">
        <v>533</v>
      </c>
      <c r="D8" s="559">
        <f>소규모하수도현황!G7</f>
        <v>30</v>
      </c>
      <c r="E8" s="559">
        <f>[18]기존!$F$9</f>
        <v>90</v>
      </c>
      <c r="F8" s="559">
        <f t="shared" ref="F8:F16" si="6">E8</f>
        <v>90</v>
      </c>
      <c r="G8" s="559">
        <f t="shared" ref="G8:I11" si="7">F8</f>
        <v>90</v>
      </c>
      <c r="H8" s="559">
        <f t="shared" si="7"/>
        <v>90</v>
      </c>
      <c r="I8" s="559">
        <f t="shared" si="7"/>
        <v>90</v>
      </c>
      <c r="J8" s="438"/>
      <c r="K8" s="974"/>
      <c r="L8" s="659" t="str">
        <f>C15</f>
        <v>대덕지구</v>
      </c>
      <c r="M8" s="658">
        <f t="shared" si="5"/>
        <v>170</v>
      </c>
      <c r="N8" s="658">
        <f t="shared" si="5"/>
        <v>170</v>
      </c>
      <c r="O8" s="658">
        <f t="shared" si="5"/>
        <v>170</v>
      </c>
      <c r="P8" s="658">
        <f t="shared" si="5"/>
        <v>170</v>
      </c>
      <c r="Q8" s="658">
        <f t="shared" si="5"/>
        <v>170</v>
      </c>
      <c r="R8" s="409"/>
    </row>
    <row r="9" spans="1:18" ht="14.1" customHeight="1">
      <c r="A9" s="789"/>
      <c r="B9" s="941"/>
      <c r="C9" s="561" t="s">
        <v>535</v>
      </c>
      <c r="D9" s="559">
        <f>소규모하수도현황!G8</f>
        <v>16</v>
      </c>
      <c r="E9" s="559">
        <f>[18]기존!$F$10</f>
        <v>30</v>
      </c>
      <c r="F9" s="559">
        <f t="shared" si="6"/>
        <v>30</v>
      </c>
      <c r="G9" s="559">
        <f>F9</f>
        <v>30</v>
      </c>
      <c r="H9" s="559">
        <f>G9</f>
        <v>30</v>
      </c>
      <c r="I9" s="559">
        <f>H9</f>
        <v>30</v>
      </c>
      <c r="J9" s="438"/>
      <c r="K9" s="974"/>
      <c r="L9" s="659" t="str">
        <f>C16</f>
        <v>댓거리지구</v>
      </c>
      <c r="M9" s="658">
        <f t="shared" si="5"/>
        <v>120</v>
      </c>
      <c r="N9" s="658">
        <f t="shared" si="5"/>
        <v>120</v>
      </c>
      <c r="O9" s="658">
        <f t="shared" si="5"/>
        <v>120</v>
      </c>
      <c r="P9" s="658">
        <f t="shared" si="5"/>
        <v>120</v>
      </c>
      <c r="Q9" s="658">
        <f t="shared" si="5"/>
        <v>120</v>
      </c>
      <c r="R9" s="409"/>
    </row>
    <row r="10" spans="1:18" ht="14.1" customHeight="1">
      <c r="A10" s="789"/>
      <c r="B10" s="941"/>
      <c r="C10" s="561" t="s">
        <v>540</v>
      </c>
      <c r="D10" s="559">
        <f>소규모하수도현황!G9</f>
        <v>30</v>
      </c>
      <c r="E10" s="559">
        <f>[18]기존!$F$11</f>
        <v>110</v>
      </c>
      <c r="F10" s="559">
        <f t="shared" si="6"/>
        <v>110</v>
      </c>
      <c r="G10" s="559">
        <f t="shared" si="7"/>
        <v>110</v>
      </c>
      <c r="H10" s="559">
        <f t="shared" si="7"/>
        <v>110</v>
      </c>
      <c r="I10" s="559">
        <f t="shared" si="7"/>
        <v>110</v>
      </c>
      <c r="J10" s="438"/>
      <c r="K10" s="974"/>
      <c r="L10" s="659" t="str">
        <f>C19</f>
        <v>학교말지구</v>
      </c>
      <c r="M10" s="658">
        <f t="shared" ref="M10:Q12" si="8">E19</f>
        <v>340</v>
      </c>
      <c r="N10" s="658">
        <f t="shared" si="8"/>
        <v>610</v>
      </c>
      <c r="O10" s="658">
        <f t="shared" si="8"/>
        <v>610</v>
      </c>
      <c r="P10" s="658">
        <f t="shared" si="8"/>
        <v>610</v>
      </c>
      <c r="Q10" s="658">
        <f t="shared" si="8"/>
        <v>610</v>
      </c>
      <c r="R10" s="409"/>
    </row>
    <row r="11" spans="1:18" ht="14.1" customHeight="1">
      <c r="A11" s="789"/>
      <c r="B11" s="941"/>
      <c r="C11" s="561" t="s">
        <v>543</v>
      </c>
      <c r="D11" s="559">
        <f>소규모하수도현황!G10</f>
        <v>20</v>
      </c>
      <c r="E11" s="559">
        <f>[18]기존!$F$12</f>
        <v>70</v>
      </c>
      <c r="F11" s="559">
        <f t="shared" si="6"/>
        <v>70</v>
      </c>
      <c r="G11" s="559">
        <f t="shared" si="7"/>
        <v>70</v>
      </c>
      <c r="H11" s="559">
        <f t="shared" si="7"/>
        <v>70</v>
      </c>
      <c r="I11" s="559">
        <f t="shared" si="7"/>
        <v>70</v>
      </c>
      <c r="J11" s="438"/>
      <c r="K11" s="974"/>
      <c r="L11" s="659" t="str">
        <f>C20</f>
        <v>상사지구</v>
      </c>
      <c r="M11" s="658">
        <f t="shared" si="8"/>
        <v>70</v>
      </c>
      <c r="N11" s="658">
        <f t="shared" si="8"/>
        <v>140</v>
      </c>
      <c r="O11" s="658">
        <f t="shared" si="8"/>
        <v>140</v>
      </c>
      <c r="P11" s="658">
        <f t="shared" si="8"/>
        <v>140</v>
      </c>
      <c r="Q11" s="658">
        <f t="shared" si="8"/>
        <v>140</v>
      </c>
      <c r="R11" s="409"/>
    </row>
    <row r="12" spans="1:18" ht="14.1" customHeight="1">
      <c r="A12" s="789"/>
      <c r="B12" s="562" t="s">
        <v>527</v>
      </c>
      <c r="C12" s="561" t="s">
        <v>528</v>
      </c>
      <c r="D12" s="559">
        <f>소규모하수도현황!G12</f>
        <v>100</v>
      </c>
      <c r="E12" s="559">
        <f>[18]기존!$F$14</f>
        <v>180</v>
      </c>
      <c r="F12" s="559">
        <f>E12</f>
        <v>180</v>
      </c>
      <c r="G12" s="559">
        <f>F12</f>
        <v>180</v>
      </c>
      <c r="H12" s="559">
        <f>G12</f>
        <v>180</v>
      </c>
      <c r="I12" s="559">
        <f>H12</f>
        <v>180</v>
      </c>
      <c r="J12" s="438"/>
      <c r="K12" s="974"/>
      <c r="L12" s="659" t="str">
        <f>C21</f>
        <v>해수지구</v>
      </c>
      <c r="M12" s="658">
        <f t="shared" si="8"/>
        <v>40</v>
      </c>
      <c r="N12" s="658">
        <f t="shared" si="8"/>
        <v>0</v>
      </c>
      <c r="O12" s="658">
        <f t="shared" si="8"/>
        <v>0</v>
      </c>
      <c r="P12" s="658">
        <f t="shared" si="8"/>
        <v>0</v>
      </c>
      <c r="Q12" s="658">
        <f t="shared" si="8"/>
        <v>0</v>
      </c>
      <c r="R12" s="409"/>
    </row>
    <row r="13" spans="1:18" ht="14.1" customHeight="1">
      <c r="A13" s="789"/>
      <c r="B13" s="562" t="s">
        <v>548</v>
      </c>
      <c r="C13" s="561" t="s">
        <v>549</v>
      </c>
      <c r="D13" s="559">
        <f>[19]개량!$V$10</f>
        <v>35</v>
      </c>
      <c r="E13" s="559">
        <f>[18]기존!$F$16</f>
        <v>110</v>
      </c>
      <c r="F13" s="559">
        <f>E13</f>
        <v>110</v>
      </c>
      <c r="G13" s="559">
        <v>0</v>
      </c>
      <c r="H13" s="559">
        <v>0</v>
      </c>
      <c r="I13" s="559">
        <f>H13</f>
        <v>0</v>
      </c>
      <c r="J13" s="438" t="s">
        <v>1203</v>
      </c>
      <c r="K13" s="974"/>
      <c r="L13" s="659" t="str">
        <f>C27</f>
        <v>도장지구</v>
      </c>
      <c r="M13" s="658">
        <f>E27</f>
        <v>0</v>
      </c>
      <c r="N13" s="658">
        <f>F27</f>
        <v>0</v>
      </c>
      <c r="O13" s="658">
        <f>G27</f>
        <v>370</v>
      </c>
      <c r="P13" s="658">
        <f>H27</f>
        <v>370</v>
      </c>
      <c r="Q13" s="658">
        <f>I27</f>
        <v>370</v>
      </c>
      <c r="R13" s="409"/>
    </row>
    <row r="14" spans="1:18" ht="14.1" customHeight="1">
      <c r="A14" s="789"/>
      <c r="B14" s="562" t="s">
        <v>552</v>
      </c>
      <c r="C14" s="561" t="s">
        <v>553</v>
      </c>
      <c r="D14" s="559">
        <f>소규모하수도현황!G14</f>
        <v>140</v>
      </c>
      <c r="E14" s="559">
        <f>[18]기존!$F$18</f>
        <v>440</v>
      </c>
      <c r="F14" s="559">
        <f t="shared" si="6"/>
        <v>440</v>
      </c>
      <c r="G14" s="559">
        <f t="shared" ref="G14:I16" si="9">F14</f>
        <v>440</v>
      </c>
      <c r="H14" s="559">
        <f t="shared" si="9"/>
        <v>440</v>
      </c>
      <c r="I14" s="559">
        <f t="shared" si="9"/>
        <v>440</v>
      </c>
      <c r="J14" s="438"/>
      <c r="K14" s="974"/>
      <c r="L14" s="659" t="str">
        <f>C35</f>
        <v>용정지구</v>
      </c>
      <c r="M14" s="658">
        <f t="shared" ref="M14:Q17" si="10">E35</f>
        <v>0</v>
      </c>
      <c r="N14" s="658">
        <f t="shared" si="10"/>
        <v>0</v>
      </c>
      <c r="O14" s="658">
        <f t="shared" si="10"/>
        <v>290</v>
      </c>
      <c r="P14" s="658">
        <f t="shared" si="10"/>
        <v>290</v>
      </c>
      <c r="Q14" s="658">
        <f t="shared" si="10"/>
        <v>290</v>
      </c>
      <c r="R14" s="409"/>
    </row>
    <row r="15" spans="1:18" ht="14.1" customHeight="1">
      <c r="A15" s="789"/>
      <c r="B15" s="998" t="s">
        <v>555</v>
      </c>
      <c r="C15" s="561" t="s">
        <v>558</v>
      </c>
      <c r="D15" s="559">
        <f>소규모하수도현황!G16</f>
        <v>70</v>
      </c>
      <c r="E15" s="559">
        <f>[18]기존!$F$20</f>
        <v>170</v>
      </c>
      <c r="F15" s="559">
        <f t="shared" si="6"/>
        <v>170</v>
      </c>
      <c r="G15" s="559">
        <f>F15</f>
        <v>170</v>
      </c>
      <c r="H15" s="559">
        <f>G15</f>
        <v>170</v>
      </c>
      <c r="I15" s="559">
        <f>H15</f>
        <v>170</v>
      </c>
      <c r="J15" s="438"/>
      <c r="K15" s="974"/>
      <c r="L15" s="659" t="str">
        <f>C36</f>
        <v>지장지구</v>
      </c>
      <c r="M15" s="658">
        <f t="shared" si="10"/>
        <v>0</v>
      </c>
      <c r="N15" s="658">
        <f t="shared" si="10"/>
        <v>410</v>
      </c>
      <c r="O15" s="658">
        <f t="shared" si="10"/>
        <v>410</v>
      </c>
      <c r="P15" s="658">
        <f t="shared" si="10"/>
        <v>410</v>
      </c>
      <c r="Q15" s="658">
        <f t="shared" si="10"/>
        <v>410</v>
      </c>
      <c r="R15" s="409"/>
    </row>
    <row r="16" spans="1:18" ht="14.1" customHeight="1">
      <c r="A16" s="797"/>
      <c r="B16" s="999"/>
      <c r="C16" s="561" t="s">
        <v>561</v>
      </c>
      <c r="D16" s="559">
        <f>소규모하수도현황!G17</f>
        <v>40</v>
      </c>
      <c r="E16" s="559">
        <f>[18]기존!$F$21</f>
        <v>120</v>
      </c>
      <c r="F16" s="559">
        <f t="shared" si="6"/>
        <v>120</v>
      </c>
      <c r="G16" s="559">
        <f t="shared" si="9"/>
        <v>120</v>
      </c>
      <c r="H16" s="559">
        <f t="shared" si="9"/>
        <v>120</v>
      </c>
      <c r="I16" s="559">
        <f t="shared" si="9"/>
        <v>120</v>
      </c>
      <c r="J16" s="438"/>
      <c r="K16" s="974"/>
      <c r="L16" s="659" t="str">
        <f>C37</f>
        <v>행정지구</v>
      </c>
      <c r="M16" s="658">
        <f t="shared" si="10"/>
        <v>0</v>
      </c>
      <c r="N16" s="658">
        <f t="shared" si="10"/>
        <v>330</v>
      </c>
      <c r="O16" s="658">
        <f t="shared" si="10"/>
        <v>330</v>
      </c>
      <c r="P16" s="658">
        <f t="shared" si="10"/>
        <v>330</v>
      </c>
      <c r="Q16" s="658">
        <f t="shared" si="10"/>
        <v>330</v>
      </c>
      <c r="R16" s="409"/>
    </row>
    <row r="17" spans="1:18" ht="14.1" customHeight="1">
      <c r="A17" s="796" t="s">
        <v>570</v>
      </c>
      <c r="B17" s="920" t="s">
        <v>569</v>
      </c>
      <c r="C17" s="920"/>
      <c r="D17" s="559">
        <f t="shared" ref="D17:I17" si="11">SUM(D18:D21)</f>
        <v>368</v>
      </c>
      <c r="E17" s="559">
        <f t="shared" si="11"/>
        <v>580</v>
      </c>
      <c r="F17" s="559">
        <f t="shared" si="11"/>
        <v>920</v>
      </c>
      <c r="G17" s="559">
        <f t="shared" si="11"/>
        <v>920</v>
      </c>
      <c r="H17" s="559">
        <f t="shared" si="11"/>
        <v>920</v>
      </c>
      <c r="I17" s="559">
        <f t="shared" si="11"/>
        <v>920</v>
      </c>
      <c r="J17" s="438"/>
      <c r="K17" s="974"/>
      <c r="L17" s="659" t="str">
        <f>C38</f>
        <v>원덕지구</v>
      </c>
      <c r="M17" s="658">
        <f t="shared" si="10"/>
        <v>0</v>
      </c>
      <c r="N17" s="658">
        <f t="shared" si="10"/>
        <v>0</v>
      </c>
      <c r="O17" s="658">
        <f t="shared" si="10"/>
        <v>240</v>
      </c>
      <c r="P17" s="658">
        <f t="shared" si="10"/>
        <v>240</v>
      </c>
      <c r="Q17" s="658">
        <f t="shared" si="10"/>
        <v>240</v>
      </c>
      <c r="R17" s="409"/>
    </row>
    <row r="18" spans="1:18" ht="14.1" customHeight="1">
      <c r="A18" s="789"/>
      <c r="B18" s="562" t="s">
        <v>532</v>
      </c>
      <c r="C18" s="561" t="s">
        <v>546</v>
      </c>
      <c r="D18" s="559">
        <f>[18]개량!$J$7</f>
        <v>38</v>
      </c>
      <c r="E18" s="559">
        <f>소규모하수도현황!F11</f>
        <v>130</v>
      </c>
      <c r="F18" s="559">
        <f>[18]개량!$F$6</f>
        <v>170</v>
      </c>
      <c r="G18" s="559">
        <f t="shared" ref="G18:I20" si="12">F18</f>
        <v>170</v>
      </c>
      <c r="H18" s="559">
        <f t="shared" si="12"/>
        <v>170</v>
      </c>
      <c r="I18" s="559">
        <f t="shared" si="12"/>
        <v>170</v>
      </c>
      <c r="J18" s="438"/>
      <c r="K18" s="974" t="s">
        <v>1324</v>
      </c>
      <c r="L18" s="659" t="s">
        <v>1323</v>
      </c>
      <c r="M18" s="658">
        <f>SUM(M19:M20)</f>
        <v>250</v>
      </c>
      <c r="N18" s="658">
        <f>SUM(N19:N20)</f>
        <v>250</v>
      </c>
      <c r="O18" s="658">
        <f t="shared" ref="O18:Q18" si="13">SUM(O19:O20)</f>
        <v>560</v>
      </c>
      <c r="P18" s="658">
        <f t="shared" si="13"/>
        <v>560</v>
      </c>
      <c r="Q18" s="658">
        <f t="shared" si="13"/>
        <v>560</v>
      </c>
      <c r="R18" s="409"/>
    </row>
    <row r="19" spans="1:18" ht="14.1" customHeight="1">
      <c r="A19" s="789"/>
      <c r="B19" s="998" t="s">
        <v>555</v>
      </c>
      <c r="C19" s="561" t="s">
        <v>556</v>
      </c>
      <c r="D19" s="559">
        <f>[18]개량!$J$9</f>
        <v>130</v>
      </c>
      <c r="E19" s="559">
        <f>소규모하수도현황!F15</f>
        <v>340</v>
      </c>
      <c r="F19" s="559">
        <f>[18]개량!$F$9</f>
        <v>610</v>
      </c>
      <c r="G19" s="559">
        <f t="shared" si="12"/>
        <v>610</v>
      </c>
      <c r="H19" s="559">
        <f t="shared" si="12"/>
        <v>610</v>
      </c>
      <c r="I19" s="559">
        <f t="shared" si="12"/>
        <v>610</v>
      </c>
      <c r="J19" s="438"/>
      <c r="K19" s="974"/>
      <c r="L19" s="659" t="str">
        <f>+C7</f>
        <v>양대지구</v>
      </c>
      <c r="M19" s="658">
        <f t="shared" ref="M19:Q19" si="14">+E7</f>
        <v>250</v>
      </c>
      <c r="N19" s="658">
        <f t="shared" si="14"/>
        <v>250</v>
      </c>
      <c r="O19" s="658">
        <f t="shared" si="14"/>
        <v>250</v>
      </c>
      <c r="P19" s="658">
        <f t="shared" si="14"/>
        <v>250</v>
      </c>
      <c r="Q19" s="658">
        <f t="shared" si="14"/>
        <v>250</v>
      </c>
      <c r="R19" s="409"/>
    </row>
    <row r="20" spans="1:18" ht="14.1" customHeight="1">
      <c r="A20" s="789"/>
      <c r="B20" s="1001"/>
      <c r="C20" s="560" t="s">
        <v>563</v>
      </c>
      <c r="D20" s="996">
        <f>[18]개량!$J$10</f>
        <v>200</v>
      </c>
      <c r="E20" s="559">
        <f>소규모하수도현황!F18</f>
        <v>70</v>
      </c>
      <c r="F20" s="996">
        <f>[18]개량!$F$10+[18]개량!$F$11</f>
        <v>140</v>
      </c>
      <c r="G20" s="996">
        <f t="shared" si="12"/>
        <v>140</v>
      </c>
      <c r="H20" s="996">
        <f t="shared" si="12"/>
        <v>140</v>
      </c>
      <c r="I20" s="996">
        <f t="shared" si="12"/>
        <v>140</v>
      </c>
      <c r="J20" s="994" t="s">
        <v>1202</v>
      </c>
      <c r="K20" s="974"/>
      <c r="L20" s="659" t="str">
        <f>C23</f>
        <v>신방지구</v>
      </c>
      <c r="M20" s="658">
        <f t="shared" ref="M20:Q20" si="15">E23</f>
        <v>0</v>
      </c>
      <c r="N20" s="658">
        <f t="shared" si="15"/>
        <v>0</v>
      </c>
      <c r="O20" s="658">
        <f t="shared" si="15"/>
        <v>310</v>
      </c>
      <c r="P20" s="658">
        <f t="shared" si="15"/>
        <v>310</v>
      </c>
      <c r="Q20" s="658">
        <f t="shared" si="15"/>
        <v>310</v>
      </c>
      <c r="R20" s="409"/>
    </row>
    <row r="21" spans="1:18" ht="14.1" customHeight="1">
      <c r="A21" s="797"/>
      <c r="B21" s="999"/>
      <c r="C21" s="560" t="s">
        <v>564</v>
      </c>
      <c r="D21" s="997"/>
      <c r="E21" s="559">
        <f>소규모하수도현황!F19</f>
        <v>40</v>
      </c>
      <c r="F21" s="997"/>
      <c r="G21" s="997"/>
      <c r="H21" s="997"/>
      <c r="I21" s="997"/>
      <c r="J21" s="995"/>
      <c r="K21" s="974" t="s">
        <v>1325</v>
      </c>
      <c r="L21" s="659" t="s">
        <v>1323</v>
      </c>
      <c r="M21" s="658">
        <f>SUM(M22:M38)</f>
        <v>720</v>
      </c>
      <c r="N21" s="658">
        <f>SUM(N22:N38)</f>
        <v>4350</v>
      </c>
      <c r="O21" s="658">
        <f t="shared" ref="O21:Q21" si="16">SUM(O22:O38)</f>
        <v>4240</v>
      </c>
      <c r="P21" s="658">
        <f t="shared" si="16"/>
        <v>4240</v>
      </c>
      <c r="Q21" s="658">
        <f t="shared" si="16"/>
        <v>4240</v>
      </c>
      <c r="R21" s="409"/>
    </row>
    <row r="22" spans="1:18" ht="14.1" customHeight="1">
      <c r="A22" s="796" t="s">
        <v>571</v>
      </c>
      <c r="B22" s="920" t="s">
        <v>569</v>
      </c>
      <c r="C22" s="920"/>
      <c r="D22" s="559">
        <f>SUM(D23:D38)</f>
        <v>1190</v>
      </c>
      <c r="E22" s="559">
        <f t="shared" ref="E22:I22" si="17">SUM(E23:E38)</f>
        <v>0</v>
      </c>
      <c r="F22" s="559">
        <f t="shared" si="17"/>
        <v>4330</v>
      </c>
      <c r="G22" s="559">
        <f t="shared" si="17"/>
        <v>5540</v>
      </c>
      <c r="H22" s="559">
        <f t="shared" si="17"/>
        <v>5540</v>
      </c>
      <c r="I22" s="559">
        <f t="shared" si="17"/>
        <v>5540</v>
      </c>
      <c r="J22" s="438"/>
      <c r="K22" s="974"/>
      <c r="L22" s="659" t="str">
        <f>+C8</f>
        <v>운용지구</v>
      </c>
      <c r="M22" s="658">
        <f t="shared" ref="M22:Q22" si="18">+E8</f>
        <v>90</v>
      </c>
      <c r="N22" s="658">
        <f t="shared" si="18"/>
        <v>90</v>
      </c>
      <c r="O22" s="658">
        <f t="shared" si="18"/>
        <v>90</v>
      </c>
      <c r="P22" s="658">
        <f t="shared" si="18"/>
        <v>90</v>
      </c>
      <c r="Q22" s="658">
        <f t="shared" si="18"/>
        <v>90</v>
      </c>
      <c r="R22" s="409"/>
    </row>
    <row r="23" spans="1:18" ht="14.1" customHeight="1">
      <c r="A23" s="789"/>
      <c r="B23" s="562" t="s">
        <v>572</v>
      </c>
      <c r="C23" s="561" t="s">
        <v>573</v>
      </c>
      <c r="D23" s="559">
        <f>[18]신설!$K$7</f>
        <v>60</v>
      </c>
      <c r="E23" s="559">
        <v>0</v>
      </c>
      <c r="F23" s="559">
        <v>0</v>
      </c>
      <c r="G23" s="559">
        <f>[18]신설!$H$7</f>
        <v>310</v>
      </c>
      <c r="H23" s="559">
        <f>G23</f>
        <v>310</v>
      </c>
      <c r="I23" s="559">
        <f>H23</f>
        <v>310</v>
      </c>
      <c r="J23" s="438" t="s">
        <v>1204</v>
      </c>
      <c r="K23" s="974"/>
      <c r="L23" s="659" t="str">
        <f>C9</f>
        <v>대평지구</v>
      </c>
      <c r="M23" s="658">
        <f t="shared" ref="M23:Q23" si="19">E9</f>
        <v>30</v>
      </c>
      <c r="N23" s="658">
        <f t="shared" si="19"/>
        <v>30</v>
      </c>
      <c r="O23" s="658">
        <f t="shared" si="19"/>
        <v>30</v>
      </c>
      <c r="P23" s="658">
        <f t="shared" si="19"/>
        <v>30</v>
      </c>
      <c r="Q23" s="658">
        <f t="shared" si="19"/>
        <v>30</v>
      </c>
      <c r="R23" s="409"/>
    </row>
    <row r="24" spans="1:18" ht="14.1" customHeight="1">
      <c r="A24" s="789"/>
      <c r="B24" s="562" t="s">
        <v>532</v>
      </c>
      <c r="C24" s="561" t="s">
        <v>577</v>
      </c>
      <c r="D24" s="559">
        <f>[18]신설!$K$9</f>
        <v>50</v>
      </c>
      <c r="E24" s="559">
        <v>0</v>
      </c>
      <c r="F24" s="559">
        <f>[18]신설!$H$9</f>
        <v>240</v>
      </c>
      <c r="G24" s="559">
        <f>F24</f>
        <v>240</v>
      </c>
      <c r="H24" s="559">
        <f>G24</f>
        <v>240</v>
      </c>
      <c r="I24" s="559">
        <f>H24</f>
        <v>240</v>
      </c>
      <c r="J24" s="438" t="s">
        <v>1205</v>
      </c>
      <c r="K24" s="974"/>
      <c r="L24" s="659" t="str">
        <f>C10</f>
        <v>납안지구</v>
      </c>
      <c r="M24" s="658">
        <f t="shared" ref="M24:Q24" si="20">E10</f>
        <v>110</v>
      </c>
      <c r="N24" s="658">
        <f t="shared" si="20"/>
        <v>110</v>
      </c>
      <c r="O24" s="658">
        <f t="shared" si="20"/>
        <v>110</v>
      </c>
      <c r="P24" s="658">
        <f t="shared" si="20"/>
        <v>110</v>
      </c>
      <c r="Q24" s="658">
        <f t="shared" si="20"/>
        <v>110</v>
      </c>
      <c r="R24" s="409"/>
    </row>
    <row r="25" spans="1:18" ht="14.1" customHeight="1">
      <c r="A25" s="789"/>
      <c r="B25" s="941" t="s">
        <v>527</v>
      </c>
      <c r="C25" s="561" t="s">
        <v>574</v>
      </c>
      <c r="D25" s="559">
        <f>[18]신설!$K$11</f>
        <v>80</v>
      </c>
      <c r="E25" s="559">
        <v>0</v>
      </c>
      <c r="F25" s="559">
        <f>[18]신설!$H$11</f>
        <v>380</v>
      </c>
      <c r="G25" s="559">
        <f t="shared" ref="G25:I26" si="21">F25</f>
        <v>380</v>
      </c>
      <c r="H25" s="559">
        <f t="shared" si="21"/>
        <v>380</v>
      </c>
      <c r="I25" s="559">
        <f t="shared" si="21"/>
        <v>380</v>
      </c>
      <c r="J25" s="438" t="s">
        <v>1205</v>
      </c>
      <c r="K25" s="974"/>
      <c r="L25" s="659" t="str">
        <f>C11</f>
        <v>전곡지구</v>
      </c>
      <c r="M25" s="658">
        <f t="shared" ref="M25:Q25" si="22">E11</f>
        <v>70</v>
      </c>
      <c r="N25" s="658">
        <f t="shared" si="22"/>
        <v>70</v>
      </c>
      <c r="O25" s="658">
        <f t="shared" si="22"/>
        <v>70</v>
      </c>
      <c r="P25" s="658">
        <f t="shared" si="22"/>
        <v>70</v>
      </c>
      <c r="Q25" s="658">
        <f t="shared" si="22"/>
        <v>70</v>
      </c>
      <c r="R25" s="409"/>
    </row>
    <row r="26" spans="1:18" ht="14.1" customHeight="1">
      <c r="A26" s="789"/>
      <c r="B26" s="941"/>
      <c r="C26" s="561" t="s">
        <v>575</v>
      </c>
      <c r="D26" s="559">
        <f>[18]신설!$K$12</f>
        <v>50</v>
      </c>
      <c r="E26" s="559">
        <v>0</v>
      </c>
      <c r="F26" s="559">
        <f>[18]신설!$H$12</f>
        <v>240</v>
      </c>
      <c r="G26" s="559">
        <f t="shared" si="21"/>
        <v>240</v>
      </c>
      <c r="H26" s="559">
        <f t="shared" si="21"/>
        <v>240</v>
      </c>
      <c r="I26" s="559">
        <f t="shared" si="21"/>
        <v>240</v>
      </c>
      <c r="J26" s="438" t="s">
        <v>1205</v>
      </c>
      <c r="K26" s="974"/>
      <c r="L26" s="659" t="str">
        <f>C12</f>
        <v>서흥지구</v>
      </c>
      <c r="M26" s="658">
        <f t="shared" ref="M26:Q26" si="23">E12</f>
        <v>180</v>
      </c>
      <c r="N26" s="658">
        <f t="shared" si="23"/>
        <v>180</v>
      </c>
      <c r="O26" s="658">
        <f t="shared" si="23"/>
        <v>180</v>
      </c>
      <c r="P26" s="658">
        <f t="shared" si="23"/>
        <v>180</v>
      </c>
      <c r="Q26" s="658">
        <f t="shared" si="23"/>
        <v>180</v>
      </c>
      <c r="R26" s="409"/>
    </row>
    <row r="27" spans="1:18" ht="14.1" customHeight="1">
      <c r="A27" s="789"/>
      <c r="B27" s="941"/>
      <c r="C27" s="561" t="s">
        <v>576</v>
      </c>
      <c r="D27" s="559">
        <f>[18]신설!$K$13</f>
        <v>70</v>
      </c>
      <c r="E27" s="559">
        <v>0</v>
      </c>
      <c r="F27" s="559">
        <v>0</v>
      </c>
      <c r="G27" s="559">
        <f>[18]신설!$H$13</f>
        <v>370</v>
      </c>
      <c r="H27" s="559">
        <f>G27</f>
        <v>370</v>
      </c>
      <c r="I27" s="559">
        <f>H27</f>
        <v>370</v>
      </c>
      <c r="J27" s="438" t="s">
        <v>1204</v>
      </c>
      <c r="K27" s="974"/>
      <c r="L27" s="659" t="str">
        <f>C13</f>
        <v>공달원지구</v>
      </c>
      <c r="M27" s="658">
        <f t="shared" ref="M27:Q27" si="24">E13</f>
        <v>110</v>
      </c>
      <c r="N27" s="658">
        <f t="shared" si="24"/>
        <v>110</v>
      </c>
      <c r="O27" s="658">
        <f t="shared" si="24"/>
        <v>0</v>
      </c>
      <c r="P27" s="658">
        <f t="shared" si="24"/>
        <v>0</v>
      </c>
      <c r="Q27" s="658">
        <f t="shared" si="24"/>
        <v>0</v>
      </c>
      <c r="R27" s="409"/>
    </row>
    <row r="28" spans="1:18" ht="14.1" customHeight="1">
      <c r="A28" s="789"/>
      <c r="B28" s="941" t="s">
        <v>578</v>
      </c>
      <c r="C28" s="561" t="s">
        <v>579</v>
      </c>
      <c r="D28" s="559">
        <f>[18]신설!$K$15</f>
        <v>100</v>
      </c>
      <c r="E28" s="559">
        <v>0</v>
      </c>
      <c r="F28" s="559">
        <f>[18]신설!$H$15</f>
        <v>390</v>
      </c>
      <c r="G28" s="559">
        <f>F28</f>
        <v>390</v>
      </c>
      <c r="H28" s="559">
        <f t="shared" ref="H28:I33" si="25">G28</f>
        <v>390</v>
      </c>
      <c r="I28" s="559">
        <f t="shared" si="25"/>
        <v>390</v>
      </c>
      <c r="J28" s="438" t="s">
        <v>1205</v>
      </c>
      <c r="K28" s="974"/>
      <c r="L28" s="659" t="str">
        <f>C18</f>
        <v>양곡지구</v>
      </c>
      <c r="M28" s="658">
        <f t="shared" ref="M28:Q28" si="26">E18</f>
        <v>130</v>
      </c>
      <c r="N28" s="658">
        <f t="shared" si="26"/>
        <v>170</v>
      </c>
      <c r="O28" s="658">
        <f t="shared" si="26"/>
        <v>170</v>
      </c>
      <c r="P28" s="658">
        <f t="shared" si="26"/>
        <v>170</v>
      </c>
      <c r="Q28" s="658">
        <f t="shared" si="26"/>
        <v>170</v>
      </c>
      <c r="R28" s="409"/>
    </row>
    <row r="29" spans="1:18" ht="14.1" customHeight="1">
      <c r="A29" s="789"/>
      <c r="B29" s="941"/>
      <c r="C29" s="561" t="s">
        <v>580</v>
      </c>
      <c r="D29" s="559">
        <f>[18]신설!$K$16</f>
        <v>50</v>
      </c>
      <c r="E29" s="559">
        <v>0</v>
      </c>
      <c r="F29" s="559">
        <f>[18]신설!$H$16</f>
        <v>250</v>
      </c>
      <c r="G29" s="559">
        <f>F29</f>
        <v>250</v>
      </c>
      <c r="H29" s="559">
        <f t="shared" si="25"/>
        <v>250</v>
      </c>
      <c r="I29" s="559">
        <f t="shared" si="25"/>
        <v>250</v>
      </c>
      <c r="J29" s="438" t="s">
        <v>1205</v>
      </c>
      <c r="K29" s="974"/>
      <c r="L29" s="659" t="str">
        <f>C24</f>
        <v>오곡지구</v>
      </c>
      <c r="M29" s="658">
        <f t="shared" ref="M29:Q29" si="27">E24</f>
        <v>0</v>
      </c>
      <c r="N29" s="658">
        <f t="shared" si="27"/>
        <v>240</v>
      </c>
      <c r="O29" s="658">
        <f t="shared" si="27"/>
        <v>240</v>
      </c>
      <c r="P29" s="658">
        <f t="shared" si="27"/>
        <v>240</v>
      </c>
      <c r="Q29" s="658">
        <f t="shared" si="27"/>
        <v>240</v>
      </c>
      <c r="R29" s="409"/>
    </row>
    <row r="30" spans="1:18" ht="14.1" customHeight="1">
      <c r="A30" s="789"/>
      <c r="B30" s="941"/>
      <c r="C30" s="561" t="s">
        <v>581</v>
      </c>
      <c r="D30" s="559">
        <f>[18]신설!$K$17</f>
        <v>40</v>
      </c>
      <c r="E30" s="559">
        <v>0</v>
      </c>
      <c r="F30" s="559">
        <f>[18]신설!$H$17</f>
        <v>210</v>
      </c>
      <c r="G30" s="559">
        <f>F30</f>
        <v>210</v>
      </c>
      <c r="H30" s="559">
        <f>G30</f>
        <v>210</v>
      </c>
      <c r="I30" s="559">
        <f>H30</f>
        <v>210</v>
      </c>
      <c r="J30" s="438" t="s">
        <v>1205</v>
      </c>
      <c r="K30" s="974"/>
      <c r="L30" s="659" t="str">
        <f>C25</f>
        <v>석천지구</v>
      </c>
      <c r="M30" s="658">
        <f t="shared" ref="M30:Q30" si="28">E25</f>
        <v>0</v>
      </c>
      <c r="N30" s="658">
        <f t="shared" si="28"/>
        <v>380</v>
      </c>
      <c r="O30" s="658">
        <f t="shared" si="28"/>
        <v>380</v>
      </c>
      <c r="P30" s="658">
        <f t="shared" si="28"/>
        <v>380</v>
      </c>
      <c r="Q30" s="658">
        <f t="shared" si="28"/>
        <v>380</v>
      </c>
      <c r="R30" s="409"/>
    </row>
    <row r="31" spans="1:18" ht="14.1" customHeight="1">
      <c r="A31" s="789"/>
      <c r="B31" s="941" t="s">
        <v>582</v>
      </c>
      <c r="C31" s="561" t="s">
        <v>583</v>
      </c>
      <c r="D31" s="559">
        <f>[18]신설!$K$19</f>
        <v>260</v>
      </c>
      <c r="E31" s="559">
        <v>0</v>
      </c>
      <c r="F31" s="559">
        <f>[18]신설!$H$19</f>
        <v>1040</v>
      </c>
      <c r="G31" s="559">
        <f>+F31</f>
        <v>1040</v>
      </c>
      <c r="H31" s="559">
        <f t="shared" si="25"/>
        <v>1040</v>
      </c>
      <c r="I31" s="559">
        <f t="shared" si="25"/>
        <v>1040</v>
      </c>
      <c r="J31" s="438" t="s">
        <v>1205</v>
      </c>
      <c r="K31" s="974"/>
      <c r="L31" s="659" t="str">
        <f>C26</f>
        <v>교천지구</v>
      </c>
      <c r="M31" s="658">
        <f t="shared" ref="M31:Q31" si="29">E26</f>
        <v>0</v>
      </c>
      <c r="N31" s="658">
        <f t="shared" si="29"/>
        <v>240</v>
      </c>
      <c r="O31" s="658">
        <f t="shared" si="29"/>
        <v>240</v>
      </c>
      <c r="P31" s="658">
        <f t="shared" si="29"/>
        <v>240</v>
      </c>
      <c r="Q31" s="658">
        <f t="shared" si="29"/>
        <v>240</v>
      </c>
      <c r="R31" s="409"/>
    </row>
    <row r="32" spans="1:18" ht="14.1" customHeight="1">
      <c r="A32" s="789"/>
      <c r="B32" s="941"/>
      <c r="C32" s="561" t="s">
        <v>584</v>
      </c>
      <c r="D32" s="559">
        <f>[18]신설!$K$20</f>
        <v>50</v>
      </c>
      <c r="E32" s="559">
        <v>0</v>
      </c>
      <c r="F32" s="559">
        <f>[18]신설!$H$20</f>
        <v>250</v>
      </c>
      <c r="G32" s="559">
        <f>+F32</f>
        <v>250</v>
      </c>
      <c r="H32" s="559">
        <f>G32</f>
        <v>250</v>
      </c>
      <c r="I32" s="559">
        <f>H32</f>
        <v>250</v>
      </c>
      <c r="J32" s="438" t="s">
        <v>1205</v>
      </c>
      <c r="K32" s="974"/>
      <c r="L32" s="659" t="str">
        <f t="shared" ref="L32:L38" si="30">C28</f>
        <v>매성지구</v>
      </c>
      <c r="M32" s="658">
        <f t="shared" ref="M32:Q32" si="31">E28</f>
        <v>0</v>
      </c>
      <c r="N32" s="658">
        <f t="shared" si="31"/>
        <v>390</v>
      </c>
      <c r="O32" s="658">
        <f t="shared" si="31"/>
        <v>390</v>
      </c>
      <c r="P32" s="658">
        <f t="shared" si="31"/>
        <v>390</v>
      </c>
      <c r="Q32" s="658">
        <f t="shared" si="31"/>
        <v>390</v>
      </c>
      <c r="R32" s="409"/>
    </row>
    <row r="33" spans="1:18" ht="14.1" customHeight="1">
      <c r="A33" s="789"/>
      <c r="B33" s="941"/>
      <c r="C33" s="561" t="s">
        <v>585</v>
      </c>
      <c r="D33" s="559">
        <f>[18]신설!$K$21</f>
        <v>70</v>
      </c>
      <c r="E33" s="559">
        <v>0</v>
      </c>
      <c r="F33" s="559">
        <f>[18]신설!$H$21</f>
        <v>360</v>
      </c>
      <c r="G33" s="559">
        <f>F33</f>
        <v>360</v>
      </c>
      <c r="H33" s="559">
        <f t="shared" si="25"/>
        <v>360</v>
      </c>
      <c r="I33" s="559">
        <f t="shared" si="25"/>
        <v>360</v>
      </c>
      <c r="J33" s="438" t="s">
        <v>1205</v>
      </c>
      <c r="K33" s="974"/>
      <c r="L33" s="659" t="str">
        <f t="shared" si="30"/>
        <v>봉항지구</v>
      </c>
      <c r="M33" s="658">
        <f t="shared" ref="M33:Q33" si="32">E29</f>
        <v>0</v>
      </c>
      <c r="N33" s="658">
        <f t="shared" si="32"/>
        <v>250</v>
      </c>
      <c r="O33" s="658">
        <f t="shared" si="32"/>
        <v>250</v>
      </c>
      <c r="P33" s="658">
        <f t="shared" si="32"/>
        <v>250</v>
      </c>
      <c r="Q33" s="658">
        <f t="shared" si="32"/>
        <v>250</v>
      </c>
      <c r="R33" s="409"/>
    </row>
    <row r="34" spans="1:18" ht="14.1" customHeight="1">
      <c r="A34" s="789"/>
      <c r="B34" s="562" t="s">
        <v>586</v>
      </c>
      <c r="C34" s="561" t="s">
        <v>587</v>
      </c>
      <c r="D34" s="559">
        <f>[18]신설!$K$23</f>
        <v>50</v>
      </c>
      <c r="E34" s="559">
        <v>0</v>
      </c>
      <c r="F34" s="559">
        <f>[18]신설!$H$23</f>
        <v>230</v>
      </c>
      <c r="G34" s="559">
        <f>F34</f>
        <v>230</v>
      </c>
      <c r="H34" s="559">
        <f>G34</f>
        <v>230</v>
      </c>
      <c r="I34" s="559">
        <f>H34</f>
        <v>230</v>
      </c>
      <c r="J34" s="438" t="s">
        <v>1205</v>
      </c>
      <c r="K34" s="974"/>
      <c r="L34" s="659" t="str">
        <f t="shared" si="30"/>
        <v>용두지구</v>
      </c>
      <c r="M34" s="658">
        <f t="shared" ref="M34:Q34" si="33">E30</f>
        <v>0</v>
      </c>
      <c r="N34" s="658">
        <f t="shared" si="33"/>
        <v>210</v>
      </c>
      <c r="O34" s="658">
        <f t="shared" si="33"/>
        <v>210</v>
      </c>
      <c r="P34" s="658">
        <f t="shared" si="33"/>
        <v>210</v>
      </c>
      <c r="Q34" s="658">
        <f t="shared" si="33"/>
        <v>210</v>
      </c>
      <c r="R34" s="409"/>
    </row>
    <row r="35" spans="1:18" ht="14.1" customHeight="1">
      <c r="A35" s="789"/>
      <c r="B35" s="562" t="s">
        <v>552</v>
      </c>
      <c r="C35" s="561" t="s">
        <v>588</v>
      </c>
      <c r="D35" s="559">
        <f>[18]신설!$K$25</f>
        <v>60</v>
      </c>
      <c r="E35" s="559">
        <v>0</v>
      </c>
      <c r="F35" s="559">
        <v>0</v>
      </c>
      <c r="G35" s="559">
        <f>[18]신설!$H$25</f>
        <v>290</v>
      </c>
      <c r="H35" s="559">
        <f>G35</f>
        <v>290</v>
      </c>
      <c r="I35" s="559">
        <f>H35</f>
        <v>290</v>
      </c>
      <c r="J35" s="438" t="s">
        <v>1204</v>
      </c>
      <c r="K35" s="974"/>
      <c r="L35" s="659" t="str">
        <f t="shared" si="30"/>
        <v>화계지구</v>
      </c>
      <c r="M35" s="658">
        <f t="shared" ref="M35:Q35" si="34">E31</f>
        <v>0</v>
      </c>
      <c r="N35" s="658">
        <f t="shared" si="34"/>
        <v>1040</v>
      </c>
      <c r="O35" s="658">
        <f t="shared" si="34"/>
        <v>1040</v>
      </c>
      <c r="P35" s="658">
        <f t="shared" si="34"/>
        <v>1040</v>
      </c>
      <c r="Q35" s="658">
        <f t="shared" si="34"/>
        <v>1040</v>
      </c>
      <c r="R35" s="409"/>
    </row>
    <row r="36" spans="1:18" ht="14.1" customHeight="1">
      <c r="A36" s="789"/>
      <c r="B36" s="941" t="s">
        <v>555</v>
      </c>
      <c r="C36" s="561" t="s">
        <v>589</v>
      </c>
      <c r="D36" s="559">
        <f>[18]신설!$K$27</f>
        <v>80</v>
      </c>
      <c r="E36" s="559">
        <v>0</v>
      </c>
      <c r="F36" s="559">
        <f>[18]신설!$H$27</f>
        <v>410</v>
      </c>
      <c r="G36" s="559">
        <f t="shared" ref="G36:I37" si="35">F36</f>
        <v>410</v>
      </c>
      <c r="H36" s="559">
        <f t="shared" si="35"/>
        <v>410</v>
      </c>
      <c r="I36" s="559">
        <f t="shared" si="35"/>
        <v>410</v>
      </c>
      <c r="J36" s="438" t="s">
        <v>1205</v>
      </c>
      <c r="K36" s="974"/>
      <c r="L36" s="659" t="str">
        <f t="shared" si="30"/>
        <v>수남지구</v>
      </c>
      <c r="M36" s="658">
        <f t="shared" ref="M36:Q36" si="36">E32</f>
        <v>0</v>
      </c>
      <c r="N36" s="658">
        <f t="shared" si="36"/>
        <v>250</v>
      </c>
      <c r="O36" s="658">
        <f t="shared" si="36"/>
        <v>250</v>
      </c>
      <c r="P36" s="658">
        <f t="shared" si="36"/>
        <v>250</v>
      </c>
      <c r="Q36" s="658">
        <f t="shared" si="36"/>
        <v>250</v>
      </c>
      <c r="R36" s="409"/>
    </row>
    <row r="37" spans="1:18" ht="14.1" customHeight="1">
      <c r="A37" s="789"/>
      <c r="B37" s="941"/>
      <c r="C37" s="561" t="s">
        <v>590</v>
      </c>
      <c r="D37" s="559">
        <f>[18]신설!$K$28</f>
        <v>70</v>
      </c>
      <c r="E37" s="559">
        <v>0</v>
      </c>
      <c r="F37" s="559">
        <f>[18]신설!$H$28</f>
        <v>330</v>
      </c>
      <c r="G37" s="559">
        <f t="shared" si="35"/>
        <v>330</v>
      </c>
      <c r="H37" s="559">
        <f t="shared" si="35"/>
        <v>330</v>
      </c>
      <c r="I37" s="559">
        <f t="shared" si="35"/>
        <v>330</v>
      </c>
      <c r="J37" s="438" t="s">
        <v>1205</v>
      </c>
      <c r="K37" s="974"/>
      <c r="L37" s="659" t="str">
        <f t="shared" si="30"/>
        <v>장송지구</v>
      </c>
      <c r="M37" s="658">
        <f t="shared" ref="M37:Q37" si="37">E33</f>
        <v>0</v>
      </c>
      <c r="N37" s="658">
        <f t="shared" si="37"/>
        <v>360</v>
      </c>
      <c r="O37" s="658">
        <f t="shared" si="37"/>
        <v>360</v>
      </c>
      <c r="P37" s="658">
        <f t="shared" si="37"/>
        <v>360</v>
      </c>
      <c r="Q37" s="658">
        <f t="shared" si="37"/>
        <v>360</v>
      </c>
      <c r="R37" s="409"/>
    </row>
    <row r="38" spans="1:18" ht="14.1" customHeight="1">
      <c r="A38" s="809"/>
      <c r="B38" s="940"/>
      <c r="C38" s="563" t="s">
        <v>591</v>
      </c>
      <c r="D38" s="70">
        <f>[18]신설!$K$29</f>
        <v>50</v>
      </c>
      <c r="E38" s="70">
        <v>0</v>
      </c>
      <c r="F38" s="70">
        <v>0</v>
      </c>
      <c r="G38" s="70">
        <f>[18]신설!$H$29</f>
        <v>240</v>
      </c>
      <c r="H38" s="70">
        <f>G38</f>
        <v>240</v>
      </c>
      <c r="I38" s="70">
        <f>H38</f>
        <v>240</v>
      </c>
      <c r="J38" s="439" t="s">
        <v>1204</v>
      </c>
      <c r="K38" s="794"/>
      <c r="L38" s="660" t="str">
        <f t="shared" si="30"/>
        <v>백자지구</v>
      </c>
      <c r="M38" s="70">
        <f t="shared" ref="M38:Q38" si="38">E34</f>
        <v>0</v>
      </c>
      <c r="N38" s="70">
        <f t="shared" si="38"/>
        <v>230</v>
      </c>
      <c r="O38" s="70">
        <f t="shared" si="38"/>
        <v>230</v>
      </c>
      <c r="P38" s="70">
        <f t="shared" si="38"/>
        <v>230</v>
      </c>
      <c r="Q38" s="70">
        <f t="shared" si="38"/>
        <v>230</v>
      </c>
      <c r="R38" s="414"/>
    </row>
    <row r="39" spans="1:18" ht="14.1" customHeight="1"/>
    <row r="40" spans="1:18" ht="14.1" customHeight="1">
      <c r="A40" s="522" t="s">
        <v>1264</v>
      </c>
      <c r="C40" s="256"/>
      <c r="D40" s="256"/>
      <c r="E40" s="400"/>
      <c r="F40" s="400"/>
      <c r="G40" s="400"/>
      <c r="H40" s="400"/>
      <c r="I40" s="400"/>
      <c r="J40" s="400"/>
    </row>
    <row r="41" spans="1:18" ht="14.1" customHeight="1">
      <c r="B41" s="436"/>
      <c r="C41" s="256"/>
      <c r="D41" s="256"/>
      <c r="E41" s="400"/>
      <c r="F41" s="400"/>
      <c r="G41" s="400"/>
      <c r="H41" s="400"/>
      <c r="I41" s="400"/>
      <c r="J41" s="313" t="s">
        <v>214</v>
      </c>
    </row>
    <row r="42" spans="1:18" ht="14.1" customHeight="1">
      <c r="A42" s="781" t="s">
        <v>501</v>
      </c>
      <c r="B42" s="782"/>
      <c r="C42" s="964" t="s">
        <v>495</v>
      </c>
      <c r="D42" s="783"/>
      <c r="E42" s="793" t="s">
        <v>367</v>
      </c>
      <c r="F42" s="793" t="s">
        <v>368</v>
      </c>
      <c r="G42" s="793" t="s">
        <v>496</v>
      </c>
      <c r="H42" s="793" t="s">
        <v>497</v>
      </c>
      <c r="I42" s="793" t="s">
        <v>498</v>
      </c>
      <c r="J42" s="798" t="s">
        <v>369</v>
      </c>
    </row>
    <row r="43" spans="1:18" ht="14.1" customHeight="1">
      <c r="A43" s="784"/>
      <c r="B43" s="785"/>
      <c r="C43" s="965"/>
      <c r="D43" s="786"/>
      <c r="E43" s="795"/>
      <c r="F43" s="795"/>
      <c r="G43" s="795"/>
      <c r="H43" s="795"/>
      <c r="I43" s="795"/>
      <c r="J43" s="799"/>
    </row>
    <row r="44" spans="1:18" ht="14.1" customHeight="1">
      <c r="A44" s="787" t="s">
        <v>592</v>
      </c>
      <c r="B44" s="775"/>
      <c r="C44" s="775"/>
      <c r="D44" s="788"/>
      <c r="E44" s="30">
        <f>SUM(E45:E50)</f>
        <v>0</v>
      </c>
      <c r="F44" s="30">
        <f>SUM(F45:F50)</f>
        <v>0</v>
      </c>
      <c r="G44" s="30">
        <f>SUM(G45:G50)</f>
        <v>3200</v>
      </c>
      <c r="H44" s="30">
        <f>SUM(H45:H50)</f>
        <v>17200</v>
      </c>
      <c r="I44" s="30">
        <f>SUM(I45:I50)</f>
        <v>17200</v>
      </c>
      <c r="J44" s="440"/>
    </row>
    <row r="45" spans="1:18" ht="14.1" customHeight="1">
      <c r="A45" s="974" t="s">
        <v>593</v>
      </c>
      <c r="B45" s="920"/>
      <c r="C45" s="50" t="s">
        <v>594</v>
      </c>
      <c r="D45" s="441"/>
      <c r="E45" s="35">
        <v>0</v>
      </c>
      <c r="F45" s="35">
        <f>인구배분!O10</f>
        <v>0</v>
      </c>
      <c r="G45" s="35">
        <f>인구배분!P10</f>
        <v>0</v>
      </c>
      <c r="H45" s="35">
        <f>인구배분!Q10</f>
        <v>200</v>
      </c>
      <c r="I45" s="35">
        <f>인구배분!R10</f>
        <v>200</v>
      </c>
      <c r="J45" s="442"/>
    </row>
    <row r="46" spans="1:18" ht="14.1" customHeight="1">
      <c r="A46" s="974"/>
      <c r="B46" s="920"/>
      <c r="C46" s="50" t="s">
        <v>595</v>
      </c>
      <c r="D46" s="441"/>
      <c r="E46" s="35">
        <v>0</v>
      </c>
      <c r="F46" s="35">
        <f>인구배분!O11</f>
        <v>0</v>
      </c>
      <c r="G46" s="35">
        <f>인구배분!P11</f>
        <v>0</v>
      </c>
      <c r="H46" s="35">
        <f>인구배분!Q11</f>
        <v>0</v>
      </c>
      <c r="I46" s="35">
        <f>인구배분!R11</f>
        <v>0</v>
      </c>
      <c r="J46" s="442"/>
    </row>
    <row r="47" spans="1:18" ht="14.1" customHeight="1">
      <c r="A47" s="974"/>
      <c r="B47" s="920"/>
      <c r="C47" s="50" t="s">
        <v>596</v>
      </c>
      <c r="D47" s="441"/>
      <c r="E47" s="35">
        <v>0</v>
      </c>
      <c r="F47" s="35">
        <f>인구배분!O13</f>
        <v>0</v>
      </c>
      <c r="G47" s="35">
        <f>인구배분!P13</f>
        <v>0</v>
      </c>
      <c r="H47" s="35">
        <f>인구배분!Q13</f>
        <v>6000</v>
      </c>
      <c r="I47" s="35">
        <f>인구배분!R13</f>
        <v>6000</v>
      </c>
      <c r="J47" s="442"/>
    </row>
    <row r="48" spans="1:18" ht="14.1" customHeight="1">
      <c r="A48" s="974" t="s">
        <v>597</v>
      </c>
      <c r="B48" s="920"/>
      <c r="C48" s="50" t="s">
        <v>598</v>
      </c>
      <c r="D48" s="441"/>
      <c r="E48" s="35">
        <v>0</v>
      </c>
      <c r="F48" s="35">
        <f>인구배분!O9</f>
        <v>0</v>
      </c>
      <c r="G48" s="35">
        <f>인구배분!P9</f>
        <v>0</v>
      </c>
      <c r="H48" s="35">
        <f>인구배분!Q9</f>
        <v>200</v>
      </c>
      <c r="I48" s="35">
        <f>인구배분!R9</f>
        <v>200</v>
      </c>
      <c r="J48" s="16"/>
    </row>
    <row r="49" spans="1:10" ht="14.1" customHeight="1">
      <c r="A49" s="974"/>
      <c r="B49" s="920"/>
      <c r="C49" s="50" t="s">
        <v>599</v>
      </c>
      <c r="D49" s="441"/>
      <c r="E49" s="35">
        <v>0</v>
      </c>
      <c r="F49" s="35">
        <f>인구배분!O14+인구배분!O15</f>
        <v>0</v>
      </c>
      <c r="G49" s="35">
        <f>인구배분!P14+인구배분!P15</f>
        <v>0</v>
      </c>
      <c r="H49" s="35">
        <f>인구배분!Q14+인구배분!Q15</f>
        <v>7600</v>
      </c>
      <c r="I49" s="35">
        <f>인구배분!R14+인구배분!R15</f>
        <v>7600</v>
      </c>
      <c r="J49" s="443"/>
    </row>
    <row r="50" spans="1:10" ht="14.1" customHeight="1">
      <c r="A50" s="794" t="s">
        <v>600</v>
      </c>
      <c r="B50" s="795"/>
      <c r="C50" s="52" t="s">
        <v>601</v>
      </c>
      <c r="D50" s="444"/>
      <c r="E50" s="53">
        <v>0</v>
      </c>
      <c r="F50" s="53">
        <f>인구배분!O8</f>
        <v>0</v>
      </c>
      <c r="G50" s="53">
        <f>인구배분!P8</f>
        <v>3200</v>
      </c>
      <c r="H50" s="53">
        <f>인구배분!Q8</f>
        <v>3200</v>
      </c>
      <c r="I50" s="53">
        <f>인구배분!R8</f>
        <v>3200</v>
      </c>
      <c r="J50" s="445"/>
    </row>
  </sheetData>
  <mergeCells count="51">
    <mergeCell ref="R3:R4"/>
    <mergeCell ref="K3:L4"/>
    <mergeCell ref="K21:K38"/>
    <mergeCell ref="K18:K20"/>
    <mergeCell ref="K6:K17"/>
    <mergeCell ref="K5:L5"/>
    <mergeCell ref="M3:M4"/>
    <mergeCell ref="N3:N4"/>
    <mergeCell ref="O3:O4"/>
    <mergeCell ref="P3:P4"/>
    <mergeCell ref="Q3:Q4"/>
    <mergeCell ref="A44:D44"/>
    <mergeCell ref="A45:B47"/>
    <mergeCell ref="A50:B50"/>
    <mergeCell ref="A48:B49"/>
    <mergeCell ref="J3:J4"/>
    <mergeCell ref="G3:G4"/>
    <mergeCell ref="E3:E4"/>
    <mergeCell ref="F3:F4"/>
    <mergeCell ref="H3:H4"/>
    <mergeCell ref="I3:I4"/>
    <mergeCell ref="D3:D4"/>
    <mergeCell ref="A3:C4"/>
    <mergeCell ref="A5:C5"/>
    <mergeCell ref="B19:B21"/>
    <mergeCell ref="F20:F21"/>
    <mergeCell ref="J42:J43"/>
    <mergeCell ref="B15:B16"/>
    <mergeCell ref="A42:B43"/>
    <mergeCell ref="G42:G43"/>
    <mergeCell ref="B22:C22"/>
    <mergeCell ref="C42:D43"/>
    <mergeCell ref="B25:B27"/>
    <mergeCell ref="B28:B30"/>
    <mergeCell ref="B31:B33"/>
    <mergeCell ref="B36:B38"/>
    <mergeCell ref="A6:A16"/>
    <mergeCell ref="B6:C6"/>
    <mergeCell ref="B8:B11"/>
    <mergeCell ref="J20:J21"/>
    <mergeCell ref="A22:A38"/>
    <mergeCell ref="A17:A21"/>
    <mergeCell ref="H42:H43"/>
    <mergeCell ref="I42:I43"/>
    <mergeCell ref="I20:I21"/>
    <mergeCell ref="H20:H21"/>
    <mergeCell ref="G20:G21"/>
    <mergeCell ref="D20:D21"/>
    <mergeCell ref="B17:C17"/>
    <mergeCell ref="E42:E43"/>
    <mergeCell ref="F42:F4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L15" sqref="L15"/>
    </sheetView>
  </sheetViews>
  <sheetFormatPr defaultRowHeight="24.95" customHeight="1"/>
  <cols>
    <col min="1" max="16384" width="8.88671875" style="1034"/>
  </cols>
  <sheetData>
    <row r="1" spans="1:10" ht="24.95" customHeight="1">
      <c r="A1" s="1056" t="s">
        <v>1441</v>
      </c>
    </row>
    <row r="2" spans="1:10" ht="24.95" customHeight="1">
      <c r="A2" s="1052" t="s">
        <v>109</v>
      </c>
      <c r="B2" s="1053"/>
      <c r="C2" s="1054" t="s">
        <v>1439</v>
      </c>
      <c r="D2" s="1054"/>
      <c r="E2" s="1054"/>
      <c r="F2" s="1054"/>
      <c r="G2" s="1054" t="s">
        <v>1440</v>
      </c>
      <c r="H2" s="1054"/>
      <c r="I2" s="1054"/>
      <c r="J2" s="1055"/>
    </row>
    <row r="3" spans="1:10" ht="24.95" customHeight="1">
      <c r="A3" s="1048" t="s">
        <v>1429</v>
      </c>
      <c r="B3" s="1049"/>
      <c r="C3" s="1050">
        <v>2006</v>
      </c>
      <c r="D3" s="1050">
        <v>2011</v>
      </c>
      <c r="E3" s="1050">
        <v>2016</v>
      </c>
      <c r="F3" s="1050">
        <v>2021</v>
      </c>
      <c r="G3" s="1050">
        <v>2010</v>
      </c>
      <c r="H3" s="1050">
        <v>2015</v>
      </c>
      <c r="I3" s="1050">
        <v>2020</v>
      </c>
      <c r="J3" s="1051">
        <v>2025</v>
      </c>
    </row>
    <row r="4" spans="1:10" ht="24.95" customHeight="1">
      <c r="A4" s="1046" t="s">
        <v>648</v>
      </c>
      <c r="B4" s="1047"/>
      <c r="C4" s="1035">
        <v>530000</v>
      </c>
      <c r="D4" s="1035">
        <v>620000</v>
      </c>
      <c r="E4" s="1035">
        <v>740000</v>
      </c>
      <c r="F4" s="1035">
        <v>840000</v>
      </c>
      <c r="G4" s="1035">
        <f>'3.계획인구'!E24</f>
        <v>605000</v>
      </c>
      <c r="H4" s="1035">
        <f>'3.계획인구'!F24</f>
        <v>690000</v>
      </c>
      <c r="I4" s="1035">
        <f>'3.계획인구'!G24</f>
        <v>780000</v>
      </c>
      <c r="J4" s="1036">
        <f>'3.계획인구'!H24</f>
        <v>800000</v>
      </c>
    </row>
    <row r="5" spans="1:10" ht="24.95" customHeight="1">
      <c r="A5" s="1037" t="s">
        <v>1434</v>
      </c>
      <c r="B5" s="1038" t="s">
        <v>1430</v>
      </c>
      <c r="C5" s="1039">
        <f>SUM(C9,C13,C17,C21)</f>
        <v>50.900000000000006</v>
      </c>
      <c r="D5" s="1039">
        <f>SUM(D9,D13,D17,D21)</f>
        <v>64.089999999999989</v>
      </c>
      <c r="E5" s="1039">
        <f>SUM(E9,E13,E17,E21)</f>
        <v>67.430000000000007</v>
      </c>
      <c r="F5" s="1039">
        <f>SUM(F9,F13,F17,F21)</f>
        <v>67.94</v>
      </c>
      <c r="G5" s="1039">
        <f>SUM(G9,G13,G17,G21)</f>
        <v>60.83</v>
      </c>
      <c r="H5" s="1039">
        <f>SUM(H9,H13,H17,H21)</f>
        <v>70.099000000000004</v>
      </c>
      <c r="I5" s="1039">
        <f>SUM(I9,I13,I17,I21)</f>
        <v>80.278999999999996</v>
      </c>
      <c r="J5" s="1040">
        <f>SUM(J9,J13,J17,J21)</f>
        <v>80.279000000000011</v>
      </c>
    </row>
    <row r="6" spans="1:10" ht="24.95" customHeight="1">
      <c r="A6" s="1037"/>
      <c r="B6" s="1038" t="s">
        <v>1431</v>
      </c>
      <c r="C6" s="1035">
        <f t="shared" ref="C6:J6" si="0">SUM(C10,C14,C18,C22)</f>
        <v>470980</v>
      </c>
      <c r="D6" s="1035">
        <f t="shared" si="0"/>
        <v>587530</v>
      </c>
      <c r="E6" s="1035">
        <f t="shared" si="0"/>
        <v>712760</v>
      </c>
      <c r="F6" s="1035">
        <f t="shared" si="0"/>
        <v>813670</v>
      </c>
      <c r="G6" s="1035">
        <f t="shared" ref="G6:J6" si="1">SUM(G10,G14,G18,G22)</f>
        <v>552620</v>
      </c>
      <c r="H6" s="1035">
        <f t="shared" si="1"/>
        <v>651820</v>
      </c>
      <c r="I6" s="1035">
        <f t="shared" si="1"/>
        <v>732820</v>
      </c>
      <c r="J6" s="1036">
        <f t="shared" si="1"/>
        <v>753820</v>
      </c>
    </row>
    <row r="7" spans="1:10" ht="24.95" customHeight="1">
      <c r="A7" s="1037"/>
      <c r="B7" s="1038" t="s">
        <v>1432</v>
      </c>
      <c r="C7" s="1035">
        <f t="shared" ref="C7:J7" si="2">SUM(C11,C15,C19,C23)</f>
        <v>183518</v>
      </c>
      <c r="D7" s="1035">
        <f t="shared" si="2"/>
        <v>225312</v>
      </c>
      <c r="E7" s="1035">
        <f t="shared" si="2"/>
        <v>272956</v>
      </c>
      <c r="F7" s="1035">
        <f t="shared" si="2"/>
        <v>312428</v>
      </c>
      <c r="G7" s="1035">
        <f t="shared" ref="G7:J7" si="3">SUM(G11,G15,G19,G23)</f>
        <v>207132.122</v>
      </c>
      <c r="H7" s="1035">
        <f t="shared" si="3"/>
        <v>256315.122</v>
      </c>
      <c r="I7" s="1035">
        <f t="shared" si="3"/>
        <v>283715.12199999997</v>
      </c>
      <c r="J7" s="1036">
        <f t="shared" si="3"/>
        <v>291624.12199999997</v>
      </c>
    </row>
    <row r="8" spans="1:10" ht="24.95" customHeight="1">
      <c r="A8" s="1037"/>
      <c r="B8" s="1038" t="s">
        <v>1433</v>
      </c>
      <c r="C8" s="1035">
        <f t="shared" ref="C8:J8" si="4">SUM(C12,C16,C20,C24)</f>
        <v>184421</v>
      </c>
      <c r="D8" s="1035">
        <f t="shared" si="4"/>
        <v>229121</v>
      </c>
      <c r="E8" s="1035">
        <f t="shared" si="4"/>
        <v>279621</v>
      </c>
      <c r="F8" s="1035">
        <f t="shared" si="4"/>
        <v>313621</v>
      </c>
      <c r="G8" s="1035">
        <f t="shared" ref="G8:J8" si="5">SUM(G12,G16,G20,G24)</f>
        <v>217847</v>
      </c>
      <c r="H8" s="1035">
        <f t="shared" si="5"/>
        <v>270052</v>
      </c>
      <c r="I8" s="1035">
        <f t="shared" si="5"/>
        <v>292052</v>
      </c>
      <c r="J8" s="1036">
        <f t="shared" si="5"/>
        <v>292052</v>
      </c>
    </row>
    <row r="9" spans="1:10" ht="24.95" customHeight="1">
      <c r="A9" s="1041" t="s">
        <v>1435</v>
      </c>
      <c r="B9" s="1038" t="s">
        <v>1430</v>
      </c>
      <c r="C9" s="1039">
        <v>28.19</v>
      </c>
      <c r="D9" s="1039">
        <v>34.58</v>
      </c>
      <c r="E9" s="1039">
        <v>34.880000000000003</v>
      </c>
      <c r="F9" s="1039">
        <v>35.049999999999997</v>
      </c>
      <c r="G9" s="1039">
        <f>'처리구역 면적'!E8</f>
        <v>36.168999999999997</v>
      </c>
      <c r="H9" s="1039">
        <f>'처리구역 면적'!H8</f>
        <v>40.447000000000003</v>
      </c>
      <c r="I9" s="1039">
        <f>'처리구역 면적'!K8</f>
        <v>41.520999999999994</v>
      </c>
      <c r="J9" s="1040">
        <f>'처리구역 면적'!N8</f>
        <v>41.521000000000001</v>
      </c>
    </row>
    <row r="10" spans="1:10" ht="24.95" customHeight="1">
      <c r="A10" s="1037"/>
      <c r="B10" s="1038" t="s">
        <v>1431</v>
      </c>
      <c r="C10" s="1035">
        <v>364630</v>
      </c>
      <c r="D10" s="1035">
        <v>427640</v>
      </c>
      <c r="E10" s="1035">
        <v>526690</v>
      </c>
      <c r="F10" s="1035">
        <v>614690</v>
      </c>
      <c r="G10" s="1035">
        <f>'4.하수처리인구'!D43</f>
        <v>441700</v>
      </c>
      <c r="H10" s="1035">
        <f>'4.하수처리인구'!E43</f>
        <v>500900</v>
      </c>
      <c r="I10" s="1035">
        <f>'4.하수처리인구'!F43</f>
        <v>511800</v>
      </c>
      <c r="J10" s="1036">
        <f>'4.하수처리인구'!G43</f>
        <v>528600</v>
      </c>
    </row>
    <row r="11" spans="1:10" ht="24.95" customHeight="1">
      <c r="A11" s="1037"/>
      <c r="B11" s="1038" t="s">
        <v>1432</v>
      </c>
      <c r="C11" s="1035">
        <v>150734</v>
      </c>
      <c r="D11" s="1035">
        <v>175547</v>
      </c>
      <c r="E11" s="1035">
        <v>214302</v>
      </c>
      <c r="F11" s="1035">
        <v>248881</v>
      </c>
      <c r="G11" s="1035">
        <f>[21]계획하수량!$N$20</f>
        <v>174042</v>
      </c>
      <c r="H11" s="1035">
        <f>[21]계획하수량!$Q$20</f>
        <v>206856</v>
      </c>
      <c r="I11" s="1035">
        <f>[21]계획하수량!$T$20</f>
        <v>212124</v>
      </c>
      <c r="J11" s="1036">
        <f>[21]계획하수량!$W$20</f>
        <v>218771</v>
      </c>
    </row>
    <row r="12" spans="1:10" ht="24.95" customHeight="1">
      <c r="A12" s="1037"/>
      <c r="B12" s="1038" t="s">
        <v>1433</v>
      </c>
      <c r="C12" s="1035">
        <v>150000</v>
      </c>
      <c r="D12" s="1035">
        <v>180000</v>
      </c>
      <c r="E12" s="1035">
        <v>220000</v>
      </c>
      <c r="F12" s="1035">
        <v>250000</v>
      </c>
      <c r="G12" s="1035">
        <f>증설계획!D10</f>
        <v>180000</v>
      </c>
      <c r="H12" s="1035">
        <f>증설계획!E10</f>
        <v>220000</v>
      </c>
      <c r="I12" s="1035">
        <f>증설계획!F10</f>
        <v>220000</v>
      </c>
      <c r="J12" s="1036">
        <f>증설계획!G10</f>
        <v>220000</v>
      </c>
    </row>
    <row r="13" spans="1:10" ht="24.95" customHeight="1">
      <c r="A13" s="1041" t="s">
        <v>1436</v>
      </c>
      <c r="B13" s="1038" t="s">
        <v>1430</v>
      </c>
      <c r="C13" s="1039">
        <v>15.76</v>
      </c>
      <c r="D13" s="1039">
        <v>21.05</v>
      </c>
      <c r="E13" s="1039">
        <v>22.37</v>
      </c>
      <c r="F13" s="1039">
        <v>22.37</v>
      </c>
      <c r="G13" s="1039">
        <f>'처리구역 면적'!E18</f>
        <v>14.821999999999999</v>
      </c>
      <c r="H13" s="1039">
        <f>'처리구역 면적'!H18</f>
        <v>17.866999999999997</v>
      </c>
      <c r="I13" s="1039">
        <f>'처리구역 면적'!K18</f>
        <v>25.624999999999996</v>
      </c>
      <c r="J13" s="1040">
        <f>'처리구역 면적'!N18</f>
        <v>25.625</v>
      </c>
    </row>
    <row r="14" spans="1:10" ht="24.95" customHeight="1">
      <c r="A14" s="1037"/>
      <c r="B14" s="1038" t="s">
        <v>1431</v>
      </c>
      <c r="C14" s="1035">
        <v>75610</v>
      </c>
      <c r="D14" s="1035">
        <v>123570</v>
      </c>
      <c r="E14" s="1035">
        <v>142430</v>
      </c>
      <c r="F14" s="1035">
        <v>154830</v>
      </c>
      <c r="G14" s="1035">
        <f>'4.하수처리인구'!D98</f>
        <v>77200</v>
      </c>
      <c r="H14" s="1035">
        <f>'4.하수처리인구'!E98</f>
        <v>110100</v>
      </c>
      <c r="I14" s="1035">
        <f>'4.하수처리인구'!F98</f>
        <v>179800</v>
      </c>
      <c r="J14" s="1036">
        <f>'4.하수처리인구'!G98</f>
        <v>183300</v>
      </c>
    </row>
    <row r="15" spans="1:10" ht="24.95" customHeight="1">
      <c r="A15" s="1037"/>
      <c r="B15" s="1038" t="s">
        <v>1432</v>
      </c>
      <c r="C15" s="1035">
        <v>23212</v>
      </c>
      <c r="D15" s="1035">
        <v>38183</v>
      </c>
      <c r="E15" s="1035">
        <v>44438</v>
      </c>
      <c r="F15" s="1035">
        <v>48926</v>
      </c>
      <c r="G15" s="1035">
        <f>[21]계획하수량!$N$182</f>
        <v>19497</v>
      </c>
      <c r="H15" s="1035">
        <f>[21]계획하수량!$Q$182</f>
        <v>29626</v>
      </c>
      <c r="I15" s="1035">
        <f>[21]계획하수량!$T$182</f>
        <v>51543</v>
      </c>
      <c r="J15" s="1036">
        <f>[21]계획하수량!$W$182</f>
        <v>52544</v>
      </c>
    </row>
    <row r="16" spans="1:10" ht="24.95" customHeight="1">
      <c r="A16" s="1037"/>
      <c r="B16" s="1038" t="s">
        <v>1433</v>
      </c>
      <c r="C16" s="1035">
        <v>24000</v>
      </c>
      <c r="D16" s="1035">
        <v>38000</v>
      </c>
      <c r="E16" s="1035">
        <v>45000</v>
      </c>
      <c r="F16" s="1035">
        <v>49000</v>
      </c>
      <c r="G16" s="1035">
        <f>증설계획!K10</f>
        <v>24000</v>
      </c>
      <c r="H16" s="1035">
        <f>증설계획!L10</f>
        <v>30000</v>
      </c>
      <c r="I16" s="1035">
        <f>증설계획!M10</f>
        <v>52000</v>
      </c>
      <c r="J16" s="1036">
        <f>증설계획!N10</f>
        <v>52000</v>
      </c>
    </row>
    <row r="17" spans="1:10" ht="24.95" customHeight="1">
      <c r="A17" s="1041" t="s">
        <v>1437</v>
      </c>
      <c r="B17" s="1038" t="s">
        <v>1430</v>
      </c>
      <c r="C17" s="1039">
        <v>5.53</v>
      </c>
      <c r="D17" s="1039">
        <v>6.16</v>
      </c>
      <c r="E17" s="1039">
        <v>6.57</v>
      </c>
      <c r="F17" s="1039">
        <v>6.99</v>
      </c>
      <c r="G17" s="1039">
        <f>'처리구역 면적'!E22</f>
        <v>7.2850000000000001</v>
      </c>
      <c r="H17" s="1039">
        <f>'처리구역 면적'!H22</f>
        <v>8.8730000000000011</v>
      </c>
      <c r="I17" s="1039">
        <f>'처리구역 면적'!K22</f>
        <v>10.221</v>
      </c>
      <c r="J17" s="1040">
        <f>'처리구역 면적'!N22</f>
        <v>10.221</v>
      </c>
    </row>
    <row r="18" spans="1:10" ht="24.95" customHeight="1">
      <c r="A18" s="1037"/>
      <c r="B18" s="1038" t="s">
        <v>1431</v>
      </c>
      <c r="C18" s="1035">
        <v>28640</v>
      </c>
      <c r="D18" s="1035">
        <v>31830</v>
      </c>
      <c r="E18" s="1035">
        <v>38260</v>
      </c>
      <c r="F18" s="1035">
        <v>38950</v>
      </c>
      <c r="G18" s="1035">
        <f>'4.하수처리인구'!D125</f>
        <v>26900</v>
      </c>
      <c r="H18" s="1035">
        <f>'4.하수처리인구'!E125</f>
        <v>32900</v>
      </c>
      <c r="I18" s="1035">
        <f>'4.하수처리인구'!F125</f>
        <v>33300</v>
      </c>
      <c r="J18" s="1036">
        <f>'4.하수처리인구'!G125</f>
        <v>34000</v>
      </c>
    </row>
    <row r="19" spans="1:10" ht="24.95" customHeight="1">
      <c r="A19" s="1037"/>
      <c r="B19" s="1038" t="s">
        <v>1432</v>
      </c>
      <c r="C19" s="1035">
        <v>8821</v>
      </c>
      <c r="D19" s="1035">
        <v>10472</v>
      </c>
      <c r="E19" s="1035">
        <v>12741</v>
      </c>
      <c r="F19" s="1035">
        <v>13126</v>
      </c>
      <c r="G19" s="1035">
        <f>[21]계획하수량!$N$248</f>
        <v>12053</v>
      </c>
      <c r="H19" s="1035">
        <f>[21]계획하수량!$Q$248</f>
        <v>18073</v>
      </c>
      <c r="I19" s="1035">
        <f>[21]계획하수량!$T$248</f>
        <v>18288</v>
      </c>
      <c r="J19" s="1036">
        <f>[21]계획하수량!$W$248</f>
        <v>18549</v>
      </c>
    </row>
    <row r="20" spans="1:10" ht="24.95" customHeight="1">
      <c r="A20" s="1037"/>
      <c r="B20" s="1038" t="s">
        <v>1433</v>
      </c>
      <c r="C20" s="1035">
        <v>9500</v>
      </c>
      <c r="D20" s="1035">
        <v>9500</v>
      </c>
      <c r="E20" s="1035">
        <v>13000</v>
      </c>
      <c r="F20" s="1035">
        <v>13000</v>
      </c>
      <c r="G20" s="1035">
        <f>증설계획!R10</f>
        <v>12000</v>
      </c>
      <c r="H20" s="1035">
        <f>증설계획!S10</f>
        <v>18000</v>
      </c>
      <c r="I20" s="1035">
        <f>증설계획!T10</f>
        <v>18000</v>
      </c>
      <c r="J20" s="1036">
        <f>증설계획!U10</f>
        <v>18000</v>
      </c>
    </row>
    <row r="21" spans="1:10" ht="24.95" customHeight="1">
      <c r="A21" s="1041" t="s">
        <v>1438</v>
      </c>
      <c r="B21" s="1038" t="s">
        <v>1430</v>
      </c>
      <c r="C21" s="1039">
        <v>1.42</v>
      </c>
      <c r="D21" s="1039">
        <v>2.2999999999999998</v>
      </c>
      <c r="E21" s="1039">
        <v>3.61</v>
      </c>
      <c r="F21" s="1039">
        <v>3.53</v>
      </c>
      <c r="G21" s="1039">
        <f>'처리구역 면적'!E26</f>
        <v>2.5540000000000003</v>
      </c>
      <c r="H21" s="1039">
        <f>'처리구역 면적'!H26</f>
        <v>2.9120000000000004</v>
      </c>
      <c r="I21" s="1039">
        <f>'처리구역 면적'!K26</f>
        <v>2.9120000000000004</v>
      </c>
      <c r="J21" s="1040">
        <f>'처리구역 면적'!N26</f>
        <v>2.9120000000000004</v>
      </c>
    </row>
    <row r="22" spans="1:10" ht="24.95" customHeight="1">
      <c r="A22" s="1037"/>
      <c r="B22" s="1038" t="s">
        <v>1431</v>
      </c>
      <c r="C22" s="1035">
        <v>2100</v>
      </c>
      <c r="D22" s="1035">
        <v>4490</v>
      </c>
      <c r="E22" s="1035">
        <v>5380</v>
      </c>
      <c r="F22" s="1035">
        <v>5200</v>
      </c>
      <c r="G22" s="1035">
        <f>소규모하수도인구!F5</f>
        <v>6820</v>
      </c>
      <c r="H22" s="1035">
        <f>소규모하수도인구!G5</f>
        <v>7920</v>
      </c>
      <c r="I22" s="1035">
        <f>소규모하수도인구!H5</f>
        <v>7920</v>
      </c>
      <c r="J22" s="1036">
        <f>소규모하수도인구!I5</f>
        <v>7920</v>
      </c>
    </row>
    <row r="23" spans="1:10" ht="24.95" customHeight="1">
      <c r="A23" s="1037"/>
      <c r="B23" s="1038" t="s">
        <v>1432</v>
      </c>
      <c r="C23" s="1035">
        <v>751</v>
      </c>
      <c r="D23" s="1035">
        <v>1110</v>
      </c>
      <c r="E23" s="1035">
        <v>1475</v>
      </c>
      <c r="F23" s="1035">
        <v>1495</v>
      </c>
      <c r="G23" s="1035">
        <f>[21]소규모계획하수량!$E$4</f>
        <v>1540.1220000000001</v>
      </c>
      <c r="H23" s="1035">
        <f>[21]소규모계획하수량!$F$4</f>
        <v>1760.1220000000001</v>
      </c>
      <c r="I23" s="1035">
        <f>[21]소규모계획하수량!$G$4</f>
        <v>1760.1220000000001</v>
      </c>
      <c r="J23" s="1036">
        <f>[21]소규모계획하수량!$H$4</f>
        <v>1760.1220000000001</v>
      </c>
    </row>
    <row r="24" spans="1:10" ht="24.95" customHeight="1">
      <c r="A24" s="1042"/>
      <c r="B24" s="1043" t="s">
        <v>1433</v>
      </c>
      <c r="C24" s="1044">
        <v>921</v>
      </c>
      <c r="D24" s="1044">
        <v>1621</v>
      </c>
      <c r="E24" s="1044">
        <v>1621</v>
      </c>
      <c r="F24" s="1044">
        <v>1621</v>
      </c>
      <c r="G24" s="1044">
        <f>[21]소규모계획하수량!$E$5</f>
        <v>1847</v>
      </c>
      <c r="H24" s="1044">
        <f>[21]소규모계획하수량!$F$5</f>
        <v>2052</v>
      </c>
      <c r="I24" s="1044">
        <f>[21]소규모계획하수량!$G$5</f>
        <v>2052</v>
      </c>
      <c r="J24" s="1045">
        <f>[21]소규모계획하수량!$H$5</f>
        <v>2052</v>
      </c>
    </row>
  </sheetData>
  <mergeCells count="10">
    <mergeCell ref="G2:J2"/>
    <mergeCell ref="A2:B2"/>
    <mergeCell ref="A4:B4"/>
    <mergeCell ref="A3:B3"/>
    <mergeCell ref="A5:A8"/>
    <mergeCell ref="A9:A12"/>
    <mergeCell ref="A13:A16"/>
    <mergeCell ref="A17:A20"/>
    <mergeCell ref="A21:A24"/>
    <mergeCell ref="C2:F2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H21"/>
  <sheetViews>
    <sheetView showGridLines="0" view="pageBreakPreview" topLeftCell="C1" workbookViewId="0">
      <selection activeCell="D14" sqref="D14"/>
    </sheetView>
  </sheetViews>
  <sheetFormatPr defaultRowHeight="30" customHeight="1"/>
  <cols>
    <col min="1" max="1" width="5" style="345" customWidth="1"/>
    <col min="2" max="2" width="15.109375" style="345" customWidth="1"/>
    <col min="3" max="5" width="9.6640625" style="345" bestFit="1" customWidth="1"/>
    <col min="6" max="6" width="9.77734375" style="345" bestFit="1" customWidth="1"/>
    <col min="7" max="7" width="9.6640625" style="345" bestFit="1" customWidth="1"/>
    <col min="8" max="8" width="8.77734375" style="345" customWidth="1"/>
    <col min="9" max="16384" width="8.88671875" style="345"/>
  </cols>
  <sheetData>
    <row r="1" spans="1:8" ht="30" customHeight="1">
      <c r="A1" s="521" t="s">
        <v>1262</v>
      </c>
    </row>
    <row r="2" spans="1:8" ht="9.9499999999999993" customHeight="1">
      <c r="A2" s="3"/>
      <c r="B2" s="256"/>
      <c r="C2" s="400"/>
      <c r="D2" s="400"/>
      <c r="E2" s="400"/>
      <c r="F2" s="400"/>
      <c r="G2" s="400"/>
      <c r="H2" s="400"/>
    </row>
    <row r="3" spans="1:8" ht="15" customHeight="1">
      <c r="A3" s="3"/>
      <c r="B3" s="256"/>
      <c r="C3" s="400"/>
      <c r="D3" s="400"/>
      <c r="E3" s="400"/>
      <c r="F3" s="400"/>
      <c r="G3" s="400"/>
      <c r="H3" s="313" t="s">
        <v>214</v>
      </c>
    </row>
    <row r="4" spans="1:8" ht="30" customHeight="1">
      <c r="A4" s="781" t="s">
        <v>566</v>
      </c>
      <c r="B4" s="782"/>
      <c r="C4" s="793" t="s">
        <v>367</v>
      </c>
      <c r="D4" s="793" t="s">
        <v>368</v>
      </c>
      <c r="E4" s="793" t="s">
        <v>496</v>
      </c>
      <c r="F4" s="793" t="s">
        <v>497</v>
      </c>
      <c r="G4" s="793" t="s">
        <v>498</v>
      </c>
      <c r="H4" s="798" t="s">
        <v>369</v>
      </c>
    </row>
    <row r="5" spans="1:8" ht="30" customHeight="1">
      <c r="A5" s="784"/>
      <c r="B5" s="785"/>
      <c r="C5" s="795"/>
      <c r="D5" s="795"/>
      <c r="E5" s="795"/>
      <c r="F5" s="795"/>
      <c r="G5" s="795"/>
      <c r="H5" s="799"/>
    </row>
    <row r="6" spans="1:8" ht="35.1" customHeight="1">
      <c r="A6" s="792" t="s">
        <v>500</v>
      </c>
      <c r="B6" s="793"/>
      <c r="C6" s="248">
        <f>'3.계획인구'!D24</f>
        <v>540742</v>
      </c>
      <c r="D6" s="248">
        <f>'3.계획인구'!E24</f>
        <v>605000</v>
      </c>
      <c r="E6" s="248">
        <f>'3.계획인구'!F24</f>
        <v>690000</v>
      </c>
      <c r="F6" s="248">
        <f>'3.계획인구'!G24</f>
        <v>780000</v>
      </c>
      <c r="G6" s="248">
        <f>'3.계획인구'!H24</f>
        <v>800000</v>
      </c>
      <c r="H6" s="437"/>
    </row>
    <row r="7" spans="1:8" ht="35.1" customHeight="1">
      <c r="A7" s="796" t="s">
        <v>602</v>
      </c>
      <c r="B7" s="253" t="s">
        <v>603</v>
      </c>
      <c r="C7" s="236">
        <f>'처리구역별 인구 근거'!D7</f>
        <v>377481</v>
      </c>
      <c r="D7" s="236">
        <f>'처리구역별 인구 근거'!E7</f>
        <v>441700</v>
      </c>
      <c r="E7" s="236">
        <f>'처리구역별 인구 근거'!I7</f>
        <v>500900</v>
      </c>
      <c r="F7" s="236">
        <f>'처리구역별 인구 근거'!M7</f>
        <v>511800</v>
      </c>
      <c r="G7" s="236">
        <f>'처리구역별 인구 근거'!Q7</f>
        <v>528600</v>
      </c>
      <c r="H7" s="446"/>
    </row>
    <row r="8" spans="1:8" ht="35.1" customHeight="1">
      <c r="A8" s="789"/>
      <c r="B8" s="10" t="s">
        <v>604</v>
      </c>
      <c r="C8" s="233">
        <f>'처리구역별 인구 근거'!D47</f>
        <v>61641</v>
      </c>
      <c r="D8" s="233">
        <f>'처리구역별 인구 근거'!E47</f>
        <v>77200</v>
      </c>
      <c r="E8" s="233">
        <f>'처리구역별 인구 근거'!I47</f>
        <v>110100</v>
      </c>
      <c r="F8" s="233">
        <f>'처리구역별 인구 근거'!M47</f>
        <v>179800</v>
      </c>
      <c r="G8" s="233">
        <f>'처리구역별 인구 근거'!Q47</f>
        <v>183300</v>
      </c>
      <c r="H8" s="438"/>
    </row>
    <row r="9" spans="1:8" ht="35.1" customHeight="1">
      <c r="A9" s="789"/>
      <c r="B9" s="10" t="s">
        <v>605</v>
      </c>
      <c r="C9" s="233">
        <f>'처리구역별 인구 근거'!D60</f>
        <v>12035</v>
      </c>
      <c r="D9" s="233">
        <f>'처리구역별 인구 근거'!E60</f>
        <v>26900</v>
      </c>
      <c r="E9" s="233">
        <f>'처리구역별 인구 근거'!I60</f>
        <v>32900</v>
      </c>
      <c r="F9" s="233">
        <f>'처리구역별 인구 근거'!M60</f>
        <v>33300</v>
      </c>
      <c r="G9" s="233">
        <f>'처리구역별 인구 근거'!Q60</f>
        <v>34000</v>
      </c>
      <c r="H9" s="438"/>
    </row>
    <row r="10" spans="1:8" ht="35.1" customHeight="1">
      <c r="A10" s="789"/>
      <c r="B10" s="50" t="s">
        <v>505</v>
      </c>
      <c r="C10" s="233">
        <f>SUM(C7:C9)</f>
        <v>451157</v>
      </c>
      <c r="D10" s="233">
        <f>SUM(D7:D9)</f>
        <v>545800</v>
      </c>
      <c r="E10" s="233">
        <f>SUM(E7:E9)</f>
        <v>643900</v>
      </c>
      <c r="F10" s="233">
        <f>SUM(F7:F9)</f>
        <v>724900</v>
      </c>
      <c r="G10" s="233">
        <f>SUM(G7:G9)</f>
        <v>745900</v>
      </c>
      <c r="H10" s="438"/>
    </row>
    <row r="11" spans="1:8" ht="35.1" customHeight="1">
      <c r="A11" s="789"/>
      <c r="B11" s="10" t="s">
        <v>606</v>
      </c>
      <c r="C11" s="233">
        <f>소규모하수도인구!E5</f>
        <v>2150</v>
      </c>
      <c r="D11" s="233">
        <f>소규모하수도인구!F5</f>
        <v>6820</v>
      </c>
      <c r="E11" s="233">
        <f>소규모하수도인구!G5</f>
        <v>7920</v>
      </c>
      <c r="F11" s="233">
        <f>소규모하수도인구!H5</f>
        <v>7920</v>
      </c>
      <c r="G11" s="233">
        <f>소규모하수도인구!I5</f>
        <v>7920</v>
      </c>
      <c r="H11" s="438"/>
    </row>
    <row r="12" spans="1:8" ht="35.1" customHeight="1">
      <c r="A12" s="797"/>
      <c r="B12" s="50" t="s">
        <v>502</v>
      </c>
      <c r="C12" s="233">
        <f>SUM(C10:C11)</f>
        <v>453307</v>
      </c>
      <c r="D12" s="233">
        <f>SUM(D10:D11)</f>
        <v>552620</v>
      </c>
      <c r="E12" s="233">
        <f>SUM(E10:E11)</f>
        <v>651820</v>
      </c>
      <c r="F12" s="233">
        <f>SUM(F10:F11)</f>
        <v>732820</v>
      </c>
      <c r="G12" s="233">
        <f>SUM(G10:G11)</f>
        <v>753820</v>
      </c>
      <c r="H12" s="438"/>
    </row>
    <row r="13" spans="1:8" ht="35.1" customHeight="1">
      <c r="A13" s="796" t="s">
        <v>607</v>
      </c>
      <c r="B13" s="50" t="str">
        <f>소규모하수도인구!C45</f>
        <v>입장밸리산업단지</v>
      </c>
      <c r="C13" s="233">
        <f>소규모하수도인구!E45</f>
        <v>0</v>
      </c>
      <c r="D13" s="233">
        <f>소규모하수도인구!F45</f>
        <v>0</v>
      </c>
      <c r="E13" s="233">
        <f>소규모하수도인구!G45</f>
        <v>0</v>
      </c>
      <c r="F13" s="233">
        <f>소규모하수도인구!H45</f>
        <v>200</v>
      </c>
      <c r="G13" s="233">
        <f>소규모하수도인구!I45</f>
        <v>200</v>
      </c>
      <c r="H13" s="438"/>
    </row>
    <row r="14" spans="1:8" ht="35.1" customHeight="1">
      <c r="A14" s="789"/>
      <c r="B14" s="50" t="str">
        <f>소규모하수도인구!C46</f>
        <v>북부BIT산업단지</v>
      </c>
      <c r="C14" s="233">
        <f>소규모하수도인구!E46</f>
        <v>0</v>
      </c>
      <c r="D14" s="233">
        <f>소규모하수도인구!F46</f>
        <v>0</v>
      </c>
      <c r="E14" s="233">
        <f>소규모하수도인구!G46</f>
        <v>0</v>
      </c>
      <c r="F14" s="233">
        <f>소규모하수도인구!H46</f>
        <v>0</v>
      </c>
      <c r="G14" s="233">
        <f>소규모하수도인구!I46</f>
        <v>0</v>
      </c>
      <c r="H14" s="438"/>
    </row>
    <row r="15" spans="1:8" ht="35.1" customHeight="1">
      <c r="A15" s="789"/>
      <c r="B15" s="50" t="str">
        <f>소규모하수도인구!C47</f>
        <v>북부광역클러스터</v>
      </c>
      <c r="C15" s="233">
        <f>소규모하수도인구!E47</f>
        <v>0</v>
      </c>
      <c r="D15" s="233">
        <f>소규모하수도인구!F47</f>
        <v>0</v>
      </c>
      <c r="E15" s="233">
        <f>소규모하수도인구!G47</f>
        <v>0</v>
      </c>
      <c r="F15" s="233">
        <f>소규모하수도인구!H47</f>
        <v>6000</v>
      </c>
      <c r="G15" s="233">
        <f>소규모하수도인구!I47</f>
        <v>6000</v>
      </c>
      <c r="H15" s="438"/>
    </row>
    <row r="16" spans="1:8" ht="35.1" customHeight="1">
      <c r="A16" s="789"/>
      <c r="B16" s="50" t="str">
        <f>소규모하수도인구!C48</f>
        <v>동부바이오산업단지</v>
      </c>
      <c r="C16" s="233">
        <f>소규모하수도인구!E48</f>
        <v>0</v>
      </c>
      <c r="D16" s="233">
        <f>소규모하수도인구!F48</f>
        <v>0</v>
      </c>
      <c r="E16" s="233">
        <f>소규모하수도인구!G48</f>
        <v>0</v>
      </c>
      <c r="F16" s="233">
        <f>소규모하수도인구!H48</f>
        <v>200</v>
      </c>
      <c r="G16" s="233">
        <f>소규모하수도인구!I48</f>
        <v>200</v>
      </c>
      <c r="H16" s="438"/>
    </row>
    <row r="17" spans="1:8" ht="35.1" customHeight="1">
      <c r="A17" s="789"/>
      <c r="B17" s="50" t="str">
        <f>소규모하수도인구!C49</f>
        <v>수신일반산업단지</v>
      </c>
      <c r="C17" s="233">
        <f>소규모하수도인구!E49</f>
        <v>0</v>
      </c>
      <c r="D17" s="233">
        <f>소규모하수도인구!F49</f>
        <v>0</v>
      </c>
      <c r="E17" s="233">
        <f>소규모하수도인구!G49</f>
        <v>0</v>
      </c>
      <c r="F17" s="233">
        <f>소규모하수도인구!H49</f>
        <v>7600</v>
      </c>
      <c r="G17" s="233">
        <f>소규모하수도인구!I49</f>
        <v>7600</v>
      </c>
      <c r="H17" s="438"/>
    </row>
    <row r="18" spans="1:8" ht="35.1" customHeight="1">
      <c r="A18" s="789"/>
      <c r="B18" s="50" t="str">
        <f>소규모하수도인구!C50</f>
        <v>풍세일반산업단지</v>
      </c>
      <c r="C18" s="233">
        <f>소규모하수도인구!E50</f>
        <v>0</v>
      </c>
      <c r="D18" s="233">
        <f>소규모하수도인구!F50</f>
        <v>0</v>
      </c>
      <c r="E18" s="233">
        <f>소규모하수도인구!G50</f>
        <v>3200</v>
      </c>
      <c r="F18" s="233">
        <f>소규모하수도인구!H50</f>
        <v>3200</v>
      </c>
      <c r="G18" s="233">
        <f>소규모하수도인구!I50</f>
        <v>3200</v>
      </c>
      <c r="H18" s="438"/>
    </row>
    <row r="19" spans="1:8" ht="35.1" customHeight="1">
      <c r="A19" s="797"/>
      <c r="B19" s="50" t="s">
        <v>502</v>
      </c>
      <c r="C19" s="233">
        <f>SUM(C13:C18)</f>
        <v>0</v>
      </c>
      <c r="D19" s="233">
        <f>SUM(D13:D18)</f>
        <v>0</v>
      </c>
      <c r="E19" s="233">
        <f>SUM(E13:E18)</f>
        <v>3200</v>
      </c>
      <c r="F19" s="233">
        <f>SUM(F13:F18)</f>
        <v>17200</v>
      </c>
      <c r="G19" s="233">
        <f>SUM(G13:G18)</f>
        <v>17200</v>
      </c>
      <c r="H19" s="438"/>
    </row>
    <row r="20" spans="1:8" ht="35.1" customHeight="1">
      <c r="A20" s="974" t="s">
        <v>608</v>
      </c>
      <c r="B20" s="920"/>
      <c r="C20" s="233">
        <f>C12+C19</f>
        <v>453307</v>
      </c>
      <c r="D20" s="233">
        <f>D12+D19</f>
        <v>552620</v>
      </c>
      <c r="E20" s="233">
        <f>E12+E19</f>
        <v>655020</v>
      </c>
      <c r="F20" s="233">
        <f>F12+F19</f>
        <v>750020</v>
      </c>
      <c r="G20" s="233">
        <f>G12+G19</f>
        <v>771020</v>
      </c>
      <c r="H20" s="438"/>
    </row>
    <row r="21" spans="1:8" ht="35.1" customHeight="1">
      <c r="A21" s="794" t="s">
        <v>609</v>
      </c>
      <c r="B21" s="795"/>
      <c r="C21" s="565">
        <f>ROUND(C20/C6,4)*100</f>
        <v>83.83</v>
      </c>
      <c r="D21" s="565">
        <f>ROUND(D20/D6,4)*100</f>
        <v>91.34</v>
      </c>
      <c r="E21" s="565">
        <f>ROUND(E20/E6,4)*100</f>
        <v>94.93</v>
      </c>
      <c r="F21" s="565">
        <f>ROUND(F20/F6,4)*100</f>
        <v>96.16</v>
      </c>
      <c r="G21" s="565">
        <f>ROUND(G20/G6,4)*100</f>
        <v>96.38</v>
      </c>
      <c r="H21" s="439"/>
    </row>
  </sheetData>
  <mergeCells count="12">
    <mergeCell ref="A4:B5"/>
    <mergeCell ref="A21:B21"/>
    <mergeCell ref="A6:B6"/>
    <mergeCell ref="A20:B20"/>
    <mergeCell ref="A13:A19"/>
    <mergeCell ref="A7:A12"/>
    <mergeCell ref="G4:G5"/>
    <mergeCell ref="H4:H5"/>
    <mergeCell ref="E4:E5"/>
    <mergeCell ref="C4:C5"/>
    <mergeCell ref="D4:D5"/>
    <mergeCell ref="F4:F5"/>
  </mergeCells>
  <phoneticPr fontId="2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U79"/>
  <sheetViews>
    <sheetView showGridLines="0" view="pageBreakPreview" topLeftCell="L1" zoomScale="130" zoomScaleSheetLayoutView="130" workbookViewId="0">
      <selection activeCell="P9" sqref="P9"/>
    </sheetView>
  </sheetViews>
  <sheetFormatPr defaultRowHeight="23.1" customHeight="1"/>
  <cols>
    <col min="1" max="2" width="11.109375" style="450" customWidth="1"/>
    <col min="3" max="6" width="11" style="450" customWidth="1"/>
    <col min="7" max="7" width="11" style="451" customWidth="1"/>
    <col min="8" max="9" width="11.109375" style="450" customWidth="1"/>
    <col min="10" max="13" width="11" style="450" customWidth="1"/>
    <col min="14" max="14" width="11" style="451" customWidth="1"/>
    <col min="15" max="16" width="11.109375" style="450" customWidth="1"/>
    <col min="17" max="20" width="11" style="450" customWidth="1"/>
    <col min="21" max="21" width="11" style="451" customWidth="1"/>
    <col min="22" max="16384" width="8.88671875" style="451"/>
  </cols>
  <sheetData>
    <row r="1" spans="1:21" ht="23.1" customHeight="1">
      <c r="A1" s="447" t="s">
        <v>610</v>
      </c>
      <c r="B1" s="448"/>
      <c r="C1" s="448"/>
      <c r="D1" s="449"/>
      <c r="E1" s="449"/>
      <c r="H1" s="447" t="s">
        <v>611</v>
      </c>
      <c r="I1" s="448"/>
      <c r="J1" s="448"/>
      <c r="K1" s="449"/>
      <c r="L1" s="449"/>
      <c r="O1" s="447" t="s">
        <v>612</v>
      </c>
      <c r="P1" s="448"/>
      <c r="Q1" s="448"/>
      <c r="R1" s="449"/>
      <c r="S1" s="449"/>
    </row>
    <row r="2" spans="1:21" ht="23.1" customHeight="1">
      <c r="E2" s="452"/>
      <c r="F2" s="453"/>
      <c r="L2" s="452"/>
      <c r="M2" s="453"/>
      <c r="S2" s="452"/>
      <c r="T2" s="453"/>
    </row>
    <row r="3" spans="1:21" ht="23.1" customHeight="1">
      <c r="A3" s="1004" t="s">
        <v>109</v>
      </c>
      <c r="B3" s="1005"/>
      <c r="C3" s="454" t="s">
        <v>33</v>
      </c>
      <c r="D3" s="454" t="s">
        <v>32</v>
      </c>
      <c r="E3" s="454" t="s">
        <v>31</v>
      </c>
      <c r="F3" s="454" t="s">
        <v>30</v>
      </c>
      <c r="G3" s="455" t="s">
        <v>29</v>
      </c>
      <c r="H3" s="1004" t="s">
        <v>109</v>
      </c>
      <c r="I3" s="1005"/>
      <c r="J3" s="454" t="s">
        <v>33</v>
      </c>
      <c r="K3" s="454" t="s">
        <v>32</v>
      </c>
      <c r="L3" s="454" t="s">
        <v>31</v>
      </c>
      <c r="M3" s="454" t="s">
        <v>30</v>
      </c>
      <c r="N3" s="455" t="s">
        <v>29</v>
      </c>
      <c r="O3" s="1004" t="s">
        <v>109</v>
      </c>
      <c r="P3" s="1005"/>
      <c r="Q3" s="454" t="s">
        <v>33</v>
      </c>
      <c r="R3" s="454" t="s">
        <v>32</v>
      </c>
      <c r="S3" s="454" t="s">
        <v>31</v>
      </c>
      <c r="T3" s="454" t="s">
        <v>30</v>
      </c>
      <c r="U3" s="455" t="s">
        <v>29</v>
      </c>
    </row>
    <row r="4" spans="1:21" ht="23.1" customHeight="1">
      <c r="A4" s="1009" t="s">
        <v>50</v>
      </c>
      <c r="B4" s="1010"/>
      <c r="C4" s="456">
        <f>'처리구역별 인구 근거'!D7</f>
        <v>377481</v>
      </c>
      <c r="D4" s="456">
        <f>'처리구역별 인구 근거'!E7</f>
        <v>441700</v>
      </c>
      <c r="E4" s="456">
        <f>'처리구역별 인구 근거'!I7</f>
        <v>500900</v>
      </c>
      <c r="F4" s="456">
        <f>'처리구역별 인구 근거'!M7</f>
        <v>511800</v>
      </c>
      <c r="G4" s="457">
        <f>'처리구역별 인구 근거'!Q7</f>
        <v>528600</v>
      </c>
      <c r="H4" s="1009" t="s">
        <v>50</v>
      </c>
      <c r="I4" s="1010"/>
      <c r="J4" s="456">
        <f>'처리구역별 인구 근거'!D47</f>
        <v>61641</v>
      </c>
      <c r="K4" s="456">
        <f>'처리구역별 인구 근거'!E47</f>
        <v>77200</v>
      </c>
      <c r="L4" s="456">
        <f>'처리구역별 인구 근거'!I47</f>
        <v>110100</v>
      </c>
      <c r="M4" s="456">
        <f>'처리구역별 인구 근거'!M47</f>
        <v>179800</v>
      </c>
      <c r="N4" s="457">
        <f>'처리구역별 인구 근거'!Q47</f>
        <v>183300</v>
      </c>
      <c r="O4" s="1009" t="s">
        <v>50</v>
      </c>
      <c r="P4" s="1010"/>
      <c r="Q4" s="456">
        <f>'처리구역별 인구 근거'!D60</f>
        <v>12035</v>
      </c>
      <c r="R4" s="456">
        <f>'처리구역별 인구 근거'!E60</f>
        <v>26900</v>
      </c>
      <c r="S4" s="456">
        <f>'처리구역별 인구 근거'!I60</f>
        <v>32900</v>
      </c>
      <c r="T4" s="456">
        <f>'처리구역별 인구 근거'!M60</f>
        <v>33300</v>
      </c>
      <c r="U4" s="457">
        <f>'처리구역별 인구 근거'!Q60</f>
        <v>34000</v>
      </c>
    </row>
    <row r="5" spans="1:21" ht="23.1" customHeight="1">
      <c r="A5" s="1006" t="s">
        <v>51</v>
      </c>
      <c r="B5" s="458" t="s">
        <v>1426</v>
      </c>
      <c r="C5" s="283">
        <f>[20]계획하수량!$J$20</f>
        <v>118299</v>
      </c>
      <c r="D5" s="283">
        <f>[20]계획하수량!$M$20</f>
        <v>144007</v>
      </c>
      <c r="E5" s="283">
        <f>[20]계획하수량!$P$20</f>
        <v>170791</v>
      </c>
      <c r="F5" s="283">
        <f>[20]계획하수량!$S$20</f>
        <v>175275</v>
      </c>
      <c r="G5" s="459">
        <f>[20]계획하수량!$V$20</f>
        <v>180712</v>
      </c>
      <c r="H5" s="1006" t="s">
        <v>51</v>
      </c>
      <c r="I5" s="458" t="s">
        <v>52</v>
      </c>
      <c r="J5" s="283">
        <f>[20]계획하수량!$J$182</f>
        <v>11466</v>
      </c>
      <c r="K5" s="283">
        <f>[20]계획하수량!$M$182</f>
        <v>15945</v>
      </c>
      <c r="L5" s="283">
        <f>[20]계획하수량!$P$182</f>
        <v>24232</v>
      </c>
      <c r="M5" s="283">
        <f>[20]계획하수량!$S$182</f>
        <v>42193</v>
      </c>
      <c r="N5" s="459">
        <f>[20]계획하수량!$V$182</f>
        <v>43012</v>
      </c>
      <c r="O5" s="1006" t="s">
        <v>51</v>
      </c>
      <c r="P5" s="458" t="s">
        <v>52</v>
      </c>
      <c r="Q5" s="283">
        <f>[20]계획하수량!$J$248</f>
        <v>3634</v>
      </c>
      <c r="R5" s="283">
        <f>[20]계획하수량!$M$248</f>
        <v>9622</v>
      </c>
      <c r="S5" s="283">
        <f>[20]계획하수량!$P$248</f>
        <v>14098</v>
      </c>
      <c r="T5" s="283">
        <f>[20]계획하수량!$S$248</f>
        <v>14254</v>
      </c>
      <c r="U5" s="459">
        <f>[20]계획하수량!$V$248</f>
        <v>14466</v>
      </c>
    </row>
    <row r="6" spans="1:21" ht="23.1" customHeight="1">
      <c r="A6" s="1007"/>
      <c r="B6" s="458" t="s">
        <v>1427</v>
      </c>
      <c r="C6" s="460">
        <f>[20]계획하수량!$K$20</f>
        <v>142460</v>
      </c>
      <c r="D6" s="460">
        <f>[20]계획하수량!$N$20</f>
        <v>174042</v>
      </c>
      <c r="E6" s="460">
        <f>[20]계획하수량!$Q$20</f>
        <v>206856</v>
      </c>
      <c r="F6" s="460">
        <f>[20]계획하수량!$T$20</f>
        <v>212124</v>
      </c>
      <c r="G6" s="461">
        <f>[20]계획하수량!$W$20</f>
        <v>218771</v>
      </c>
      <c r="H6" s="1007"/>
      <c r="I6" s="458" t="s">
        <v>613</v>
      </c>
      <c r="J6" s="460">
        <f>[20]계획하수량!$K$182</f>
        <v>13993</v>
      </c>
      <c r="K6" s="460">
        <f>[20]계획하수량!$N$182</f>
        <v>19497</v>
      </c>
      <c r="L6" s="460">
        <f>[20]계획하수량!$Q$182</f>
        <v>29626</v>
      </c>
      <c r="M6" s="460">
        <f>[20]계획하수량!$T$182</f>
        <v>51543</v>
      </c>
      <c r="N6" s="461">
        <f>[20]계획하수량!$W$182</f>
        <v>52544</v>
      </c>
      <c r="O6" s="1007"/>
      <c r="P6" s="458" t="s">
        <v>613</v>
      </c>
      <c r="Q6" s="460">
        <f>[20]계획하수량!$K$248</f>
        <v>4440</v>
      </c>
      <c r="R6" s="460">
        <f>[20]계획하수량!$N$248</f>
        <v>12053</v>
      </c>
      <c r="S6" s="460">
        <f>[20]계획하수량!$Q$248</f>
        <v>18073</v>
      </c>
      <c r="T6" s="460">
        <f>[20]계획하수량!$T$248</f>
        <v>18288</v>
      </c>
      <c r="U6" s="461">
        <f>[20]계획하수량!$W$248</f>
        <v>18549</v>
      </c>
    </row>
    <row r="7" spans="1:21" ht="23.1" customHeight="1">
      <c r="A7" s="1008"/>
      <c r="B7" s="458" t="s">
        <v>1428</v>
      </c>
      <c r="C7" s="283">
        <f>[20]계획하수량!$L$20</f>
        <v>212189</v>
      </c>
      <c r="D7" s="283">
        <f>[20]계획하수량!$O$20</f>
        <v>257054</v>
      </c>
      <c r="E7" s="283">
        <f>[20]계획하수량!$R$20</f>
        <v>304769</v>
      </c>
      <c r="F7" s="283">
        <f>[20]계획하수량!$U$20</f>
        <v>312473</v>
      </c>
      <c r="G7" s="459">
        <f>[20]계획하수량!$X$20</f>
        <v>322141.5</v>
      </c>
      <c r="H7" s="1008"/>
      <c r="I7" s="458" t="s">
        <v>55</v>
      </c>
      <c r="J7" s="283">
        <f>[20]계획하수량!$L$182</f>
        <v>20342</v>
      </c>
      <c r="K7" s="283">
        <f>[20]계획하수량!$O$182</f>
        <v>28357</v>
      </c>
      <c r="L7" s="283">
        <f>[20]계획하수량!$R$182</f>
        <v>43119</v>
      </c>
      <c r="M7" s="283">
        <f>[20]계획하수량!$U$182</f>
        <v>74977</v>
      </c>
      <c r="N7" s="459">
        <f>[20]계획하수량!$X$182</f>
        <v>76433</v>
      </c>
      <c r="O7" s="1008"/>
      <c r="P7" s="458" t="s">
        <v>55</v>
      </c>
      <c r="Q7" s="283">
        <f>[20]계획하수량!$L$248</f>
        <v>6463</v>
      </c>
      <c r="R7" s="283">
        <f>[20]계획하수량!$O$248</f>
        <v>18673</v>
      </c>
      <c r="S7" s="283">
        <f>[20]계획하수량!$R$248</f>
        <v>29499</v>
      </c>
      <c r="T7" s="283">
        <f>[20]계획하수량!$U$248</f>
        <v>29816</v>
      </c>
      <c r="U7" s="459">
        <f>[20]계획하수량!$X$248</f>
        <v>30193</v>
      </c>
    </row>
    <row r="8" spans="1:21" ht="23.1" customHeight="1">
      <c r="A8" s="1002" t="s">
        <v>1425</v>
      </c>
      <c r="B8" s="458" t="s">
        <v>37</v>
      </c>
      <c r="C8" s="283">
        <v>150000</v>
      </c>
      <c r="D8" s="283">
        <f>C10</f>
        <v>150000</v>
      </c>
      <c r="E8" s="283">
        <f>D10</f>
        <v>180000</v>
      </c>
      <c r="F8" s="283">
        <f>E10</f>
        <v>220000</v>
      </c>
      <c r="G8" s="459">
        <f>F10</f>
        <v>220000</v>
      </c>
      <c r="H8" s="1002" t="s">
        <v>1425</v>
      </c>
      <c r="I8" s="458" t="s">
        <v>37</v>
      </c>
      <c r="J8" s="283">
        <v>24000</v>
      </c>
      <c r="K8" s="283">
        <f>J10</f>
        <v>24000</v>
      </c>
      <c r="L8" s="283">
        <f>K10</f>
        <v>24000</v>
      </c>
      <c r="M8" s="283">
        <f>L10</f>
        <v>30000</v>
      </c>
      <c r="N8" s="459">
        <f>M10</f>
        <v>52000</v>
      </c>
      <c r="O8" s="1002" t="s">
        <v>1425</v>
      </c>
      <c r="P8" s="458" t="s">
        <v>37</v>
      </c>
      <c r="Q8" s="283">
        <v>9500</v>
      </c>
      <c r="R8" s="283">
        <f>Q10</f>
        <v>9500</v>
      </c>
      <c r="S8" s="283">
        <f>R10</f>
        <v>12000</v>
      </c>
      <c r="T8" s="283">
        <f>S10</f>
        <v>18000</v>
      </c>
      <c r="U8" s="459">
        <f>T10</f>
        <v>18000</v>
      </c>
    </row>
    <row r="9" spans="1:21" ht="23.1" customHeight="1">
      <c r="A9" s="1002"/>
      <c r="B9" s="458" t="s">
        <v>54</v>
      </c>
      <c r="C9" s="283">
        <v>0</v>
      </c>
      <c r="D9" s="283">
        <v>30000</v>
      </c>
      <c r="E9" s="283">
        <v>40000</v>
      </c>
      <c r="F9" s="283">
        <v>0</v>
      </c>
      <c r="G9" s="459">
        <v>0</v>
      </c>
      <c r="H9" s="1002"/>
      <c r="I9" s="458" t="s">
        <v>54</v>
      </c>
      <c r="J9" s="283">
        <v>0</v>
      </c>
      <c r="K9" s="283">
        <v>0</v>
      </c>
      <c r="L9" s="283">
        <v>6000</v>
      </c>
      <c r="M9" s="283">
        <v>22000</v>
      </c>
      <c r="N9" s="459">
        <v>0</v>
      </c>
      <c r="O9" s="1002"/>
      <c r="P9" s="458" t="s">
        <v>54</v>
      </c>
      <c r="Q9" s="283">
        <v>0</v>
      </c>
      <c r="R9" s="283">
        <v>2500</v>
      </c>
      <c r="S9" s="283">
        <v>6000</v>
      </c>
      <c r="T9" s="283">
        <v>0</v>
      </c>
      <c r="U9" s="459">
        <v>0</v>
      </c>
    </row>
    <row r="10" spans="1:21" ht="23.1" customHeight="1">
      <c r="A10" s="1003"/>
      <c r="B10" s="462" t="s">
        <v>53</v>
      </c>
      <c r="C10" s="463">
        <f>SUM(C8:C9)</f>
        <v>150000</v>
      </c>
      <c r="D10" s="463">
        <f>SUM(D8:D9)</f>
        <v>180000</v>
      </c>
      <c r="E10" s="463">
        <f>SUM(E8:E9)</f>
        <v>220000</v>
      </c>
      <c r="F10" s="463">
        <f>SUM(F8:F9)</f>
        <v>220000</v>
      </c>
      <c r="G10" s="464">
        <f>SUM(G8:G9)</f>
        <v>220000</v>
      </c>
      <c r="H10" s="1003"/>
      <c r="I10" s="462" t="s">
        <v>53</v>
      </c>
      <c r="J10" s="463">
        <f>SUM(J8:J9)</f>
        <v>24000</v>
      </c>
      <c r="K10" s="463">
        <f>SUM(K8:K9)</f>
        <v>24000</v>
      </c>
      <c r="L10" s="463">
        <f>SUM(L8:L9)</f>
        <v>30000</v>
      </c>
      <c r="M10" s="463">
        <f>SUM(M8:M9)</f>
        <v>52000</v>
      </c>
      <c r="N10" s="464">
        <f>SUM(N8:N9)</f>
        <v>52000</v>
      </c>
      <c r="O10" s="1003"/>
      <c r="P10" s="462" t="s">
        <v>53</v>
      </c>
      <c r="Q10" s="463">
        <f>SUM(Q8:Q9)</f>
        <v>9500</v>
      </c>
      <c r="R10" s="463">
        <f>SUM(R8:R9)</f>
        <v>12000</v>
      </c>
      <c r="S10" s="463">
        <f>SUM(S8:S9)</f>
        <v>18000</v>
      </c>
      <c r="T10" s="463">
        <f>SUM(T8:T9)</f>
        <v>18000</v>
      </c>
      <c r="U10" s="464">
        <f>SUM(U8:U9)</f>
        <v>18000</v>
      </c>
    </row>
    <row r="12" spans="1:21" ht="23.1" customHeight="1">
      <c r="A12" s="465"/>
      <c r="B12" s="466"/>
      <c r="C12" s="466"/>
      <c r="D12" s="467"/>
      <c r="E12" s="468"/>
      <c r="H12" s="465"/>
      <c r="I12" s="466"/>
      <c r="J12" s="466"/>
      <c r="K12" s="467"/>
      <c r="L12" s="468"/>
      <c r="O12" s="465"/>
      <c r="P12" s="466"/>
      <c r="Q12" s="466"/>
      <c r="R12" s="467"/>
      <c r="S12" s="468"/>
    </row>
    <row r="13" spans="1:21" ht="23.1" customHeight="1">
      <c r="A13" s="465"/>
      <c r="B13" s="469"/>
      <c r="C13" s="469"/>
      <c r="D13" s="469"/>
      <c r="E13" s="468"/>
      <c r="H13" s="465"/>
      <c r="I13" s="469"/>
      <c r="J13" s="469"/>
      <c r="K13" s="469"/>
      <c r="L13" s="468"/>
      <c r="O13" s="465"/>
      <c r="P13" s="469"/>
      <c r="Q13" s="469"/>
      <c r="R13" s="469"/>
      <c r="S13" s="468"/>
    </row>
    <row r="14" spans="1:21" ht="23.1" customHeight="1">
      <c r="A14" s="465"/>
      <c r="B14" s="469"/>
      <c r="C14" s="469"/>
      <c r="D14" s="469"/>
      <c r="E14" s="470"/>
      <c r="H14" s="465"/>
      <c r="I14" s="469"/>
      <c r="J14" s="469"/>
      <c r="K14" s="469"/>
      <c r="L14" s="470"/>
      <c r="O14" s="465"/>
      <c r="P14" s="469"/>
      <c r="Q14" s="469"/>
      <c r="R14" s="469"/>
      <c r="S14" s="470"/>
    </row>
    <row r="15" spans="1:21" ht="23.1" customHeight="1">
      <c r="D15" s="471"/>
      <c r="E15" s="470"/>
      <c r="K15" s="471"/>
      <c r="L15" s="470"/>
      <c r="R15" s="471"/>
      <c r="S15" s="470"/>
    </row>
    <row r="16" spans="1:21" ht="23.1" customHeight="1">
      <c r="D16" s="471"/>
      <c r="E16" s="472"/>
      <c r="K16" s="471"/>
      <c r="L16" s="472"/>
      <c r="R16" s="471"/>
      <c r="S16" s="472"/>
    </row>
    <row r="17" spans="6:21" ht="23.1" customHeight="1">
      <c r="F17" s="473"/>
      <c r="M17" s="473"/>
      <c r="T17" s="473"/>
    </row>
    <row r="26" spans="6:21" ht="23.1" customHeight="1">
      <c r="R26" s="474">
        <f>D6+K6+R6</f>
        <v>205592</v>
      </c>
      <c r="S26" s="474">
        <f>E6+L6+S6</f>
        <v>254555</v>
      </c>
      <c r="T26" s="474">
        <f>F6+M6+T6</f>
        <v>281955</v>
      </c>
      <c r="U26" s="474">
        <f>G6+N6+U6</f>
        <v>289864</v>
      </c>
    </row>
    <row r="37" spans="1:17" ht="23.1" customHeight="1">
      <c r="A37" s="451"/>
      <c r="B37" s="451"/>
      <c r="C37" s="451"/>
      <c r="H37" s="451"/>
      <c r="I37" s="451"/>
      <c r="J37" s="451"/>
      <c r="O37" s="451"/>
      <c r="P37" s="451"/>
      <c r="Q37" s="451"/>
    </row>
    <row r="38" spans="1:17" ht="23.1" customHeight="1">
      <c r="A38" s="451"/>
      <c r="B38" s="451"/>
      <c r="C38" s="451"/>
      <c r="H38" s="451"/>
      <c r="I38" s="451"/>
      <c r="J38" s="451"/>
      <c r="O38" s="451"/>
      <c r="P38" s="451"/>
      <c r="Q38" s="451"/>
    </row>
    <row r="39" spans="1:17" ht="23.1" customHeight="1">
      <c r="A39" s="451"/>
      <c r="B39" s="451"/>
      <c r="C39" s="451"/>
      <c r="H39" s="451"/>
      <c r="I39" s="451"/>
      <c r="J39" s="451"/>
      <c r="O39" s="451"/>
      <c r="P39" s="451"/>
      <c r="Q39" s="451"/>
    </row>
    <row r="40" spans="1:17" ht="23.1" customHeight="1">
      <c r="A40" s="451"/>
      <c r="B40" s="451"/>
      <c r="C40" s="451"/>
      <c r="H40" s="451"/>
      <c r="I40" s="451"/>
      <c r="J40" s="451"/>
      <c r="O40" s="451"/>
      <c r="P40" s="451"/>
      <c r="Q40" s="451"/>
    </row>
    <row r="44" spans="1:17" ht="23.1" customHeight="1">
      <c r="A44" s="451"/>
      <c r="B44" s="451"/>
      <c r="C44" s="451"/>
      <c r="H44" s="451"/>
      <c r="I44" s="451"/>
      <c r="J44" s="451"/>
      <c r="O44" s="451"/>
      <c r="P44" s="451"/>
      <c r="Q44" s="451"/>
    </row>
    <row r="45" spans="1:17" ht="23.1" customHeight="1">
      <c r="A45" s="451"/>
      <c r="B45" s="451"/>
      <c r="C45" s="451"/>
      <c r="H45" s="451"/>
      <c r="I45" s="451"/>
      <c r="J45" s="451"/>
      <c r="O45" s="451"/>
      <c r="P45" s="451"/>
      <c r="Q45" s="451"/>
    </row>
    <row r="46" spans="1:17" ht="23.1" customHeight="1">
      <c r="A46" s="451"/>
      <c r="B46" s="451"/>
      <c r="C46" s="451"/>
      <c r="H46" s="451"/>
      <c r="I46" s="451"/>
      <c r="J46" s="451"/>
      <c r="O46" s="451"/>
      <c r="P46" s="451"/>
      <c r="Q46" s="451"/>
    </row>
    <row r="47" spans="1:17" ht="23.1" customHeight="1">
      <c r="A47" s="451"/>
      <c r="B47" s="451"/>
      <c r="C47" s="451"/>
      <c r="H47" s="451"/>
      <c r="I47" s="451"/>
      <c r="J47" s="451"/>
      <c r="O47" s="451"/>
      <c r="P47" s="451"/>
      <c r="Q47" s="451"/>
    </row>
    <row r="49" spans="1:17" ht="23.1" customHeight="1">
      <c r="A49" s="451"/>
      <c r="B49" s="451"/>
      <c r="C49" s="451"/>
      <c r="H49" s="451"/>
      <c r="I49" s="451"/>
      <c r="J49" s="451"/>
      <c r="O49" s="451"/>
      <c r="P49" s="451"/>
      <c r="Q49" s="451"/>
    </row>
    <row r="50" spans="1:17" ht="23.1" customHeight="1">
      <c r="A50" s="451"/>
      <c r="B50" s="451"/>
      <c r="C50" s="451"/>
      <c r="H50" s="451"/>
      <c r="I50" s="451"/>
      <c r="J50" s="451"/>
      <c r="O50" s="451"/>
      <c r="P50" s="451"/>
      <c r="Q50" s="451"/>
    </row>
    <row r="51" spans="1:17" ht="23.1" customHeight="1">
      <c r="A51" s="451"/>
      <c r="B51" s="451"/>
      <c r="C51" s="451"/>
      <c r="H51" s="451"/>
      <c r="I51" s="451"/>
      <c r="J51" s="451"/>
      <c r="O51" s="451"/>
      <c r="P51" s="451"/>
      <c r="Q51" s="451"/>
    </row>
    <row r="52" spans="1:17" ht="23.1" customHeight="1">
      <c r="A52" s="451"/>
      <c r="B52" s="451"/>
      <c r="C52" s="451"/>
      <c r="H52" s="451"/>
      <c r="I52" s="451"/>
      <c r="J52" s="451"/>
      <c r="O52" s="451"/>
      <c r="P52" s="451"/>
      <c r="Q52" s="451"/>
    </row>
    <row r="53" spans="1:17" ht="23.1" customHeight="1">
      <c r="A53" s="451"/>
      <c r="B53" s="451"/>
      <c r="C53" s="451"/>
      <c r="H53" s="451"/>
      <c r="I53" s="451"/>
      <c r="J53" s="451"/>
      <c r="O53" s="451"/>
      <c r="P53" s="451"/>
      <c r="Q53" s="451"/>
    </row>
    <row r="54" spans="1:17" ht="23.1" customHeight="1">
      <c r="A54" s="451"/>
      <c r="B54" s="451"/>
      <c r="C54" s="451"/>
      <c r="H54" s="451"/>
      <c r="I54" s="451"/>
      <c r="J54" s="451"/>
      <c r="O54" s="451"/>
      <c r="P54" s="451"/>
      <c r="Q54" s="451"/>
    </row>
    <row r="55" spans="1:17" ht="23.1" customHeight="1">
      <c r="A55" s="451"/>
      <c r="B55" s="451"/>
      <c r="C55" s="451"/>
      <c r="H55" s="451"/>
      <c r="I55" s="451"/>
      <c r="J55" s="451"/>
      <c r="O55" s="451"/>
      <c r="P55" s="451"/>
      <c r="Q55" s="451"/>
    </row>
    <row r="56" spans="1:17" ht="23.1" customHeight="1">
      <c r="A56" s="451"/>
      <c r="B56" s="451"/>
      <c r="C56" s="451"/>
      <c r="H56" s="451"/>
      <c r="I56" s="451"/>
      <c r="J56" s="451"/>
      <c r="O56" s="451"/>
      <c r="P56" s="451"/>
      <c r="Q56" s="451"/>
    </row>
    <row r="57" spans="1:17" ht="23.1" customHeight="1">
      <c r="A57" s="451"/>
      <c r="B57" s="451"/>
      <c r="C57" s="451"/>
      <c r="H57" s="451"/>
      <c r="I57" s="451"/>
      <c r="J57" s="451"/>
      <c r="O57" s="451"/>
      <c r="P57" s="451"/>
      <c r="Q57" s="451"/>
    </row>
    <row r="60" spans="1:17" ht="23.1" customHeight="1">
      <c r="A60" s="451"/>
      <c r="B60" s="451"/>
      <c r="C60" s="451"/>
      <c r="H60" s="451"/>
      <c r="I60" s="451"/>
      <c r="J60" s="451"/>
      <c r="O60" s="451"/>
      <c r="P60" s="451"/>
      <c r="Q60" s="451"/>
    </row>
    <row r="61" spans="1:17" ht="23.1" customHeight="1">
      <c r="A61" s="451"/>
      <c r="B61" s="451"/>
      <c r="C61" s="451"/>
      <c r="H61" s="451"/>
      <c r="I61" s="451"/>
      <c r="J61" s="451"/>
      <c r="O61" s="451"/>
      <c r="P61" s="451"/>
      <c r="Q61" s="451"/>
    </row>
    <row r="62" spans="1:17" ht="23.1" customHeight="1">
      <c r="A62" s="451"/>
      <c r="B62" s="451"/>
      <c r="C62" s="451"/>
      <c r="H62" s="451"/>
      <c r="I62" s="451"/>
      <c r="J62" s="451"/>
      <c r="O62" s="451"/>
      <c r="P62" s="451"/>
      <c r="Q62" s="451"/>
    </row>
    <row r="63" spans="1:17" ht="23.1" customHeight="1">
      <c r="A63" s="451"/>
      <c r="B63" s="451"/>
      <c r="C63" s="451"/>
      <c r="H63" s="451"/>
      <c r="I63" s="451"/>
      <c r="J63" s="451"/>
      <c r="O63" s="451"/>
      <c r="P63" s="451"/>
      <c r="Q63" s="451"/>
    </row>
    <row r="64" spans="1:17" ht="23.1" customHeight="1">
      <c r="A64" s="451"/>
      <c r="B64" s="451"/>
      <c r="C64" s="451"/>
      <c r="H64" s="451"/>
      <c r="I64" s="451"/>
      <c r="J64" s="451"/>
      <c r="O64" s="451"/>
      <c r="P64" s="451"/>
      <c r="Q64" s="451"/>
    </row>
    <row r="69" spans="1:17" ht="23.1" customHeight="1">
      <c r="A69" s="451"/>
      <c r="B69" s="451"/>
      <c r="C69" s="451"/>
      <c r="H69" s="451"/>
      <c r="I69" s="451"/>
      <c r="J69" s="451"/>
      <c r="O69" s="451"/>
      <c r="P69" s="451"/>
      <c r="Q69" s="451"/>
    </row>
    <row r="70" spans="1:17" ht="23.1" customHeight="1">
      <c r="A70" s="451"/>
      <c r="B70" s="451"/>
      <c r="C70" s="451"/>
      <c r="H70" s="451"/>
      <c r="I70" s="451"/>
      <c r="J70" s="451"/>
      <c r="O70" s="451"/>
      <c r="P70" s="451"/>
      <c r="Q70" s="451"/>
    </row>
    <row r="71" spans="1:17" ht="23.1" customHeight="1">
      <c r="A71" s="451"/>
      <c r="B71" s="451"/>
      <c r="C71" s="451"/>
      <c r="H71" s="451"/>
      <c r="I71" s="451"/>
      <c r="J71" s="451"/>
      <c r="O71" s="451"/>
      <c r="P71" s="451"/>
      <c r="Q71" s="451"/>
    </row>
    <row r="72" spans="1:17" ht="23.1" customHeight="1">
      <c r="A72" s="451"/>
      <c r="B72" s="451"/>
      <c r="C72" s="451"/>
      <c r="H72" s="451"/>
      <c r="I72" s="451"/>
      <c r="J72" s="451"/>
      <c r="O72" s="451"/>
      <c r="P72" s="451"/>
      <c r="Q72" s="451"/>
    </row>
    <row r="73" spans="1:17" ht="23.1" customHeight="1">
      <c r="A73" s="451"/>
      <c r="B73" s="451"/>
      <c r="C73" s="451"/>
      <c r="H73" s="451"/>
      <c r="I73" s="451"/>
      <c r="J73" s="451"/>
      <c r="O73" s="451"/>
      <c r="P73" s="451"/>
      <c r="Q73" s="451"/>
    </row>
    <row r="74" spans="1:17" ht="23.1" customHeight="1">
      <c r="A74" s="451"/>
      <c r="B74" s="451"/>
      <c r="C74" s="451"/>
      <c r="H74" s="451"/>
      <c r="I74" s="451"/>
      <c r="J74" s="451"/>
      <c r="O74" s="451"/>
      <c r="P74" s="451"/>
      <c r="Q74" s="451"/>
    </row>
    <row r="75" spans="1:17" ht="23.1" customHeight="1">
      <c r="A75" s="451"/>
      <c r="B75" s="451"/>
      <c r="C75" s="451"/>
      <c r="H75" s="451"/>
      <c r="I75" s="451"/>
      <c r="J75" s="451"/>
      <c r="O75" s="451"/>
      <c r="P75" s="451"/>
      <c r="Q75" s="451"/>
    </row>
    <row r="76" spans="1:17" ht="23.1" customHeight="1">
      <c r="A76" s="451"/>
      <c r="B76" s="451"/>
      <c r="C76" s="451"/>
      <c r="H76" s="451"/>
      <c r="I76" s="451"/>
      <c r="J76" s="451"/>
      <c r="O76" s="451"/>
      <c r="P76" s="451"/>
      <c r="Q76" s="451"/>
    </row>
    <row r="77" spans="1:17" ht="23.1" customHeight="1">
      <c r="A77" s="451"/>
      <c r="B77" s="451"/>
      <c r="C77" s="451"/>
      <c r="H77" s="451"/>
      <c r="I77" s="451"/>
      <c r="J77" s="451"/>
      <c r="O77" s="451"/>
      <c r="P77" s="451"/>
      <c r="Q77" s="451"/>
    </row>
    <row r="78" spans="1:17" ht="23.1" customHeight="1">
      <c r="A78" s="451"/>
      <c r="B78" s="451"/>
      <c r="C78" s="451"/>
      <c r="H78" s="451"/>
      <c r="I78" s="451"/>
      <c r="J78" s="451"/>
      <c r="O78" s="451"/>
      <c r="P78" s="451"/>
      <c r="Q78" s="451"/>
    </row>
    <row r="79" spans="1:17" ht="23.1" customHeight="1">
      <c r="A79" s="451"/>
      <c r="H79" s="451"/>
      <c r="O79" s="451"/>
    </row>
  </sheetData>
  <mergeCells count="12">
    <mergeCell ref="O8:O10"/>
    <mergeCell ref="O3:P3"/>
    <mergeCell ref="O5:O7"/>
    <mergeCell ref="O4:P4"/>
    <mergeCell ref="A8:A10"/>
    <mergeCell ref="A3:B3"/>
    <mergeCell ref="A5:A7"/>
    <mergeCell ref="A4:B4"/>
    <mergeCell ref="H8:H10"/>
    <mergeCell ref="H3:I3"/>
    <mergeCell ref="H5:H7"/>
    <mergeCell ref="H4:I4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L19"/>
  <sheetViews>
    <sheetView showGridLines="0" view="pageBreakPreview" workbookViewId="0">
      <selection activeCell="E19" sqref="E19"/>
    </sheetView>
  </sheetViews>
  <sheetFormatPr defaultRowHeight="24.95" customHeight="1"/>
  <cols>
    <col min="1" max="1" width="5.21875" style="416" customWidth="1"/>
    <col min="2" max="2" width="8" style="416" bestFit="1" customWidth="1"/>
    <col min="3" max="3" width="14.6640625" style="416" bestFit="1" customWidth="1"/>
    <col min="4" max="4" width="5.77734375" style="416" bestFit="1" customWidth="1"/>
    <col min="5" max="5" width="5.33203125" style="416" bestFit="1" customWidth="1"/>
    <col min="6" max="7" width="5.77734375" style="416" bestFit="1" customWidth="1"/>
    <col min="8" max="8" width="12.21875" style="416" bestFit="1" customWidth="1"/>
    <col min="9" max="9" width="5.77734375" style="416" bestFit="1" customWidth="1"/>
    <col min="10" max="10" width="7.33203125" style="416" customWidth="1"/>
    <col min="11" max="16384" width="8.88671875" style="416"/>
  </cols>
  <sheetData>
    <row r="1" spans="1:12" ht="24.95" customHeight="1">
      <c r="A1" s="415" t="s">
        <v>514</v>
      </c>
    </row>
    <row r="3" spans="1:12" ht="24.95" customHeight="1">
      <c r="A3" s="1029" t="s">
        <v>515</v>
      </c>
      <c r="B3" s="1022" t="s">
        <v>516</v>
      </c>
      <c r="C3" s="1022" t="s">
        <v>517</v>
      </c>
      <c r="D3" s="1024" t="s">
        <v>518</v>
      </c>
      <c r="E3" s="1015" t="s">
        <v>519</v>
      </c>
      <c r="F3" s="1024" t="s">
        <v>520</v>
      </c>
      <c r="G3" s="1024" t="s">
        <v>521</v>
      </c>
      <c r="H3" s="1021" t="s">
        <v>522</v>
      </c>
      <c r="I3" s="1019" t="s">
        <v>523</v>
      </c>
      <c r="J3" s="1017" t="s">
        <v>369</v>
      </c>
    </row>
    <row r="4" spans="1:12" ht="24.95" customHeight="1">
      <c r="A4" s="1030"/>
      <c r="B4" s="1023"/>
      <c r="C4" s="1023"/>
      <c r="D4" s="1026"/>
      <c r="E4" s="1016"/>
      <c r="F4" s="1025"/>
      <c r="G4" s="1023"/>
      <c r="H4" s="1020"/>
      <c r="I4" s="1020"/>
      <c r="J4" s="1018"/>
    </row>
    <row r="5" spans="1:12" ht="24.95" customHeight="1">
      <c r="A5" s="1027" t="s">
        <v>502</v>
      </c>
      <c r="B5" s="1028"/>
      <c r="C5" s="417"/>
      <c r="D5" s="418">
        <f>SUM(D6:D19)</f>
        <v>69.320000000000007</v>
      </c>
      <c r="E5" s="419">
        <f>SUM(E6:E19)</f>
        <v>674</v>
      </c>
      <c r="F5" s="419">
        <f>SUM(F6:F19)</f>
        <v>2150</v>
      </c>
      <c r="G5" s="419">
        <f>SUM(G6:G19)</f>
        <v>664</v>
      </c>
      <c r="H5" s="417"/>
      <c r="I5" s="417"/>
      <c r="J5" s="420"/>
    </row>
    <row r="6" spans="1:12" ht="24.95" customHeight="1">
      <c r="A6" s="421" t="s">
        <v>524</v>
      </c>
      <c r="B6" s="422" t="s">
        <v>525</v>
      </c>
      <c r="C6" s="423" t="s">
        <v>526</v>
      </c>
      <c r="D6" s="424">
        <v>9.8000000000000007</v>
      </c>
      <c r="E6" s="425">
        <v>70</v>
      </c>
      <c r="F6" s="425">
        <v>250</v>
      </c>
      <c r="G6" s="425">
        <v>48</v>
      </c>
      <c r="H6" s="422" t="s">
        <v>1266</v>
      </c>
      <c r="I6" s="426">
        <v>2005</v>
      </c>
      <c r="J6" s="427"/>
    </row>
    <row r="7" spans="1:12" ht="24.95" customHeight="1">
      <c r="A7" s="1011" t="s">
        <v>532</v>
      </c>
      <c r="B7" s="422" t="s">
        <v>533</v>
      </c>
      <c r="C7" s="423" t="s">
        <v>534</v>
      </c>
      <c r="D7" s="424">
        <v>2.6</v>
      </c>
      <c r="E7" s="425">
        <v>28</v>
      </c>
      <c r="F7" s="425">
        <v>90</v>
      </c>
      <c r="G7" s="425">
        <v>30</v>
      </c>
      <c r="H7" s="422" t="s">
        <v>530</v>
      </c>
      <c r="I7" s="426">
        <v>2007</v>
      </c>
      <c r="J7" s="427"/>
    </row>
    <row r="8" spans="1:12" ht="24.95" customHeight="1">
      <c r="A8" s="1011"/>
      <c r="B8" s="422" t="s">
        <v>535</v>
      </c>
      <c r="C8" s="423" t="s">
        <v>536</v>
      </c>
      <c r="D8" s="424">
        <v>2.2999999999999998</v>
      </c>
      <c r="E8" s="425">
        <v>12</v>
      </c>
      <c r="F8" s="425">
        <v>30</v>
      </c>
      <c r="G8" s="425">
        <v>16</v>
      </c>
      <c r="H8" s="422" t="s">
        <v>537</v>
      </c>
      <c r="I8" s="426">
        <v>2007</v>
      </c>
      <c r="J8" s="427" t="s">
        <v>538</v>
      </c>
      <c r="K8" s="428" t="s">
        <v>539</v>
      </c>
    </row>
    <row r="9" spans="1:12" ht="24.95" customHeight="1">
      <c r="A9" s="1011"/>
      <c r="B9" s="422" t="s">
        <v>540</v>
      </c>
      <c r="C9" s="423" t="s">
        <v>541</v>
      </c>
      <c r="D9" s="424">
        <v>3.8</v>
      </c>
      <c r="E9" s="425">
        <v>28</v>
      </c>
      <c r="F9" s="425">
        <v>110</v>
      </c>
      <c r="G9" s="425">
        <v>30</v>
      </c>
      <c r="H9" s="422" t="s">
        <v>1266</v>
      </c>
      <c r="I9" s="426">
        <v>2007</v>
      </c>
      <c r="J9" s="427" t="s">
        <v>542</v>
      </c>
    </row>
    <row r="10" spans="1:12" ht="24.95" customHeight="1">
      <c r="A10" s="1011"/>
      <c r="B10" s="422" t="s">
        <v>543</v>
      </c>
      <c r="C10" s="423" t="s">
        <v>544</v>
      </c>
      <c r="D10" s="424">
        <v>2.6</v>
      </c>
      <c r="E10" s="425">
        <v>18</v>
      </c>
      <c r="F10" s="425">
        <v>70</v>
      </c>
      <c r="G10" s="425">
        <v>20</v>
      </c>
      <c r="H10" s="422" t="s">
        <v>545</v>
      </c>
      <c r="I10" s="426">
        <v>2003</v>
      </c>
      <c r="J10" s="427"/>
    </row>
    <row r="11" spans="1:12" ht="24.95" customHeight="1">
      <c r="A11" s="1011"/>
      <c r="B11" s="531" t="s">
        <v>1175</v>
      </c>
      <c r="C11" s="423" t="s">
        <v>547</v>
      </c>
      <c r="D11" s="424">
        <v>3.5</v>
      </c>
      <c r="E11" s="425">
        <v>33</v>
      </c>
      <c r="F11" s="425">
        <v>130</v>
      </c>
      <c r="G11" s="425">
        <v>38</v>
      </c>
      <c r="H11" s="422" t="s">
        <v>545</v>
      </c>
      <c r="I11" s="426">
        <v>2003</v>
      </c>
      <c r="J11" s="427"/>
    </row>
    <row r="12" spans="1:12" ht="24.95" customHeight="1">
      <c r="A12" s="421" t="s">
        <v>527</v>
      </c>
      <c r="B12" s="422" t="s">
        <v>528</v>
      </c>
      <c r="C12" s="423" t="s">
        <v>529</v>
      </c>
      <c r="D12" s="424">
        <v>6.1</v>
      </c>
      <c r="E12" s="425">
        <v>75</v>
      </c>
      <c r="F12" s="425">
        <v>180</v>
      </c>
      <c r="G12" s="425">
        <v>100</v>
      </c>
      <c r="H12" s="422" t="s">
        <v>530</v>
      </c>
      <c r="I12" s="426">
        <v>2007</v>
      </c>
      <c r="J12" s="427" t="s">
        <v>531</v>
      </c>
      <c r="K12" s="428"/>
    </row>
    <row r="13" spans="1:12" ht="24.95" customHeight="1">
      <c r="A13" s="421" t="s">
        <v>548</v>
      </c>
      <c r="B13" s="531" t="s">
        <v>1176</v>
      </c>
      <c r="C13" s="423" t="s">
        <v>550</v>
      </c>
      <c r="D13" s="424">
        <v>3.5</v>
      </c>
      <c r="E13" s="425">
        <v>37</v>
      </c>
      <c r="F13" s="425">
        <v>110</v>
      </c>
      <c r="G13" s="425">
        <v>35</v>
      </c>
      <c r="H13" s="422" t="s">
        <v>551</v>
      </c>
      <c r="I13" s="426">
        <v>1996</v>
      </c>
      <c r="J13" s="427"/>
      <c r="K13" s="428" t="s">
        <v>539</v>
      </c>
    </row>
    <row r="14" spans="1:12" ht="24.95" customHeight="1">
      <c r="A14" s="421" t="s">
        <v>552</v>
      </c>
      <c r="B14" s="422" t="s">
        <v>553</v>
      </c>
      <c r="C14" s="423" t="s">
        <v>554</v>
      </c>
      <c r="D14" s="424">
        <v>11</v>
      </c>
      <c r="E14" s="425">
        <v>86</v>
      </c>
      <c r="F14" s="425">
        <v>440</v>
      </c>
      <c r="G14" s="425">
        <v>140</v>
      </c>
      <c r="H14" s="422" t="s">
        <v>530</v>
      </c>
      <c r="I14" s="426">
        <v>2006</v>
      </c>
      <c r="J14" s="427"/>
    </row>
    <row r="15" spans="1:12" ht="24.95" customHeight="1">
      <c r="A15" s="1012" t="s">
        <v>555</v>
      </c>
      <c r="B15" s="531" t="s">
        <v>1177</v>
      </c>
      <c r="C15" s="423" t="s">
        <v>557</v>
      </c>
      <c r="D15" s="424">
        <v>9.83</v>
      </c>
      <c r="E15" s="425">
        <v>125</v>
      </c>
      <c r="F15" s="425">
        <v>340</v>
      </c>
      <c r="G15" s="425">
        <v>48</v>
      </c>
      <c r="H15" s="422" t="s">
        <v>545</v>
      </c>
      <c r="I15" s="426">
        <v>2003</v>
      </c>
      <c r="J15" s="427"/>
      <c r="K15" s="416">
        <v>140</v>
      </c>
      <c r="L15" s="416">
        <f>+K15*3</f>
        <v>420</v>
      </c>
    </row>
    <row r="16" spans="1:12" ht="24.95" customHeight="1">
      <c r="A16" s="1013"/>
      <c r="B16" s="422" t="s">
        <v>558</v>
      </c>
      <c r="C16" s="423" t="s">
        <v>559</v>
      </c>
      <c r="D16" s="424">
        <v>4.5</v>
      </c>
      <c r="E16" s="425">
        <v>56</v>
      </c>
      <c r="F16" s="425">
        <v>170</v>
      </c>
      <c r="G16" s="425">
        <v>70</v>
      </c>
      <c r="H16" s="422" t="s">
        <v>560</v>
      </c>
      <c r="I16" s="426">
        <v>2006</v>
      </c>
      <c r="J16" s="427"/>
    </row>
    <row r="17" spans="1:12" ht="24.95" customHeight="1">
      <c r="A17" s="1013"/>
      <c r="B17" s="422" t="s">
        <v>561</v>
      </c>
      <c r="C17" s="423" t="s">
        <v>562</v>
      </c>
      <c r="D17" s="424">
        <v>6.6</v>
      </c>
      <c r="E17" s="425">
        <v>64</v>
      </c>
      <c r="F17" s="425">
        <v>120</v>
      </c>
      <c r="G17" s="425">
        <v>40</v>
      </c>
      <c r="H17" s="422" t="s">
        <v>1266</v>
      </c>
      <c r="I17" s="426">
        <v>2005</v>
      </c>
      <c r="J17" s="427"/>
      <c r="L17" s="416">
        <f>+L15*0.2</f>
        <v>84</v>
      </c>
    </row>
    <row r="18" spans="1:12" ht="24.95" customHeight="1">
      <c r="A18" s="1013"/>
      <c r="B18" s="531" t="s">
        <v>1178</v>
      </c>
      <c r="C18" s="423" t="s">
        <v>562</v>
      </c>
      <c r="D18" s="424">
        <v>2.04</v>
      </c>
      <c r="E18" s="425">
        <v>24</v>
      </c>
      <c r="F18" s="425">
        <v>70</v>
      </c>
      <c r="G18" s="425">
        <v>30</v>
      </c>
      <c r="H18" s="422" t="s">
        <v>545</v>
      </c>
      <c r="I18" s="426">
        <v>2003</v>
      </c>
      <c r="J18" s="427"/>
    </row>
    <row r="19" spans="1:12" ht="24.95" customHeight="1">
      <c r="A19" s="1014"/>
      <c r="B19" s="532" t="s">
        <v>1179</v>
      </c>
      <c r="C19" s="430" t="s">
        <v>562</v>
      </c>
      <c r="D19" s="431">
        <v>1.1499999999999999</v>
      </c>
      <c r="E19" s="432">
        <v>18</v>
      </c>
      <c r="F19" s="432">
        <v>40</v>
      </c>
      <c r="G19" s="432">
        <f>13+6</f>
        <v>19</v>
      </c>
      <c r="H19" s="429" t="s">
        <v>545</v>
      </c>
      <c r="I19" s="433">
        <v>2003</v>
      </c>
      <c r="J19" s="434" t="s">
        <v>565</v>
      </c>
    </row>
  </sheetData>
  <mergeCells count="13">
    <mergeCell ref="A7:A11"/>
    <mergeCell ref="A15:A19"/>
    <mergeCell ref="E3:E4"/>
    <mergeCell ref="J3:J4"/>
    <mergeCell ref="I3:I4"/>
    <mergeCell ref="H3:H4"/>
    <mergeCell ref="B3:B4"/>
    <mergeCell ref="C3:C4"/>
    <mergeCell ref="G3:G4"/>
    <mergeCell ref="F3:F4"/>
    <mergeCell ref="D3:D4"/>
    <mergeCell ref="A5:B5"/>
    <mergeCell ref="A3:A4"/>
  </mergeCells>
  <phoneticPr fontId="2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4"/>
  <dimension ref="A1:Z72"/>
  <sheetViews>
    <sheetView showGridLines="0" view="pageBreakPreview" zoomScale="85" zoomScaleSheetLayoutView="85" workbookViewId="0">
      <selection activeCell="L31" sqref="L31"/>
    </sheetView>
  </sheetViews>
  <sheetFormatPr defaultRowHeight="16.5" customHeight="1"/>
  <cols>
    <col min="1" max="1" width="4.77734375" style="11" customWidth="1"/>
    <col min="2" max="2" width="7.44140625" style="11" bestFit="1" customWidth="1"/>
    <col min="3" max="3" width="8.5546875" style="11" customWidth="1"/>
    <col min="4" max="6" width="8.88671875" style="651"/>
    <col min="7" max="7" width="9" style="651" bestFit="1" customWidth="1"/>
    <col min="8" max="8" width="9.33203125" style="651" bestFit="1" customWidth="1"/>
    <col min="9" max="9" width="8.88671875" style="651"/>
    <col min="10" max="10" width="4.77734375" style="11" customWidth="1"/>
    <col min="11" max="11" width="7.44140625" style="11" bestFit="1" customWidth="1"/>
    <col min="12" max="12" width="8.5546875" style="11" customWidth="1"/>
    <col min="13" max="15" width="8.88671875" style="651"/>
    <col min="16" max="16" width="9" style="651" bestFit="1" customWidth="1"/>
    <col min="17" max="17" width="9.33203125" style="651" bestFit="1" customWidth="1"/>
    <col min="18" max="18" width="8.88671875" style="651"/>
    <col min="19" max="19" width="4.77734375" style="11" customWidth="1"/>
    <col min="20" max="20" width="7.44140625" style="11" bestFit="1" customWidth="1"/>
    <col min="21" max="21" width="8.5546875" style="11" customWidth="1"/>
    <col min="22" max="25" width="11.21875" style="651" customWidth="1"/>
    <col min="26" max="16384" width="8.88671875" style="651"/>
  </cols>
  <sheetData>
    <row r="1" spans="1:26" ht="16.5" customHeight="1">
      <c r="A1" s="17" t="s">
        <v>1208</v>
      </c>
      <c r="J1" s="521"/>
      <c r="S1" s="521"/>
    </row>
    <row r="2" spans="1:26" ht="16.5" customHeight="1">
      <c r="A2" s="521" t="s">
        <v>1261</v>
      </c>
      <c r="J2" s="521"/>
      <c r="S2" s="521"/>
    </row>
    <row r="3" spans="1:26" ht="16.5" customHeight="1">
      <c r="A3" s="522" t="s">
        <v>1196</v>
      </c>
      <c r="J3" s="522" t="s">
        <v>1260</v>
      </c>
      <c r="S3" s="522" t="s">
        <v>1327</v>
      </c>
    </row>
    <row r="4" spans="1:26" ht="15.95" customHeight="1">
      <c r="A4" s="1031" t="s">
        <v>36</v>
      </c>
      <c r="B4" s="1032"/>
      <c r="C4" s="550" t="s">
        <v>153</v>
      </c>
      <c r="D4" s="598" t="s">
        <v>33</v>
      </c>
      <c r="E4" s="550" t="s">
        <v>32</v>
      </c>
      <c r="F4" s="550" t="s">
        <v>31</v>
      </c>
      <c r="G4" s="598" t="s">
        <v>30</v>
      </c>
      <c r="H4" s="598" t="s">
        <v>29</v>
      </c>
      <c r="I4" s="551" t="s">
        <v>121</v>
      </c>
      <c r="J4" s="1031" t="s">
        <v>36</v>
      </c>
      <c r="K4" s="1032"/>
      <c r="L4" s="550" t="s">
        <v>153</v>
      </c>
      <c r="M4" s="598" t="s">
        <v>33</v>
      </c>
      <c r="N4" s="550" t="s">
        <v>32</v>
      </c>
      <c r="O4" s="550" t="s">
        <v>31</v>
      </c>
      <c r="P4" s="598" t="s">
        <v>30</v>
      </c>
      <c r="Q4" s="598" t="s">
        <v>29</v>
      </c>
      <c r="R4" s="551" t="s">
        <v>121</v>
      </c>
      <c r="S4" s="1031" t="s">
        <v>36</v>
      </c>
      <c r="T4" s="1032"/>
      <c r="U4" s="550" t="s">
        <v>153</v>
      </c>
      <c r="V4" s="550" t="s">
        <v>32</v>
      </c>
      <c r="W4" s="550" t="s">
        <v>31</v>
      </c>
      <c r="X4" s="598" t="s">
        <v>30</v>
      </c>
      <c r="Y4" s="598" t="s">
        <v>29</v>
      </c>
      <c r="Z4" s="551" t="s">
        <v>121</v>
      </c>
    </row>
    <row r="5" spans="1:26" ht="15.95" customHeight="1">
      <c r="A5" s="986" t="s">
        <v>28</v>
      </c>
      <c r="B5" s="987"/>
      <c r="C5" s="1033"/>
      <c r="D5" s="543">
        <f>SUM(D6,D46,D59)</f>
        <v>451157</v>
      </c>
      <c r="E5" s="543">
        <f>SUM(E6,E46,E59)</f>
        <v>545800</v>
      </c>
      <c r="F5" s="543">
        <f>SUM(F6,F46,F59)</f>
        <v>643900</v>
      </c>
      <c r="G5" s="543">
        <f>SUM(G6,G46,G59)</f>
        <v>724900</v>
      </c>
      <c r="H5" s="543">
        <f>SUM(H6,H46,H59)</f>
        <v>745900</v>
      </c>
      <c r="I5" s="549"/>
      <c r="J5" s="986" t="s">
        <v>28</v>
      </c>
      <c r="K5" s="987"/>
      <c r="L5" s="1033"/>
      <c r="M5" s="543">
        <f>SUM(M6,M46,M59)</f>
        <v>451157</v>
      </c>
      <c r="N5" s="543">
        <f>SUM(N6,N46,N59)</f>
        <v>458900</v>
      </c>
      <c r="O5" s="543">
        <f>SUM(O6,O46,O59)</f>
        <v>431400</v>
      </c>
      <c r="P5" s="543">
        <f>SUM(P6,P46,P59)</f>
        <v>406300</v>
      </c>
      <c r="Q5" s="543">
        <f>SUM(Q6,Q46,Q59)</f>
        <v>427300</v>
      </c>
      <c r="R5" s="549"/>
      <c r="S5" s="986" t="s">
        <v>28</v>
      </c>
      <c r="T5" s="987"/>
      <c r="U5" s="1033"/>
      <c r="V5" s="543">
        <f>SUM(V6,V46,V59)</f>
        <v>86900</v>
      </c>
      <c r="W5" s="543">
        <f>SUM(W6,W46,W59)</f>
        <v>212500</v>
      </c>
      <c r="X5" s="543">
        <f>SUM(X6,X46,X59)</f>
        <v>318600</v>
      </c>
      <c r="Y5" s="543">
        <f>SUM(Y6,Y46,Y59)</f>
        <v>318600</v>
      </c>
      <c r="Z5" s="549"/>
    </row>
    <row r="6" spans="1:26" ht="15.95" customHeight="1">
      <c r="A6" s="828" t="s">
        <v>504</v>
      </c>
      <c r="B6" s="993" t="s">
        <v>53</v>
      </c>
      <c r="C6" s="993"/>
      <c r="D6" s="542">
        <f>SUM(D7,D14,D22,D26,D29,D35,D38,D42,D44)</f>
        <v>377481</v>
      </c>
      <c r="E6" s="542">
        <f>SUM(E7,E14,E22,E26,E29,E35,E38,E42,E44)</f>
        <v>441700</v>
      </c>
      <c r="F6" s="542">
        <f>SUM(F7,F14,F22,F26,F29,F35,F38,F42,F44)</f>
        <v>500900</v>
      </c>
      <c r="G6" s="542">
        <f>SUM(G7,G14,G22,G26,G29,G35,G38,G42,G44)</f>
        <v>511800</v>
      </c>
      <c r="H6" s="542">
        <f>SUM(H7,H14,H22,H26,H29,H35,H38,H42,H44)</f>
        <v>528600</v>
      </c>
      <c r="I6" s="548"/>
      <c r="J6" s="828" t="s">
        <v>504</v>
      </c>
      <c r="K6" s="993" t="s">
        <v>53</v>
      </c>
      <c r="L6" s="993"/>
      <c r="M6" s="542">
        <f>SUM(M7,M14,M22,M26,M29,M35,M38,M42,M44)</f>
        <v>377481</v>
      </c>
      <c r="N6" s="542">
        <f>SUM(N7,N14,N22,N26,N29,N35,N38,N42,N44)</f>
        <v>365500</v>
      </c>
      <c r="O6" s="542">
        <f>SUM(O7,O14,O22,O26,O29,O35,O38,O42,O44)</f>
        <v>332800</v>
      </c>
      <c r="P6" s="542">
        <f>SUM(P7,P14,P22,P26,P29,P35,P38,P42,P44)</f>
        <v>321200</v>
      </c>
      <c r="Q6" s="542">
        <f>SUM(Q7,Q14,Q22,Q26,Q29,Q35,Q38,Q42,Q44)</f>
        <v>338000</v>
      </c>
      <c r="R6" s="548"/>
      <c r="S6" s="828" t="s">
        <v>504</v>
      </c>
      <c r="T6" s="993" t="s">
        <v>53</v>
      </c>
      <c r="U6" s="993"/>
      <c r="V6" s="542">
        <f>SUM(V7,V14,V22,V26,V29,V35,V38,V42,V44)</f>
        <v>76200</v>
      </c>
      <c r="W6" s="542">
        <f>SUM(W7,W14,W22,W26,W29,W35,W38,W42,W44)</f>
        <v>168100</v>
      </c>
      <c r="X6" s="542">
        <f>SUM(X7,X14,X22,X26,X29,X35,X38,X42,X44)</f>
        <v>190600</v>
      </c>
      <c r="Y6" s="542">
        <f>SUM(Y7,Y14,Y22,Y26,Y29,Y35,Y38,Y42,Y44)</f>
        <v>190600</v>
      </c>
      <c r="Z6" s="548"/>
    </row>
    <row r="7" spans="1:26" ht="15.95" customHeight="1">
      <c r="A7" s="828"/>
      <c r="B7" s="920" t="s">
        <v>48</v>
      </c>
      <c r="C7" s="480" t="s">
        <v>154</v>
      </c>
      <c r="D7" s="541">
        <f>SUM(D8:D13)</f>
        <v>67728</v>
      </c>
      <c r="E7" s="541">
        <f>SUM(E8:E13)</f>
        <v>69300</v>
      </c>
      <c r="F7" s="541">
        <f>SUM(F8:F13)</f>
        <v>82400</v>
      </c>
      <c r="G7" s="541">
        <f>SUM(G8:G13)</f>
        <v>80400</v>
      </c>
      <c r="H7" s="541">
        <f>SUM(H8:H13)</f>
        <v>83500</v>
      </c>
      <c r="I7" s="546"/>
      <c r="J7" s="828"/>
      <c r="K7" s="920" t="s">
        <v>48</v>
      </c>
      <c r="L7" s="480" t="s">
        <v>154</v>
      </c>
      <c r="M7" s="541">
        <f>SUM(M8:M13)</f>
        <v>67728</v>
      </c>
      <c r="N7" s="541">
        <f>SUM(N8:N13)</f>
        <v>64000</v>
      </c>
      <c r="O7" s="541">
        <f>SUM(O8:O13)</f>
        <v>57900</v>
      </c>
      <c r="P7" s="541">
        <f>SUM(P8:P13)</f>
        <v>55900</v>
      </c>
      <c r="Q7" s="541">
        <f>SUM(Q8:Q13)</f>
        <v>59000</v>
      </c>
      <c r="R7" s="546"/>
      <c r="S7" s="828"/>
      <c r="T7" s="920" t="s">
        <v>48</v>
      </c>
      <c r="U7" s="480" t="s">
        <v>154</v>
      </c>
      <c r="V7" s="541">
        <f>SUM(V8:V13)</f>
        <v>5300</v>
      </c>
      <c r="W7" s="541">
        <f>SUM(W8:W13)</f>
        <v>24500</v>
      </c>
      <c r="X7" s="541">
        <f>SUM(X8:X13)</f>
        <v>24500</v>
      </c>
      <c r="Y7" s="541">
        <f>SUM(Y8:Y13)</f>
        <v>24500</v>
      </c>
      <c r="Z7" s="546"/>
    </row>
    <row r="8" spans="1:26" ht="15.95" customHeight="1">
      <c r="A8" s="828"/>
      <c r="B8" s="920"/>
      <c r="C8" s="580" t="s">
        <v>1067</v>
      </c>
      <c r="D8" s="572">
        <f t="shared" ref="D8:D13" si="0">M8</f>
        <v>4153</v>
      </c>
      <c r="E8" s="572">
        <f t="shared" ref="E8:H13" si="1">N8+V8</f>
        <v>3900</v>
      </c>
      <c r="F8" s="572">
        <f t="shared" si="1"/>
        <v>7000</v>
      </c>
      <c r="G8" s="572">
        <f t="shared" si="1"/>
        <v>6900</v>
      </c>
      <c r="H8" s="572">
        <f t="shared" si="1"/>
        <v>7100</v>
      </c>
      <c r="I8" s="547"/>
      <c r="J8" s="828"/>
      <c r="K8" s="920"/>
      <c r="L8" s="580" t="s">
        <v>1067</v>
      </c>
      <c r="M8" s="572">
        <f>'처리구역별 인구 근거'!D9</f>
        <v>4153</v>
      </c>
      <c r="N8" s="572">
        <f>SUM('처리구역별 인구 근거'!F9:G9)</f>
        <v>3900</v>
      </c>
      <c r="O8" s="572">
        <f>SUM('처리구역별 인구 근거'!J9:K9)</f>
        <v>3500</v>
      </c>
      <c r="P8" s="572">
        <f>SUM('처리구역별 인구 근거'!N9:O9)</f>
        <v>3400</v>
      </c>
      <c r="Q8" s="572">
        <f>SUM('처리구역별 인구 근거'!R9:S9)</f>
        <v>3600</v>
      </c>
      <c r="R8" s="547"/>
      <c r="S8" s="828"/>
      <c r="T8" s="920"/>
      <c r="U8" s="580" t="s">
        <v>1067</v>
      </c>
      <c r="V8" s="572">
        <f>'처리구역별 인구 근거'!H9</f>
        <v>0</v>
      </c>
      <c r="W8" s="572">
        <f>'처리구역별 인구 근거'!L9</f>
        <v>3500</v>
      </c>
      <c r="X8" s="572">
        <f>'처리구역별 인구 근거'!P9</f>
        <v>3500</v>
      </c>
      <c r="Y8" s="572">
        <f>'처리구역별 인구 근거'!T9</f>
        <v>3500</v>
      </c>
      <c r="Z8" s="547"/>
    </row>
    <row r="9" spans="1:26" ht="15.95" customHeight="1">
      <c r="A9" s="828"/>
      <c r="B9" s="920"/>
      <c r="C9" s="580" t="s">
        <v>1062</v>
      </c>
      <c r="D9" s="572">
        <f t="shared" si="0"/>
        <v>6195</v>
      </c>
      <c r="E9" s="572">
        <f t="shared" si="1"/>
        <v>5900</v>
      </c>
      <c r="F9" s="572">
        <f t="shared" si="1"/>
        <v>11100</v>
      </c>
      <c r="G9" s="572">
        <f t="shared" si="1"/>
        <v>10900</v>
      </c>
      <c r="H9" s="572">
        <f t="shared" si="1"/>
        <v>11200</v>
      </c>
      <c r="I9" s="547"/>
      <c r="J9" s="828"/>
      <c r="K9" s="920"/>
      <c r="L9" s="580" t="s">
        <v>1062</v>
      </c>
      <c r="M9" s="572">
        <f>'처리구역별 인구 근거'!D10</f>
        <v>6195</v>
      </c>
      <c r="N9" s="572">
        <f>SUM('처리구역별 인구 근거'!F10:G10)</f>
        <v>5900</v>
      </c>
      <c r="O9" s="572">
        <f>SUM('처리구역별 인구 근거'!J10:K10)</f>
        <v>5300</v>
      </c>
      <c r="P9" s="572">
        <f>SUM('처리구역별 인구 근거'!N10:O10)</f>
        <v>5100</v>
      </c>
      <c r="Q9" s="572">
        <f>SUM('처리구역별 인구 근거'!R10:S10)</f>
        <v>5400</v>
      </c>
      <c r="R9" s="547"/>
      <c r="S9" s="828"/>
      <c r="T9" s="920"/>
      <c r="U9" s="580" t="s">
        <v>1062</v>
      </c>
      <c r="V9" s="572">
        <f>'처리구역별 인구 근거'!H10</f>
        <v>0</v>
      </c>
      <c r="W9" s="572">
        <f>'처리구역별 인구 근거'!L10</f>
        <v>5800</v>
      </c>
      <c r="X9" s="572">
        <f>'처리구역별 인구 근거'!P10</f>
        <v>5800</v>
      </c>
      <c r="Y9" s="572">
        <f>'처리구역별 인구 근거'!T10</f>
        <v>5800</v>
      </c>
      <c r="Z9" s="547"/>
    </row>
    <row r="10" spans="1:26" ht="15.95" customHeight="1">
      <c r="A10" s="828"/>
      <c r="B10" s="920"/>
      <c r="C10" s="580" t="s">
        <v>24</v>
      </c>
      <c r="D10" s="572">
        <f t="shared" si="0"/>
        <v>2766</v>
      </c>
      <c r="E10" s="572">
        <f t="shared" si="1"/>
        <v>2600</v>
      </c>
      <c r="F10" s="572">
        <f t="shared" si="1"/>
        <v>2900</v>
      </c>
      <c r="G10" s="572">
        <f t="shared" si="1"/>
        <v>2800</v>
      </c>
      <c r="H10" s="572">
        <f t="shared" si="1"/>
        <v>2900</v>
      </c>
      <c r="I10" s="547"/>
      <c r="J10" s="828"/>
      <c r="K10" s="920"/>
      <c r="L10" s="580" t="s">
        <v>24</v>
      </c>
      <c r="M10" s="572">
        <f>'처리구역별 인구 근거'!D11</f>
        <v>2766</v>
      </c>
      <c r="N10" s="572">
        <f>SUM('처리구역별 인구 근거'!F11:G11)</f>
        <v>2600</v>
      </c>
      <c r="O10" s="572">
        <f>SUM('처리구역별 인구 근거'!J11:K11)</f>
        <v>2400</v>
      </c>
      <c r="P10" s="572">
        <f>SUM('처리구역별 인구 근거'!N11:O11)</f>
        <v>2300</v>
      </c>
      <c r="Q10" s="572">
        <f>SUM('처리구역별 인구 근거'!R11:S11)</f>
        <v>2400</v>
      </c>
      <c r="R10" s="547"/>
      <c r="S10" s="828"/>
      <c r="T10" s="920"/>
      <c r="U10" s="580" t="s">
        <v>24</v>
      </c>
      <c r="V10" s="572">
        <f>'처리구역별 인구 근거'!H11</f>
        <v>0</v>
      </c>
      <c r="W10" s="572">
        <f>'처리구역별 인구 근거'!L11</f>
        <v>500</v>
      </c>
      <c r="X10" s="572">
        <f>'처리구역별 인구 근거'!P11</f>
        <v>500</v>
      </c>
      <c r="Y10" s="572">
        <f>'처리구역별 인구 근거'!T11</f>
        <v>500</v>
      </c>
      <c r="Z10" s="547"/>
    </row>
    <row r="11" spans="1:26" ht="15.95" customHeight="1">
      <c r="A11" s="828"/>
      <c r="B11" s="920"/>
      <c r="C11" s="580" t="s">
        <v>206</v>
      </c>
      <c r="D11" s="572">
        <f t="shared" si="0"/>
        <v>11350</v>
      </c>
      <c r="E11" s="572">
        <f t="shared" si="1"/>
        <v>10700</v>
      </c>
      <c r="F11" s="572">
        <f t="shared" si="1"/>
        <v>12600</v>
      </c>
      <c r="G11" s="572">
        <f t="shared" si="1"/>
        <v>12300</v>
      </c>
      <c r="H11" s="572">
        <f t="shared" si="1"/>
        <v>12800</v>
      </c>
      <c r="I11" s="547"/>
      <c r="J11" s="828"/>
      <c r="K11" s="920"/>
      <c r="L11" s="580" t="s">
        <v>206</v>
      </c>
      <c r="M11" s="572">
        <f>'처리구역별 인구 근거'!D12</f>
        <v>11350</v>
      </c>
      <c r="N11" s="572">
        <f>SUM('처리구역별 인구 근거'!F12:G12)</f>
        <v>10700</v>
      </c>
      <c r="O11" s="572">
        <f>SUM('처리구역별 인구 근거'!J12:K12)</f>
        <v>9700</v>
      </c>
      <c r="P11" s="572">
        <f>SUM('처리구역별 인구 근거'!N12:O12)</f>
        <v>9400</v>
      </c>
      <c r="Q11" s="572">
        <f>SUM('처리구역별 인구 근거'!R12:S12)</f>
        <v>9900</v>
      </c>
      <c r="R11" s="547"/>
      <c r="S11" s="828"/>
      <c r="T11" s="920"/>
      <c r="U11" s="580" t="s">
        <v>206</v>
      </c>
      <c r="V11" s="572">
        <f>'처리구역별 인구 근거'!H12</f>
        <v>0</v>
      </c>
      <c r="W11" s="572">
        <f>'처리구역별 인구 근거'!L12</f>
        <v>2900</v>
      </c>
      <c r="X11" s="572">
        <f>'처리구역별 인구 근거'!P12</f>
        <v>2900</v>
      </c>
      <c r="Y11" s="572">
        <f>'처리구역별 인구 근거'!T12</f>
        <v>2900</v>
      </c>
      <c r="Z11" s="547"/>
    </row>
    <row r="12" spans="1:26" ht="15.95" customHeight="1">
      <c r="A12" s="828"/>
      <c r="B12" s="920"/>
      <c r="C12" s="580" t="s">
        <v>1040</v>
      </c>
      <c r="D12" s="572">
        <f t="shared" si="0"/>
        <v>32358</v>
      </c>
      <c r="E12" s="572">
        <f t="shared" si="1"/>
        <v>33300</v>
      </c>
      <c r="F12" s="572">
        <f t="shared" si="1"/>
        <v>33200</v>
      </c>
      <c r="G12" s="572">
        <f t="shared" si="1"/>
        <v>32200</v>
      </c>
      <c r="H12" s="572">
        <f t="shared" si="1"/>
        <v>33700</v>
      </c>
      <c r="I12" s="547"/>
      <c r="J12" s="828"/>
      <c r="K12" s="920"/>
      <c r="L12" s="580" t="s">
        <v>1040</v>
      </c>
      <c r="M12" s="572">
        <f>'처리구역별 인구 근거'!D13</f>
        <v>32358</v>
      </c>
      <c r="N12" s="572">
        <f>SUM('처리구역별 인구 근거'!F13:G13)</f>
        <v>30600</v>
      </c>
      <c r="O12" s="572">
        <f>SUM('처리구역별 인구 근거'!J13:K13)</f>
        <v>27700</v>
      </c>
      <c r="P12" s="572">
        <f>SUM('처리구역별 인구 근거'!N13:O13)</f>
        <v>26700</v>
      </c>
      <c r="Q12" s="572">
        <f>SUM('처리구역별 인구 근거'!R13:S13)</f>
        <v>28200</v>
      </c>
      <c r="R12" s="547"/>
      <c r="S12" s="828"/>
      <c r="T12" s="920"/>
      <c r="U12" s="580" t="s">
        <v>1040</v>
      </c>
      <c r="V12" s="572">
        <f>'처리구역별 인구 근거'!H13</f>
        <v>2700</v>
      </c>
      <c r="W12" s="572">
        <f>'처리구역별 인구 근거'!L13</f>
        <v>5500</v>
      </c>
      <c r="X12" s="572">
        <f>'처리구역별 인구 근거'!P13</f>
        <v>5500</v>
      </c>
      <c r="Y12" s="572">
        <f>'처리구역별 인구 근거'!T13</f>
        <v>5500</v>
      </c>
      <c r="Z12" s="547"/>
    </row>
    <row r="13" spans="1:26" ht="15.95" customHeight="1">
      <c r="A13" s="828"/>
      <c r="B13" s="920"/>
      <c r="C13" s="580" t="s">
        <v>183</v>
      </c>
      <c r="D13" s="572">
        <f t="shared" si="0"/>
        <v>10906</v>
      </c>
      <c r="E13" s="572">
        <f t="shared" si="1"/>
        <v>12900</v>
      </c>
      <c r="F13" s="572">
        <f t="shared" si="1"/>
        <v>15600</v>
      </c>
      <c r="G13" s="572">
        <f t="shared" si="1"/>
        <v>15300</v>
      </c>
      <c r="H13" s="572">
        <f t="shared" si="1"/>
        <v>15800</v>
      </c>
      <c r="I13" s="547"/>
      <c r="J13" s="828"/>
      <c r="K13" s="920"/>
      <c r="L13" s="580" t="s">
        <v>183</v>
      </c>
      <c r="M13" s="572">
        <f>'처리구역별 인구 근거'!D14</f>
        <v>10906</v>
      </c>
      <c r="N13" s="572">
        <f>SUM('처리구역별 인구 근거'!F14:G14)</f>
        <v>10300</v>
      </c>
      <c r="O13" s="572">
        <f>SUM('처리구역별 인구 근거'!J14:K14)</f>
        <v>9300</v>
      </c>
      <c r="P13" s="572">
        <f>SUM('처리구역별 인구 근거'!N14:O14)</f>
        <v>9000</v>
      </c>
      <c r="Q13" s="572">
        <f>SUM('처리구역별 인구 근거'!R14:S14)</f>
        <v>9500</v>
      </c>
      <c r="R13" s="547"/>
      <c r="S13" s="828"/>
      <c r="T13" s="920"/>
      <c r="U13" s="580" t="s">
        <v>183</v>
      </c>
      <c r="V13" s="572">
        <f>'처리구역별 인구 근거'!H14</f>
        <v>2600</v>
      </c>
      <c r="W13" s="572">
        <f>'처리구역별 인구 근거'!L14</f>
        <v>6300</v>
      </c>
      <c r="X13" s="572">
        <f>'처리구역별 인구 근거'!P14</f>
        <v>6300</v>
      </c>
      <c r="Y13" s="572">
        <f>'처리구역별 인구 근거'!T14</f>
        <v>6300</v>
      </c>
      <c r="Z13" s="547"/>
    </row>
    <row r="14" spans="1:26" ht="15.95" customHeight="1">
      <c r="A14" s="828"/>
      <c r="B14" s="920" t="s">
        <v>59</v>
      </c>
      <c r="C14" s="480" t="s">
        <v>154</v>
      </c>
      <c r="D14" s="541">
        <f>SUM(D15:D21)</f>
        <v>118007</v>
      </c>
      <c r="E14" s="541">
        <f>SUM(E15:E21)</f>
        <v>124500</v>
      </c>
      <c r="F14" s="541">
        <f>SUM(F15:F21)</f>
        <v>114200</v>
      </c>
      <c r="G14" s="541">
        <f>SUM(G15:G21)</f>
        <v>110600</v>
      </c>
      <c r="H14" s="541">
        <f>SUM(H15:H21)</f>
        <v>115800</v>
      </c>
      <c r="I14" s="546"/>
      <c r="J14" s="828"/>
      <c r="K14" s="920" t="s">
        <v>59</v>
      </c>
      <c r="L14" s="480" t="s">
        <v>154</v>
      </c>
      <c r="M14" s="541">
        <f>SUM(M15:M21)</f>
        <v>118007</v>
      </c>
      <c r="N14" s="541">
        <f>SUM(N15:N21)</f>
        <v>111600</v>
      </c>
      <c r="O14" s="541">
        <f>SUM(O15:O21)</f>
        <v>100900</v>
      </c>
      <c r="P14" s="541">
        <f>SUM(P15:P21)</f>
        <v>97300</v>
      </c>
      <c r="Q14" s="541">
        <f>SUM(Q15:Q21)</f>
        <v>102500</v>
      </c>
      <c r="R14" s="546"/>
      <c r="S14" s="828"/>
      <c r="T14" s="920" t="s">
        <v>59</v>
      </c>
      <c r="U14" s="480" t="s">
        <v>154</v>
      </c>
      <c r="V14" s="541">
        <f>SUM(V15:V21)</f>
        <v>12900</v>
      </c>
      <c r="W14" s="541">
        <f>SUM(W15:W21)</f>
        <v>13300</v>
      </c>
      <c r="X14" s="541">
        <f>SUM(X15:X21)</f>
        <v>13300</v>
      </c>
      <c r="Y14" s="541">
        <f>SUM(Y15:Y21)</f>
        <v>13300</v>
      </c>
      <c r="Z14" s="546"/>
    </row>
    <row r="15" spans="1:26" ht="15.95" customHeight="1">
      <c r="A15" s="828"/>
      <c r="B15" s="920"/>
      <c r="C15" s="580" t="s">
        <v>176</v>
      </c>
      <c r="D15" s="572">
        <f t="shared" ref="D15:D21" si="2">M15</f>
        <v>16213</v>
      </c>
      <c r="E15" s="572">
        <f t="shared" ref="E15:H21" si="3">N15+V15</f>
        <v>15300</v>
      </c>
      <c r="F15" s="572">
        <f t="shared" si="3"/>
        <v>13800</v>
      </c>
      <c r="G15" s="572">
        <f t="shared" si="3"/>
        <v>13300</v>
      </c>
      <c r="H15" s="572">
        <f t="shared" si="3"/>
        <v>14000</v>
      </c>
      <c r="I15" s="547"/>
      <c r="J15" s="828"/>
      <c r="K15" s="920"/>
      <c r="L15" s="580" t="s">
        <v>176</v>
      </c>
      <c r="M15" s="572">
        <f>'처리구역별 인구 근거'!D16</f>
        <v>16213</v>
      </c>
      <c r="N15" s="572">
        <f>SUM('처리구역별 인구 근거'!F16:G16)</f>
        <v>15300</v>
      </c>
      <c r="O15" s="572">
        <f>SUM('처리구역별 인구 근거'!J16:K16)</f>
        <v>13800</v>
      </c>
      <c r="P15" s="572">
        <f>SUM('처리구역별 인구 근거'!N16:O16)</f>
        <v>13300</v>
      </c>
      <c r="Q15" s="572">
        <f>SUM('처리구역별 인구 근거'!R16:S16)</f>
        <v>14000</v>
      </c>
      <c r="R15" s="547"/>
      <c r="S15" s="828"/>
      <c r="T15" s="920"/>
      <c r="U15" s="580" t="s">
        <v>176</v>
      </c>
      <c r="V15" s="572">
        <f>'처리구역별 인구 근거'!H16</f>
        <v>0</v>
      </c>
      <c r="W15" s="572">
        <f>'처리구역별 인구 근거'!L16</f>
        <v>0</v>
      </c>
      <c r="X15" s="572">
        <f>'처리구역별 인구 근거'!P16</f>
        <v>0</v>
      </c>
      <c r="Y15" s="572">
        <f>'처리구역별 인구 근거'!T16</f>
        <v>0</v>
      </c>
      <c r="Z15" s="547"/>
    </row>
    <row r="16" spans="1:26" ht="15.95" customHeight="1">
      <c r="A16" s="828"/>
      <c r="B16" s="920"/>
      <c r="C16" s="580" t="s">
        <v>22</v>
      </c>
      <c r="D16" s="572">
        <f t="shared" si="2"/>
        <v>44646</v>
      </c>
      <c r="E16" s="572">
        <f t="shared" si="3"/>
        <v>43100</v>
      </c>
      <c r="F16" s="572">
        <f t="shared" si="3"/>
        <v>39100</v>
      </c>
      <c r="G16" s="572">
        <f t="shared" si="3"/>
        <v>37700</v>
      </c>
      <c r="H16" s="572">
        <f t="shared" si="3"/>
        <v>39600</v>
      </c>
      <c r="I16" s="547"/>
      <c r="J16" s="828"/>
      <c r="K16" s="920"/>
      <c r="L16" s="580" t="s">
        <v>22</v>
      </c>
      <c r="M16" s="572">
        <f>'처리구역별 인구 근거'!D17</f>
        <v>44646</v>
      </c>
      <c r="N16" s="572">
        <f>SUM('처리구역별 인구 근거'!F17:G17)</f>
        <v>42200</v>
      </c>
      <c r="O16" s="572">
        <f>SUM('처리구역별 인구 근거'!J17:K17)</f>
        <v>38200</v>
      </c>
      <c r="P16" s="572">
        <f>SUM('처리구역별 인구 근거'!N17:O17)</f>
        <v>36800</v>
      </c>
      <c r="Q16" s="572">
        <f>SUM('처리구역별 인구 근거'!R17:S17)</f>
        <v>38700</v>
      </c>
      <c r="R16" s="547"/>
      <c r="S16" s="828"/>
      <c r="T16" s="920"/>
      <c r="U16" s="580" t="s">
        <v>22</v>
      </c>
      <c r="V16" s="572">
        <f>'처리구역별 인구 근거'!H17</f>
        <v>900</v>
      </c>
      <c r="W16" s="572">
        <f>'처리구역별 인구 근거'!L17</f>
        <v>900</v>
      </c>
      <c r="X16" s="572">
        <f>'처리구역별 인구 근거'!P17</f>
        <v>900</v>
      </c>
      <c r="Y16" s="572">
        <f>'처리구역별 인구 근거'!T17</f>
        <v>900</v>
      </c>
      <c r="Z16" s="547"/>
    </row>
    <row r="17" spans="1:26" ht="15.95" customHeight="1">
      <c r="A17" s="828"/>
      <c r="B17" s="920"/>
      <c r="C17" s="580" t="s">
        <v>177</v>
      </c>
      <c r="D17" s="572">
        <f t="shared" si="2"/>
        <v>20435</v>
      </c>
      <c r="E17" s="572">
        <f t="shared" si="3"/>
        <v>21800</v>
      </c>
      <c r="F17" s="572">
        <f t="shared" si="3"/>
        <v>20000</v>
      </c>
      <c r="G17" s="572">
        <f t="shared" si="3"/>
        <v>19400</v>
      </c>
      <c r="H17" s="572">
        <f t="shared" si="3"/>
        <v>20300</v>
      </c>
      <c r="I17" s="547"/>
      <c r="J17" s="828"/>
      <c r="K17" s="920"/>
      <c r="L17" s="580" t="s">
        <v>177</v>
      </c>
      <c r="M17" s="572">
        <f>'처리구역별 인구 근거'!D18</f>
        <v>20435</v>
      </c>
      <c r="N17" s="572">
        <f>SUM('처리구역별 인구 근거'!F18:G18)</f>
        <v>19300</v>
      </c>
      <c r="O17" s="572">
        <f>SUM('처리구역별 인구 근거'!J18:K18)</f>
        <v>17500</v>
      </c>
      <c r="P17" s="572">
        <f>SUM('처리구역별 인구 근거'!N18:O18)</f>
        <v>16900</v>
      </c>
      <c r="Q17" s="572">
        <f>SUM('처리구역별 인구 근거'!R18:S18)</f>
        <v>17800</v>
      </c>
      <c r="R17" s="547"/>
      <c r="S17" s="828"/>
      <c r="T17" s="920"/>
      <c r="U17" s="580" t="s">
        <v>177</v>
      </c>
      <c r="V17" s="572">
        <f>'처리구역별 인구 근거'!H18</f>
        <v>2500</v>
      </c>
      <c r="W17" s="572">
        <f>'처리구역별 인구 근거'!L18</f>
        <v>2500</v>
      </c>
      <c r="X17" s="572">
        <f>'처리구역별 인구 근거'!P18</f>
        <v>2500</v>
      </c>
      <c r="Y17" s="572">
        <f>'처리구역별 인구 근거'!T18</f>
        <v>2500</v>
      </c>
      <c r="Z17" s="547"/>
    </row>
    <row r="18" spans="1:26" ht="15.95" customHeight="1">
      <c r="A18" s="828"/>
      <c r="B18" s="920"/>
      <c r="C18" s="580" t="s">
        <v>206</v>
      </c>
      <c r="D18" s="572">
        <f t="shared" si="2"/>
        <v>2321</v>
      </c>
      <c r="E18" s="572">
        <f t="shared" si="3"/>
        <v>2200</v>
      </c>
      <c r="F18" s="572">
        <f t="shared" si="3"/>
        <v>2000</v>
      </c>
      <c r="G18" s="572">
        <f t="shared" si="3"/>
        <v>1900</v>
      </c>
      <c r="H18" s="572">
        <f t="shared" si="3"/>
        <v>2000</v>
      </c>
      <c r="I18" s="547"/>
      <c r="J18" s="828"/>
      <c r="K18" s="920"/>
      <c r="L18" s="580" t="s">
        <v>206</v>
      </c>
      <c r="M18" s="572">
        <f>'처리구역별 인구 근거'!D19</f>
        <v>2321</v>
      </c>
      <c r="N18" s="572">
        <f>SUM('처리구역별 인구 근거'!F19:G19)</f>
        <v>2200</v>
      </c>
      <c r="O18" s="572">
        <f>SUM('처리구역별 인구 근거'!J19:K19)</f>
        <v>2000</v>
      </c>
      <c r="P18" s="572">
        <f>SUM('처리구역별 인구 근거'!N19:O19)</f>
        <v>1900</v>
      </c>
      <c r="Q18" s="572">
        <f>SUM('처리구역별 인구 근거'!R19:S19)</f>
        <v>2000</v>
      </c>
      <c r="R18" s="547"/>
      <c r="S18" s="828"/>
      <c r="T18" s="920"/>
      <c r="U18" s="580" t="s">
        <v>206</v>
      </c>
      <c r="V18" s="572">
        <f>'처리구역별 인구 근거'!H19</f>
        <v>0</v>
      </c>
      <c r="W18" s="572">
        <f>'처리구역별 인구 근거'!L19</f>
        <v>0</v>
      </c>
      <c r="X18" s="572">
        <f>'처리구역별 인구 근거'!P19</f>
        <v>0</v>
      </c>
      <c r="Y18" s="572">
        <f>'처리구역별 인구 근거'!T19</f>
        <v>0</v>
      </c>
      <c r="Z18" s="547"/>
    </row>
    <row r="19" spans="1:26" ht="15.95" customHeight="1">
      <c r="A19" s="828"/>
      <c r="B19" s="920"/>
      <c r="C19" s="580" t="s">
        <v>163</v>
      </c>
      <c r="D19" s="572">
        <f t="shared" si="2"/>
        <v>30520</v>
      </c>
      <c r="E19" s="572">
        <f t="shared" si="3"/>
        <v>29900</v>
      </c>
      <c r="F19" s="572">
        <f t="shared" si="3"/>
        <v>27100</v>
      </c>
      <c r="G19" s="572">
        <f t="shared" si="3"/>
        <v>26200</v>
      </c>
      <c r="H19" s="572">
        <f t="shared" si="3"/>
        <v>27600</v>
      </c>
      <c r="I19" s="547"/>
      <c r="J19" s="828"/>
      <c r="K19" s="920"/>
      <c r="L19" s="580" t="s">
        <v>163</v>
      </c>
      <c r="M19" s="572">
        <f>'처리구역별 인구 근거'!D20</f>
        <v>30520</v>
      </c>
      <c r="N19" s="572">
        <f>SUM('처리구역별 인구 근거'!F20:G20)</f>
        <v>28900</v>
      </c>
      <c r="O19" s="572">
        <f>SUM('처리구역별 인구 근거'!J20:K20)</f>
        <v>26100</v>
      </c>
      <c r="P19" s="572">
        <f>SUM('처리구역별 인구 근거'!N20:O20)</f>
        <v>25200</v>
      </c>
      <c r="Q19" s="572">
        <f>SUM('처리구역별 인구 근거'!R20:S20)</f>
        <v>26600</v>
      </c>
      <c r="R19" s="547"/>
      <c r="S19" s="828"/>
      <c r="T19" s="920"/>
      <c r="U19" s="580" t="s">
        <v>163</v>
      </c>
      <c r="V19" s="572">
        <f>'처리구역별 인구 근거'!H20</f>
        <v>1000</v>
      </c>
      <c r="W19" s="572">
        <f>'처리구역별 인구 근거'!L20</f>
        <v>1000</v>
      </c>
      <c r="X19" s="572">
        <f>'처리구역별 인구 근거'!P20</f>
        <v>1000</v>
      </c>
      <c r="Y19" s="572">
        <f>'처리구역별 인구 근거'!T20</f>
        <v>1000</v>
      </c>
      <c r="Z19" s="547"/>
    </row>
    <row r="20" spans="1:26" ht="15.95" customHeight="1">
      <c r="A20" s="828"/>
      <c r="B20" s="920"/>
      <c r="C20" s="580" t="s">
        <v>183</v>
      </c>
      <c r="D20" s="572">
        <f t="shared" si="2"/>
        <v>3872</v>
      </c>
      <c r="E20" s="572">
        <f t="shared" si="3"/>
        <v>11400</v>
      </c>
      <c r="F20" s="572">
        <f t="shared" si="3"/>
        <v>11400</v>
      </c>
      <c r="G20" s="572">
        <f t="shared" si="3"/>
        <v>11300</v>
      </c>
      <c r="H20" s="572">
        <f t="shared" si="3"/>
        <v>11500</v>
      </c>
      <c r="I20" s="547"/>
      <c r="J20" s="828"/>
      <c r="K20" s="920"/>
      <c r="L20" s="580" t="s">
        <v>183</v>
      </c>
      <c r="M20" s="572">
        <f>'처리구역별 인구 근거'!D21</f>
        <v>3872</v>
      </c>
      <c r="N20" s="572">
        <f>SUM('처리구역별 인구 근거'!F21:G21)</f>
        <v>3700</v>
      </c>
      <c r="O20" s="572">
        <f>SUM('처리구역별 인구 근거'!J21:K21)</f>
        <v>3300</v>
      </c>
      <c r="P20" s="572">
        <f>SUM('처리구역별 인구 근거'!N21:O21)</f>
        <v>3200</v>
      </c>
      <c r="Q20" s="572">
        <f>SUM('처리구역별 인구 근거'!R21:S21)</f>
        <v>3400</v>
      </c>
      <c r="R20" s="547"/>
      <c r="S20" s="828"/>
      <c r="T20" s="920"/>
      <c r="U20" s="580" t="s">
        <v>183</v>
      </c>
      <c r="V20" s="572">
        <f>'처리구역별 인구 근거'!H21</f>
        <v>7700</v>
      </c>
      <c r="W20" s="572">
        <f>'처리구역별 인구 근거'!L21</f>
        <v>8100</v>
      </c>
      <c r="X20" s="572">
        <f>'처리구역별 인구 근거'!P21</f>
        <v>8100</v>
      </c>
      <c r="Y20" s="572">
        <f>'처리구역별 인구 근거'!T21</f>
        <v>8100</v>
      </c>
      <c r="Z20" s="547"/>
    </row>
    <row r="21" spans="1:26" ht="15.95" customHeight="1">
      <c r="A21" s="828"/>
      <c r="B21" s="920"/>
      <c r="C21" s="580" t="s">
        <v>1100</v>
      </c>
      <c r="D21" s="572">
        <f t="shared" si="2"/>
        <v>0</v>
      </c>
      <c r="E21" s="572">
        <f t="shared" si="3"/>
        <v>800</v>
      </c>
      <c r="F21" s="572">
        <f t="shared" si="3"/>
        <v>800</v>
      </c>
      <c r="G21" s="572">
        <f t="shared" si="3"/>
        <v>800</v>
      </c>
      <c r="H21" s="572">
        <f t="shared" si="3"/>
        <v>800</v>
      </c>
      <c r="I21" s="547"/>
      <c r="J21" s="828"/>
      <c r="K21" s="920"/>
      <c r="L21" s="580" t="s">
        <v>1100</v>
      </c>
      <c r="M21" s="572">
        <f>'처리구역별 인구 근거'!D22</f>
        <v>0</v>
      </c>
      <c r="N21" s="572">
        <f>SUM('처리구역별 인구 근거'!F22:G22)</f>
        <v>0</v>
      </c>
      <c r="O21" s="572">
        <f>SUM('처리구역별 인구 근거'!J22:K22)</f>
        <v>0</v>
      </c>
      <c r="P21" s="572">
        <f>SUM('처리구역별 인구 근거'!N22:O22)</f>
        <v>0</v>
      </c>
      <c r="Q21" s="572">
        <f>SUM('처리구역별 인구 근거'!R22:S22)</f>
        <v>0</v>
      </c>
      <c r="R21" s="547"/>
      <c r="S21" s="828"/>
      <c r="T21" s="920"/>
      <c r="U21" s="580" t="s">
        <v>1100</v>
      </c>
      <c r="V21" s="572">
        <f>'처리구역별 인구 근거'!H22</f>
        <v>800</v>
      </c>
      <c r="W21" s="572">
        <f>'처리구역별 인구 근거'!L22</f>
        <v>800</v>
      </c>
      <c r="X21" s="572">
        <f>'처리구역별 인구 근거'!P22</f>
        <v>800</v>
      </c>
      <c r="Y21" s="572">
        <f>'처리구역별 인구 근거'!T22</f>
        <v>800</v>
      </c>
      <c r="Z21" s="547"/>
    </row>
    <row r="22" spans="1:26" ht="15.95" customHeight="1">
      <c r="A22" s="828"/>
      <c r="B22" s="920" t="s">
        <v>60</v>
      </c>
      <c r="C22" s="480" t="s">
        <v>154</v>
      </c>
      <c r="D22" s="541">
        <f>SUM(D23:D25)</f>
        <v>24849</v>
      </c>
      <c r="E22" s="541">
        <f>SUM(E23:E25)</f>
        <v>23500</v>
      </c>
      <c r="F22" s="541">
        <f>SUM(F23:F25)</f>
        <v>35800</v>
      </c>
      <c r="G22" s="541">
        <f>SUM(G23:G25)</f>
        <v>35100</v>
      </c>
      <c r="H22" s="541">
        <f>SUM(H23:H25)</f>
        <v>36100</v>
      </c>
      <c r="I22" s="546"/>
      <c r="J22" s="828"/>
      <c r="K22" s="920" t="s">
        <v>60</v>
      </c>
      <c r="L22" s="480" t="s">
        <v>154</v>
      </c>
      <c r="M22" s="541">
        <f>SUM(M23:M25)</f>
        <v>24849</v>
      </c>
      <c r="N22" s="541">
        <f>SUM(N23:N25)</f>
        <v>23500</v>
      </c>
      <c r="O22" s="541">
        <f>SUM(O23:O25)</f>
        <v>21200</v>
      </c>
      <c r="P22" s="541">
        <f>SUM(P23:P25)</f>
        <v>20500</v>
      </c>
      <c r="Q22" s="541">
        <f>SUM(Q23:Q25)</f>
        <v>21500</v>
      </c>
      <c r="R22" s="546"/>
      <c r="S22" s="828"/>
      <c r="T22" s="920" t="s">
        <v>60</v>
      </c>
      <c r="U22" s="480" t="s">
        <v>154</v>
      </c>
      <c r="V22" s="541">
        <f>SUM(V23:V25)</f>
        <v>0</v>
      </c>
      <c r="W22" s="541">
        <f>SUM(W23:W25)</f>
        <v>14600</v>
      </c>
      <c r="X22" s="541">
        <f>SUM(X23:X25)</f>
        <v>14600</v>
      </c>
      <c r="Y22" s="541">
        <f>SUM(Y23:Y25)</f>
        <v>14600</v>
      </c>
      <c r="Z22" s="546"/>
    </row>
    <row r="23" spans="1:26" ht="15.95" customHeight="1">
      <c r="A23" s="828"/>
      <c r="B23" s="920"/>
      <c r="C23" s="580" t="s">
        <v>1067</v>
      </c>
      <c r="D23" s="572">
        <f t="shared" ref="D23:D45" si="4">M23</f>
        <v>2950</v>
      </c>
      <c r="E23" s="572">
        <f t="shared" ref="E23:H25" si="5">N23+V23</f>
        <v>2800</v>
      </c>
      <c r="F23" s="572">
        <f t="shared" si="5"/>
        <v>3700</v>
      </c>
      <c r="G23" s="572">
        <f t="shared" si="5"/>
        <v>3600</v>
      </c>
      <c r="H23" s="572">
        <f t="shared" si="5"/>
        <v>3700</v>
      </c>
      <c r="I23" s="547"/>
      <c r="J23" s="828"/>
      <c r="K23" s="920"/>
      <c r="L23" s="580" t="s">
        <v>1067</v>
      </c>
      <c r="M23" s="572">
        <f>'처리구역별 인구 근거'!D24</f>
        <v>2950</v>
      </c>
      <c r="N23" s="572">
        <f>SUM('처리구역별 인구 근거'!F24:G24)</f>
        <v>2800</v>
      </c>
      <c r="O23" s="572">
        <f>SUM('처리구역별 인구 근거'!J24:K24)</f>
        <v>2500</v>
      </c>
      <c r="P23" s="572">
        <f>SUM('처리구역별 인구 근거'!N24:O24)</f>
        <v>2400</v>
      </c>
      <c r="Q23" s="572">
        <f>SUM('처리구역별 인구 근거'!R24:S24)</f>
        <v>2500</v>
      </c>
      <c r="R23" s="547"/>
      <c r="S23" s="828"/>
      <c r="T23" s="920"/>
      <c r="U23" s="580" t="s">
        <v>1067</v>
      </c>
      <c r="V23" s="572">
        <f>'처리구역별 인구 근거'!H24</f>
        <v>0</v>
      </c>
      <c r="W23" s="572">
        <f>'처리구역별 인구 근거'!L24</f>
        <v>1200</v>
      </c>
      <c r="X23" s="572">
        <f>'처리구역별 인구 근거'!P24</f>
        <v>1200</v>
      </c>
      <c r="Y23" s="572">
        <f>'처리구역별 인구 근거'!T24</f>
        <v>1200</v>
      </c>
      <c r="Z23" s="547"/>
    </row>
    <row r="24" spans="1:26" ht="15.95" customHeight="1">
      <c r="A24" s="828"/>
      <c r="B24" s="920"/>
      <c r="C24" s="580" t="s">
        <v>185</v>
      </c>
      <c r="D24" s="572">
        <f t="shared" si="4"/>
        <v>11360</v>
      </c>
      <c r="E24" s="572">
        <f t="shared" si="5"/>
        <v>10700</v>
      </c>
      <c r="F24" s="572">
        <f t="shared" si="5"/>
        <v>15600</v>
      </c>
      <c r="G24" s="572">
        <f t="shared" si="5"/>
        <v>15300</v>
      </c>
      <c r="H24" s="572">
        <f t="shared" si="5"/>
        <v>15800</v>
      </c>
      <c r="I24" s="547"/>
      <c r="J24" s="828"/>
      <c r="K24" s="920"/>
      <c r="L24" s="580" t="s">
        <v>185</v>
      </c>
      <c r="M24" s="572">
        <f>'처리구역별 인구 근거'!D25</f>
        <v>11360</v>
      </c>
      <c r="N24" s="572">
        <f>SUM('처리구역별 인구 근거'!F25:G25)</f>
        <v>10700</v>
      </c>
      <c r="O24" s="572">
        <f>SUM('처리구역별 인구 근거'!J25:K25)</f>
        <v>9700</v>
      </c>
      <c r="P24" s="572">
        <f>SUM('처리구역별 인구 근거'!N25:O25)</f>
        <v>9400</v>
      </c>
      <c r="Q24" s="572">
        <f>SUM('처리구역별 인구 근거'!R25:S25)</f>
        <v>9900</v>
      </c>
      <c r="R24" s="547"/>
      <c r="S24" s="828"/>
      <c r="T24" s="920"/>
      <c r="U24" s="580" t="s">
        <v>185</v>
      </c>
      <c r="V24" s="572">
        <f>'처리구역별 인구 근거'!H25</f>
        <v>0</v>
      </c>
      <c r="W24" s="572">
        <f>'처리구역별 인구 근거'!L25</f>
        <v>5900</v>
      </c>
      <c r="X24" s="572">
        <f>'처리구역별 인구 근거'!P25</f>
        <v>5900</v>
      </c>
      <c r="Y24" s="572">
        <f>'처리구역별 인구 근거'!T25</f>
        <v>5900</v>
      </c>
      <c r="Z24" s="547"/>
    </row>
    <row r="25" spans="1:26" ht="15.95" customHeight="1">
      <c r="A25" s="828"/>
      <c r="B25" s="920"/>
      <c r="C25" s="580" t="s">
        <v>1058</v>
      </c>
      <c r="D25" s="572">
        <f t="shared" si="4"/>
        <v>10539</v>
      </c>
      <c r="E25" s="572">
        <f t="shared" si="5"/>
        <v>10000</v>
      </c>
      <c r="F25" s="572">
        <f t="shared" si="5"/>
        <v>16500</v>
      </c>
      <c r="G25" s="572">
        <f t="shared" si="5"/>
        <v>16200</v>
      </c>
      <c r="H25" s="572">
        <f t="shared" si="5"/>
        <v>16600</v>
      </c>
      <c r="I25" s="547"/>
      <c r="J25" s="828"/>
      <c r="K25" s="920"/>
      <c r="L25" s="580" t="s">
        <v>1058</v>
      </c>
      <c r="M25" s="572">
        <f>'처리구역별 인구 근거'!D26</f>
        <v>10539</v>
      </c>
      <c r="N25" s="572">
        <f>SUM('처리구역별 인구 근거'!F26:G26)</f>
        <v>10000</v>
      </c>
      <c r="O25" s="572">
        <f>SUM('처리구역별 인구 근거'!J26:K26)</f>
        <v>9000</v>
      </c>
      <c r="P25" s="572">
        <f>SUM('처리구역별 인구 근거'!N26:O26)</f>
        <v>8700</v>
      </c>
      <c r="Q25" s="572">
        <f>SUM('처리구역별 인구 근거'!R26:S26)</f>
        <v>9100</v>
      </c>
      <c r="R25" s="547"/>
      <c r="S25" s="828"/>
      <c r="T25" s="920"/>
      <c r="U25" s="580" t="s">
        <v>1058</v>
      </c>
      <c r="V25" s="572">
        <f>'처리구역별 인구 근거'!H26</f>
        <v>0</v>
      </c>
      <c r="W25" s="572">
        <f>'처리구역별 인구 근거'!L26</f>
        <v>7500</v>
      </c>
      <c r="X25" s="572">
        <f>'처리구역별 인구 근거'!P26</f>
        <v>7500</v>
      </c>
      <c r="Y25" s="572">
        <f>'처리구역별 인구 근거'!T26</f>
        <v>7500</v>
      </c>
      <c r="Z25" s="547"/>
    </row>
    <row r="26" spans="1:26" ht="15.95" customHeight="1">
      <c r="A26" s="828"/>
      <c r="B26" s="920" t="s">
        <v>61</v>
      </c>
      <c r="C26" s="480" t="s">
        <v>154</v>
      </c>
      <c r="D26" s="541">
        <f>SUM(D27:D28)</f>
        <v>16810</v>
      </c>
      <c r="E26" s="541">
        <f>SUM(E27:E28)</f>
        <v>15900</v>
      </c>
      <c r="F26" s="541">
        <f>SUM(F27:F28)</f>
        <v>18800</v>
      </c>
      <c r="G26" s="541">
        <f>SUM(G27:G28)</f>
        <v>18300</v>
      </c>
      <c r="H26" s="541">
        <f>SUM(H27:H28)</f>
        <v>19000</v>
      </c>
      <c r="I26" s="546"/>
      <c r="J26" s="828"/>
      <c r="K26" s="920" t="s">
        <v>61</v>
      </c>
      <c r="L26" s="480" t="s">
        <v>154</v>
      </c>
      <c r="M26" s="541">
        <f>SUM(M27:M28)</f>
        <v>16810</v>
      </c>
      <c r="N26" s="541">
        <f>SUM(N27:N28)</f>
        <v>15900</v>
      </c>
      <c r="O26" s="541">
        <f>SUM(O27:O28)</f>
        <v>14500</v>
      </c>
      <c r="P26" s="541">
        <f>SUM(P27:P28)</f>
        <v>14000</v>
      </c>
      <c r="Q26" s="541">
        <f>SUM(Q27:Q28)</f>
        <v>14700</v>
      </c>
      <c r="R26" s="546"/>
      <c r="S26" s="828"/>
      <c r="T26" s="920" t="s">
        <v>61</v>
      </c>
      <c r="U26" s="480" t="s">
        <v>154</v>
      </c>
      <c r="V26" s="541">
        <f>SUM(V27:V28)</f>
        <v>0</v>
      </c>
      <c r="W26" s="541">
        <f>SUM(W27:W28)</f>
        <v>4300</v>
      </c>
      <c r="X26" s="541">
        <f>SUM(X27:X28)</f>
        <v>4300</v>
      </c>
      <c r="Y26" s="541">
        <f>SUM(Y27:Y28)</f>
        <v>4300</v>
      </c>
      <c r="Z26" s="546"/>
    </row>
    <row r="27" spans="1:26" ht="15.95" customHeight="1">
      <c r="A27" s="828"/>
      <c r="B27" s="920"/>
      <c r="C27" s="580" t="s">
        <v>1058</v>
      </c>
      <c r="D27" s="572">
        <f t="shared" si="4"/>
        <v>3300</v>
      </c>
      <c r="E27" s="572">
        <f t="shared" ref="E27:H28" si="6">N27+V27</f>
        <v>3100</v>
      </c>
      <c r="F27" s="572">
        <f t="shared" si="6"/>
        <v>4800</v>
      </c>
      <c r="G27" s="572">
        <f t="shared" si="6"/>
        <v>4700</v>
      </c>
      <c r="H27" s="572">
        <f t="shared" si="6"/>
        <v>4800</v>
      </c>
      <c r="I27" s="547"/>
      <c r="J27" s="828"/>
      <c r="K27" s="920"/>
      <c r="L27" s="580" t="s">
        <v>1058</v>
      </c>
      <c r="M27" s="572">
        <f>'처리구역별 인구 근거'!D28</f>
        <v>3300</v>
      </c>
      <c r="N27" s="572">
        <f>SUM('처리구역별 인구 근거'!F28:G28)</f>
        <v>3100</v>
      </c>
      <c r="O27" s="572">
        <f>SUM('처리구역별 인구 근거'!J28:K28)</f>
        <v>2800</v>
      </c>
      <c r="P27" s="572">
        <f>SUM('처리구역별 인구 근거'!N28:O28)</f>
        <v>2700</v>
      </c>
      <c r="Q27" s="572">
        <f>SUM('처리구역별 인구 근거'!R28:S28)</f>
        <v>2800</v>
      </c>
      <c r="R27" s="547"/>
      <c r="S27" s="828"/>
      <c r="T27" s="920"/>
      <c r="U27" s="580" t="s">
        <v>1058</v>
      </c>
      <c r="V27" s="572">
        <f>'처리구역별 인구 근거'!H28</f>
        <v>0</v>
      </c>
      <c r="W27" s="572">
        <f>'처리구역별 인구 근거'!L28</f>
        <v>2000</v>
      </c>
      <c r="X27" s="572">
        <f>'처리구역별 인구 근거'!P28</f>
        <v>2000</v>
      </c>
      <c r="Y27" s="572">
        <f>'처리구역별 인구 근거'!T28</f>
        <v>2000</v>
      </c>
      <c r="Z27" s="547"/>
    </row>
    <row r="28" spans="1:26" ht="15.95" customHeight="1">
      <c r="A28" s="828"/>
      <c r="B28" s="920"/>
      <c r="C28" s="580" t="s">
        <v>1061</v>
      </c>
      <c r="D28" s="572">
        <f t="shared" si="4"/>
        <v>13510</v>
      </c>
      <c r="E28" s="572">
        <f t="shared" si="6"/>
        <v>12800</v>
      </c>
      <c r="F28" s="572">
        <f t="shared" si="6"/>
        <v>14000</v>
      </c>
      <c r="G28" s="572">
        <f t="shared" si="6"/>
        <v>13600</v>
      </c>
      <c r="H28" s="572">
        <f t="shared" si="6"/>
        <v>14200</v>
      </c>
      <c r="I28" s="547"/>
      <c r="J28" s="828"/>
      <c r="K28" s="920"/>
      <c r="L28" s="580" t="s">
        <v>1061</v>
      </c>
      <c r="M28" s="572">
        <f>'처리구역별 인구 근거'!D29</f>
        <v>13510</v>
      </c>
      <c r="N28" s="572">
        <f>SUM('처리구역별 인구 근거'!F29:G29)</f>
        <v>12800</v>
      </c>
      <c r="O28" s="572">
        <f>SUM('처리구역별 인구 근거'!J29:K29)</f>
        <v>11700</v>
      </c>
      <c r="P28" s="572">
        <f>SUM('처리구역별 인구 근거'!N29:O29)</f>
        <v>11300</v>
      </c>
      <c r="Q28" s="572">
        <f>SUM('처리구역별 인구 근거'!R29:S29)</f>
        <v>11900</v>
      </c>
      <c r="R28" s="547"/>
      <c r="S28" s="828"/>
      <c r="T28" s="920"/>
      <c r="U28" s="580" t="s">
        <v>1061</v>
      </c>
      <c r="V28" s="572">
        <f>'처리구역별 인구 근거'!H29</f>
        <v>0</v>
      </c>
      <c r="W28" s="572">
        <f>'처리구역별 인구 근거'!L29</f>
        <v>2300</v>
      </c>
      <c r="X28" s="572">
        <f>'처리구역별 인구 근거'!P29</f>
        <v>2300</v>
      </c>
      <c r="Y28" s="572">
        <f>'처리구역별 인구 근거'!T29</f>
        <v>2300</v>
      </c>
      <c r="Z28" s="547"/>
    </row>
    <row r="29" spans="1:26" ht="15.95" customHeight="1">
      <c r="A29" s="828"/>
      <c r="B29" s="920" t="s">
        <v>507</v>
      </c>
      <c r="C29" s="480" t="s">
        <v>154</v>
      </c>
      <c r="D29" s="541">
        <f>SUM(D30:D34)</f>
        <v>97246</v>
      </c>
      <c r="E29" s="541">
        <f>SUM(E30:E34)</f>
        <v>96900</v>
      </c>
      <c r="F29" s="541">
        <f>SUM(F30:F34)</f>
        <v>96200</v>
      </c>
      <c r="G29" s="541">
        <f>SUM(G30:G34)</f>
        <v>93200</v>
      </c>
      <c r="H29" s="541">
        <f>SUM(H30:H34)</f>
        <v>97300</v>
      </c>
      <c r="I29" s="546"/>
      <c r="J29" s="828"/>
      <c r="K29" s="920" t="s">
        <v>507</v>
      </c>
      <c r="L29" s="480" t="s">
        <v>154</v>
      </c>
      <c r="M29" s="541">
        <f>SUM(M30:M34)</f>
        <v>97246</v>
      </c>
      <c r="N29" s="541">
        <f>SUM(N30:N34)</f>
        <v>91900</v>
      </c>
      <c r="O29" s="541">
        <f>SUM(O30:O34)</f>
        <v>83100</v>
      </c>
      <c r="P29" s="541">
        <f>SUM(P30:P34)</f>
        <v>80100</v>
      </c>
      <c r="Q29" s="541">
        <f>SUM(Q30:Q34)</f>
        <v>84200</v>
      </c>
      <c r="R29" s="546"/>
      <c r="S29" s="828"/>
      <c r="T29" s="920" t="s">
        <v>507</v>
      </c>
      <c r="U29" s="480" t="s">
        <v>154</v>
      </c>
      <c r="V29" s="541">
        <f>SUM(V30:V34)</f>
        <v>5000</v>
      </c>
      <c r="W29" s="541">
        <f>SUM(W30:W34)</f>
        <v>13100</v>
      </c>
      <c r="X29" s="541">
        <f>SUM(X30:X34)</f>
        <v>13100</v>
      </c>
      <c r="Y29" s="541">
        <f>SUM(Y30:Y34)</f>
        <v>13100</v>
      </c>
      <c r="Z29" s="546"/>
    </row>
    <row r="30" spans="1:26" ht="15.95" customHeight="1">
      <c r="A30" s="828"/>
      <c r="B30" s="920"/>
      <c r="C30" s="580" t="s">
        <v>24</v>
      </c>
      <c r="D30" s="572">
        <f t="shared" si="4"/>
        <v>17258</v>
      </c>
      <c r="E30" s="572">
        <f t="shared" ref="E30:H34" si="7">N30+V30</f>
        <v>16300</v>
      </c>
      <c r="F30" s="572">
        <f t="shared" si="7"/>
        <v>19500</v>
      </c>
      <c r="G30" s="572">
        <f t="shared" si="7"/>
        <v>19000</v>
      </c>
      <c r="H30" s="572">
        <f t="shared" si="7"/>
        <v>19700</v>
      </c>
      <c r="I30" s="547"/>
      <c r="J30" s="828"/>
      <c r="K30" s="920"/>
      <c r="L30" s="580" t="s">
        <v>24</v>
      </c>
      <c r="M30" s="572">
        <f>'처리구역별 인구 근거'!D31</f>
        <v>17258</v>
      </c>
      <c r="N30" s="572">
        <f>SUM('처리구역별 인구 근거'!F31:G31)</f>
        <v>16300</v>
      </c>
      <c r="O30" s="572">
        <f>SUM('처리구역별 인구 근거'!J31:K31)</f>
        <v>14700</v>
      </c>
      <c r="P30" s="572">
        <f>SUM('처리구역별 인구 근거'!N31:O31)</f>
        <v>14200</v>
      </c>
      <c r="Q30" s="572">
        <f>SUM('처리구역별 인구 근거'!R31:S31)</f>
        <v>14900</v>
      </c>
      <c r="R30" s="547"/>
      <c r="S30" s="828"/>
      <c r="T30" s="920"/>
      <c r="U30" s="580" t="s">
        <v>24</v>
      </c>
      <c r="V30" s="572">
        <f>'처리구역별 인구 근거'!H31</f>
        <v>0</v>
      </c>
      <c r="W30" s="572">
        <f>'처리구역별 인구 근거'!L31</f>
        <v>4800</v>
      </c>
      <c r="X30" s="572">
        <f>'처리구역별 인구 근거'!P31</f>
        <v>4800</v>
      </c>
      <c r="Y30" s="572">
        <f>'처리구역별 인구 근거'!T31</f>
        <v>4800</v>
      </c>
      <c r="Z30" s="547"/>
    </row>
    <row r="31" spans="1:26" ht="15.95" customHeight="1">
      <c r="A31" s="828"/>
      <c r="B31" s="920"/>
      <c r="C31" s="580" t="s">
        <v>1086</v>
      </c>
      <c r="D31" s="572">
        <f t="shared" si="4"/>
        <v>21438</v>
      </c>
      <c r="E31" s="572">
        <f t="shared" si="7"/>
        <v>20300</v>
      </c>
      <c r="F31" s="572">
        <f t="shared" si="7"/>
        <v>19000</v>
      </c>
      <c r="G31" s="572">
        <f t="shared" si="7"/>
        <v>18300</v>
      </c>
      <c r="H31" s="572">
        <f t="shared" si="7"/>
        <v>19200</v>
      </c>
      <c r="I31" s="547"/>
      <c r="J31" s="828"/>
      <c r="K31" s="920"/>
      <c r="L31" s="580" t="s">
        <v>1086</v>
      </c>
      <c r="M31" s="572">
        <f>'처리구역별 인구 근거'!D32</f>
        <v>21438</v>
      </c>
      <c r="N31" s="572">
        <f>SUM('처리구역별 인구 근거'!F32:G32)</f>
        <v>20300</v>
      </c>
      <c r="O31" s="572">
        <f>SUM('처리구역별 인구 근거'!J32:K32)</f>
        <v>18400</v>
      </c>
      <c r="P31" s="572">
        <f>SUM('처리구역별 인구 근거'!N32:O32)</f>
        <v>17700</v>
      </c>
      <c r="Q31" s="572">
        <f>SUM('처리구역별 인구 근거'!R32:S32)</f>
        <v>18600</v>
      </c>
      <c r="R31" s="547"/>
      <c r="S31" s="828"/>
      <c r="T31" s="920"/>
      <c r="U31" s="580" t="s">
        <v>1086</v>
      </c>
      <c r="V31" s="572">
        <f>'처리구역별 인구 근거'!H32</f>
        <v>0</v>
      </c>
      <c r="W31" s="572">
        <f>'처리구역별 인구 근거'!L32</f>
        <v>600</v>
      </c>
      <c r="X31" s="572">
        <f>'처리구역별 인구 근거'!P32</f>
        <v>600</v>
      </c>
      <c r="Y31" s="572">
        <f>'처리구역별 인구 근거'!T32</f>
        <v>600</v>
      </c>
      <c r="Z31" s="547"/>
    </row>
    <row r="32" spans="1:26" ht="15.95" customHeight="1">
      <c r="A32" s="828"/>
      <c r="B32" s="920"/>
      <c r="C32" s="580" t="s">
        <v>206</v>
      </c>
      <c r="D32" s="572">
        <f t="shared" si="4"/>
        <v>8918</v>
      </c>
      <c r="E32" s="572">
        <f t="shared" si="7"/>
        <v>8400</v>
      </c>
      <c r="F32" s="572">
        <f t="shared" si="7"/>
        <v>10300</v>
      </c>
      <c r="G32" s="572">
        <f t="shared" si="7"/>
        <v>10000</v>
      </c>
      <c r="H32" s="572">
        <f t="shared" si="7"/>
        <v>10400</v>
      </c>
      <c r="I32" s="547"/>
      <c r="J32" s="828"/>
      <c r="K32" s="920"/>
      <c r="L32" s="580" t="s">
        <v>206</v>
      </c>
      <c r="M32" s="572">
        <f>'처리구역별 인구 근거'!D33</f>
        <v>8918</v>
      </c>
      <c r="N32" s="572">
        <f>SUM('처리구역별 인구 근거'!F33:G33)</f>
        <v>8400</v>
      </c>
      <c r="O32" s="572">
        <f>SUM('처리구역별 인구 근거'!J33:K33)</f>
        <v>7600</v>
      </c>
      <c r="P32" s="572">
        <f>SUM('처리구역별 인구 근거'!N33:O33)</f>
        <v>7300</v>
      </c>
      <c r="Q32" s="572">
        <f>SUM('처리구역별 인구 근거'!R33:S33)</f>
        <v>7700</v>
      </c>
      <c r="R32" s="547"/>
      <c r="S32" s="828"/>
      <c r="T32" s="920"/>
      <c r="U32" s="580" t="s">
        <v>206</v>
      </c>
      <c r="V32" s="572">
        <f>'처리구역별 인구 근거'!H33</f>
        <v>0</v>
      </c>
      <c r="W32" s="572">
        <f>'처리구역별 인구 근거'!L33</f>
        <v>2700</v>
      </c>
      <c r="X32" s="572">
        <f>'처리구역별 인구 근거'!P33</f>
        <v>2700</v>
      </c>
      <c r="Y32" s="572">
        <f>'처리구역별 인구 근거'!T33</f>
        <v>2700</v>
      </c>
      <c r="Z32" s="547"/>
    </row>
    <row r="33" spans="1:26" ht="15.95" customHeight="1">
      <c r="A33" s="828"/>
      <c r="B33" s="920"/>
      <c r="C33" s="580" t="s">
        <v>160</v>
      </c>
      <c r="D33" s="572">
        <f t="shared" si="4"/>
        <v>45418</v>
      </c>
      <c r="E33" s="572">
        <f t="shared" si="7"/>
        <v>47900</v>
      </c>
      <c r="F33" s="572">
        <f t="shared" si="7"/>
        <v>43800</v>
      </c>
      <c r="G33" s="572">
        <f t="shared" si="7"/>
        <v>42400</v>
      </c>
      <c r="H33" s="572">
        <f t="shared" si="7"/>
        <v>44300</v>
      </c>
      <c r="I33" s="547"/>
      <c r="J33" s="828"/>
      <c r="K33" s="920"/>
      <c r="L33" s="580" t="s">
        <v>160</v>
      </c>
      <c r="M33" s="572">
        <f>'처리구역별 인구 근거'!D34</f>
        <v>45418</v>
      </c>
      <c r="N33" s="572">
        <f>SUM('처리구역별 인구 근거'!F34:G34)</f>
        <v>42900</v>
      </c>
      <c r="O33" s="572">
        <f>SUM('처리구역별 인구 근거'!J34:K34)</f>
        <v>38800</v>
      </c>
      <c r="P33" s="572">
        <f>SUM('처리구역별 인구 근거'!N34:O34)</f>
        <v>37400</v>
      </c>
      <c r="Q33" s="572">
        <f>SUM('처리구역별 인구 근거'!R34:S34)</f>
        <v>39300</v>
      </c>
      <c r="R33" s="547"/>
      <c r="S33" s="828"/>
      <c r="T33" s="920"/>
      <c r="U33" s="580" t="s">
        <v>160</v>
      </c>
      <c r="V33" s="572">
        <f>'처리구역별 인구 근거'!H34</f>
        <v>5000</v>
      </c>
      <c r="W33" s="572">
        <f>'처리구역별 인구 근거'!L34</f>
        <v>5000</v>
      </c>
      <c r="X33" s="572">
        <f>'처리구역별 인구 근거'!P34</f>
        <v>5000</v>
      </c>
      <c r="Y33" s="572">
        <f>'처리구역별 인구 근거'!T34</f>
        <v>5000</v>
      </c>
      <c r="Z33" s="547"/>
    </row>
    <row r="34" spans="1:26" ht="15.95" customHeight="1">
      <c r="A34" s="828"/>
      <c r="B34" s="920"/>
      <c r="C34" s="580" t="s">
        <v>1100</v>
      </c>
      <c r="D34" s="572">
        <f t="shared" si="4"/>
        <v>4214</v>
      </c>
      <c r="E34" s="572">
        <f t="shared" si="7"/>
        <v>4000</v>
      </c>
      <c r="F34" s="572">
        <f t="shared" si="7"/>
        <v>3600</v>
      </c>
      <c r="G34" s="572">
        <f t="shared" si="7"/>
        <v>3500</v>
      </c>
      <c r="H34" s="572">
        <f t="shared" si="7"/>
        <v>3700</v>
      </c>
      <c r="I34" s="547"/>
      <c r="J34" s="828"/>
      <c r="K34" s="920"/>
      <c r="L34" s="580" t="s">
        <v>1100</v>
      </c>
      <c r="M34" s="572">
        <f>'처리구역별 인구 근거'!D35</f>
        <v>4214</v>
      </c>
      <c r="N34" s="572">
        <f>SUM('처리구역별 인구 근거'!F35:G35)</f>
        <v>4000</v>
      </c>
      <c r="O34" s="572">
        <f>SUM('처리구역별 인구 근거'!J35:K35)</f>
        <v>3600</v>
      </c>
      <c r="P34" s="572">
        <f>SUM('처리구역별 인구 근거'!N35:O35)</f>
        <v>3500</v>
      </c>
      <c r="Q34" s="572">
        <f>SUM('처리구역별 인구 근거'!R35:S35)</f>
        <v>3700</v>
      </c>
      <c r="R34" s="547"/>
      <c r="S34" s="828"/>
      <c r="T34" s="920"/>
      <c r="U34" s="580" t="s">
        <v>1100</v>
      </c>
      <c r="V34" s="572">
        <f>'처리구역별 인구 근거'!H35</f>
        <v>0</v>
      </c>
      <c r="W34" s="572">
        <f>'처리구역별 인구 근거'!L35</f>
        <v>0</v>
      </c>
      <c r="X34" s="572">
        <f>'처리구역별 인구 근거'!P35</f>
        <v>0</v>
      </c>
      <c r="Y34" s="572">
        <f>'처리구역별 인구 근거'!T35</f>
        <v>0</v>
      </c>
      <c r="Z34" s="547"/>
    </row>
    <row r="35" spans="1:26" ht="15.95" customHeight="1">
      <c r="A35" s="828"/>
      <c r="B35" s="920" t="s">
        <v>207</v>
      </c>
      <c r="C35" s="480" t="s">
        <v>154</v>
      </c>
      <c r="D35" s="541">
        <f>SUM(D36:D37)</f>
        <v>36884</v>
      </c>
      <c r="E35" s="541">
        <f>SUM(E36:E37)</f>
        <v>48600</v>
      </c>
      <c r="F35" s="541">
        <f>SUM(F36:F37)</f>
        <v>87400</v>
      </c>
      <c r="G35" s="541">
        <f>SUM(G36:G37)</f>
        <v>101100</v>
      </c>
      <c r="H35" s="541">
        <f>SUM(H36:H37)</f>
        <v>102700</v>
      </c>
      <c r="I35" s="546"/>
      <c r="J35" s="828"/>
      <c r="K35" s="920" t="s">
        <v>207</v>
      </c>
      <c r="L35" s="480" t="s">
        <v>154</v>
      </c>
      <c r="M35" s="541">
        <f>SUM(M36:M37)</f>
        <v>36884</v>
      </c>
      <c r="N35" s="541">
        <f>SUM(N36:N37)</f>
        <v>34900</v>
      </c>
      <c r="O35" s="541">
        <f>SUM(O36:O37)</f>
        <v>31600</v>
      </c>
      <c r="P35" s="541">
        <f>SUM(P36:P37)</f>
        <v>30500</v>
      </c>
      <c r="Q35" s="541">
        <f>SUM(Q36:Q37)</f>
        <v>32100</v>
      </c>
      <c r="R35" s="546"/>
      <c r="S35" s="828"/>
      <c r="T35" s="920" t="s">
        <v>207</v>
      </c>
      <c r="U35" s="480" t="s">
        <v>154</v>
      </c>
      <c r="V35" s="541">
        <f>SUM(V36:V37)</f>
        <v>13700</v>
      </c>
      <c r="W35" s="541">
        <f>SUM(W36:W37)</f>
        <v>55800</v>
      </c>
      <c r="X35" s="541">
        <f>SUM(X36:X37)</f>
        <v>70600</v>
      </c>
      <c r="Y35" s="541">
        <f>SUM(Y36:Y37)</f>
        <v>70600</v>
      </c>
      <c r="Z35" s="546"/>
    </row>
    <row r="36" spans="1:26" ht="15.95" customHeight="1">
      <c r="A36" s="828"/>
      <c r="B36" s="920"/>
      <c r="C36" s="580" t="s">
        <v>1100</v>
      </c>
      <c r="D36" s="572">
        <f t="shared" si="4"/>
        <v>36884</v>
      </c>
      <c r="E36" s="572">
        <f t="shared" ref="E36:H37" si="8">N36+V36</f>
        <v>48600</v>
      </c>
      <c r="F36" s="572">
        <f t="shared" si="8"/>
        <v>75500</v>
      </c>
      <c r="G36" s="572">
        <f t="shared" si="8"/>
        <v>89200</v>
      </c>
      <c r="H36" s="572">
        <f t="shared" si="8"/>
        <v>90800</v>
      </c>
      <c r="I36" s="547"/>
      <c r="J36" s="828"/>
      <c r="K36" s="920"/>
      <c r="L36" s="580" t="s">
        <v>1100</v>
      </c>
      <c r="M36" s="572">
        <f>'처리구역별 인구 근거'!D37</f>
        <v>36884</v>
      </c>
      <c r="N36" s="572">
        <f>SUM('처리구역별 인구 근거'!F37:G37)</f>
        <v>34900</v>
      </c>
      <c r="O36" s="572">
        <f>SUM('처리구역별 인구 근거'!J37:K37)</f>
        <v>31600</v>
      </c>
      <c r="P36" s="572">
        <f>SUM('처리구역별 인구 근거'!N37:O37)</f>
        <v>30500</v>
      </c>
      <c r="Q36" s="572">
        <f>SUM('처리구역별 인구 근거'!R37:S37)</f>
        <v>32100</v>
      </c>
      <c r="R36" s="547"/>
      <c r="S36" s="828"/>
      <c r="T36" s="920"/>
      <c r="U36" s="580" t="s">
        <v>1100</v>
      </c>
      <c r="V36" s="572">
        <f>'처리구역별 인구 근거'!H37</f>
        <v>13700</v>
      </c>
      <c r="W36" s="572">
        <f>'처리구역별 인구 근거'!L37</f>
        <v>43900</v>
      </c>
      <c r="X36" s="572">
        <f>'처리구역별 인구 근거'!P37</f>
        <v>58700</v>
      </c>
      <c r="Y36" s="572">
        <f>'처리구역별 인구 근거'!T37</f>
        <v>58700</v>
      </c>
      <c r="Z36" s="547"/>
    </row>
    <row r="37" spans="1:26" ht="15.95" customHeight="1">
      <c r="A37" s="828"/>
      <c r="B37" s="920"/>
      <c r="C37" s="580" t="s">
        <v>160</v>
      </c>
      <c r="D37" s="572">
        <f t="shared" si="4"/>
        <v>0</v>
      </c>
      <c r="E37" s="572">
        <f t="shared" si="8"/>
        <v>0</v>
      </c>
      <c r="F37" s="572">
        <f t="shared" si="8"/>
        <v>11900</v>
      </c>
      <c r="G37" s="572">
        <f t="shared" si="8"/>
        <v>11900</v>
      </c>
      <c r="H37" s="572">
        <f t="shared" si="8"/>
        <v>11900</v>
      </c>
      <c r="I37" s="547"/>
      <c r="J37" s="828"/>
      <c r="K37" s="920"/>
      <c r="L37" s="580" t="s">
        <v>160</v>
      </c>
      <c r="M37" s="572">
        <f>'처리구역별 인구 근거'!D38</f>
        <v>0</v>
      </c>
      <c r="N37" s="572">
        <f>SUM('처리구역별 인구 근거'!F38:G38)</f>
        <v>0</v>
      </c>
      <c r="O37" s="572">
        <f>SUM('처리구역별 인구 근거'!J38:K38)</f>
        <v>0</v>
      </c>
      <c r="P37" s="572">
        <f>SUM('처리구역별 인구 근거'!N38:O38)</f>
        <v>0</v>
      </c>
      <c r="Q37" s="572">
        <f>SUM('처리구역별 인구 근거'!R38:S38)</f>
        <v>0</v>
      </c>
      <c r="R37" s="547"/>
      <c r="S37" s="828"/>
      <c r="T37" s="920"/>
      <c r="U37" s="580" t="s">
        <v>160</v>
      </c>
      <c r="V37" s="572">
        <f>'처리구역별 인구 근거'!H38</f>
        <v>0</v>
      </c>
      <c r="W37" s="572">
        <f>'처리구역별 인구 근거'!L38</f>
        <v>11900</v>
      </c>
      <c r="X37" s="572">
        <f>'처리구역별 인구 근거'!P38</f>
        <v>11900</v>
      </c>
      <c r="Y37" s="572">
        <f>'처리구역별 인구 근거'!T38</f>
        <v>11900</v>
      </c>
      <c r="Z37" s="547"/>
    </row>
    <row r="38" spans="1:26" ht="15.95" customHeight="1">
      <c r="A38" s="828"/>
      <c r="B38" s="920" t="s">
        <v>1209</v>
      </c>
      <c r="C38" s="480" t="s">
        <v>154</v>
      </c>
      <c r="D38" s="541">
        <f>SUM(D39:D41)</f>
        <v>12939</v>
      </c>
      <c r="E38" s="541">
        <f>SUM(E39:E41)</f>
        <v>60000</v>
      </c>
      <c r="F38" s="541">
        <f>SUM(F39:F41)</f>
        <v>62100</v>
      </c>
      <c r="G38" s="541">
        <f>SUM(G39:G41)</f>
        <v>69100</v>
      </c>
      <c r="H38" s="541">
        <f>SUM(H39:H41)</f>
        <v>70200</v>
      </c>
      <c r="I38" s="546"/>
      <c r="J38" s="828"/>
      <c r="K38" s="920" t="s">
        <v>1209</v>
      </c>
      <c r="L38" s="480" t="s">
        <v>154</v>
      </c>
      <c r="M38" s="541">
        <f>SUM(M39:M41)</f>
        <v>12939</v>
      </c>
      <c r="N38" s="541">
        <f>SUM(N39:N41)</f>
        <v>20700</v>
      </c>
      <c r="O38" s="541">
        <f>SUM(O39:O41)</f>
        <v>19600</v>
      </c>
      <c r="P38" s="541">
        <f>SUM(P39:P41)</f>
        <v>18900</v>
      </c>
      <c r="Q38" s="541">
        <f>SUM(Q39:Q41)</f>
        <v>20000</v>
      </c>
      <c r="R38" s="546"/>
      <c r="S38" s="828"/>
      <c r="T38" s="920" t="s">
        <v>1209</v>
      </c>
      <c r="U38" s="480" t="s">
        <v>154</v>
      </c>
      <c r="V38" s="541">
        <f>SUM(V39:V41)</f>
        <v>39300</v>
      </c>
      <c r="W38" s="541">
        <f>SUM(W39:W41)</f>
        <v>42500</v>
      </c>
      <c r="X38" s="541">
        <f>SUM(X39:X41)</f>
        <v>50200</v>
      </c>
      <c r="Y38" s="541">
        <f>SUM(Y39:Y41)</f>
        <v>50200</v>
      </c>
      <c r="Z38" s="546"/>
    </row>
    <row r="39" spans="1:26" ht="15.95" customHeight="1">
      <c r="A39" s="828"/>
      <c r="B39" s="920"/>
      <c r="C39" s="580" t="s">
        <v>183</v>
      </c>
      <c r="D39" s="572">
        <f t="shared" si="4"/>
        <v>4200</v>
      </c>
      <c r="E39" s="572">
        <f t="shared" ref="E39:H41" si="9">N39+V39</f>
        <v>6400</v>
      </c>
      <c r="F39" s="572">
        <f t="shared" si="9"/>
        <v>5800</v>
      </c>
      <c r="G39" s="572">
        <f t="shared" si="9"/>
        <v>5600</v>
      </c>
      <c r="H39" s="572">
        <f t="shared" si="9"/>
        <v>5900</v>
      </c>
      <c r="I39" s="547"/>
      <c r="J39" s="828"/>
      <c r="K39" s="920"/>
      <c r="L39" s="580" t="s">
        <v>183</v>
      </c>
      <c r="M39" s="572">
        <f>'처리구역별 인구 근거'!D40</f>
        <v>4200</v>
      </c>
      <c r="N39" s="572">
        <f>SUM('처리구역별 인구 근거'!F40:G40)</f>
        <v>6400</v>
      </c>
      <c r="O39" s="572">
        <f>SUM('처리구역별 인구 근거'!J40:K40)</f>
        <v>5800</v>
      </c>
      <c r="P39" s="572">
        <f>SUM('처리구역별 인구 근거'!N40:O40)</f>
        <v>5600</v>
      </c>
      <c r="Q39" s="572">
        <f>SUM('처리구역별 인구 근거'!R40:S40)</f>
        <v>5900</v>
      </c>
      <c r="R39" s="547"/>
      <c r="S39" s="828"/>
      <c r="T39" s="920"/>
      <c r="U39" s="580" t="s">
        <v>183</v>
      </c>
      <c r="V39" s="572">
        <f>'처리구역별 인구 근거'!H40</f>
        <v>0</v>
      </c>
      <c r="W39" s="572">
        <f>'처리구역별 인구 근거'!L40</f>
        <v>0</v>
      </c>
      <c r="X39" s="572">
        <f>'처리구역별 인구 근거'!P40</f>
        <v>0</v>
      </c>
      <c r="Y39" s="572">
        <f>'처리구역별 인구 근거'!T40</f>
        <v>0</v>
      </c>
      <c r="Z39" s="547"/>
    </row>
    <row r="40" spans="1:26" ht="15.95" customHeight="1">
      <c r="A40" s="828"/>
      <c r="B40" s="920"/>
      <c r="C40" s="580" t="s">
        <v>1061</v>
      </c>
      <c r="D40" s="572">
        <f t="shared" si="4"/>
        <v>8739</v>
      </c>
      <c r="E40" s="572">
        <f t="shared" si="9"/>
        <v>37700</v>
      </c>
      <c r="F40" s="572">
        <f t="shared" si="9"/>
        <v>39900</v>
      </c>
      <c r="G40" s="572">
        <f t="shared" si="9"/>
        <v>47100</v>
      </c>
      <c r="H40" s="572">
        <f t="shared" si="9"/>
        <v>47900</v>
      </c>
      <c r="I40" s="547"/>
      <c r="J40" s="828"/>
      <c r="K40" s="920"/>
      <c r="L40" s="580" t="s">
        <v>1061</v>
      </c>
      <c r="M40" s="572">
        <f>'처리구역별 인구 근거'!D41</f>
        <v>8739</v>
      </c>
      <c r="N40" s="572">
        <f>SUM('처리구역별 인구 근거'!F41:G41)</f>
        <v>14300</v>
      </c>
      <c r="O40" s="572">
        <f>SUM('처리구역별 인구 근거'!J41:K41)</f>
        <v>13300</v>
      </c>
      <c r="P40" s="572">
        <f>SUM('처리구역별 인구 근거'!N41:O41)</f>
        <v>12800</v>
      </c>
      <c r="Q40" s="572">
        <f>SUM('처리구역별 인구 근거'!R41:S41)</f>
        <v>13600</v>
      </c>
      <c r="R40" s="547"/>
      <c r="S40" s="828"/>
      <c r="T40" s="920"/>
      <c r="U40" s="580" t="s">
        <v>1061</v>
      </c>
      <c r="V40" s="572">
        <f>'처리구역별 인구 근거'!H41</f>
        <v>23400</v>
      </c>
      <c r="W40" s="572">
        <f>'처리구역별 인구 근거'!L41</f>
        <v>26600</v>
      </c>
      <c r="X40" s="572">
        <f>'처리구역별 인구 근거'!P41</f>
        <v>34300</v>
      </c>
      <c r="Y40" s="572">
        <f>'처리구역별 인구 근거'!T41</f>
        <v>34300</v>
      </c>
      <c r="Z40" s="547"/>
    </row>
    <row r="41" spans="1:26" ht="15.95" customHeight="1">
      <c r="A41" s="828"/>
      <c r="B41" s="920"/>
      <c r="C41" s="580" t="s">
        <v>163</v>
      </c>
      <c r="D41" s="572">
        <f t="shared" si="4"/>
        <v>0</v>
      </c>
      <c r="E41" s="572">
        <f t="shared" si="9"/>
        <v>15900</v>
      </c>
      <c r="F41" s="572">
        <f t="shared" si="9"/>
        <v>16400</v>
      </c>
      <c r="G41" s="572">
        <f t="shared" si="9"/>
        <v>16400</v>
      </c>
      <c r="H41" s="572">
        <f t="shared" si="9"/>
        <v>16400</v>
      </c>
      <c r="I41" s="547"/>
      <c r="J41" s="828"/>
      <c r="K41" s="920"/>
      <c r="L41" s="580" t="s">
        <v>163</v>
      </c>
      <c r="M41" s="572">
        <f>'처리구역별 인구 근거'!D42</f>
        <v>0</v>
      </c>
      <c r="N41" s="572">
        <f>SUM('처리구역별 인구 근거'!F42:G42)</f>
        <v>0</v>
      </c>
      <c r="O41" s="572">
        <f>SUM('처리구역별 인구 근거'!J42:K42)</f>
        <v>500</v>
      </c>
      <c r="P41" s="572">
        <f>SUM('처리구역별 인구 근거'!N42:O42)</f>
        <v>500</v>
      </c>
      <c r="Q41" s="572">
        <f>SUM('처리구역별 인구 근거'!R42:S42)</f>
        <v>500</v>
      </c>
      <c r="R41" s="547"/>
      <c r="S41" s="828"/>
      <c r="T41" s="920"/>
      <c r="U41" s="580" t="s">
        <v>163</v>
      </c>
      <c r="V41" s="572">
        <f>'처리구역별 인구 근거'!H42</f>
        <v>15900</v>
      </c>
      <c r="W41" s="572">
        <f>'처리구역별 인구 근거'!L42</f>
        <v>15900</v>
      </c>
      <c r="X41" s="572">
        <f>'처리구역별 인구 근거'!P42</f>
        <v>15900</v>
      </c>
      <c r="Y41" s="572">
        <f>'처리구역별 인구 근거'!T42</f>
        <v>15900</v>
      </c>
      <c r="Z41" s="547"/>
    </row>
    <row r="42" spans="1:26" ht="15.95" customHeight="1">
      <c r="A42" s="828"/>
      <c r="B42" s="920" t="s">
        <v>208</v>
      </c>
      <c r="C42" s="480" t="s">
        <v>154</v>
      </c>
      <c r="D42" s="541">
        <f>SUM(D43)</f>
        <v>386</v>
      </c>
      <c r="E42" s="541">
        <f>SUM(E43)</f>
        <v>400</v>
      </c>
      <c r="F42" s="541">
        <f>SUM(F43)</f>
        <v>400</v>
      </c>
      <c r="G42" s="541">
        <f>SUM(G43)</f>
        <v>400</v>
      </c>
      <c r="H42" s="541">
        <f>SUM(H43)</f>
        <v>400</v>
      </c>
      <c r="I42" s="546"/>
      <c r="J42" s="828"/>
      <c r="K42" s="920" t="s">
        <v>208</v>
      </c>
      <c r="L42" s="480" t="s">
        <v>154</v>
      </c>
      <c r="M42" s="541">
        <f>SUM(M43)</f>
        <v>386</v>
      </c>
      <c r="N42" s="541">
        <f>SUM(N43)</f>
        <v>400</v>
      </c>
      <c r="O42" s="541">
        <f>SUM(O43)</f>
        <v>400</v>
      </c>
      <c r="P42" s="541">
        <f>SUM(P43)</f>
        <v>400</v>
      </c>
      <c r="Q42" s="541">
        <f>SUM(Q43)</f>
        <v>400</v>
      </c>
      <c r="R42" s="546"/>
      <c r="S42" s="828"/>
      <c r="T42" s="920" t="s">
        <v>208</v>
      </c>
      <c r="U42" s="480" t="s">
        <v>154</v>
      </c>
      <c r="V42" s="541">
        <f>SUM(V43)</f>
        <v>0</v>
      </c>
      <c r="W42" s="541">
        <f>SUM(W43)</f>
        <v>0</v>
      </c>
      <c r="X42" s="541">
        <f>SUM(X43)</f>
        <v>0</v>
      </c>
      <c r="Y42" s="541">
        <f>SUM(Y43)</f>
        <v>0</v>
      </c>
      <c r="Z42" s="546"/>
    </row>
    <row r="43" spans="1:26" ht="15.95" customHeight="1">
      <c r="A43" s="828"/>
      <c r="B43" s="920"/>
      <c r="C43" s="580" t="s">
        <v>160</v>
      </c>
      <c r="D43" s="572">
        <f t="shared" si="4"/>
        <v>386</v>
      </c>
      <c r="E43" s="572">
        <f>N43+V43</f>
        <v>400</v>
      </c>
      <c r="F43" s="572">
        <f>O43+W43</f>
        <v>400</v>
      </c>
      <c r="G43" s="572">
        <f>P43+X43</f>
        <v>400</v>
      </c>
      <c r="H43" s="572">
        <f>Q43+Y43</f>
        <v>400</v>
      </c>
      <c r="I43" s="547"/>
      <c r="J43" s="828"/>
      <c r="K43" s="920"/>
      <c r="L43" s="580" t="s">
        <v>160</v>
      </c>
      <c r="M43" s="572">
        <f>'처리구역별 인구 근거'!D44</f>
        <v>386</v>
      </c>
      <c r="N43" s="572">
        <f>SUM('처리구역별 인구 근거'!F44:G44)</f>
        <v>400</v>
      </c>
      <c r="O43" s="572">
        <f>SUM('처리구역별 인구 근거'!J44:K44)</f>
        <v>400</v>
      </c>
      <c r="P43" s="572">
        <f>SUM('처리구역별 인구 근거'!N44:O44)</f>
        <v>400</v>
      </c>
      <c r="Q43" s="572">
        <f>SUM('처리구역별 인구 근거'!R44:S44)</f>
        <v>400</v>
      </c>
      <c r="R43" s="547"/>
      <c r="S43" s="828"/>
      <c r="T43" s="920"/>
      <c r="U43" s="580" t="s">
        <v>160</v>
      </c>
      <c r="V43" s="572">
        <f>'처리구역별 인구 근거'!H44</f>
        <v>0</v>
      </c>
      <c r="W43" s="572">
        <f>'처리구역별 인구 근거'!L44</f>
        <v>0</v>
      </c>
      <c r="X43" s="572">
        <f>'처리구역별 인구 근거'!P44</f>
        <v>0</v>
      </c>
      <c r="Y43" s="572">
        <f>'처리구역별 인구 근거'!T44</f>
        <v>0</v>
      </c>
      <c r="Z43" s="547"/>
    </row>
    <row r="44" spans="1:26" ht="15.95" customHeight="1">
      <c r="A44" s="828"/>
      <c r="B44" s="920" t="s">
        <v>1166</v>
      </c>
      <c r="C44" s="480" t="s">
        <v>154</v>
      </c>
      <c r="D44" s="541">
        <f>SUM(D45)</f>
        <v>2632</v>
      </c>
      <c r="E44" s="541">
        <f>SUM(E45)</f>
        <v>2600</v>
      </c>
      <c r="F44" s="541">
        <f>SUM(F45)</f>
        <v>3600</v>
      </c>
      <c r="G44" s="541">
        <f>SUM(G45)</f>
        <v>3600</v>
      </c>
      <c r="H44" s="541">
        <f>SUM(H45)</f>
        <v>3600</v>
      </c>
      <c r="I44" s="546"/>
      <c r="J44" s="828"/>
      <c r="K44" s="920" t="s">
        <v>1166</v>
      </c>
      <c r="L44" s="480" t="s">
        <v>154</v>
      </c>
      <c r="M44" s="541">
        <f>SUM(M45)</f>
        <v>2632</v>
      </c>
      <c r="N44" s="541">
        <f>SUM(N45)</f>
        <v>2600</v>
      </c>
      <c r="O44" s="541">
        <f>SUM(O45)</f>
        <v>3600</v>
      </c>
      <c r="P44" s="541">
        <f>SUM(P45)</f>
        <v>3600</v>
      </c>
      <c r="Q44" s="541">
        <f>SUM(Q45)</f>
        <v>3600</v>
      </c>
      <c r="R44" s="546"/>
      <c r="S44" s="828"/>
      <c r="T44" s="920" t="s">
        <v>1166</v>
      </c>
      <c r="U44" s="480" t="s">
        <v>154</v>
      </c>
      <c r="V44" s="541">
        <f>SUM(V45)</f>
        <v>0</v>
      </c>
      <c r="W44" s="541">
        <f>SUM(W45)</f>
        <v>0</v>
      </c>
      <c r="X44" s="541">
        <f>SUM(X45)</f>
        <v>0</v>
      </c>
      <c r="Y44" s="541">
        <f>SUM(Y45)</f>
        <v>0</v>
      </c>
      <c r="Z44" s="546"/>
    </row>
    <row r="45" spans="1:26" ht="15.95" customHeight="1">
      <c r="A45" s="829"/>
      <c r="B45" s="795"/>
      <c r="C45" s="585" t="s">
        <v>200</v>
      </c>
      <c r="D45" s="70">
        <f t="shared" si="4"/>
        <v>2632</v>
      </c>
      <c r="E45" s="70">
        <f>N45+V45</f>
        <v>2600</v>
      </c>
      <c r="F45" s="70">
        <f>O45+W45</f>
        <v>3600</v>
      </c>
      <c r="G45" s="70">
        <f>P45+X45</f>
        <v>3600</v>
      </c>
      <c r="H45" s="70">
        <f>Q45+Y45</f>
        <v>3600</v>
      </c>
      <c r="I45" s="302"/>
      <c r="J45" s="829"/>
      <c r="K45" s="795"/>
      <c r="L45" s="585" t="s">
        <v>200</v>
      </c>
      <c r="M45" s="70">
        <f>'처리구역별 인구 근거'!D46</f>
        <v>2632</v>
      </c>
      <c r="N45" s="70">
        <f>SUM('처리구역별 인구 근거'!F46:G46)</f>
        <v>2600</v>
      </c>
      <c r="O45" s="70">
        <f>SUM('처리구역별 인구 근거'!J46:K46)</f>
        <v>3600</v>
      </c>
      <c r="P45" s="70">
        <f>SUM('처리구역별 인구 근거'!N46:O46)</f>
        <v>3600</v>
      </c>
      <c r="Q45" s="70">
        <f>SUM('처리구역별 인구 근거'!R46:S46)</f>
        <v>3600</v>
      </c>
      <c r="R45" s="302"/>
      <c r="S45" s="829"/>
      <c r="T45" s="795"/>
      <c r="U45" s="585" t="s">
        <v>200</v>
      </c>
      <c r="V45" s="70">
        <f>'처리구역별 인구 근거'!H46</f>
        <v>0</v>
      </c>
      <c r="W45" s="70">
        <f>'처리구역별 인구 근거'!L46</f>
        <v>0</v>
      </c>
      <c r="X45" s="70">
        <f>'처리구역별 인구 근거'!P46</f>
        <v>0</v>
      </c>
      <c r="Y45" s="70">
        <f>'처리구역별 인구 근거'!T46</f>
        <v>0</v>
      </c>
      <c r="Z45" s="302"/>
    </row>
    <row r="46" spans="1:26" ht="16.5" customHeight="1">
      <c r="A46" s="992" t="s">
        <v>45</v>
      </c>
      <c r="B46" s="981" t="s">
        <v>53</v>
      </c>
      <c r="C46" s="981"/>
      <c r="D46" s="544">
        <f>SUM(D47,D51,D56)</f>
        <v>61641</v>
      </c>
      <c r="E46" s="544">
        <f>SUM(E47,E51,E56)</f>
        <v>77200</v>
      </c>
      <c r="F46" s="544">
        <f>SUM(F47,F51,F56)</f>
        <v>110100</v>
      </c>
      <c r="G46" s="544">
        <f>SUM(G47,G51,G56)</f>
        <v>179800</v>
      </c>
      <c r="H46" s="544">
        <f>SUM(H47,H51,H56)</f>
        <v>183300</v>
      </c>
      <c r="I46" s="545"/>
      <c r="J46" s="992" t="s">
        <v>45</v>
      </c>
      <c r="K46" s="981" t="s">
        <v>53</v>
      </c>
      <c r="L46" s="981"/>
      <c r="M46" s="544">
        <f>SUM(M47,M51,M56)</f>
        <v>61641</v>
      </c>
      <c r="N46" s="544">
        <f>SUM(N47,N51,N56)</f>
        <v>66900</v>
      </c>
      <c r="O46" s="544">
        <f>SUM(O47,O51,O56)</f>
        <v>69100</v>
      </c>
      <c r="P46" s="544">
        <f>SUM(P47,P51,P56)</f>
        <v>55200</v>
      </c>
      <c r="Q46" s="544">
        <f>SUM(Q47,Q51,Q56)</f>
        <v>58700</v>
      </c>
      <c r="R46" s="545"/>
      <c r="S46" s="992" t="s">
        <v>45</v>
      </c>
      <c r="T46" s="981" t="s">
        <v>53</v>
      </c>
      <c r="U46" s="981"/>
      <c r="V46" s="544">
        <f>SUM(V47,V51,V56)</f>
        <v>10300</v>
      </c>
      <c r="W46" s="544">
        <f>SUM(W47,W51,W56)</f>
        <v>41000</v>
      </c>
      <c r="X46" s="544">
        <f>SUM(X47,X51,X56)</f>
        <v>124600</v>
      </c>
      <c r="Y46" s="544">
        <f>SUM(Y47,Y51,Y56)</f>
        <v>124600</v>
      </c>
      <c r="Z46" s="545"/>
    </row>
    <row r="47" spans="1:26" ht="16.5" customHeight="1">
      <c r="A47" s="828"/>
      <c r="B47" s="920" t="s">
        <v>509</v>
      </c>
      <c r="C47" s="480" t="s">
        <v>154</v>
      </c>
      <c r="D47" s="541">
        <f>SUM(D48:D50)</f>
        <v>40932</v>
      </c>
      <c r="E47" s="541">
        <f>SUM(E48:E50)</f>
        <v>46700</v>
      </c>
      <c r="F47" s="541">
        <f>SUM(F48:F50)</f>
        <v>79000</v>
      </c>
      <c r="G47" s="541">
        <f>SUM(G48:G50)</f>
        <v>107300</v>
      </c>
      <c r="H47" s="541">
        <f>SUM(H48:H50)</f>
        <v>109500</v>
      </c>
      <c r="I47" s="546"/>
      <c r="J47" s="828"/>
      <c r="K47" s="920" t="s">
        <v>509</v>
      </c>
      <c r="L47" s="480" t="s">
        <v>154</v>
      </c>
      <c r="M47" s="541">
        <f>SUM(M48:M50)</f>
        <v>40932</v>
      </c>
      <c r="N47" s="541">
        <f>SUM(N48:N50)</f>
        <v>41500</v>
      </c>
      <c r="O47" s="541">
        <f>SUM(O48:O50)</f>
        <v>43100</v>
      </c>
      <c r="P47" s="541">
        <f>SUM(P48:P50)</f>
        <v>32400</v>
      </c>
      <c r="Q47" s="541">
        <f>SUM(Q48:Q50)</f>
        <v>34600</v>
      </c>
      <c r="R47" s="546"/>
      <c r="S47" s="828"/>
      <c r="T47" s="920" t="s">
        <v>509</v>
      </c>
      <c r="U47" s="480" t="s">
        <v>154</v>
      </c>
      <c r="V47" s="541">
        <f>SUM(V48:V50)</f>
        <v>5200</v>
      </c>
      <c r="W47" s="541">
        <f>SUM(W48:W50)</f>
        <v>35900</v>
      </c>
      <c r="X47" s="541">
        <f>SUM(X48:X50)</f>
        <v>74900</v>
      </c>
      <c r="Y47" s="541">
        <f>SUM(Y48:Y50)</f>
        <v>74900</v>
      </c>
      <c r="Z47" s="546"/>
    </row>
    <row r="48" spans="1:26" ht="16.5" customHeight="1">
      <c r="A48" s="828"/>
      <c r="B48" s="920"/>
      <c r="C48" s="580" t="s">
        <v>156</v>
      </c>
      <c r="D48" s="572">
        <f>M48</f>
        <v>6717</v>
      </c>
      <c r="E48" s="572">
        <f t="shared" ref="E48:H50" si="10">N48+V48</f>
        <v>7300</v>
      </c>
      <c r="F48" s="572">
        <f t="shared" si="10"/>
        <v>10000</v>
      </c>
      <c r="G48" s="572">
        <f t="shared" si="10"/>
        <v>47300</v>
      </c>
      <c r="H48" s="572">
        <f t="shared" si="10"/>
        <v>47800</v>
      </c>
      <c r="I48" s="547"/>
      <c r="J48" s="828"/>
      <c r="K48" s="920"/>
      <c r="L48" s="580" t="s">
        <v>156</v>
      </c>
      <c r="M48" s="572">
        <f>'처리구역별 인구 근거'!D49</f>
        <v>6717</v>
      </c>
      <c r="N48" s="572">
        <f>SUM('처리구역별 인구 근거'!F49:G49)</f>
        <v>6500</v>
      </c>
      <c r="O48" s="572">
        <f>SUM('처리구역별 인구 근거'!J49:K49)</f>
        <v>9200</v>
      </c>
      <c r="P48" s="572">
        <f>SUM('처리구역별 인구 근거'!N49:O49)</f>
        <v>7500</v>
      </c>
      <c r="Q48" s="572">
        <f>SUM('처리구역별 인구 근거'!R49:S49)</f>
        <v>8000</v>
      </c>
      <c r="R48" s="547"/>
      <c r="S48" s="828"/>
      <c r="T48" s="920"/>
      <c r="U48" s="580" t="s">
        <v>156</v>
      </c>
      <c r="V48" s="572">
        <f>'처리구역별 인구 근거'!H49</f>
        <v>800</v>
      </c>
      <c r="W48" s="572">
        <f>'처리구역별 인구 근거'!L49</f>
        <v>800</v>
      </c>
      <c r="X48" s="572">
        <f>'처리구역별 인구 근거'!P49</f>
        <v>39800</v>
      </c>
      <c r="Y48" s="572">
        <f>'처리구역별 인구 근거'!T49</f>
        <v>39800</v>
      </c>
      <c r="Z48" s="547"/>
    </row>
    <row r="49" spans="1:26" ht="16.5" customHeight="1">
      <c r="A49" s="828"/>
      <c r="B49" s="920"/>
      <c r="C49" s="580" t="s">
        <v>49</v>
      </c>
      <c r="D49" s="572">
        <f>M49</f>
        <v>13528</v>
      </c>
      <c r="E49" s="572">
        <f t="shared" si="10"/>
        <v>15600</v>
      </c>
      <c r="F49" s="572">
        <f t="shared" si="10"/>
        <v>28400</v>
      </c>
      <c r="G49" s="572">
        <f t="shared" si="10"/>
        <v>25400</v>
      </c>
      <c r="H49" s="572">
        <f t="shared" si="10"/>
        <v>26000</v>
      </c>
      <c r="I49" s="547"/>
      <c r="J49" s="828"/>
      <c r="K49" s="920"/>
      <c r="L49" s="580" t="s">
        <v>49</v>
      </c>
      <c r="M49" s="572">
        <f>'처리구역별 인구 근거'!D50</f>
        <v>13528</v>
      </c>
      <c r="N49" s="572">
        <f>SUM('처리구역별 인구 근거'!F50:G50)</f>
        <v>13200</v>
      </c>
      <c r="O49" s="572">
        <f>SUM('처리구역별 인구 근거'!J50:K50)</f>
        <v>11700</v>
      </c>
      <c r="P49" s="572">
        <f>SUM('처리구역별 인구 근거'!N50:O50)</f>
        <v>8700</v>
      </c>
      <c r="Q49" s="572">
        <f>SUM('처리구역별 인구 근거'!R50:S50)</f>
        <v>9300</v>
      </c>
      <c r="R49" s="547"/>
      <c r="S49" s="828"/>
      <c r="T49" s="920"/>
      <c r="U49" s="580" t="s">
        <v>49</v>
      </c>
      <c r="V49" s="572">
        <f>'처리구역별 인구 근거'!H50</f>
        <v>2400</v>
      </c>
      <c r="W49" s="572">
        <f>'처리구역별 인구 근거'!L50</f>
        <v>16700</v>
      </c>
      <c r="X49" s="572">
        <f>'처리구역별 인구 근거'!P50</f>
        <v>16700</v>
      </c>
      <c r="Y49" s="572">
        <f>'처리구역별 인구 근거'!T50</f>
        <v>16700</v>
      </c>
      <c r="Z49" s="547"/>
    </row>
    <row r="50" spans="1:26" ht="16.5" customHeight="1">
      <c r="A50" s="828"/>
      <c r="B50" s="920"/>
      <c r="C50" s="580" t="s">
        <v>155</v>
      </c>
      <c r="D50" s="572">
        <f>M50</f>
        <v>20687</v>
      </c>
      <c r="E50" s="572">
        <f t="shared" si="10"/>
        <v>23800</v>
      </c>
      <c r="F50" s="572">
        <f t="shared" si="10"/>
        <v>40600</v>
      </c>
      <c r="G50" s="572">
        <f t="shared" si="10"/>
        <v>34600</v>
      </c>
      <c r="H50" s="572">
        <f t="shared" si="10"/>
        <v>35700</v>
      </c>
      <c r="I50" s="547"/>
      <c r="J50" s="828"/>
      <c r="K50" s="920"/>
      <c r="L50" s="580" t="s">
        <v>155</v>
      </c>
      <c r="M50" s="572">
        <f>'처리구역별 인구 근거'!D51</f>
        <v>20687</v>
      </c>
      <c r="N50" s="572">
        <f>SUM('처리구역별 인구 근거'!F51:G51)</f>
        <v>21800</v>
      </c>
      <c r="O50" s="572">
        <f>SUM('처리구역별 인구 근거'!J51:K51)</f>
        <v>22200</v>
      </c>
      <c r="P50" s="572">
        <f>SUM('처리구역별 인구 근거'!N51:O51)</f>
        <v>16200</v>
      </c>
      <c r="Q50" s="572">
        <f>SUM('처리구역별 인구 근거'!R51:S51)</f>
        <v>17300</v>
      </c>
      <c r="R50" s="547"/>
      <c r="S50" s="828"/>
      <c r="T50" s="920"/>
      <c r="U50" s="580" t="s">
        <v>155</v>
      </c>
      <c r="V50" s="572">
        <f>'처리구역별 인구 근거'!H51</f>
        <v>2000</v>
      </c>
      <c r="W50" s="572">
        <f>'처리구역별 인구 근거'!L51</f>
        <v>18400</v>
      </c>
      <c r="X50" s="572">
        <f>'처리구역별 인구 근거'!P51</f>
        <v>18400</v>
      </c>
      <c r="Y50" s="572">
        <f>'처리구역별 인구 근거'!T51</f>
        <v>18400</v>
      </c>
      <c r="Z50" s="547"/>
    </row>
    <row r="51" spans="1:26" ht="16.5" customHeight="1">
      <c r="A51" s="828"/>
      <c r="B51" s="920" t="s">
        <v>38</v>
      </c>
      <c r="C51" s="480" t="s">
        <v>154</v>
      </c>
      <c r="D51" s="541">
        <f>SUM(D52:D55)</f>
        <v>20709</v>
      </c>
      <c r="E51" s="541">
        <f>SUM(E52:E55)</f>
        <v>26400</v>
      </c>
      <c r="F51" s="541">
        <f>SUM(F52:F55)</f>
        <v>26600</v>
      </c>
      <c r="G51" s="541">
        <f>SUM(G52:G55)</f>
        <v>34700</v>
      </c>
      <c r="H51" s="541">
        <f>SUM(H52:H55)</f>
        <v>35800</v>
      </c>
      <c r="I51" s="546"/>
      <c r="J51" s="828"/>
      <c r="K51" s="920" t="s">
        <v>38</v>
      </c>
      <c r="L51" s="480" t="s">
        <v>154</v>
      </c>
      <c r="M51" s="541">
        <f>SUM(M52:M55)</f>
        <v>20709</v>
      </c>
      <c r="N51" s="541">
        <f>SUM(N52:N55)</f>
        <v>21700</v>
      </c>
      <c r="O51" s="541">
        <f>SUM(O52:O55)</f>
        <v>21900</v>
      </c>
      <c r="P51" s="541">
        <f>SUM(P52:P55)</f>
        <v>19000</v>
      </c>
      <c r="Q51" s="541">
        <f>SUM(Q52:Q55)</f>
        <v>20100</v>
      </c>
      <c r="R51" s="546"/>
      <c r="S51" s="828"/>
      <c r="T51" s="920" t="s">
        <v>38</v>
      </c>
      <c r="U51" s="480" t="s">
        <v>154</v>
      </c>
      <c r="V51" s="541">
        <f>SUM(V52:V55)</f>
        <v>4700</v>
      </c>
      <c r="W51" s="541">
        <f>SUM(W52:W55)</f>
        <v>4700</v>
      </c>
      <c r="X51" s="541">
        <f>SUM(X52:X55)</f>
        <v>15700</v>
      </c>
      <c r="Y51" s="541">
        <f>SUM(Y52:Y55)</f>
        <v>15700</v>
      </c>
      <c r="Z51" s="546"/>
    </row>
    <row r="52" spans="1:26" ht="16.5" customHeight="1">
      <c r="A52" s="828"/>
      <c r="B52" s="920"/>
      <c r="C52" s="580" t="s">
        <v>49</v>
      </c>
      <c r="D52" s="572">
        <f>M52</f>
        <v>12921</v>
      </c>
      <c r="E52" s="572">
        <f t="shared" ref="E52:H55" si="11">N52+V52</f>
        <v>16700</v>
      </c>
      <c r="F52" s="572">
        <f t="shared" si="11"/>
        <v>16700</v>
      </c>
      <c r="G52" s="572">
        <f t="shared" si="11"/>
        <v>24200</v>
      </c>
      <c r="H52" s="572">
        <f t="shared" si="11"/>
        <v>24700</v>
      </c>
      <c r="I52" s="547"/>
      <c r="J52" s="828"/>
      <c r="K52" s="920"/>
      <c r="L52" s="580" t="s">
        <v>49</v>
      </c>
      <c r="M52" s="572">
        <f>'처리구역별 인구 근거'!D53</f>
        <v>12921</v>
      </c>
      <c r="N52" s="572">
        <f>SUM('처리구역별 인구 근거'!F53:G53)</f>
        <v>13100</v>
      </c>
      <c r="O52" s="572">
        <f>SUM('처리구역별 인구 근거'!J53:K53)</f>
        <v>13100</v>
      </c>
      <c r="P52" s="572">
        <f>SUM('처리구역별 인구 근거'!N53:O53)</f>
        <v>9600</v>
      </c>
      <c r="Q52" s="572">
        <f>SUM('처리구역별 인구 근거'!R53:S53)</f>
        <v>10100</v>
      </c>
      <c r="R52" s="547"/>
      <c r="S52" s="828"/>
      <c r="T52" s="920"/>
      <c r="U52" s="580" t="s">
        <v>49</v>
      </c>
      <c r="V52" s="572">
        <f>'처리구역별 인구 근거'!H53</f>
        <v>3600</v>
      </c>
      <c r="W52" s="572">
        <f>'처리구역별 인구 근거'!L53</f>
        <v>3600</v>
      </c>
      <c r="X52" s="572">
        <f>'처리구역별 인구 근거'!P53</f>
        <v>14600</v>
      </c>
      <c r="Y52" s="572">
        <f>'처리구역별 인구 근거'!T53</f>
        <v>14600</v>
      </c>
      <c r="Z52" s="547"/>
    </row>
    <row r="53" spans="1:26" ht="16.5" customHeight="1">
      <c r="A53" s="828"/>
      <c r="B53" s="920"/>
      <c r="C53" s="580" t="s">
        <v>156</v>
      </c>
      <c r="D53" s="572">
        <f>M53</f>
        <v>0</v>
      </c>
      <c r="E53" s="572">
        <f t="shared" si="11"/>
        <v>0</v>
      </c>
      <c r="F53" s="572">
        <f t="shared" si="11"/>
        <v>0</v>
      </c>
      <c r="G53" s="572">
        <f t="shared" si="11"/>
        <v>1500</v>
      </c>
      <c r="H53" s="572">
        <f t="shared" si="11"/>
        <v>1500</v>
      </c>
      <c r="I53" s="547"/>
      <c r="J53" s="828"/>
      <c r="K53" s="920"/>
      <c r="L53" s="580" t="s">
        <v>156</v>
      </c>
      <c r="M53" s="572">
        <f>'처리구역별 인구 근거'!D54</f>
        <v>0</v>
      </c>
      <c r="N53" s="572">
        <f>SUM('처리구역별 인구 근거'!F54:G54)</f>
        <v>0</v>
      </c>
      <c r="O53" s="572">
        <f>SUM('처리구역별 인구 근거'!J54:K54)</f>
        <v>0</v>
      </c>
      <c r="P53" s="572">
        <f>SUM('처리구역별 인구 근거'!N54:O54)</f>
        <v>1500</v>
      </c>
      <c r="Q53" s="572">
        <f>SUM('처리구역별 인구 근거'!R54:S54)</f>
        <v>1500</v>
      </c>
      <c r="R53" s="547"/>
      <c r="S53" s="828"/>
      <c r="T53" s="920"/>
      <c r="U53" s="580" t="s">
        <v>156</v>
      </c>
      <c r="V53" s="572">
        <f>'처리구역별 인구 근거'!H54</f>
        <v>0</v>
      </c>
      <c r="W53" s="572">
        <f>'처리구역별 인구 근거'!L54</f>
        <v>0</v>
      </c>
      <c r="X53" s="572">
        <f>'처리구역별 인구 근거'!P54</f>
        <v>0</v>
      </c>
      <c r="Y53" s="572">
        <f>'처리구역별 인구 근거'!T54</f>
        <v>0</v>
      </c>
      <c r="Z53" s="547"/>
    </row>
    <row r="54" spans="1:26" ht="16.5" customHeight="1">
      <c r="A54" s="828"/>
      <c r="B54" s="920"/>
      <c r="C54" s="580" t="s">
        <v>164</v>
      </c>
      <c r="D54" s="572">
        <f>M54</f>
        <v>6451</v>
      </c>
      <c r="E54" s="572">
        <f t="shared" si="11"/>
        <v>7600</v>
      </c>
      <c r="F54" s="572">
        <f t="shared" si="11"/>
        <v>7400</v>
      </c>
      <c r="G54" s="572">
        <f t="shared" si="11"/>
        <v>7200</v>
      </c>
      <c r="H54" s="572">
        <f t="shared" si="11"/>
        <v>7700</v>
      </c>
      <c r="I54" s="547"/>
      <c r="J54" s="828"/>
      <c r="K54" s="920"/>
      <c r="L54" s="580" t="s">
        <v>164</v>
      </c>
      <c r="M54" s="572">
        <f>'처리구역별 인구 근거'!D55</f>
        <v>6451</v>
      </c>
      <c r="N54" s="572">
        <f>SUM('처리구역별 인구 근거'!F55:G55)</f>
        <v>6500</v>
      </c>
      <c r="O54" s="572">
        <f>SUM('처리구역별 인구 근거'!J55:K55)</f>
        <v>6300</v>
      </c>
      <c r="P54" s="572">
        <f>SUM('처리구역별 인구 근거'!N55:O55)</f>
        <v>6100</v>
      </c>
      <c r="Q54" s="572">
        <f>SUM('처리구역별 인구 근거'!R55:S55)</f>
        <v>6600</v>
      </c>
      <c r="R54" s="547"/>
      <c r="S54" s="828"/>
      <c r="T54" s="920"/>
      <c r="U54" s="580" t="s">
        <v>164</v>
      </c>
      <c r="V54" s="572">
        <f>'처리구역별 인구 근거'!H55</f>
        <v>1100</v>
      </c>
      <c r="W54" s="572">
        <f>'처리구역별 인구 근거'!L55</f>
        <v>1100</v>
      </c>
      <c r="X54" s="572">
        <f>'처리구역별 인구 근거'!P55</f>
        <v>1100</v>
      </c>
      <c r="Y54" s="572">
        <f>'처리구역별 인구 근거'!T55</f>
        <v>1100</v>
      </c>
      <c r="Z54" s="547"/>
    </row>
    <row r="55" spans="1:26" ht="16.5" customHeight="1">
      <c r="A55" s="828"/>
      <c r="B55" s="920"/>
      <c r="C55" s="580" t="s">
        <v>155</v>
      </c>
      <c r="D55" s="572">
        <f>M55</f>
        <v>1337</v>
      </c>
      <c r="E55" s="572">
        <f t="shared" si="11"/>
        <v>2100</v>
      </c>
      <c r="F55" s="572">
        <f t="shared" si="11"/>
        <v>2500</v>
      </c>
      <c r="G55" s="572">
        <f t="shared" si="11"/>
        <v>1800</v>
      </c>
      <c r="H55" s="572">
        <f t="shared" si="11"/>
        <v>1900</v>
      </c>
      <c r="I55" s="547"/>
      <c r="J55" s="828"/>
      <c r="K55" s="920"/>
      <c r="L55" s="580" t="s">
        <v>155</v>
      </c>
      <c r="M55" s="572">
        <f>'처리구역별 인구 근거'!D56</f>
        <v>1337</v>
      </c>
      <c r="N55" s="572">
        <f>SUM('처리구역별 인구 근거'!F56:G56)</f>
        <v>2100</v>
      </c>
      <c r="O55" s="572">
        <f>SUM('처리구역별 인구 근거'!J56:K56)</f>
        <v>2500</v>
      </c>
      <c r="P55" s="572">
        <f>SUM('처리구역별 인구 근거'!N56:O56)</f>
        <v>1800</v>
      </c>
      <c r="Q55" s="572">
        <f>SUM('처리구역별 인구 근거'!R56:S56)</f>
        <v>1900</v>
      </c>
      <c r="R55" s="547"/>
      <c r="S55" s="828"/>
      <c r="T55" s="920"/>
      <c r="U55" s="580" t="s">
        <v>155</v>
      </c>
      <c r="V55" s="572">
        <f>'처리구역별 인구 근거'!H56</f>
        <v>0</v>
      </c>
      <c r="W55" s="572">
        <f>'처리구역별 인구 근거'!L56</f>
        <v>0</v>
      </c>
      <c r="X55" s="572">
        <f>'처리구역별 인구 근거'!P56</f>
        <v>0</v>
      </c>
      <c r="Y55" s="572">
        <f>'처리구역별 인구 근거'!T56</f>
        <v>0</v>
      </c>
      <c r="Z55" s="547"/>
    </row>
    <row r="56" spans="1:26" ht="16.5" customHeight="1">
      <c r="A56" s="828"/>
      <c r="B56" s="920" t="s">
        <v>209</v>
      </c>
      <c r="C56" s="480" t="s">
        <v>154</v>
      </c>
      <c r="D56" s="541">
        <f>SUM(D57:D58)</f>
        <v>0</v>
      </c>
      <c r="E56" s="541">
        <f>SUM(E57:E58)</f>
        <v>4100</v>
      </c>
      <c r="F56" s="541">
        <f>SUM(F57:F58)</f>
        <v>4500</v>
      </c>
      <c r="G56" s="541">
        <f>SUM(G57:G58)</f>
        <v>37800</v>
      </c>
      <c r="H56" s="541">
        <f>SUM(H57:H58)</f>
        <v>38000</v>
      </c>
      <c r="I56" s="546"/>
      <c r="J56" s="828"/>
      <c r="K56" s="920" t="s">
        <v>209</v>
      </c>
      <c r="L56" s="480" t="s">
        <v>154</v>
      </c>
      <c r="M56" s="541">
        <f>SUM(M57:M58)</f>
        <v>0</v>
      </c>
      <c r="N56" s="541">
        <f>SUM(N57:N58)</f>
        <v>3700</v>
      </c>
      <c r="O56" s="541">
        <f>SUM(O57:O58)</f>
        <v>4100</v>
      </c>
      <c r="P56" s="541">
        <f>SUM(P57:P58)</f>
        <v>3800</v>
      </c>
      <c r="Q56" s="541">
        <f>SUM(Q57:Q58)</f>
        <v>4000</v>
      </c>
      <c r="R56" s="546"/>
      <c r="S56" s="828"/>
      <c r="T56" s="920" t="s">
        <v>209</v>
      </c>
      <c r="U56" s="480" t="s">
        <v>154</v>
      </c>
      <c r="V56" s="541">
        <f>SUM(V57:V58)</f>
        <v>400</v>
      </c>
      <c r="W56" s="541">
        <f>SUM(W57:W58)</f>
        <v>400</v>
      </c>
      <c r="X56" s="541">
        <f>SUM(X57:X58)</f>
        <v>34000</v>
      </c>
      <c r="Y56" s="541">
        <f>SUM(Y57:Y58)</f>
        <v>34000</v>
      </c>
      <c r="Z56" s="546"/>
    </row>
    <row r="57" spans="1:26" ht="16.5" customHeight="1">
      <c r="A57" s="828"/>
      <c r="B57" s="920"/>
      <c r="C57" s="580" t="s">
        <v>160</v>
      </c>
      <c r="D57" s="572">
        <f>M57</f>
        <v>0</v>
      </c>
      <c r="E57" s="572">
        <f t="shared" ref="E57:H58" si="12">N57+V57</f>
        <v>4100</v>
      </c>
      <c r="F57" s="572">
        <f t="shared" si="12"/>
        <v>4200</v>
      </c>
      <c r="G57" s="572">
        <f t="shared" si="12"/>
        <v>37600</v>
      </c>
      <c r="H57" s="572">
        <f t="shared" si="12"/>
        <v>37800</v>
      </c>
      <c r="I57" s="547"/>
      <c r="J57" s="828"/>
      <c r="K57" s="920"/>
      <c r="L57" s="580" t="s">
        <v>160</v>
      </c>
      <c r="M57" s="572">
        <f>'처리구역별 인구 근거'!D58</f>
        <v>0</v>
      </c>
      <c r="N57" s="572">
        <f>SUM('처리구역별 인구 근거'!F58:G58)</f>
        <v>3700</v>
      </c>
      <c r="O57" s="572">
        <f>SUM('처리구역별 인구 근거'!J58:K58)</f>
        <v>3800</v>
      </c>
      <c r="P57" s="572">
        <f>SUM('처리구역별 인구 근거'!N58:O58)</f>
        <v>3600</v>
      </c>
      <c r="Q57" s="572">
        <f>SUM('처리구역별 인구 근거'!R58:S58)</f>
        <v>3800</v>
      </c>
      <c r="R57" s="547"/>
      <c r="S57" s="828"/>
      <c r="T57" s="920"/>
      <c r="U57" s="580" t="s">
        <v>160</v>
      </c>
      <c r="V57" s="572">
        <f>'처리구역별 인구 근거'!H58</f>
        <v>400</v>
      </c>
      <c r="W57" s="572">
        <f>'처리구역별 인구 근거'!L58</f>
        <v>400</v>
      </c>
      <c r="X57" s="572">
        <f>'처리구역별 인구 근거'!P58</f>
        <v>34000</v>
      </c>
      <c r="Y57" s="572">
        <f>'처리구역별 인구 근거'!T58</f>
        <v>34000</v>
      </c>
      <c r="Z57" s="547"/>
    </row>
    <row r="58" spans="1:26" ht="16.5" customHeight="1">
      <c r="A58" s="828"/>
      <c r="B58" s="920"/>
      <c r="C58" s="580" t="s">
        <v>156</v>
      </c>
      <c r="D58" s="572">
        <f>M58</f>
        <v>0</v>
      </c>
      <c r="E58" s="572">
        <f t="shared" si="12"/>
        <v>0</v>
      </c>
      <c r="F58" s="572">
        <f t="shared" si="12"/>
        <v>300</v>
      </c>
      <c r="G58" s="572">
        <f t="shared" si="12"/>
        <v>200</v>
      </c>
      <c r="H58" s="572">
        <f t="shared" si="12"/>
        <v>200</v>
      </c>
      <c r="I58" s="547"/>
      <c r="J58" s="828"/>
      <c r="K58" s="920"/>
      <c r="L58" s="580" t="s">
        <v>156</v>
      </c>
      <c r="M58" s="572">
        <f>'처리구역별 인구 근거'!D59</f>
        <v>0</v>
      </c>
      <c r="N58" s="572">
        <f>SUM('처리구역별 인구 근거'!F59:G59)</f>
        <v>0</v>
      </c>
      <c r="O58" s="572">
        <f>SUM('처리구역별 인구 근거'!J59:K59)</f>
        <v>300</v>
      </c>
      <c r="P58" s="572">
        <f>SUM('처리구역별 인구 근거'!N59:O59)</f>
        <v>200</v>
      </c>
      <c r="Q58" s="572">
        <f>SUM('처리구역별 인구 근거'!R59:S59)</f>
        <v>200</v>
      </c>
      <c r="R58" s="547"/>
      <c r="S58" s="828"/>
      <c r="T58" s="920"/>
      <c r="U58" s="580" t="s">
        <v>156</v>
      </c>
      <c r="V58" s="572">
        <f>'처리구역별 인구 근거'!H59</f>
        <v>0</v>
      </c>
      <c r="W58" s="572">
        <f>'처리구역별 인구 근거'!L59</f>
        <v>0</v>
      </c>
      <c r="X58" s="572">
        <f>'처리구역별 인구 근거'!P59</f>
        <v>0</v>
      </c>
      <c r="Y58" s="572">
        <f>'처리구역별 인구 근거'!T59</f>
        <v>0</v>
      </c>
      <c r="Z58" s="547"/>
    </row>
    <row r="59" spans="1:26" ht="16.5" customHeight="1">
      <c r="A59" s="828" t="s">
        <v>40</v>
      </c>
      <c r="B59" s="993" t="s">
        <v>53</v>
      </c>
      <c r="C59" s="993"/>
      <c r="D59" s="542">
        <f>SUM(D60,D65,D69)</f>
        <v>12035</v>
      </c>
      <c r="E59" s="542">
        <f>SUM(E60,E65,E69)</f>
        <v>26900</v>
      </c>
      <c r="F59" s="542">
        <f>SUM(F60,F65,F69)</f>
        <v>32900</v>
      </c>
      <c r="G59" s="542">
        <f>SUM(G60,G65,G69)</f>
        <v>33300</v>
      </c>
      <c r="H59" s="542">
        <f>SUM(H60,H65,H69)</f>
        <v>34000</v>
      </c>
      <c r="I59" s="548"/>
      <c r="J59" s="828" t="s">
        <v>40</v>
      </c>
      <c r="K59" s="993" t="s">
        <v>53</v>
      </c>
      <c r="L59" s="993"/>
      <c r="M59" s="542">
        <f>SUM(M60,M65,M69)</f>
        <v>12035</v>
      </c>
      <c r="N59" s="542">
        <f>SUM(N60,N65,N69)</f>
        <v>26500</v>
      </c>
      <c r="O59" s="542">
        <f>SUM(O60,O65,O69)</f>
        <v>29500</v>
      </c>
      <c r="P59" s="542">
        <f>SUM(P60,P65,P69)</f>
        <v>29900</v>
      </c>
      <c r="Q59" s="542">
        <f>SUM(Q60,Q65,Q69)</f>
        <v>30600</v>
      </c>
      <c r="R59" s="548"/>
      <c r="S59" s="828" t="s">
        <v>40</v>
      </c>
      <c r="T59" s="993" t="s">
        <v>53</v>
      </c>
      <c r="U59" s="993"/>
      <c r="V59" s="542">
        <f>SUM(V60,V65,V69)</f>
        <v>400</v>
      </c>
      <c r="W59" s="542">
        <f>SUM(W60,W65,W69)</f>
        <v>3400</v>
      </c>
      <c r="X59" s="542">
        <f>SUM(X60,X65,X69)</f>
        <v>3400</v>
      </c>
      <c r="Y59" s="542">
        <f>SUM(Y60,Y65,Y69)</f>
        <v>3400</v>
      </c>
      <c r="Z59" s="548"/>
    </row>
    <row r="60" spans="1:26" ht="16.5" customHeight="1">
      <c r="A60" s="828"/>
      <c r="B60" s="920" t="s">
        <v>63</v>
      </c>
      <c r="C60" s="480" t="s">
        <v>154</v>
      </c>
      <c r="D60" s="541">
        <f>SUM(D61:D64)</f>
        <v>5412</v>
      </c>
      <c r="E60" s="541">
        <f>SUM(E61:E64)</f>
        <v>8400</v>
      </c>
      <c r="F60" s="541">
        <f>SUM(F61:F64)</f>
        <v>9800</v>
      </c>
      <c r="G60" s="541">
        <f>SUM(G61:G64)</f>
        <v>9900</v>
      </c>
      <c r="H60" s="541">
        <f>SUM(H61:H64)</f>
        <v>10200</v>
      </c>
      <c r="I60" s="546"/>
      <c r="J60" s="828"/>
      <c r="K60" s="920" t="s">
        <v>63</v>
      </c>
      <c r="L60" s="480" t="s">
        <v>154</v>
      </c>
      <c r="M60" s="541">
        <f>SUM(M61:M64)</f>
        <v>5412</v>
      </c>
      <c r="N60" s="541">
        <f>SUM(N61:N64)</f>
        <v>8400</v>
      </c>
      <c r="O60" s="541">
        <f>SUM(O61:O64)</f>
        <v>9800</v>
      </c>
      <c r="P60" s="541">
        <f>SUM(P61:P64)</f>
        <v>9900</v>
      </c>
      <c r="Q60" s="541">
        <f>SUM(Q61:Q64)</f>
        <v>10200</v>
      </c>
      <c r="R60" s="546"/>
      <c r="S60" s="828"/>
      <c r="T60" s="920" t="s">
        <v>63</v>
      </c>
      <c r="U60" s="480" t="s">
        <v>154</v>
      </c>
      <c r="V60" s="541">
        <f>SUM(V61:V64)</f>
        <v>0</v>
      </c>
      <c r="W60" s="541">
        <f>SUM(W61:W64)</f>
        <v>0</v>
      </c>
      <c r="X60" s="541">
        <f>SUM(X61:X64)</f>
        <v>0</v>
      </c>
      <c r="Y60" s="541">
        <f>SUM(Y61:Y64)</f>
        <v>0</v>
      </c>
      <c r="Z60" s="546"/>
    </row>
    <row r="61" spans="1:26" ht="16.5" customHeight="1">
      <c r="A61" s="828"/>
      <c r="B61" s="920"/>
      <c r="C61" s="580" t="s">
        <v>527</v>
      </c>
      <c r="D61" s="572">
        <f>M61</f>
        <v>1943</v>
      </c>
      <c r="E61" s="572">
        <f t="shared" ref="E61:H64" si="13">N61+V61</f>
        <v>4700</v>
      </c>
      <c r="F61" s="572">
        <f t="shared" si="13"/>
        <v>4700</v>
      </c>
      <c r="G61" s="572">
        <f t="shared" si="13"/>
        <v>4800</v>
      </c>
      <c r="H61" s="572">
        <f t="shared" si="13"/>
        <v>4900</v>
      </c>
      <c r="I61" s="547"/>
      <c r="J61" s="828"/>
      <c r="K61" s="920"/>
      <c r="L61" s="580" t="s">
        <v>527</v>
      </c>
      <c r="M61" s="572">
        <f>'처리구역별 인구 근거'!D62</f>
        <v>1943</v>
      </c>
      <c r="N61" s="572">
        <f>SUM('처리구역별 인구 근거'!F62:G62)</f>
        <v>4700</v>
      </c>
      <c r="O61" s="572">
        <f>SUM('처리구역별 인구 근거'!J62:K62)</f>
        <v>4700</v>
      </c>
      <c r="P61" s="572">
        <f>SUM('처리구역별 인구 근거'!N62:O62)</f>
        <v>4800</v>
      </c>
      <c r="Q61" s="572">
        <f>SUM('처리구역별 인구 근거'!R62:S62)</f>
        <v>4900</v>
      </c>
      <c r="R61" s="547"/>
      <c r="S61" s="828"/>
      <c r="T61" s="920"/>
      <c r="U61" s="580" t="s">
        <v>527</v>
      </c>
      <c r="V61" s="572">
        <f>'처리구역별 인구 근거'!H62</f>
        <v>0</v>
      </c>
      <c r="W61" s="572">
        <f>'처리구역별 인구 근거'!L62</f>
        <v>0</v>
      </c>
      <c r="X61" s="572">
        <f>'처리구역별 인구 근거'!P62</f>
        <v>0</v>
      </c>
      <c r="Y61" s="572">
        <f>'처리구역별 인구 근거'!T62</f>
        <v>0</v>
      </c>
      <c r="Z61" s="547"/>
    </row>
    <row r="62" spans="1:26" ht="16.5" customHeight="1">
      <c r="A62" s="828"/>
      <c r="B62" s="920"/>
      <c r="C62" s="580" t="s">
        <v>151</v>
      </c>
      <c r="D62" s="572">
        <f>M62</f>
        <v>3193</v>
      </c>
      <c r="E62" s="572">
        <f t="shared" si="13"/>
        <v>3300</v>
      </c>
      <c r="F62" s="572">
        <f t="shared" si="13"/>
        <v>3500</v>
      </c>
      <c r="G62" s="572">
        <f t="shared" si="13"/>
        <v>3500</v>
      </c>
      <c r="H62" s="572">
        <f t="shared" si="13"/>
        <v>3700</v>
      </c>
      <c r="I62" s="547"/>
      <c r="J62" s="828"/>
      <c r="K62" s="920"/>
      <c r="L62" s="580" t="s">
        <v>151</v>
      </c>
      <c r="M62" s="572">
        <f>'처리구역별 인구 근거'!D63</f>
        <v>3193</v>
      </c>
      <c r="N62" s="572">
        <f>SUM('처리구역별 인구 근거'!F63:G63)</f>
        <v>3300</v>
      </c>
      <c r="O62" s="572">
        <f>SUM('처리구역별 인구 근거'!J63:K63)</f>
        <v>3500</v>
      </c>
      <c r="P62" s="572">
        <f>SUM('처리구역별 인구 근거'!N63:O63)</f>
        <v>3500</v>
      </c>
      <c r="Q62" s="572">
        <f>SUM('처리구역별 인구 근거'!R63:S63)</f>
        <v>3700</v>
      </c>
      <c r="R62" s="547"/>
      <c r="S62" s="828"/>
      <c r="T62" s="920"/>
      <c r="U62" s="580" t="s">
        <v>151</v>
      </c>
      <c r="V62" s="572">
        <f>'처리구역별 인구 근거'!H63</f>
        <v>0</v>
      </c>
      <c r="W62" s="572">
        <f>'처리구역별 인구 근거'!L63</f>
        <v>0</v>
      </c>
      <c r="X62" s="572">
        <f>'처리구역별 인구 근거'!P63</f>
        <v>0</v>
      </c>
      <c r="Y62" s="572">
        <f>'처리구역별 인구 근거'!T63</f>
        <v>0</v>
      </c>
      <c r="Z62" s="547"/>
    </row>
    <row r="63" spans="1:26" ht="16.5" customHeight="1">
      <c r="A63" s="828"/>
      <c r="B63" s="920"/>
      <c r="C63" s="580" t="s">
        <v>548</v>
      </c>
      <c r="D63" s="572">
        <f>M63</f>
        <v>0</v>
      </c>
      <c r="E63" s="572">
        <f t="shared" si="13"/>
        <v>0</v>
      </c>
      <c r="F63" s="572">
        <f t="shared" si="13"/>
        <v>200</v>
      </c>
      <c r="G63" s="572">
        <f t="shared" si="13"/>
        <v>200</v>
      </c>
      <c r="H63" s="572">
        <f t="shared" si="13"/>
        <v>200</v>
      </c>
      <c r="I63" s="547"/>
      <c r="J63" s="828"/>
      <c r="K63" s="920"/>
      <c r="L63" s="580" t="s">
        <v>548</v>
      </c>
      <c r="M63" s="572">
        <f>'처리구역별 인구 근거'!D64</f>
        <v>0</v>
      </c>
      <c r="N63" s="572">
        <f>SUM('처리구역별 인구 근거'!F64:G64)</f>
        <v>0</v>
      </c>
      <c r="O63" s="572">
        <f>SUM('처리구역별 인구 근거'!J64:K64)</f>
        <v>200</v>
      </c>
      <c r="P63" s="572">
        <f>SUM('처리구역별 인구 근거'!N64:O64)</f>
        <v>200</v>
      </c>
      <c r="Q63" s="572">
        <f>SUM('처리구역별 인구 근거'!R64:S64)</f>
        <v>200</v>
      </c>
      <c r="R63" s="547"/>
      <c r="S63" s="828"/>
      <c r="T63" s="920"/>
      <c r="U63" s="580" t="s">
        <v>548</v>
      </c>
      <c r="V63" s="572">
        <f>'처리구역별 인구 근거'!H64</f>
        <v>0</v>
      </c>
      <c r="W63" s="572">
        <f>'처리구역별 인구 근거'!L64</f>
        <v>0</v>
      </c>
      <c r="X63" s="572">
        <f>'처리구역별 인구 근거'!P64</f>
        <v>0</v>
      </c>
      <c r="Y63" s="572">
        <f>'처리구역별 인구 근거'!T64</f>
        <v>0</v>
      </c>
      <c r="Z63" s="547"/>
    </row>
    <row r="64" spans="1:26" ht="16.5" customHeight="1">
      <c r="A64" s="828"/>
      <c r="B64" s="920"/>
      <c r="C64" s="580" t="s">
        <v>152</v>
      </c>
      <c r="D64" s="572">
        <f>M64</f>
        <v>276</v>
      </c>
      <c r="E64" s="572">
        <f t="shared" si="13"/>
        <v>400</v>
      </c>
      <c r="F64" s="572">
        <f t="shared" si="13"/>
        <v>1400</v>
      </c>
      <c r="G64" s="572">
        <f t="shared" si="13"/>
        <v>1400</v>
      </c>
      <c r="H64" s="572">
        <f t="shared" si="13"/>
        <v>1400</v>
      </c>
      <c r="I64" s="547"/>
      <c r="J64" s="828"/>
      <c r="K64" s="920"/>
      <c r="L64" s="580" t="s">
        <v>152</v>
      </c>
      <c r="M64" s="572">
        <f>'처리구역별 인구 근거'!D65</f>
        <v>276</v>
      </c>
      <c r="N64" s="572">
        <f>SUM('처리구역별 인구 근거'!F65:G65)</f>
        <v>400</v>
      </c>
      <c r="O64" s="572">
        <f>SUM('처리구역별 인구 근거'!J65:K65)</f>
        <v>1400</v>
      </c>
      <c r="P64" s="572">
        <f>SUM('처리구역별 인구 근거'!N65:O65)</f>
        <v>1400</v>
      </c>
      <c r="Q64" s="572">
        <f>SUM('처리구역별 인구 근거'!R65:S65)</f>
        <v>1400</v>
      </c>
      <c r="R64" s="547"/>
      <c r="S64" s="828"/>
      <c r="T64" s="920"/>
      <c r="U64" s="580" t="s">
        <v>152</v>
      </c>
      <c r="V64" s="572">
        <f>'처리구역별 인구 근거'!H65</f>
        <v>0</v>
      </c>
      <c r="W64" s="572">
        <f>'처리구역별 인구 근거'!L65</f>
        <v>0</v>
      </c>
      <c r="X64" s="572">
        <f>'처리구역별 인구 근거'!P65</f>
        <v>0</v>
      </c>
      <c r="Y64" s="572">
        <f>'처리구역별 인구 근거'!T65</f>
        <v>0</v>
      </c>
      <c r="Z64" s="547"/>
    </row>
    <row r="65" spans="1:26" ht="16.5" customHeight="1">
      <c r="A65" s="828"/>
      <c r="B65" s="920" t="s">
        <v>210</v>
      </c>
      <c r="C65" s="480" t="s">
        <v>154</v>
      </c>
      <c r="D65" s="541">
        <f>SUM(D66:D68)</f>
        <v>4001</v>
      </c>
      <c r="E65" s="541">
        <f>SUM(E66:E68)</f>
        <v>15000</v>
      </c>
      <c r="F65" s="541">
        <f>SUM(F66:F68)</f>
        <v>19600</v>
      </c>
      <c r="G65" s="541">
        <f>SUM(G66:G68)</f>
        <v>19900</v>
      </c>
      <c r="H65" s="541">
        <f>SUM(H66:H68)</f>
        <v>20200</v>
      </c>
      <c r="I65" s="546"/>
      <c r="J65" s="828"/>
      <c r="K65" s="920" t="s">
        <v>210</v>
      </c>
      <c r="L65" s="480" t="s">
        <v>154</v>
      </c>
      <c r="M65" s="541">
        <f>SUM(M66:M68)</f>
        <v>4001</v>
      </c>
      <c r="N65" s="541">
        <f>SUM(N66:N68)</f>
        <v>15000</v>
      </c>
      <c r="O65" s="541">
        <f>SUM(O66:O68)</f>
        <v>16600</v>
      </c>
      <c r="P65" s="541">
        <f>SUM(P66:P68)</f>
        <v>16900</v>
      </c>
      <c r="Q65" s="541">
        <f>SUM(Q66:Q68)</f>
        <v>17200</v>
      </c>
      <c r="R65" s="546"/>
      <c r="S65" s="828"/>
      <c r="T65" s="920" t="s">
        <v>210</v>
      </c>
      <c r="U65" s="480" t="s">
        <v>154</v>
      </c>
      <c r="V65" s="541">
        <f>SUM(V66:V68)</f>
        <v>0</v>
      </c>
      <c r="W65" s="541">
        <f>SUM(W66:W68)</f>
        <v>3000</v>
      </c>
      <c r="X65" s="541">
        <f>SUM(X66:X68)</f>
        <v>3000</v>
      </c>
      <c r="Y65" s="541">
        <f>SUM(Y66:Y68)</f>
        <v>3000</v>
      </c>
      <c r="Z65" s="546"/>
    </row>
    <row r="66" spans="1:26" ht="16.5" customHeight="1">
      <c r="A66" s="828"/>
      <c r="B66" s="920"/>
      <c r="C66" s="580" t="s">
        <v>527</v>
      </c>
      <c r="D66" s="572">
        <f>M66</f>
        <v>2799</v>
      </c>
      <c r="E66" s="572">
        <f t="shared" ref="E66:H68" si="14">N66+V66</f>
        <v>10900</v>
      </c>
      <c r="F66" s="572">
        <f t="shared" si="14"/>
        <v>10800</v>
      </c>
      <c r="G66" s="572">
        <f t="shared" si="14"/>
        <v>11000</v>
      </c>
      <c r="H66" s="572">
        <f t="shared" si="14"/>
        <v>11300</v>
      </c>
      <c r="I66" s="547"/>
      <c r="J66" s="828"/>
      <c r="K66" s="920"/>
      <c r="L66" s="580" t="s">
        <v>527</v>
      </c>
      <c r="M66" s="572">
        <f>'처리구역별 인구 근거'!D67</f>
        <v>2799</v>
      </c>
      <c r="N66" s="572">
        <f>SUM('처리구역별 인구 근거'!F67:G67)</f>
        <v>10900</v>
      </c>
      <c r="O66" s="572">
        <f>SUM('처리구역별 인구 근거'!J67:K67)</f>
        <v>10800</v>
      </c>
      <c r="P66" s="572">
        <f>SUM('처리구역별 인구 근거'!N67:O67)</f>
        <v>11000</v>
      </c>
      <c r="Q66" s="572">
        <f>SUM('처리구역별 인구 근거'!R67:S67)</f>
        <v>11300</v>
      </c>
      <c r="R66" s="547"/>
      <c r="S66" s="828"/>
      <c r="T66" s="920"/>
      <c r="U66" s="580" t="s">
        <v>527</v>
      </c>
      <c r="V66" s="572">
        <f>'처리구역별 인구 근거'!H67</f>
        <v>0</v>
      </c>
      <c r="W66" s="572">
        <f>'처리구역별 인구 근거'!L67</f>
        <v>0</v>
      </c>
      <c r="X66" s="572">
        <f>'처리구역별 인구 근거'!P67</f>
        <v>0</v>
      </c>
      <c r="Y66" s="572">
        <f>'처리구역별 인구 근거'!T67</f>
        <v>0</v>
      </c>
      <c r="Z66" s="547"/>
    </row>
    <row r="67" spans="1:26" ht="16.5" customHeight="1">
      <c r="A67" s="828"/>
      <c r="B67" s="920"/>
      <c r="C67" s="580" t="s">
        <v>548</v>
      </c>
      <c r="D67" s="572">
        <f>M67</f>
        <v>684</v>
      </c>
      <c r="E67" s="572">
        <f t="shared" si="14"/>
        <v>2100</v>
      </c>
      <c r="F67" s="572">
        <f t="shared" si="14"/>
        <v>6400</v>
      </c>
      <c r="G67" s="572">
        <f t="shared" si="14"/>
        <v>6500</v>
      </c>
      <c r="H67" s="572">
        <f t="shared" si="14"/>
        <v>6500</v>
      </c>
      <c r="I67" s="547"/>
      <c r="J67" s="828"/>
      <c r="K67" s="920"/>
      <c r="L67" s="580" t="s">
        <v>548</v>
      </c>
      <c r="M67" s="572">
        <f>'처리구역별 인구 근거'!D68</f>
        <v>684</v>
      </c>
      <c r="N67" s="572">
        <f>SUM('처리구역별 인구 근거'!F68:G68)</f>
        <v>2100</v>
      </c>
      <c r="O67" s="572">
        <f>SUM('처리구역별 인구 근거'!J68:K68)</f>
        <v>3400</v>
      </c>
      <c r="P67" s="572">
        <f>SUM('처리구역별 인구 근거'!N68:O68)</f>
        <v>3500</v>
      </c>
      <c r="Q67" s="572">
        <f>SUM('처리구역별 인구 근거'!R68:S68)</f>
        <v>3500</v>
      </c>
      <c r="R67" s="547"/>
      <c r="S67" s="828"/>
      <c r="T67" s="920"/>
      <c r="U67" s="580" t="s">
        <v>548</v>
      </c>
      <c r="V67" s="572">
        <f>'처리구역별 인구 근거'!H68</f>
        <v>0</v>
      </c>
      <c r="W67" s="572">
        <f>'처리구역별 인구 근거'!L68</f>
        <v>3000</v>
      </c>
      <c r="X67" s="572">
        <f>'처리구역별 인구 근거'!P68</f>
        <v>3000</v>
      </c>
      <c r="Y67" s="572">
        <f>'처리구역별 인구 근거'!T68</f>
        <v>3000</v>
      </c>
      <c r="Z67" s="547"/>
    </row>
    <row r="68" spans="1:26" ht="16.5" customHeight="1">
      <c r="A68" s="828"/>
      <c r="B68" s="920"/>
      <c r="C68" s="580" t="s">
        <v>201</v>
      </c>
      <c r="D68" s="572">
        <f>M68</f>
        <v>518</v>
      </c>
      <c r="E68" s="572">
        <f t="shared" si="14"/>
        <v>2000</v>
      </c>
      <c r="F68" s="572">
        <f t="shared" si="14"/>
        <v>2400</v>
      </c>
      <c r="G68" s="572">
        <f t="shared" si="14"/>
        <v>2400</v>
      </c>
      <c r="H68" s="572">
        <f t="shared" si="14"/>
        <v>2400</v>
      </c>
      <c r="I68" s="547"/>
      <c r="J68" s="828"/>
      <c r="K68" s="920"/>
      <c r="L68" s="580" t="s">
        <v>201</v>
      </c>
      <c r="M68" s="572">
        <f>'처리구역별 인구 근거'!D69</f>
        <v>518</v>
      </c>
      <c r="N68" s="572">
        <f>SUM('처리구역별 인구 근거'!F69:G69)</f>
        <v>2000</v>
      </c>
      <c r="O68" s="572">
        <f>SUM('처리구역별 인구 근거'!J69:K69)</f>
        <v>2400</v>
      </c>
      <c r="P68" s="572">
        <f>SUM('처리구역별 인구 근거'!N69:O69)</f>
        <v>2400</v>
      </c>
      <c r="Q68" s="572">
        <f>SUM('처리구역별 인구 근거'!R69:S69)</f>
        <v>2400</v>
      </c>
      <c r="R68" s="547"/>
      <c r="S68" s="828"/>
      <c r="T68" s="920"/>
      <c r="U68" s="580" t="s">
        <v>201</v>
      </c>
      <c r="V68" s="572">
        <f>'처리구역별 인구 근거'!H69</f>
        <v>0</v>
      </c>
      <c r="W68" s="572">
        <f>'처리구역별 인구 근거'!L69</f>
        <v>0</v>
      </c>
      <c r="X68" s="572">
        <f>'처리구역별 인구 근거'!P69</f>
        <v>0</v>
      </c>
      <c r="Y68" s="572">
        <f>'처리구역별 인구 근거'!T69</f>
        <v>0</v>
      </c>
      <c r="Z68" s="547"/>
    </row>
    <row r="69" spans="1:26" ht="16.5" customHeight="1">
      <c r="A69" s="828"/>
      <c r="B69" s="920" t="s">
        <v>39</v>
      </c>
      <c r="C69" s="480" t="s">
        <v>154</v>
      </c>
      <c r="D69" s="541">
        <f>SUM(D70)</f>
        <v>2622</v>
      </c>
      <c r="E69" s="541">
        <f>SUM(E70)</f>
        <v>3500</v>
      </c>
      <c r="F69" s="541">
        <f>SUM(F70)</f>
        <v>3500</v>
      </c>
      <c r="G69" s="541">
        <f>SUM(G70)</f>
        <v>3500</v>
      </c>
      <c r="H69" s="541">
        <f>SUM(H70)</f>
        <v>3600</v>
      </c>
      <c r="I69" s="546"/>
      <c r="J69" s="828"/>
      <c r="K69" s="920" t="s">
        <v>39</v>
      </c>
      <c r="L69" s="480" t="s">
        <v>154</v>
      </c>
      <c r="M69" s="541">
        <f>SUM(M70)</f>
        <v>2622</v>
      </c>
      <c r="N69" s="541">
        <f>SUM(N70)</f>
        <v>3100</v>
      </c>
      <c r="O69" s="541">
        <f>SUM(O70)</f>
        <v>3100</v>
      </c>
      <c r="P69" s="541">
        <f>SUM(P70)</f>
        <v>3100</v>
      </c>
      <c r="Q69" s="541">
        <f>SUM(Q70)</f>
        <v>3200</v>
      </c>
      <c r="R69" s="546"/>
      <c r="S69" s="828"/>
      <c r="T69" s="920" t="s">
        <v>39</v>
      </c>
      <c r="U69" s="480" t="s">
        <v>154</v>
      </c>
      <c r="V69" s="541">
        <f>SUM(V70)</f>
        <v>400</v>
      </c>
      <c r="W69" s="541">
        <f>SUM(W70)</f>
        <v>400</v>
      </c>
      <c r="X69" s="541">
        <f>SUM(X70)</f>
        <v>400</v>
      </c>
      <c r="Y69" s="541">
        <f>SUM(Y70)</f>
        <v>400</v>
      </c>
      <c r="Z69" s="546"/>
    </row>
    <row r="70" spans="1:26" ht="16.5" customHeight="1">
      <c r="A70" s="829"/>
      <c r="B70" s="795"/>
      <c r="C70" s="585" t="s">
        <v>152</v>
      </c>
      <c r="D70" s="70">
        <f>M70</f>
        <v>2622</v>
      </c>
      <c r="E70" s="70">
        <f>N70+V70</f>
        <v>3500</v>
      </c>
      <c r="F70" s="70">
        <f>O70+W70</f>
        <v>3500</v>
      </c>
      <c r="G70" s="70">
        <f>P70+X70</f>
        <v>3500</v>
      </c>
      <c r="H70" s="70">
        <f>Q70+Y70</f>
        <v>3600</v>
      </c>
      <c r="I70" s="302"/>
      <c r="J70" s="829"/>
      <c r="K70" s="795"/>
      <c r="L70" s="585" t="s">
        <v>152</v>
      </c>
      <c r="M70" s="70">
        <f>'처리구역별 인구 근거'!D71</f>
        <v>2622</v>
      </c>
      <c r="N70" s="70">
        <f>SUM('처리구역별 인구 근거'!F71:G71)</f>
        <v>3100</v>
      </c>
      <c r="O70" s="70">
        <f>SUM('처리구역별 인구 근거'!J71:K71)</f>
        <v>3100</v>
      </c>
      <c r="P70" s="70">
        <f>SUM('처리구역별 인구 근거'!N71:O71)</f>
        <v>3100</v>
      </c>
      <c r="Q70" s="70">
        <f>SUM('처리구역별 인구 근거'!R71:S71)</f>
        <v>3200</v>
      </c>
      <c r="R70" s="302"/>
      <c r="S70" s="829"/>
      <c r="T70" s="795"/>
      <c r="U70" s="585" t="s">
        <v>152</v>
      </c>
      <c r="V70" s="70">
        <f>'처리구역별 인구 근거'!H71</f>
        <v>400</v>
      </c>
      <c r="W70" s="70">
        <f>'처리구역별 인구 근거'!L71</f>
        <v>400</v>
      </c>
      <c r="X70" s="70">
        <f>'처리구역별 인구 근거'!P71</f>
        <v>400</v>
      </c>
      <c r="Y70" s="70">
        <f>'처리구역별 인구 근거'!T71</f>
        <v>400</v>
      </c>
      <c r="Z70" s="302"/>
    </row>
    <row r="71" spans="1:26" ht="16.5" customHeight="1">
      <c r="V71" s="652"/>
      <c r="W71" s="652"/>
      <c r="X71" s="652"/>
      <c r="Y71" s="652"/>
    </row>
    <row r="72" spans="1:26" ht="16.5" customHeight="1">
      <c r="V72" s="652"/>
      <c r="W72" s="652"/>
      <c r="X72" s="652"/>
      <c r="Y72" s="652"/>
    </row>
  </sheetData>
  <mergeCells count="69">
    <mergeCell ref="J4:K4"/>
    <mergeCell ref="J5:L5"/>
    <mergeCell ref="J6:J45"/>
    <mergeCell ref="K6:L6"/>
    <mergeCell ref="K7:K13"/>
    <mergeCell ref="K14:K21"/>
    <mergeCell ref="K22:K25"/>
    <mergeCell ref="K26:K28"/>
    <mergeCell ref="K29:K34"/>
    <mergeCell ref="J46:J58"/>
    <mergeCell ref="K46:L46"/>
    <mergeCell ref="K47:K50"/>
    <mergeCell ref="K51:K55"/>
    <mergeCell ref="K56:K58"/>
    <mergeCell ref="S4:T4"/>
    <mergeCell ref="S5:U5"/>
    <mergeCell ref="S6:S45"/>
    <mergeCell ref="T6:U6"/>
    <mergeCell ref="T7:T13"/>
    <mergeCell ref="T14:T21"/>
    <mergeCell ref="T22:T25"/>
    <mergeCell ref="T26:T28"/>
    <mergeCell ref="T29:T34"/>
    <mergeCell ref="T35:T37"/>
    <mergeCell ref="T38:T41"/>
    <mergeCell ref="T42:T43"/>
    <mergeCell ref="T44:T45"/>
    <mergeCell ref="A4:B4"/>
    <mergeCell ref="A5:C5"/>
    <mergeCell ref="A6:A45"/>
    <mergeCell ref="B6:C6"/>
    <mergeCell ref="B7:B13"/>
    <mergeCell ref="B38:B41"/>
    <mergeCell ref="S59:S70"/>
    <mergeCell ref="T59:U59"/>
    <mergeCell ref="T60:T64"/>
    <mergeCell ref="T65:T68"/>
    <mergeCell ref="T69:T70"/>
    <mergeCell ref="S46:S58"/>
    <mergeCell ref="T46:U46"/>
    <mergeCell ref="T47:T50"/>
    <mergeCell ref="T51:T55"/>
    <mergeCell ref="T56:T58"/>
    <mergeCell ref="J59:J70"/>
    <mergeCell ref="K59:L59"/>
    <mergeCell ref="B14:B21"/>
    <mergeCell ref="B22:B25"/>
    <mergeCell ref="B26:B28"/>
    <mergeCell ref="B29:B34"/>
    <mergeCell ref="B35:B37"/>
    <mergeCell ref="B42:B43"/>
    <mergeCell ref="B44:B45"/>
    <mergeCell ref="K60:K64"/>
    <mergeCell ref="K65:K68"/>
    <mergeCell ref="K69:K70"/>
    <mergeCell ref="K35:K37"/>
    <mergeCell ref="K38:K41"/>
    <mergeCell ref="K42:K43"/>
    <mergeCell ref="K44:K45"/>
    <mergeCell ref="A46:A58"/>
    <mergeCell ref="B46:C46"/>
    <mergeCell ref="B47:B50"/>
    <mergeCell ref="B51:B55"/>
    <mergeCell ref="B56:B58"/>
    <mergeCell ref="A59:A70"/>
    <mergeCell ref="B59:C59"/>
    <mergeCell ref="B60:B64"/>
    <mergeCell ref="B65:B68"/>
    <mergeCell ref="B69:B7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이름이 지정된 범위</vt:lpstr>
      </vt:variant>
      <vt:variant>
        <vt:i4>19</vt:i4>
      </vt:variant>
    </vt:vector>
  </HeadingPairs>
  <TitlesOfParts>
    <vt:vector size="39" baseType="lpstr">
      <vt:lpstr>배수구역</vt:lpstr>
      <vt:lpstr>처리구역 면적</vt:lpstr>
      <vt:lpstr>1.과거인구</vt:lpstr>
      <vt:lpstr>1.2인구분석</vt:lpstr>
      <vt:lpstr>2.인구추정</vt:lpstr>
      <vt:lpstr>수학적방법</vt:lpstr>
      <vt:lpstr>2.2생잔모형</vt:lpstr>
      <vt:lpstr>사회유입인구</vt:lpstr>
      <vt:lpstr>3.계획인구</vt:lpstr>
      <vt:lpstr>인구배분</vt:lpstr>
      <vt:lpstr>행정구역별 인구</vt:lpstr>
      <vt:lpstr>처리구역별 계획인구</vt:lpstr>
      <vt:lpstr>4.하수처리인구</vt:lpstr>
      <vt:lpstr>처리구역별 인구 근거</vt:lpstr>
      <vt:lpstr>소규모하수도인구</vt:lpstr>
      <vt:lpstr>총괄</vt:lpstr>
      <vt:lpstr>하수도보급율</vt:lpstr>
      <vt:lpstr>증설계획</vt:lpstr>
      <vt:lpstr>소규모하수도현황</vt:lpstr>
      <vt:lpstr>하수처리인구 근거</vt:lpstr>
      <vt:lpstr>'1.2인구분석'!Print_Area</vt:lpstr>
      <vt:lpstr>'1.과거인구'!Print_Area</vt:lpstr>
      <vt:lpstr>'2.2생잔모형'!Print_Area</vt:lpstr>
      <vt:lpstr>'2.인구추정'!Print_Area</vt:lpstr>
      <vt:lpstr>'3.계획인구'!Print_Area</vt:lpstr>
      <vt:lpstr>'4.하수처리인구'!Print_Area</vt:lpstr>
      <vt:lpstr>배수구역!Print_Area</vt:lpstr>
      <vt:lpstr>사회유입인구!Print_Area</vt:lpstr>
      <vt:lpstr>소규모하수도인구!Print_Area</vt:lpstr>
      <vt:lpstr>소규모하수도현황!Print_Area</vt:lpstr>
      <vt:lpstr>수학적방법!Print_Area</vt:lpstr>
      <vt:lpstr>인구배분!Print_Area</vt:lpstr>
      <vt:lpstr>증설계획!Print_Area</vt:lpstr>
      <vt:lpstr>'처리구역 면적'!Print_Area</vt:lpstr>
      <vt:lpstr>'처리구역별 계획인구'!Print_Area</vt:lpstr>
      <vt:lpstr>'처리구역별 인구 근거'!Print_Area</vt:lpstr>
      <vt:lpstr>'행정구역별 인구'!Print_Area</vt:lpstr>
      <vt:lpstr>'처리구역별 인구 근거'!Print_Titles</vt:lpstr>
      <vt:lpstr>'하수처리인구 근거'!Print_Titles</vt:lpstr>
    </vt:vector>
  </TitlesOfParts>
  <Company>용두동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동명</dc:creator>
  <cp:lastModifiedBy>Your User Name</cp:lastModifiedBy>
  <cp:lastPrinted>2009-11-30T03:31:50Z</cp:lastPrinted>
  <dcterms:created xsi:type="dcterms:W3CDTF">2008-06-26T06:53:48Z</dcterms:created>
  <dcterms:modified xsi:type="dcterms:W3CDTF">2009-12-04T01:30:33Z</dcterms:modified>
</cp:coreProperties>
</file>